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ims.gov.uk\data\Users\GBBULVD\BULHOME1\MBytheway\Data\Desktop\Updates\"/>
    </mc:Choice>
  </mc:AlternateContent>
  <xr:revisionPtr revIDLastSave="0" documentId="13_ncr:1_{1C82E77B-877E-45C5-BD95-248F9A1D1263}" xr6:coauthVersionLast="45" xr6:coauthVersionMax="45" xr10:uidLastSave="{00000000-0000-0000-0000-000000000000}"/>
  <bookViews>
    <workbookView xWindow="-120" yWindow="-120" windowWidth="23280" windowHeight="15000" tabRatio="794" firstSheet="3" activeTab="24"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 sheetId="42" state="hidden"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state="hidden"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 i="18" l="1"/>
  <c r="I1" i="31"/>
  <c r="P4" i="18" l="1"/>
  <c r="N4" i="18"/>
  <c r="L4" i="18"/>
  <c r="J4" i="18"/>
  <c r="H4" i="18"/>
  <c r="G4" i="18"/>
  <c r="A2" i="17" l="1"/>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1"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A15" i="17" s="1"/>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B4" i="36" s="1"/>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A6" i="36" l="1"/>
  <c r="B5" i="36"/>
  <c r="DN30" i="6"/>
  <c r="DM29" i="6"/>
  <c r="A7" i="36" l="1"/>
  <c r="B6" i="36"/>
  <c r="DN31" i="6"/>
  <c r="DM30" i="6"/>
  <c r="B38" i="18"/>
  <c r="A8" i="36" l="1"/>
  <c r="B7" i="36"/>
  <c r="DN32" i="6"/>
  <c r="DM31" i="6"/>
  <c r="A9" i="36" l="1"/>
  <c r="B8" i="36"/>
  <c r="DN33" i="6"/>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A10" i="36" l="1"/>
  <c r="B9" i="36"/>
  <c r="DN34" i="6"/>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11" i="36" l="1"/>
  <c r="B10" i="36"/>
  <c r="DN35" i="6"/>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A12" i="36" l="1"/>
  <c r="B11" i="36"/>
  <c r="DN36" i="6"/>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A13" i="36" l="1"/>
  <c r="B12" i="36"/>
  <c r="DN37" i="6"/>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A14" i="36" l="1"/>
  <c r="B13" i="36"/>
  <c r="DN38" i="6"/>
  <c r="DM37" i="6"/>
  <c r="BK3" i="31"/>
  <c r="BK1" i="31" s="1"/>
  <c r="E6" i="30"/>
  <c r="D6" i="30"/>
  <c r="B7" i="30"/>
  <c r="A7" i="30" s="1"/>
  <c r="A15" i="36" l="1"/>
  <c r="B14" i="36"/>
  <c r="DN39" i="6"/>
  <c r="DM38" i="6"/>
  <c r="F7" i="30"/>
  <c r="BL3" i="31" s="1"/>
  <c r="BL1"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BL110" i="31" l="1"/>
  <c r="A16" i="36"/>
  <c r="B15" i="36"/>
  <c r="DN40" i="6"/>
  <c r="DM39" i="6"/>
  <c r="F8" i="30"/>
  <c r="BM3" i="31" s="1"/>
  <c r="BM1" i="31" s="1"/>
  <c r="A8" i="30"/>
  <c r="D8" i="30"/>
  <c r="E8" i="30"/>
  <c r="B9" i="30"/>
  <c r="A9" i="30" s="1"/>
  <c r="A11" i="22"/>
  <c r="G65" i="26"/>
  <c r="R12" i="17"/>
  <c r="H13" i="39"/>
  <c r="BM110" i="31" l="1"/>
  <c r="A17" i="36"/>
  <c r="B16" i="36"/>
  <c r="BE211" i="3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BN110" i="31" l="1"/>
  <c r="A18" i="36"/>
  <c r="B17" i="36"/>
  <c r="DN42" i="6"/>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 i="31" s="1"/>
  <c r="K13" i="39"/>
  <c r="A17" i="17"/>
  <c r="H15" i="39" s="1"/>
  <c r="D16" i="17"/>
  <c r="K14" i="39" s="1"/>
  <c r="D10" i="30"/>
  <c r="E10" i="30"/>
  <c r="B11" i="30"/>
  <c r="C55" i="26"/>
  <c r="C56" i="26"/>
  <c r="C57" i="26"/>
  <c r="B55" i="26"/>
  <c r="L55" i="26" s="1"/>
  <c r="B56" i="26"/>
  <c r="L56" i="26" s="1"/>
  <c r="B57" i="26"/>
  <c r="L57" i="26" s="1"/>
  <c r="A8" i="28"/>
  <c r="A7" i="28"/>
  <c r="A6" i="28"/>
  <c r="C20" i="25"/>
  <c r="BO110" i="31" l="1"/>
  <c r="A19" i="36"/>
  <c r="B18" i="36"/>
  <c r="DN43" i="6"/>
  <c r="DM42" i="6"/>
  <c r="F11" i="30"/>
  <c r="BP3" i="31" s="1"/>
  <c r="BP1" i="31" s="1"/>
  <c r="A11" i="30"/>
  <c r="M55" i="26"/>
  <c r="A18" i="17"/>
  <c r="H16" i="39" s="1"/>
  <c r="D17" i="17"/>
  <c r="B17" i="17"/>
  <c r="I15" i="39" s="1"/>
  <c r="C17" i="17"/>
  <c r="J15" i="39" s="1"/>
  <c r="M56" i="26"/>
  <c r="M57" i="26"/>
  <c r="D11" i="30"/>
  <c r="E11" i="30"/>
  <c r="B12" i="30"/>
  <c r="A12" i="30" s="1"/>
  <c r="A27" i="11"/>
  <c r="A10" i="11"/>
  <c r="BP110" i="31" l="1"/>
  <c r="A20" i="36"/>
  <c r="B19" i="36"/>
  <c r="DN44" i="6"/>
  <c r="DM43" i="6"/>
  <c r="F12" i="30"/>
  <c r="BQ3" i="31" s="1"/>
  <c r="BQ1" i="31" s="1"/>
  <c r="K15" i="39"/>
  <c r="A19" i="17"/>
  <c r="H17" i="39" s="1"/>
  <c r="D18" i="17"/>
  <c r="B18" i="17"/>
  <c r="I16" i="39" s="1"/>
  <c r="C18" i="17"/>
  <c r="J16" i="39" s="1"/>
  <c r="D12" i="30"/>
  <c r="E12" i="30"/>
  <c r="B13" i="30"/>
  <c r="B6" i="26"/>
  <c r="B7" i="26"/>
  <c r="B8" i="26"/>
  <c r="B9" i="26"/>
  <c r="B10" i="26"/>
  <c r="B11" i="26"/>
  <c r="B12" i="26"/>
  <c r="B13" i="26"/>
  <c r="B14" i="26"/>
  <c r="B5" i="26"/>
  <c r="BQ110" i="31" l="1"/>
  <c r="A21" i="36"/>
  <c r="B20" i="36"/>
  <c r="DN45" i="6"/>
  <c r="DM44" i="6"/>
  <c r="F13" i="30"/>
  <c r="BR3" i="31" s="1"/>
  <c r="BR1"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BR110" i="31" l="1"/>
  <c r="A22" i="36"/>
  <c r="B21" i="36"/>
  <c r="DN46" i="6"/>
  <c r="DM45" i="6"/>
  <c r="F14" i="30"/>
  <c r="BS3" i="31" s="1"/>
  <c r="BS1" i="31" s="1"/>
  <c r="A14" i="30"/>
  <c r="K17" i="39"/>
  <c r="A21" i="17"/>
  <c r="H19" i="39" s="1"/>
  <c r="D20" i="17"/>
  <c r="B20" i="17"/>
  <c r="I18" i="39" s="1"/>
  <c r="C20" i="17"/>
  <c r="J18" i="39" s="1"/>
  <c r="D14" i="30"/>
  <c r="E14" i="30"/>
  <c r="B15" i="30"/>
  <c r="A15" i="30" s="1"/>
  <c r="BS110" i="31" l="1"/>
  <c r="A23" i="36"/>
  <c r="B22" i="36"/>
  <c r="DN47" i="6"/>
  <c r="DM46" i="6"/>
  <c r="K18" i="39"/>
  <c r="F15" i="30"/>
  <c r="BT3" i="31" s="1"/>
  <c r="BT1" i="31" s="1"/>
  <c r="A22" i="17"/>
  <c r="H20" i="39" s="1"/>
  <c r="D21" i="17"/>
  <c r="K19" i="39" s="1"/>
  <c r="C21" i="17"/>
  <c r="J19" i="39" s="1"/>
  <c r="B21" i="17"/>
  <c r="I19" i="39" s="1"/>
  <c r="D15" i="30"/>
  <c r="E15" i="30"/>
  <c r="B16" i="30"/>
  <c r="A16" i="30" s="1"/>
  <c r="BT110" i="31" l="1"/>
  <c r="A24" i="36"/>
  <c r="B23" i="36"/>
  <c r="DN48" i="6"/>
  <c r="DM47" i="6"/>
  <c r="F16" i="30"/>
  <c r="BU3" i="31" s="1"/>
  <c r="BU1"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BU110" i="31" l="1"/>
  <c r="A25" i="36"/>
  <c r="B24" i="36"/>
  <c r="DN49" i="6"/>
  <c r="DM48" i="6"/>
  <c r="F17" i="30"/>
  <c r="BV3" i="31" s="1"/>
  <c r="BV1" i="31" s="1"/>
  <c r="A24" i="17"/>
  <c r="H22" i="39" s="1"/>
  <c r="D23" i="17"/>
  <c r="C23" i="17"/>
  <c r="J21" i="39" s="1"/>
  <c r="B23" i="17"/>
  <c r="I21" i="39" s="1"/>
  <c r="D17" i="30"/>
  <c r="E17" i="30"/>
  <c r="B18" i="30"/>
  <c r="A18" i="30" s="1"/>
  <c r="BV110" i="31" l="1"/>
  <c r="A26" i="36"/>
  <c r="B25" i="36"/>
  <c r="K21" i="39"/>
  <c r="DN50" i="6"/>
  <c r="DM49" i="6"/>
  <c r="F18" i="30"/>
  <c r="BW3" i="31" s="1"/>
  <c r="BW1" i="31" s="1"/>
  <c r="A25" i="17"/>
  <c r="H23" i="39" s="1"/>
  <c r="D24" i="17"/>
  <c r="C24" i="17"/>
  <c r="J22" i="39" s="1"/>
  <c r="B24" i="17"/>
  <c r="I22" i="39" s="1"/>
  <c r="D18" i="30"/>
  <c r="E18" i="30"/>
  <c r="B19" i="30"/>
  <c r="A19" i="30" s="1"/>
  <c r="BW110" i="31" l="1"/>
  <c r="A27" i="36"/>
  <c r="B26" i="36"/>
  <c r="K22" i="39"/>
  <c r="DN51" i="6"/>
  <c r="DM50" i="6"/>
  <c r="F19" i="30"/>
  <c r="BX3" i="31" s="1"/>
  <c r="BX1" i="31" s="1"/>
  <c r="A26" i="17"/>
  <c r="H24" i="39" s="1"/>
  <c r="D25" i="17"/>
  <c r="C25" i="17"/>
  <c r="J23" i="39" s="1"/>
  <c r="B25" i="17"/>
  <c r="I23" i="39" s="1"/>
  <c r="M16" i="20"/>
  <c r="D19" i="30"/>
  <c r="E19" i="30"/>
  <c r="B20" i="30"/>
  <c r="A20" i="30" s="1"/>
  <c r="BX110" i="31" l="1"/>
  <c r="A28" i="36"/>
  <c r="B27" i="36"/>
  <c r="K23" i="39"/>
  <c r="DN52" i="6"/>
  <c r="DM51" i="6"/>
  <c r="F20" i="30"/>
  <c r="BY3" i="31" s="1"/>
  <c r="BY1"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118" i="32" l="1"/>
  <c r="T15" i="20"/>
  <c r="BY110" i="31"/>
  <c r="A29" i="36"/>
  <c r="B28" i="36"/>
  <c r="H205" i="32"/>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DK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 i="31" s="1"/>
  <c r="J197" i="32"/>
  <c r="A28" i="17"/>
  <c r="H26" i="39" s="1"/>
  <c r="D27" i="17"/>
  <c r="C27" i="17"/>
  <c r="J25" i="39" s="1"/>
  <c r="B27" i="17"/>
  <c r="I25" i="39" s="1"/>
  <c r="H119" i="32"/>
  <c r="J153" i="32"/>
  <c r="J188" i="32"/>
  <c r="J127" i="32"/>
  <c r="J160" i="32"/>
  <c r="J143" i="32"/>
  <c r="U17" i="20"/>
  <c r="U15" i="20" s="1"/>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BZ110" i="31" l="1"/>
  <c r="A30" i="36"/>
  <c r="B29" i="36"/>
  <c r="CL196" i="3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DK142" i="31" s="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DK140" i="31" s="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DK206" i="31" s="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DK196" i="31" s="1"/>
  <c r="BY196" i="31"/>
  <c r="DJ197" i="31"/>
  <c r="DK197" i="31" s="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DK129" i="31" s="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DK120" i="31" s="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DK123" i="31" s="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DK130" i="31" s="1"/>
  <c r="CD130" i="31"/>
  <c r="CX130" i="31"/>
  <c r="DG130" i="31"/>
  <c r="BM130" i="31"/>
  <c r="CG204" i="31"/>
  <c r="BS204" i="31"/>
  <c r="CR204" i="31"/>
  <c r="DA204" i="31"/>
  <c r="DJ204" i="31"/>
  <c r="DK204" i="31" s="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K176" i="31" s="1"/>
  <c r="DA184" i="31"/>
  <c r="BM184" i="31"/>
  <c r="CW184" i="31"/>
  <c r="CN184" i="31"/>
  <c r="CB184" i="31"/>
  <c r="DJ184" i="31"/>
  <c r="DK184" i="31" s="1"/>
  <c r="DE193" i="31"/>
  <c r="CP193" i="31"/>
  <c r="CI193" i="31"/>
  <c r="CR193" i="31"/>
  <c r="DA193" i="31"/>
  <c r="DJ193" i="31"/>
  <c r="DK193" i="31" s="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DK138" i="31" s="1"/>
  <c r="CT138" i="31"/>
  <c r="DE143" i="31"/>
  <c r="CW143" i="31"/>
  <c r="CO143" i="31"/>
  <c r="CG143" i="31"/>
  <c r="BY143" i="31"/>
  <c r="BQ143" i="31"/>
  <c r="DJ143" i="31"/>
  <c r="DK143" i="31" s="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DK168" i="31" s="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K133" i="31" s="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K149" i="31" s="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K175" i="31" s="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DK159" i="31" s="1"/>
  <c r="CQ159" i="31"/>
  <c r="BT159" i="31"/>
  <c r="DH159" i="31"/>
  <c r="CL159" i="31"/>
  <c r="BS159" i="31"/>
  <c r="DG134" i="31"/>
  <c r="DD134" i="31"/>
  <c r="DJ134" i="31"/>
  <c r="DK134" i="31" s="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DK183" i="31" s="1"/>
  <c r="CD183" i="31"/>
  <c r="DI183" i="31"/>
  <c r="BM183" i="31"/>
  <c r="DE128" i="31"/>
  <c r="CW128" i="31"/>
  <c r="CO128" i="31"/>
  <c r="CG128" i="31"/>
  <c r="BY128" i="31"/>
  <c r="BQ128" i="31"/>
  <c r="DC128" i="31"/>
  <c r="CU128" i="31"/>
  <c r="CM128" i="31"/>
  <c r="CE128" i="31"/>
  <c r="BW128" i="31"/>
  <c r="BO128" i="31"/>
  <c r="DJ128" i="31"/>
  <c r="DK128" i="31" s="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K146" i="31" s="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K200" i="31" s="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DK164" i="31" s="1"/>
  <c r="CX164" i="31"/>
  <c r="CJ164" i="31"/>
  <c r="BY164" i="31"/>
  <c r="BK164" i="31"/>
  <c r="CY164" i="31"/>
  <c r="BT164" i="31"/>
  <c r="CW164" i="31"/>
  <c r="BL164" i="31"/>
  <c r="CT164" i="31"/>
  <c r="CL164" i="31"/>
  <c r="CI164" i="31"/>
  <c r="CH164" i="31"/>
  <c r="DH164" i="31"/>
  <c r="BZ164" i="31"/>
  <c r="DG164" i="31"/>
  <c r="BV164" i="31"/>
  <c r="DJ153" i="31"/>
  <c r="DK153" i="31" s="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DK172" i="31" s="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K161" i="31" s="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K116" i="31" s="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K179" i="31" s="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DK198" i="31" s="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K201" i="31" s="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K190" i="31" s="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K136" i="31" s="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K207" i="31" s="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DK147" i="31" s="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DK192" i="31" s="1"/>
  <c r="CM192" i="31"/>
  <c r="BT192" i="31"/>
  <c r="DH192" i="31"/>
  <c r="CL192" i="31"/>
  <c r="BO192" i="31"/>
  <c r="DB192" i="31"/>
  <c r="CE192" i="31"/>
  <c r="BL192" i="31"/>
  <c r="CD192" i="31"/>
  <c r="CZ192" i="31"/>
  <c r="BV192" i="31"/>
  <c r="CU192" i="31"/>
  <c r="BN192" i="31"/>
  <c r="CT192" i="31"/>
  <c r="CR192" i="31"/>
  <c r="DC192" i="31"/>
  <c r="CJ192" i="31"/>
  <c r="CB192" i="31"/>
  <c r="BW192" i="31"/>
  <c r="DJ166" i="31"/>
  <c r="DK166" i="31" s="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DK185" i="31" s="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DK205" i="31" s="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DK162" i="31" s="1"/>
  <c r="CF162" i="31"/>
  <c r="DF131" i="31"/>
  <c r="CX131" i="31"/>
  <c r="CP131" i="31"/>
  <c r="CH131" i="31"/>
  <c r="BZ131" i="31"/>
  <c r="BR131" i="31"/>
  <c r="DD131" i="31"/>
  <c r="CV131" i="31"/>
  <c r="CN131" i="31"/>
  <c r="CF131" i="31"/>
  <c r="BX131" i="31"/>
  <c r="BP131" i="31"/>
  <c r="DC131" i="31"/>
  <c r="CU131" i="31"/>
  <c r="CM131" i="31"/>
  <c r="CE131" i="31"/>
  <c r="BW131" i="31"/>
  <c r="BO131" i="31"/>
  <c r="DJ131" i="31"/>
  <c r="DK131" i="31" s="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DK186" i="31" s="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DK121" i="31" s="1"/>
  <c r="CY121" i="31"/>
  <c r="CC121" i="31"/>
  <c r="CT121" i="31"/>
  <c r="CA121" i="31"/>
  <c r="BU121" i="31"/>
  <c r="CS121" i="31"/>
  <c r="BV121" i="31"/>
  <c r="CQ121" i="31"/>
  <c r="DJ180" i="31"/>
  <c r="DK180" i="31" s="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K169" i="31" s="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K167" i="31" s="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K114" i="31" s="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K158" i="31" s="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K135" i="31" s="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DK157" i="31" s="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DK187" i="31" s="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DK165" i="31" s="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DK211" i="31" s="1"/>
  <c r="BV211" i="31"/>
  <c r="BN211" i="31"/>
  <c r="DD211" i="31"/>
  <c r="CS211" i="31"/>
  <c r="DF171" i="31"/>
  <c r="CX171" i="31"/>
  <c r="CP171" i="31"/>
  <c r="CH171" i="31"/>
  <c r="BZ171" i="31"/>
  <c r="BR171" i="31"/>
  <c r="DC171" i="31"/>
  <c r="CU171" i="31"/>
  <c r="CM171" i="31"/>
  <c r="CE171" i="31"/>
  <c r="BW171" i="31"/>
  <c r="DJ171" i="31"/>
  <c r="DK171" i="31" s="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K202" i="31" s="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DK124" i="31" s="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DK203" i="31" s="1"/>
  <c r="BM203" i="31"/>
  <c r="DI203" i="31"/>
  <c r="CN203" i="31"/>
  <c r="CF203" i="31"/>
  <c r="DB203" i="31"/>
  <c r="BP203" i="31"/>
  <c r="CL203" i="31"/>
  <c r="BU203" i="31"/>
  <c r="DJ150" i="31"/>
  <c r="DK150" i="31" s="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DK163" i="31" s="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DK151" i="31" s="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K210" i="31" s="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DK155" i="31" s="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DK139" i="31" s="1"/>
  <c r="CQ139" i="31"/>
  <c r="BT139" i="31"/>
  <c r="DH139" i="31"/>
  <c r="CL139" i="31"/>
  <c r="BS139" i="31"/>
  <c r="DG139" i="31"/>
  <c r="CJ139" i="31"/>
  <c r="BP139" i="31"/>
  <c r="DJ127" i="31"/>
  <c r="DK127" i="31" s="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K199" i="31" s="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K144" i="31" s="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DK170" i="31" s="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DK152" i="31" s="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DK178" i="31" s="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DK173" i="31" s="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K194" i="31" s="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DK188" i="31" s="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K177" i="31" s="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K191" i="31" s="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K156" i="31" s="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DK145" i="31" s="1"/>
  <c r="CN145" i="31"/>
  <c r="BU145" i="31"/>
  <c r="DI145" i="31"/>
  <c r="CL145" i="31"/>
  <c r="BP145" i="31"/>
  <c r="DJ208" i="31"/>
  <c r="DK208" i="31" s="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K118" i="31" s="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DK160" i="31" s="1"/>
  <c r="CM160" i="31"/>
  <c r="BQ160" i="31"/>
  <c r="DE160" i="31"/>
  <c r="CL160" i="31"/>
  <c r="BO160" i="31"/>
  <c r="DC160" i="31"/>
  <c r="CG160" i="31"/>
  <c r="BN160" i="31"/>
  <c r="DB160" i="31"/>
  <c r="CE160" i="31"/>
  <c r="CW160" i="31"/>
  <c r="CD160" i="31"/>
  <c r="DJ195" i="31"/>
  <c r="DK195" i="31" s="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K115" i="31" s="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K141" i="31" s="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K119" i="31" s="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K154" i="31" s="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K125" i="31" s="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DK148" i="31" s="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DK137" i="31" s="1"/>
  <c r="CV137" i="31"/>
  <c r="CK137" i="31"/>
  <c r="BX137" i="31"/>
  <c r="BN137" i="31"/>
  <c r="DI137" i="31"/>
  <c r="CU137" i="31"/>
  <c r="CH137" i="31"/>
  <c r="BW137" i="31"/>
  <c r="BM137" i="31"/>
  <c r="DF137" i="31"/>
  <c r="CT137" i="31"/>
  <c r="CF137" i="31"/>
  <c r="BV137" i="31"/>
  <c r="BK137" i="31"/>
  <c r="DE181" i="31"/>
  <c r="CW181" i="31"/>
  <c r="CO181" i="31"/>
  <c r="CG181" i="31"/>
  <c r="BY181" i="31"/>
  <c r="BQ181" i="31"/>
  <c r="DJ181" i="31"/>
  <c r="DK181" i="31" s="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K209" i="31" s="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K174" i="31" s="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K182" i="31" s="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K126" i="31" s="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K117" i="31" s="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K189" i="31" s="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DK122" i="31" s="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 i="31" s="1"/>
  <c r="A29" i="17"/>
  <c r="H27" i="39" s="1"/>
  <c r="D28" i="17"/>
  <c r="C28" i="17"/>
  <c r="J26" i="39" s="1"/>
  <c r="B28" i="17"/>
  <c r="I26" i="39" s="1"/>
  <c r="D22" i="30"/>
  <c r="E22" i="30"/>
  <c r="B23" i="30"/>
  <c r="A23" i="30" s="1"/>
  <c r="CA110" i="31" l="1"/>
  <c r="A31" i="36"/>
  <c r="B30" i="36"/>
  <c r="DL163" i="31"/>
  <c r="DL154" i="31"/>
  <c r="DL137" i="31"/>
  <c r="DL117" i="31"/>
  <c r="DL188" i="31"/>
  <c r="DL152" i="31"/>
  <c r="DL199" i="31"/>
  <c r="DL165" i="31"/>
  <c r="DL167" i="31"/>
  <c r="DL162" i="31"/>
  <c r="DL166" i="31"/>
  <c r="DL116" i="31"/>
  <c r="DL161" i="31"/>
  <c r="DL128" i="31"/>
  <c r="DL168" i="31"/>
  <c r="DL143" i="31"/>
  <c r="DL196" i="31"/>
  <c r="DL126" i="31"/>
  <c r="DL182" i="31"/>
  <c r="DL174" i="31"/>
  <c r="DL115" i="31"/>
  <c r="DL145" i="31"/>
  <c r="DL178" i="31"/>
  <c r="DL170" i="31"/>
  <c r="DL155" i="31"/>
  <c r="DL150" i="31"/>
  <c r="DL124" i="31"/>
  <c r="DL121" i="31"/>
  <c r="DL185" i="31"/>
  <c r="DL193" i="31"/>
  <c r="DL204" i="31"/>
  <c r="DL123" i="31"/>
  <c r="DL209" i="31"/>
  <c r="DL127" i="31"/>
  <c r="DL139" i="31"/>
  <c r="DL180" i="31"/>
  <c r="DL207" i="31"/>
  <c r="DL198" i="31"/>
  <c r="DL179" i="31"/>
  <c r="DL134" i="31"/>
  <c r="DL206" i="31"/>
  <c r="DL129" i="31"/>
  <c r="DL122" i="31"/>
  <c r="DL189" i="31"/>
  <c r="DL125" i="31"/>
  <c r="DL119" i="31"/>
  <c r="DL160" i="31"/>
  <c r="DL208" i="31"/>
  <c r="DL210" i="31"/>
  <c r="DL114" i="31"/>
  <c r="DL169" i="31"/>
  <c r="DL192" i="31"/>
  <c r="DL190" i="31"/>
  <c r="DL200" i="31"/>
  <c r="DL140" i="31"/>
  <c r="DL194" i="31"/>
  <c r="DL173" i="31"/>
  <c r="DL171" i="31"/>
  <c r="DL187" i="31"/>
  <c r="DL157" i="31"/>
  <c r="DL186" i="31"/>
  <c r="DL172" i="31"/>
  <c r="DL153" i="31"/>
  <c r="DL183" i="31"/>
  <c r="DL175" i="31"/>
  <c r="DL133" i="31"/>
  <c r="DL142" i="31"/>
  <c r="DL197" i="31"/>
  <c r="DL141" i="31"/>
  <c r="DL118" i="31"/>
  <c r="DL177" i="31"/>
  <c r="DL151" i="31"/>
  <c r="DL202" i="31"/>
  <c r="DL135" i="31"/>
  <c r="DL147" i="31"/>
  <c r="DL136" i="31"/>
  <c r="DL164" i="31"/>
  <c r="DL146" i="31"/>
  <c r="DL130" i="31"/>
  <c r="DL148" i="31"/>
  <c r="DL191" i="31"/>
  <c r="DL131" i="31"/>
  <c r="DL201" i="31"/>
  <c r="DL159" i="31"/>
  <c r="DL184" i="31"/>
  <c r="DL181" i="31"/>
  <c r="DL195" i="31"/>
  <c r="DL156" i="31"/>
  <c r="DL144" i="31"/>
  <c r="DL203" i="31"/>
  <c r="DL211" i="31"/>
  <c r="DL158" i="31"/>
  <c r="DL205" i="31"/>
  <c r="DL149" i="31"/>
  <c r="DL138" i="31"/>
  <c r="DL176" i="31"/>
  <c r="DL120" i="31"/>
  <c r="DL132" i="31"/>
  <c r="K26" i="39"/>
  <c r="DN55" i="6"/>
  <c r="DM54" i="6"/>
  <c r="F23" i="30"/>
  <c r="CB3" i="31" s="1"/>
  <c r="CB1" i="31" s="1"/>
  <c r="A30" i="17"/>
  <c r="H28" i="39" s="1"/>
  <c r="D29" i="17"/>
  <c r="B29" i="17"/>
  <c r="I27" i="39" s="1"/>
  <c r="C29" i="17"/>
  <c r="J27" i="39" s="1"/>
  <c r="D23" i="30"/>
  <c r="E23" i="30"/>
  <c r="B24" i="30"/>
  <c r="A24" i="30" s="1"/>
  <c r="CB110" i="31" l="1"/>
  <c r="A32" i="36"/>
  <c r="B31" i="36"/>
  <c r="DN56" i="6"/>
  <c r="EA5" i="6"/>
  <c r="EE4" i="6"/>
  <c r="K27" i="39"/>
  <c r="DM55" i="6"/>
  <c r="DM56" i="6" s="1"/>
  <c r="F24" i="30"/>
  <c r="CC3" i="31" s="1"/>
  <c r="CC1" i="31" s="1"/>
  <c r="A31" i="17"/>
  <c r="H29" i="39" s="1"/>
  <c r="D30" i="17"/>
  <c r="B30" i="17"/>
  <c r="I28" i="39" s="1"/>
  <c r="C30" i="17"/>
  <c r="J28" i="39" s="1"/>
  <c r="D24" i="30"/>
  <c r="E24" i="30"/>
  <c r="B25" i="30"/>
  <c r="A25" i="30" s="1"/>
  <c r="CC110" i="31" l="1"/>
  <c r="A33" i="36"/>
  <c r="B32" i="36"/>
  <c r="EE5" i="6"/>
  <c r="DR33" i="6" s="1"/>
  <c r="K28" i="39"/>
  <c r="F25" i="30"/>
  <c r="CD3" i="31" s="1"/>
  <c r="CD1" i="31" s="1"/>
  <c r="A32" i="17"/>
  <c r="H30" i="39" s="1"/>
  <c r="D31" i="17"/>
  <c r="K29" i="39" s="1"/>
  <c r="B31" i="17"/>
  <c r="I29" i="39" s="1"/>
  <c r="C31" i="17"/>
  <c r="J29" i="39" s="1"/>
  <c r="D25" i="30"/>
  <c r="E25" i="30"/>
  <c r="B26" i="30"/>
  <c r="A26" i="30" s="1"/>
  <c r="CD110" i="31" l="1"/>
  <c r="A34" i="36"/>
  <c r="B33" i="36"/>
  <c r="DR6" i="6"/>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 i="31" s="1"/>
  <c r="A33" i="17"/>
  <c r="H31" i="39" s="1"/>
  <c r="D32" i="17"/>
  <c r="B32" i="17"/>
  <c r="I30" i="39" s="1"/>
  <c r="C32" i="17"/>
  <c r="J30" i="39" s="1"/>
  <c r="D26" i="30"/>
  <c r="E26" i="30"/>
  <c r="B27" i="30"/>
  <c r="A27" i="30" s="1"/>
  <c r="CE110" i="31" l="1"/>
  <c r="A35" i="36"/>
  <c r="B34" i="36"/>
  <c r="K30" i="39"/>
  <c r="F27" i="30"/>
  <c r="CF3" i="31" s="1"/>
  <c r="CF1" i="31" s="1"/>
  <c r="A34" i="17"/>
  <c r="H32" i="39" s="1"/>
  <c r="D33" i="17"/>
  <c r="B33" i="17"/>
  <c r="I31" i="39" s="1"/>
  <c r="C33" i="17"/>
  <c r="J31" i="39" s="1"/>
  <c r="D27" i="30"/>
  <c r="E27" i="30"/>
  <c r="B28" i="30"/>
  <c r="A28" i="30" s="1"/>
  <c r="CF110" i="31" l="1"/>
  <c r="A36" i="36"/>
  <c r="B35" i="36"/>
  <c r="K31" i="39"/>
  <c r="F28" i="30"/>
  <c r="CG3" i="31" s="1"/>
  <c r="CG1" i="31" s="1"/>
  <c r="A35" i="17"/>
  <c r="H33" i="39" s="1"/>
  <c r="D34" i="17"/>
  <c r="K32" i="39" s="1"/>
  <c r="B34" i="17"/>
  <c r="I32" i="39" s="1"/>
  <c r="C34" i="17"/>
  <c r="J32" i="39" s="1"/>
  <c r="D28" i="30"/>
  <c r="E28" i="30"/>
  <c r="B29" i="30"/>
  <c r="A29" i="30" s="1"/>
  <c r="CG110" i="31" l="1"/>
  <c r="A37" i="36"/>
  <c r="B36" i="36"/>
  <c r="F29" i="30"/>
  <c r="CH3" i="31" s="1"/>
  <c r="CH1" i="31" s="1"/>
  <c r="A36" i="17"/>
  <c r="H34" i="39" s="1"/>
  <c r="D35" i="17"/>
  <c r="B35" i="17"/>
  <c r="I33" i="39" s="1"/>
  <c r="C35" i="17"/>
  <c r="J33" i="39" s="1"/>
  <c r="D29" i="30"/>
  <c r="E29" i="30"/>
  <c r="B30" i="30"/>
  <c r="A30" i="30" s="1"/>
  <c r="CH110" i="31" l="1"/>
  <c r="A38" i="36"/>
  <c r="B37" i="36"/>
  <c r="K33" i="39"/>
  <c r="F30" i="30"/>
  <c r="CI3" i="31" s="1"/>
  <c r="CI1" i="31" s="1"/>
  <c r="A37" i="17"/>
  <c r="H35" i="39" s="1"/>
  <c r="D36" i="17"/>
  <c r="K34" i="39" s="1"/>
  <c r="B36" i="17"/>
  <c r="I34" i="39" s="1"/>
  <c r="C36" i="17"/>
  <c r="J34" i="39" s="1"/>
  <c r="D30" i="30"/>
  <c r="E30" i="30"/>
  <c r="B31" i="30"/>
  <c r="A31" i="30" s="1"/>
  <c r="CI110" i="31" l="1"/>
  <c r="A39" i="36"/>
  <c r="B38" i="36"/>
  <c r="F31" i="30"/>
  <c r="CJ3" i="31" s="1"/>
  <c r="CJ1" i="31" s="1"/>
  <c r="A38" i="17"/>
  <c r="H36" i="39" s="1"/>
  <c r="D37" i="17"/>
  <c r="K35" i="39" s="1"/>
  <c r="B37" i="17"/>
  <c r="I35" i="39" s="1"/>
  <c r="C37" i="17"/>
  <c r="J35" i="39" s="1"/>
  <c r="D31" i="30"/>
  <c r="E31" i="30"/>
  <c r="B32" i="30"/>
  <c r="A32" i="30" s="1"/>
  <c r="CJ110" i="31" l="1"/>
  <c r="A40" i="36"/>
  <c r="B39" i="36"/>
  <c r="F32" i="30"/>
  <c r="CK3" i="31" s="1"/>
  <c r="CK1" i="31" s="1"/>
  <c r="A39" i="17"/>
  <c r="H37" i="39" s="1"/>
  <c r="D38" i="17"/>
  <c r="K36" i="39" s="1"/>
  <c r="C38" i="17"/>
  <c r="J36" i="39" s="1"/>
  <c r="B38" i="17"/>
  <c r="I36" i="39" s="1"/>
  <c r="D32" i="30"/>
  <c r="E32" i="30"/>
  <c r="B33" i="30"/>
  <c r="A33" i="30" s="1"/>
  <c r="CK110" i="31" l="1"/>
  <c r="A41" i="36"/>
  <c r="B40" i="36"/>
  <c r="F33" i="30"/>
  <c r="CL3" i="31" s="1"/>
  <c r="CL1" i="31" s="1"/>
  <c r="A40" i="17"/>
  <c r="H38" i="39" s="1"/>
  <c r="D39" i="17"/>
  <c r="K37" i="39" s="1"/>
  <c r="C39" i="17"/>
  <c r="J37" i="39" s="1"/>
  <c r="B39" i="17"/>
  <c r="I37" i="39" s="1"/>
  <c r="D33" i="30"/>
  <c r="E33" i="30"/>
  <c r="B34" i="30"/>
  <c r="A34" i="30" s="1"/>
  <c r="CL110" i="31" l="1"/>
  <c r="A42" i="36"/>
  <c r="B41" i="36"/>
  <c r="F34" i="30"/>
  <c r="CM3" i="31" s="1"/>
  <c r="CM1" i="31" s="1"/>
  <c r="A41" i="17"/>
  <c r="H39" i="39" s="1"/>
  <c r="D40" i="17"/>
  <c r="K38" i="39" s="1"/>
  <c r="C40" i="17"/>
  <c r="J38" i="39" s="1"/>
  <c r="B40" i="17"/>
  <c r="I38" i="39" s="1"/>
  <c r="D34" i="30"/>
  <c r="E34" i="30"/>
  <c r="B35" i="30"/>
  <c r="A35" i="30" s="1"/>
  <c r="CM110" i="31" l="1"/>
  <c r="A43" i="36"/>
  <c r="B42" i="36"/>
  <c r="F35" i="30"/>
  <c r="CN3" i="31" s="1"/>
  <c r="CN1" i="31" s="1"/>
  <c r="A42" i="17"/>
  <c r="H40" i="39" s="1"/>
  <c r="D41" i="17"/>
  <c r="K39" i="39" s="1"/>
  <c r="B41" i="17"/>
  <c r="I39" i="39" s="1"/>
  <c r="C41" i="17"/>
  <c r="J39" i="39" s="1"/>
  <c r="D35" i="30"/>
  <c r="E35" i="30"/>
  <c r="B36" i="30"/>
  <c r="A36" i="30" s="1"/>
  <c r="CN110" i="31" l="1"/>
  <c r="A44" i="36"/>
  <c r="B43" i="36"/>
  <c r="F36" i="30"/>
  <c r="CO3" i="31" s="1"/>
  <c r="CO1" i="31" s="1"/>
  <c r="A43" i="17"/>
  <c r="H41" i="39" s="1"/>
  <c r="D42" i="17"/>
  <c r="K40" i="39" s="1"/>
  <c r="C42" i="17"/>
  <c r="J40" i="39" s="1"/>
  <c r="B42" i="17"/>
  <c r="I40" i="39" s="1"/>
  <c r="D36" i="30"/>
  <c r="E36" i="30"/>
  <c r="B37" i="30"/>
  <c r="A37" i="30" s="1"/>
  <c r="CO110" i="31" l="1"/>
  <c r="A45" i="36"/>
  <c r="B44" i="36"/>
  <c r="F37" i="30"/>
  <c r="CP3" i="31" s="1"/>
  <c r="CP1" i="31" s="1"/>
  <c r="A44" i="17"/>
  <c r="H42" i="39" s="1"/>
  <c r="D43" i="17"/>
  <c r="K41" i="39" s="1"/>
  <c r="C43" i="17"/>
  <c r="J41" i="39" s="1"/>
  <c r="B43" i="17"/>
  <c r="I41" i="39" s="1"/>
  <c r="D37" i="30"/>
  <c r="E37" i="30"/>
  <c r="B38" i="30"/>
  <c r="A38" i="30" s="1"/>
  <c r="CP110" i="31" l="1"/>
  <c r="A46" i="36"/>
  <c r="B45" i="36"/>
  <c r="F38" i="30"/>
  <c r="CQ3" i="31" s="1"/>
  <c r="CQ1" i="31" s="1"/>
  <c r="A45" i="17"/>
  <c r="H43" i="39" s="1"/>
  <c r="D44" i="17"/>
  <c r="K42" i="39" s="1"/>
  <c r="C44" i="17"/>
  <c r="J42" i="39" s="1"/>
  <c r="B44" i="17"/>
  <c r="I42" i="39" s="1"/>
  <c r="D38" i="30"/>
  <c r="E38" i="30"/>
  <c r="B39" i="30"/>
  <c r="A39" i="30" s="1"/>
  <c r="CQ110" i="31" l="1"/>
  <c r="A47" i="36"/>
  <c r="B46" i="36"/>
  <c r="F39" i="30"/>
  <c r="CR3" i="31" s="1"/>
  <c r="CR1" i="31" s="1"/>
  <c r="A46" i="17"/>
  <c r="H44" i="39" s="1"/>
  <c r="D45" i="17"/>
  <c r="K43" i="39" s="1"/>
  <c r="B45" i="17"/>
  <c r="I43" i="39" s="1"/>
  <c r="C45" i="17"/>
  <c r="J43" i="39" s="1"/>
  <c r="D39" i="30"/>
  <c r="E39" i="30"/>
  <c r="B40" i="30"/>
  <c r="A40" i="30" s="1"/>
  <c r="CR110" i="31" l="1"/>
  <c r="A48" i="36"/>
  <c r="B47" i="36"/>
  <c r="F40" i="30"/>
  <c r="CS3" i="31" s="1"/>
  <c r="CS1" i="31" s="1"/>
  <c r="A47" i="17"/>
  <c r="H45" i="39" s="1"/>
  <c r="D46" i="17"/>
  <c r="K44" i="39" s="1"/>
  <c r="B46" i="17"/>
  <c r="I44" i="39" s="1"/>
  <c r="C46" i="17"/>
  <c r="J44" i="39" s="1"/>
  <c r="D40" i="30"/>
  <c r="E40" i="30"/>
  <c r="B41" i="30"/>
  <c r="A41" i="30" s="1"/>
  <c r="CS110" i="31" l="1"/>
  <c r="A49" i="36"/>
  <c r="B48" i="36"/>
  <c r="F41" i="30"/>
  <c r="CT3" i="31" s="1"/>
  <c r="CT1" i="31" s="1"/>
  <c r="A48" i="17"/>
  <c r="H46" i="39" s="1"/>
  <c r="D47" i="17"/>
  <c r="K45" i="39" s="1"/>
  <c r="C47" i="17"/>
  <c r="J45" i="39" s="1"/>
  <c r="B47" i="17"/>
  <c r="I45" i="39" s="1"/>
  <c r="D41" i="30"/>
  <c r="E41" i="30"/>
  <c r="B42" i="30"/>
  <c r="A42" i="30" s="1"/>
  <c r="CT110" i="31" l="1"/>
  <c r="A50" i="36"/>
  <c r="B49" i="36"/>
  <c r="F42" i="30"/>
  <c r="CU3" i="31" s="1"/>
  <c r="CU1" i="31" s="1"/>
  <c r="A49" i="17"/>
  <c r="D48" i="17"/>
  <c r="K46" i="39" s="1"/>
  <c r="B48" i="17"/>
  <c r="I46" i="39" s="1"/>
  <c r="C48" i="17"/>
  <c r="J46" i="39" s="1"/>
  <c r="D42" i="30"/>
  <c r="E42" i="30"/>
  <c r="B43" i="30"/>
  <c r="A43" i="30" s="1"/>
  <c r="CU110" i="31" l="1"/>
  <c r="A51" i="36"/>
  <c r="B50" i="36"/>
  <c r="F43" i="30"/>
  <c r="CV3" i="31" s="1"/>
  <c r="CV1" i="31" s="1"/>
  <c r="D49" i="17"/>
  <c r="K47" i="39" s="1"/>
  <c r="H47" i="39"/>
  <c r="A50" i="17"/>
  <c r="H48" i="39" s="1"/>
  <c r="B49" i="17"/>
  <c r="I47" i="39" s="1"/>
  <c r="C49" i="17"/>
  <c r="J47" i="39" s="1"/>
  <c r="D43" i="30"/>
  <c r="E43" i="30"/>
  <c r="B44" i="30"/>
  <c r="A44" i="30" s="1"/>
  <c r="CV110" i="31" l="1"/>
  <c r="A52" i="36"/>
  <c r="B51" i="36"/>
  <c r="F44" i="30"/>
  <c r="CW3" i="31" s="1"/>
  <c r="CW1" i="31" s="1"/>
  <c r="A51" i="17"/>
  <c r="H49" i="39" s="1"/>
  <c r="D50" i="17"/>
  <c r="K48" i="39" s="1"/>
  <c r="B50" i="17"/>
  <c r="I48" i="39" s="1"/>
  <c r="C50" i="17"/>
  <c r="J48" i="39" s="1"/>
  <c r="D44" i="30"/>
  <c r="E44" i="30"/>
  <c r="B45" i="30"/>
  <c r="A45" i="30" s="1"/>
  <c r="CW110" i="31" l="1"/>
  <c r="A53" i="36"/>
  <c r="B52" i="36"/>
  <c r="F45" i="30"/>
  <c r="CX3" i="31" s="1"/>
  <c r="CX1" i="31" s="1"/>
  <c r="A52" i="17"/>
  <c r="H50" i="39" s="1"/>
  <c r="D51" i="17"/>
  <c r="K49" i="39" s="1"/>
  <c r="B51" i="17"/>
  <c r="I49" i="39" s="1"/>
  <c r="C51" i="17"/>
  <c r="J49" i="39" s="1"/>
  <c r="D45" i="30"/>
  <c r="E45" i="30"/>
  <c r="B46" i="30"/>
  <c r="A46" i="30" s="1"/>
  <c r="CX110" i="31" l="1"/>
  <c r="A54" i="36"/>
  <c r="B53" i="36"/>
  <c r="F46" i="30"/>
  <c r="CY3" i="31" s="1"/>
  <c r="CY1" i="31" s="1"/>
  <c r="A53" i="17"/>
  <c r="H51" i="39" s="1"/>
  <c r="D52" i="17"/>
  <c r="K50" i="39" s="1"/>
  <c r="B52" i="17"/>
  <c r="I50" i="39" s="1"/>
  <c r="C52" i="17"/>
  <c r="J50" i="39" s="1"/>
  <c r="D46" i="30"/>
  <c r="E46" i="30"/>
  <c r="B47" i="30"/>
  <c r="A47" i="30" s="1"/>
  <c r="CY110" i="31" l="1"/>
  <c r="A55" i="36"/>
  <c r="B55" i="36" s="1"/>
  <c r="B54" i="36"/>
  <c r="F47" i="30"/>
  <c r="CZ3" i="31" s="1"/>
  <c r="CZ1" i="31" s="1"/>
  <c r="A54" i="17"/>
  <c r="H52" i="39" s="1"/>
  <c r="D53" i="17"/>
  <c r="K51" i="39" s="1"/>
  <c r="B53" i="17"/>
  <c r="I51" i="39" s="1"/>
  <c r="C53" i="17"/>
  <c r="J51" i="39" s="1"/>
  <c r="D47" i="30"/>
  <c r="E47" i="30"/>
  <c r="B48" i="30"/>
  <c r="A48" i="30" s="1"/>
  <c r="CZ110" i="31" l="1"/>
  <c r="F48" i="30"/>
  <c r="DA3" i="31" s="1"/>
  <c r="DA1" i="31" s="1"/>
  <c r="A55" i="17"/>
  <c r="H53" i="39" s="1"/>
  <c r="D54" i="17"/>
  <c r="K52" i="39" s="1"/>
  <c r="C54" i="17"/>
  <c r="J52" i="39" s="1"/>
  <c r="B54" i="17"/>
  <c r="I52" i="39" s="1"/>
  <c r="D48" i="30"/>
  <c r="E48" i="30"/>
  <c r="B49" i="30"/>
  <c r="A49" i="30" s="1"/>
  <c r="DA110" i="31" l="1"/>
  <c r="F49" i="30"/>
  <c r="DB3" i="31" s="1"/>
  <c r="DB1" i="31" s="1"/>
  <c r="A56" i="17"/>
  <c r="H54" i="39" s="1"/>
  <c r="D55" i="17"/>
  <c r="K53" i="39" s="1"/>
  <c r="C55" i="17"/>
  <c r="J53" i="39" s="1"/>
  <c r="B55" i="17"/>
  <c r="I53" i="39" s="1"/>
  <c r="D49" i="30"/>
  <c r="E49" i="30"/>
  <c r="B50" i="30"/>
  <c r="A50" i="30" s="1"/>
  <c r="DB110" i="31" l="1"/>
  <c r="F50" i="30"/>
  <c r="DC3" i="31" s="1"/>
  <c r="DC1" i="31" s="1"/>
  <c r="A57" i="17"/>
  <c r="H55" i="39" s="1"/>
  <c r="D56" i="17"/>
  <c r="K54" i="39" s="1"/>
  <c r="C56" i="17"/>
  <c r="J54" i="39" s="1"/>
  <c r="B56" i="17"/>
  <c r="I54" i="39" s="1"/>
  <c r="D50" i="30"/>
  <c r="E50" i="30"/>
  <c r="B51" i="30"/>
  <c r="A51" i="30" s="1"/>
  <c r="DC110" i="31" l="1"/>
  <c r="F51" i="30"/>
  <c r="DD3" i="31" s="1"/>
  <c r="DD1" i="31" s="1"/>
  <c r="A58" i="17"/>
  <c r="H56" i="39" s="1"/>
  <c r="D57" i="17"/>
  <c r="K55" i="39" s="1"/>
  <c r="B57" i="17"/>
  <c r="I55" i="39" s="1"/>
  <c r="C57" i="17"/>
  <c r="J55" i="39" s="1"/>
  <c r="D51" i="30"/>
  <c r="E51" i="30"/>
  <c r="B52" i="30"/>
  <c r="A52" i="30" s="1"/>
  <c r="DD110" i="31" l="1"/>
  <c r="F52" i="30"/>
  <c r="DE3" i="31" s="1"/>
  <c r="DE1" i="31" s="1"/>
  <c r="A59" i="17"/>
  <c r="H57" i="39" s="1"/>
  <c r="D58" i="17"/>
  <c r="K56" i="39" s="1"/>
  <c r="C58" i="17"/>
  <c r="J56" i="39" s="1"/>
  <c r="B58" i="17"/>
  <c r="I56" i="39" s="1"/>
  <c r="D52" i="30"/>
  <c r="E52" i="30"/>
  <c r="B53" i="30"/>
  <c r="A53" i="30" s="1"/>
  <c r="DE110" i="31" l="1"/>
  <c r="F53" i="30"/>
  <c r="DF3" i="31" s="1"/>
  <c r="DF1" i="31" s="1"/>
  <c r="A60" i="17"/>
  <c r="H58" i="39" s="1"/>
  <c r="D59" i="17"/>
  <c r="K57" i="39" s="1"/>
  <c r="B59" i="17"/>
  <c r="I57" i="39" s="1"/>
  <c r="C59" i="17"/>
  <c r="J57" i="39" s="1"/>
  <c r="D53" i="30"/>
  <c r="E53" i="30"/>
  <c r="B54" i="30"/>
  <c r="A54" i="30" s="1"/>
  <c r="DF110" i="31" l="1"/>
  <c r="F54" i="30"/>
  <c r="DG3" i="31" s="1"/>
  <c r="DG1" i="31" s="1"/>
  <c r="A61" i="17"/>
  <c r="H59" i="39" s="1"/>
  <c r="D60" i="17"/>
  <c r="K58" i="39" s="1"/>
  <c r="C60" i="17"/>
  <c r="J58" i="39" s="1"/>
  <c r="B60" i="17"/>
  <c r="I58" i="39" s="1"/>
  <c r="D54" i="30"/>
  <c r="E54" i="30"/>
  <c r="B55" i="30"/>
  <c r="A55" i="30" s="1"/>
  <c r="DG110" i="31" l="1"/>
  <c r="F55" i="30"/>
  <c r="DH3" i="31" s="1"/>
  <c r="DH1" i="31" s="1"/>
  <c r="A62" i="17"/>
  <c r="H60" i="39" s="1"/>
  <c r="D61" i="17"/>
  <c r="K59" i="39" s="1"/>
  <c r="B61" i="17"/>
  <c r="I59" i="39" s="1"/>
  <c r="C61" i="17"/>
  <c r="J59" i="39" s="1"/>
  <c r="D55" i="30"/>
  <c r="E55" i="30"/>
  <c r="B56" i="30"/>
  <c r="A56" i="30" s="1"/>
  <c r="DH110" i="31" l="1"/>
  <c r="F56" i="30"/>
  <c r="DI3" i="31" s="1"/>
  <c r="DI1" i="31" s="1"/>
  <c r="A63" i="17"/>
  <c r="H61" i="39" s="1"/>
  <c r="D62" i="17"/>
  <c r="K60" i="39" s="1"/>
  <c r="B62" i="17"/>
  <c r="I60" i="39" s="1"/>
  <c r="C62" i="17"/>
  <c r="J60" i="39" s="1"/>
  <c r="E56" i="30"/>
  <c r="D56" i="30"/>
  <c r="B57" i="30"/>
  <c r="B58" i="30" s="1"/>
  <c r="F58" i="30" s="1"/>
  <c r="A58" i="30" l="1"/>
  <c r="E58" i="30"/>
  <c r="DI110" i="31"/>
  <c r="F57" i="30"/>
  <c r="DJ3" i="31" s="1"/>
  <c r="DJ1"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DJ110" i="31" l="1"/>
  <c r="DK110" i="31" s="1"/>
  <c r="DK3" i="31"/>
  <c r="DK1" i="31" s="1"/>
  <c r="M6" i="30"/>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H5" i="31" s="1" a="1"/>
  <c r="H5" i="31" s="1"/>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I113" i="31" l="1"/>
  <c r="V7" i="3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C66" i="17"/>
  <c r="J64" i="39" s="1"/>
  <c r="D67" i="17" l="1"/>
  <c r="E127" i="24"/>
  <c r="E124" i="24"/>
  <c r="E126" i="24"/>
  <c r="E125" i="24"/>
  <c r="E25" i="24"/>
  <c r="BH113" i="31" s="1"/>
  <c r="E24" i="24"/>
  <c r="BH112" i="31" s="1"/>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K112" i="31" s="1"/>
  <c r="DB112" i="31"/>
  <c r="CT112" i="31"/>
  <c r="CL112" i="31"/>
  <c r="CD112" i="31"/>
  <c r="BV112" i="31"/>
  <c r="BN112" i="31"/>
  <c r="CS112" i="31"/>
  <c r="CZ112" i="31"/>
  <c r="BM112" i="31"/>
  <c r="BL112" i="31"/>
  <c r="F25" i="24"/>
  <c r="DJ113" i="31"/>
  <c r="DK113" i="31" s="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DK214" i="31" l="1"/>
  <c r="CK214" i="3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L113" i="31"/>
  <c r="BL214" i="31"/>
  <c r="DL112" i="31"/>
  <c r="AB2" i="15"/>
  <c r="C2" i="15"/>
  <c r="DL214" i="31" l="1"/>
  <c r="A14" i="14"/>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DK111" i="31" s="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J66" i="17" l="1"/>
  <c r="J65" i="17"/>
  <c r="J60" i="17"/>
  <c r="J63" i="17"/>
  <c r="J64" i="17"/>
  <c r="J38" i="17"/>
  <c r="J51" i="17"/>
  <c r="J54" i="17"/>
  <c r="J26" i="17"/>
  <c r="J30" i="17"/>
  <c r="J58" i="17"/>
  <c r="J28" i="17"/>
  <c r="J37" i="17"/>
  <c r="J42" i="17"/>
  <c r="J18" i="17"/>
  <c r="J52" i="17"/>
  <c r="J55" i="17"/>
  <c r="J20" i="17"/>
  <c r="Q20" i="17" s="1"/>
  <c r="J57" i="17"/>
  <c r="J49" i="17"/>
  <c r="J33" i="17"/>
  <c r="Q33" i="17" s="1"/>
  <c r="J35" i="17"/>
  <c r="J44" i="17"/>
  <c r="J41" i="17"/>
  <c r="J39" i="17"/>
  <c r="J27" i="17"/>
  <c r="J31" i="17"/>
  <c r="J23" i="17"/>
  <c r="J59" i="17"/>
  <c r="J53" i="17"/>
  <c r="J21" i="17"/>
  <c r="J50" i="17"/>
  <c r="J24" i="17"/>
  <c r="J34" i="17"/>
  <c r="Q34" i="17" s="1"/>
  <c r="J47" i="17"/>
  <c r="J43" i="17"/>
  <c r="J32" i="17"/>
  <c r="J45" i="17"/>
  <c r="J29" i="17"/>
  <c r="J46" i="17"/>
  <c r="J22" i="17"/>
  <c r="J19" i="17"/>
  <c r="J36" i="17"/>
  <c r="J40" i="17"/>
  <c r="J17" i="17"/>
  <c r="J48" i="17"/>
  <c r="J25" i="17"/>
  <c r="J15" i="17"/>
  <c r="Q30" i="17"/>
  <c r="A173" i="12"/>
  <c r="B170" i="3"/>
  <c r="AP161" i="6" s="1"/>
  <c r="AQ161" i="6"/>
  <c r="BL111" i="31"/>
  <c r="J61" i="17" s="1"/>
  <c r="J67" i="17" l="1"/>
  <c r="J62" i="17"/>
  <c r="J56" i="17"/>
  <c r="J16" i="17"/>
  <c r="Q16" i="17" s="1"/>
  <c r="DL111" i="31"/>
  <c r="L28" i="17"/>
  <c r="L36" i="17"/>
  <c r="Q35" i="17"/>
  <c r="I217" i="32"/>
  <c r="B171" i="3"/>
  <c r="AP162" i="6" s="1"/>
  <c r="A174" i="12"/>
  <c r="AQ162" i="6"/>
  <c r="L17"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28" i="17" l="1"/>
  <c r="Q36" i="17"/>
  <c r="L35" i="17"/>
  <c r="I216" i="32"/>
  <c r="A175" i="12"/>
  <c r="B172" i="3"/>
  <c r="AP163" i="6" s="1"/>
  <c r="AQ163" i="6"/>
  <c r="Q39" i="17"/>
  <c r="L16" i="17"/>
  <c r="Q17" i="17"/>
  <c r="L38" i="17"/>
  <c r="Q38" i="17"/>
  <c r="L15" i="17"/>
  <c r="Q15" i="17"/>
  <c r="I215" i="32" l="1"/>
  <c r="B173" i="3"/>
  <c r="AP164" i="6" s="1"/>
  <c r="A176" i="12"/>
  <c r="AQ164" i="6"/>
  <c r="Q40" i="17"/>
  <c r="L39" i="17"/>
  <c r="I214" i="32" l="1"/>
  <c r="B174" i="3"/>
  <c r="AP165" i="6" s="1"/>
  <c r="A177" i="12"/>
  <c r="AQ165" i="6"/>
  <c r="Q41" i="17"/>
  <c r="L40" i="17"/>
  <c r="I213" i="32" l="1"/>
  <c r="B175" i="3"/>
  <c r="AP166" i="6" s="1"/>
  <c r="A178" i="12"/>
  <c r="AQ166" i="6"/>
  <c r="Q42" i="17"/>
  <c r="L41" i="17"/>
  <c r="I212" i="32" l="1"/>
  <c r="A179" i="12"/>
  <c r="B176" i="3"/>
  <c r="AP167" i="6" s="1"/>
  <c r="AQ167" i="6"/>
  <c r="Q43" i="17"/>
  <c r="L42" i="17"/>
  <c r="I211" i="32" l="1"/>
  <c r="B177" i="3"/>
  <c r="AP168" i="6" s="1"/>
  <c r="A180" i="12"/>
  <c r="AQ168" i="6"/>
  <c r="Q44" i="17"/>
  <c r="L43" i="17"/>
  <c r="I210" i="32" l="1"/>
  <c r="A181" i="12"/>
  <c r="B178" i="3"/>
  <c r="AP169" i="6" s="1"/>
  <c r="AQ169" i="6"/>
  <c r="Q45" i="17"/>
  <c r="L44" i="17"/>
  <c r="I209" i="32" l="1"/>
  <c r="B179" i="3"/>
  <c r="AP170" i="6" s="1"/>
  <c r="A182" i="12"/>
  <c r="AQ170" i="6"/>
  <c r="Q46" i="17"/>
  <c r="L45" i="17"/>
  <c r="I208" i="32" l="1"/>
  <c r="A183" i="12"/>
  <c r="B180" i="3"/>
  <c r="AP171" i="6" s="1"/>
  <c r="AQ171" i="6"/>
  <c r="Q47" i="17"/>
  <c r="L46" i="17"/>
  <c r="I207" i="32" l="1"/>
  <c r="A184" i="12"/>
  <c r="B181" i="3"/>
  <c r="AP172" i="6" s="1"/>
  <c r="AQ172" i="6"/>
  <c r="Q48" i="17"/>
  <c r="L47" i="17"/>
  <c r="I206" i="32" l="1"/>
  <c r="B182" i="3"/>
  <c r="AP173" i="6" s="1"/>
  <c r="A185" i="12"/>
  <c r="AQ173" i="6"/>
  <c r="Q49" i="17"/>
  <c r="L48" i="17"/>
  <c r="I205" i="32" l="1"/>
  <c r="B183" i="3"/>
  <c r="AP174" i="6" s="1"/>
  <c r="A186" i="12"/>
  <c r="AQ174" i="6"/>
  <c r="Q50" i="17"/>
  <c r="L49" i="17"/>
  <c r="I204" i="32" l="1"/>
  <c r="A187" i="12"/>
  <c r="B184" i="3"/>
  <c r="AP175" i="6" s="1"/>
  <c r="AQ175" i="6"/>
  <c r="Q51" i="17"/>
  <c r="L50" i="17"/>
  <c r="I203" i="32" l="1"/>
  <c r="A188" i="12"/>
  <c r="B185" i="3"/>
  <c r="AP176" i="6" s="1"/>
  <c r="AQ176" i="6"/>
  <c r="Q52" i="17"/>
  <c r="L51" i="17"/>
  <c r="I202" i="32" l="1"/>
  <c r="B186" i="3"/>
  <c r="AP177" i="6" s="1"/>
  <c r="A189" i="12"/>
  <c r="AQ177" i="6"/>
  <c r="Q53" i="17"/>
  <c r="L52" i="17"/>
  <c r="I201" i="32" l="1"/>
  <c r="B187" i="3"/>
  <c r="AP178" i="6" s="1"/>
  <c r="A190" i="12"/>
  <c r="AQ178" i="6"/>
  <c r="Q54" i="17"/>
  <c r="L53" i="17"/>
  <c r="I200" i="32" l="1"/>
  <c r="A191" i="12"/>
  <c r="B188" i="3"/>
  <c r="AP179" i="6" s="1"/>
  <c r="AQ179" i="6"/>
  <c r="Q55" i="17"/>
  <c r="L54" i="17"/>
  <c r="I199" i="32" l="1"/>
  <c r="B189" i="3"/>
  <c r="AP180" i="6" s="1"/>
  <c r="A192" i="12"/>
  <c r="AQ180" i="6"/>
  <c r="Q56" i="17"/>
  <c r="L55" i="17"/>
  <c r="I198" i="32" l="1"/>
  <c r="A193" i="12"/>
  <c r="B190" i="3"/>
  <c r="AP181" i="6" s="1"/>
  <c r="AQ181" i="6"/>
  <c r="Q57" i="17"/>
  <c r="L56" i="17"/>
  <c r="I197" i="32" l="1"/>
  <c r="B191" i="3"/>
  <c r="AP182" i="6" s="1"/>
  <c r="A194" i="12"/>
  <c r="AQ182" i="6"/>
  <c r="Q58" i="17"/>
  <c r="L57" i="17"/>
  <c r="I196" i="32" l="1"/>
  <c r="B192" i="3"/>
  <c r="AP183" i="6" s="1"/>
  <c r="A195" i="12"/>
  <c r="AQ183" i="6"/>
  <c r="Q59" i="17"/>
  <c r="L58" i="17"/>
  <c r="I195" i="32" l="1"/>
  <c r="A196" i="12"/>
  <c r="B193" i="3"/>
  <c r="AP184" i="6" s="1"/>
  <c r="AQ184" i="6"/>
  <c r="Q60" i="17"/>
  <c r="L59" i="17"/>
  <c r="I194" i="32" l="1"/>
  <c r="A197" i="12"/>
  <c r="B194" i="3"/>
  <c r="AP185" i="6" s="1"/>
  <c r="AQ185" i="6"/>
  <c r="Q61" i="17"/>
  <c r="L60" i="17"/>
  <c r="I193" i="32" l="1"/>
  <c r="A198" i="12"/>
  <c r="B195" i="3"/>
  <c r="AP186" i="6" s="1"/>
  <c r="AQ186" i="6"/>
  <c r="Q62" i="17"/>
  <c r="L61" i="17"/>
  <c r="I192" i="32" l="1"/>
  <c r="A199" i="12"/>
  <c r="B196" i="3"/>
  <c r="AP187" i="6" s="1"/>
  <c r="AQ187" i="6"/>
  <c r="Q63" i="17"/>
  <c r="L62" i="17"/>
  <c r="I191" i="32" l="1"/>
  <c r="B197" i="3"/>
  <c r="AP188" i="6" s="1"/>
  <c r="A200" i="12"/>
  <c r="AQ188" i="6"/>
  <c r="Q64" i="17"/>
  <c r="L63" i="17"/>
  <c r="I190" i="32" l="1"/>
  <c r="A201" i="12"/>
  <c r="B198" i="3"/>
  <c r="AP189" i="6" s="1"/>
  <c r="AQ189" i="6"/>
  <c r="Q65" i="17"/>
  <c r="L64" i="17"/>
  <c r="I189" i="32" l="1"/>
  <c r="A202" i="12"/>
  <c r="B199" i="3"/>
  <c r="AP190" i="6" s="1"/>
  <c r="AQ190" i="6"/>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M17" i="31" s="1"/>
  <c r="H33" i="20"/>
  <c r="DM21" i="31" s="1"/>
  <c r="H37" i="20"/>
  <c r="DM25" i="31" s="1"/>
  <c r="H41" i="20"/>
  <c r="H47" i="20"/>
  <c r="DM35" i="31" s="1"/>
  <c r="H50" i="20"/>
  <c r="H53" i="20"/>
  <c r="H56" i="20"/>
  <c r="H59" i="20"/>
  <c r="H62" i="20"/>
  <c r="H68" i="20"/>
  <c r="H73" i="20"/>
  <c r="DM61" i="31" s="1"/>
  <c r="H79" i="20"/>
  <c r="DM67" i="31" s="1"/>
  <c r="H82" i="20"/>
  <c r="H85" i="20"/>
  <c r="H88" i="20"/>
  <c r="H91" i="20"/>
  <c r="H94" i="20"/>
  <c r="H100" i="20"/>
  <c r="H105" i="20"/>
  <c r="DM93" i="31" s="1"/>
  <c r="H111" i="20"/>
  <c r="DM99" i="31" s="1"/>
  <c r="H114" i="20"/>
  <c r="F12" i="32"/>
  <c r="F16" i="32"/>
  <c r="F14" i="32"/>
  <c r="F95" i="32"/>
  <c r="F58" i="32"/>
  <c r="F108" i="32"/>
  <c r="F60" i="32"/>
  <c r="F55" i="32"/>
  <c r="F102" i="32"/>
  <c r="F26" i="32"/>
  <c r="F81" i="32"/>
  <c r="F90" i="32"/>
  <c r="F64" i="32"/>
  <c r="F36" i="32"/>
  <c r="F110" i="32"/>
  <c r="F24" i="32"/>
  <c r="H25" i="20"/>
  <c r="H30" i="20"/>
  <c r="H34" i="20"/>
  <c r="H38" i="20"/>
  <c r="H42" i="20"/>
  <c r="DM30" i="31" s="1"/>
  <c r="H45" i="20"/>
  <c r="DM33" i="31" s="1"/>
  <c r="H48" i="20"/>
  <c r="DM36" i="31" s="1"/>
  <c r="H51" i="20"/>
  <c r="DM39" i="31" s="1"/>
  <c r="H54" i="20"/>
  <c r="H60" i="20"/>
  <c r="H65" i="20"/>
  <c r="DM53" i="31" s="1"/>
  <c r="H71" i="20"/>
  <c r="DM59" i="31" s="1"/>
  <c r="H74" i="20"/>
  <c r="DM62" i="31" s="1"/>
  <c r="H77" i="20"/>
  <c r="H80" i="20"/>
  <c r="DM68" i="31" s="1"/>
  <c r="H83" i="20"/>
  <c r="H86" i="20"/>
  <c r="H92" i="20"/>
  <c r="H97" i="20"/>
  <c r="DM85" i="31" s="1"/>
  <c r="H103" i="20"/>
  <c r="DM91" i="31" s="1"/>
  <c r="H106" i="20"/>
  <c r="DM94" i="31" s="1"/>
  <c r="H109" i="20"/>
  <c r="DM97" i="31" s="1"/>
  <c r="H112" i="20"/>
  <c r="DM100" i="31" s="1"/>
  <c r="H115" i="20"/>
  <c r="F15" i="32"/>
  <c r="F99" i="32"/>
  <c r="F80" i="32"/>
  <c r="F56" i="32"/>
  <c r="F51" i="32"/>
  <c r="F30" i="32"/>
  <c r="F94" i="32"/>
  <c r="F21" i="32"/>
  <c r="F59" i="32"/>
  <c r="F52" i="32"/>
  <c r="F25" i="32"/>
  <c r="F91" i="32"/>
  <c r="F43" i="32"/>
  <c r="H23" i="20"/>
  <c r="H28" i="20"/>
  <c r="H32" i="20"/>
  <c r="H36" i="20"/>
  <c r="DM24" i="31" s="1"/>
  <c r="H40" i="20"/>
  <c r="DM28" i="31" s="1"/>
  <c r="H44" i="20"/>
  <c r="H49" i="20"/>
  <c r="H55" i="20"/>
  <c r="H58" i="20"/>
  <c r="DM46" i="31" s="1"/>
  <c r="H61" i="20"/>
  <c r="H64" i="20"/>
  <c r="H67" i="20"/>
  <c r="H70" i="20"/>
  <c r="H76" i="20"/>
  <c r="H81" i="20"/>
  <c r="DM69" i="31" s="1"/>
  <c r="H87" i="20"/>
  <c r="H90" i="20"/>
  <c r="DM78" i="31" s="1"/>
  <c r="H93" i="20"/>
  <c r="H96" i="20"/>
  <c r="H99" i="20"/>
  <c r="H102" i="20"/>
  <c r="H108" i="20"/>
  <c r="H113" i="20"/>
  <c r="F13" i="32"/>
  <c r="F17" i="32"/>
  <c r="H89" i="20"/>
  <c r="H27" i="20"/>
  <c r="F54" i="32"/>
  <c r="H107" i="20"/>
  <c r="DM95" i="31" s="1"/>
  <c r="H95" i="20"/>
  <c r="DM83" i="31" s="1"/>
  <c r="H84" i="20"/>
  <c r="DM72" i="31" s="1"/>
  <c r="H72" i="20"/>
  <c r="H35" i="20"/>
  <c r="F23" i="32"/>
  <c r="F46" i="32"/>
  <c r="F65" i="32"/>
  <c r="H116" i="20"/>
  <c r="DM104" i="31" s="1"/>
  <c r="H69" i="20"/>
  <c r="DM57" i="31" s="1"/>
  <c r="H46" i="20"/>
  <c r="DM34" i="31" s="1"/>
  <c r="F85" i="32"/>
  <c r="F18" i="32"/>
  <c r="H78" i="20"/>
  <c r="DM66" i="31" s="1"/>
  <c r="H43" i="20"/>
  <c r="F53" i="32"/>
  <c r="F20" i="32"/>
  <c r="H104" i="20"/>
  <c r="H57" i="20"/>
  <c r="H31" i="20"/>
  <c r="F83" i="32"/>
  <c r="F57" i="32"/>
  <c r="H101" i="20"/>
  <c r="DM89" i="31" s="1"/>
  <c r="H66" i="20"/>
  <c r="F92" i="32"/>
  <c r="F19" i="32"/>
  <c r="H110" i="20"/>
  <c r="DM98" i="31" s="1"/>
  <c r="H98" i="20"/>
  <c r="H75" i="20"/>
  <c r="DM63" i="31" s="1"/>
  <c r="H63" i="20"/>
  <c r="DM51" i="31" s="1"/>
  <c r="H52" i="20"/>
  <c r="DM40" i="31" s="1"/>
  <c r="H39" i="20"/>
  <c r="F47" i="32"/>
  <c r="F75" i="32"/>
  <c r="F74" i="32"/>
  <c r="F34" i="32"/>
  <c r="H17" i="20"/>
  <c r="H18" i="20"/>
  <c r="DM6" i="31" s="1"/>
  <c r="H19" i="20"/>
  <c r="DM7" i="31" s="1"/>
  <c r="H20" i="20"/>
  <c r="DM8" i="31" s="1"/>
  <c r="H21" i="20"/>
  <c r="DM5" i="31" l="1"/>
  <c r="H15" i="20"/>
  <c r="I15" i="20" s="1"/>
  <c r="BI76" i="3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M19" i="31"/>
  <c r="H82" i="32"/>
  <c r="DM75" i="31"/>
  <c r="H63" i="32"/>
  <c r="DM56" i="31"/>
  <c r="H52" i="32"/>
  <c r="DM45" i="31"/>
  <c r="I113" i="20"/>
  <c r="DM101" i="31"/>
  <c r="I49" i="20"/>
  <c r="DM37" i="31"/>
  <c r="H33" i="32"/>
  <c r="DM26" i="31"/>
  <c r="H89" i="32"/>
  <c r="DM82" i="31"/>
  <c r="H57" i="32"/>
  <c r="DM50" i="31"/>
  <c r="H17" i="32"/>
  <c r="DM10" i="31"/>
  <c r="H23" i="32"/>
  <c r="DM16" i="31"/>
  <c r="H18" i="32"/>
  <c r="DM11" i="31"/>
  <c r="H39" i="32"/>
  <c r="DM32" i="31"/>
  <c r="H29" i="32"/>
  <c r="DM22" i="31"/>
  <c r="H86" i="32"/>
  <c r="DM79" i="31"/>
  <c r="H54" i="32"/>
  <c r="DM47" i="31"/>
  <c r="H88" i="32"/>
  <c r="DM81" i="31"/>
  <c r="H99" i="32"/>
  <c r="DM92" i="31"/>
  <c r="H71" i="32"/>
  <c r="DM64" i="31"/>
  <c r="H97" i="32"/>
  <c r="DM90" i="31"/>
  <c r="H65" i="32"/>
  <c r="DM58" i="31"/>
  <c r="H87" i="32"/>
  <c r="DM80" i="31"/>
  <c r="H55" i="32"/>
  <c r="DM48" i="31"/>
  <c r="H25" i="32"/>
  <c r="DM18" i="31"/>
  <c r="H83" i="32"/>
  <c r="DM76" i="31"/>
  <c r="H51" i="32"/>
  <c r="DM44" i="31"/>
  <c r="H19" i="32"/>
  <c r="DM12" i="31"/>
  <c r="H56" i="32"/>
  <c r="DM49" i="31"/>
  <c r="I77" i="20"/>
  <c r="DM65" i="31"/>
  <c r="H93" i="32"/>
  <c r="DM86" i="31"/>
  <c r="H67" i="32"/>
  <c r="DM60" i="31"/>
  <c r="H50" i="32"/>
  <c r="DM43" i="31"/>
  <c r="H95" i="32"/>
  <c r="DM88" i="31"/>
  <c r="H21" i="32"/>
  <c r="DM14" i="31"/>
  <c r="H103" i="32"/>
  <c r="DM96" i="31"/>
  <c r="H16" i="32"/>
  <c r="DM9" i="31"/>
  <c r="H34" i="32"/>
  <c r="DM27" i="31"/>
  <c r="H61" i="32"/>
  <c r="DM54" i="31"/>
  <c r="H94" i="32"/>
  <c r="DM87" i="31"/>
  <c r="H62" i="32"/>
  <c r="DM55" i="31"/>
  <c r="H81" i="32"/>
  <c r="DM74" i="31"/>
  <c r="H49" i="32"/>
  <c r="DM42" i="31"/>
  <c r="H20" i="32"/>
  <c r="DM13" i="31"/>
  <c r="H80" i="32"/>
  <c r="DM73" i="31"/>
  <c r="H48" i="32"/>
  <c r="DM41" i="31"/>
  <c r="H84" i="32"/>
  <c r="DM77" i="31"/>
  <c r="I43" i="20"/>
  <c r="DM31" i="31"/>
  <c r="H22" i="32"/>
  <c r="DM15" i="31"/>
  <c r="H91" i="32"/>
  <c r="DM84" i="31"/>
  <c r="H59" i="32"/>
  <c r="DM52" i="31"/>
  <c r="H27" i="32"/>
  <c r="DM20" i="31"/>
  <c r="H110" i="32"/>
  <c r="DM103" i="31"/>
  <c r="H78" i="32"/>
  <c r="DM71" i="31"/>
  <c r="H109" i="32"/>
  <c r="DM102" i="31"/>
  <c r="H77" i="32"/>
  <c r="DM70" i="31"/>
  <c r="H45" i="32"/>
  <c r="DM38" i="31"/>
  <c r="H30" i="32"/>
  <c r="DM23" i="31"/>
  <c r="H36" i="32"/>
  <c r="DM29" i="31"/>
  <c r="I179" i="32"/>
  <c r="BX57"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F182" i="24"/>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2" i="32"/>
  <c r="I17" i="20"/>
  <c r="G13" i="32"/>
  <c r="J13" i="32" s="1"/>
  <c r="G15" i="32"/>
  <c r="J15" i="32" s="1"/>
  <c r="I20" i="20"/>
  <c r="G14" i="32"/>
  <c r="J14" i="32" s="1"/>
  <c r="I19" i="20"/>
  <c r="CF76" i="31" l="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K57" i="31" s="1"/>
  <c r="DC57" i="31"/>
  <c r="CV57" i="31"/>
  <c r="CO57" i="31"/>
  <c r="BX63" i="31"/>
  <c r="BN63" i="31"/>
  <c r="DJ63" i="31"/>
  <c r="DK63" i="31" s="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DK76" i="31" s="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DK78" i="31" s="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DK21" i="31" s="1"/>
  <c r="BX21" i="31"/>
  <c r="BR78" i="31"/>
  <c r="CA78" i="31"/>
  <c r="CJ78" i="31"/>
  <c r="CS78" i="31"/>
  <c r="DB78" i="31"/>
  <c r="BP78" i="31"/>
  <c r="CF49" i="31"/>
  <c r="CN49" i="31"/>
  <c r="CC49" i="31"/>
  <c r="DJ49" i="31"/>
  <c r="DK49" i="31" s="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DK22" i="31" s="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DK59" i="31" s="1"/>
  <c r="BZ59" i="31"/>
  <c r="DG59" i="31"/>
  <c r="DI59" i="31"/>
  <c r="BL79" i="31"/>
  <c r="DJ79" i="31"/>
  <c r="DK79" i="31" s="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DK20" i="31" s="1"/>
  <c r="CB86" i="31"/>
  <c r="BW86" i="31"/>
  <c r="CH86" i="31"/>
  <c r="DJ87" i="31"/>
  <c r="DK87" i="31" s="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DK80" i="31" s="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DK86" i="31" s="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DK101" i="31" s="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DK84" i="31" s="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DK67" i="31" s="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K5" i="31" s="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DK44" i="31" s="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K39" i="31" s="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K8" i="31" s="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K18" i="31" s="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K26" i="31" s="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DK95" i="31" s="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DK50" i="31" s="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K29" i="31" s="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K24" i="31" s="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K61" i="31" s="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K98" i="31" s="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K23" i="31" s="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K41" i="31" s="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K55" i="31" s="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DK32" i="31" s="1"/>
  <c r="CD32" i="31"/>
  <c r="CL32" i="31"/>
  <c r="DE93" i="31"/>
  <c r="CW93" i="31"/>
  <c r="CO93" i="31"/>
  <c r="CG93" i="31"/>
  <c r="BY93" i="31"/>
  <c r="BQ93" i="31"/>
  <c r="DC93" i="31"/>
  <c r="CU93" i="31"/>
  <c r="CM93" i="31"/>
  <c r="CE93" i="31"/>
  <c r="BW93" i="31"/>
  <c r="BO93" i="31"/>
  <c r="DJ93" i="31"/>
  <c r="DK93" i="31" s="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K13" i="31" s="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K14" i="31" s="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K37" i="31" s="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K45" i="31" s="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K81" i="31" s="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DK46" i="31" s="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K35" i="31" s="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K69" i="31" s="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DK64" i="31" s="1"/>
  <c r="CT64" i="31"/>
  <c r="CE64" i="31"/>
  <c r="BT64" i="31"/>
  <c r="CJ64" i="31"/>
  <c r="BV64" i="31"/>
  <c r="CV64" i="31"/>
  <c r="BK64" i="31"/>
  <c r="DC47" i="31"/>
  <c r="CU47" i="31"/>
  <c r="CM47" i="31"/>
  <c r="CE47" i="31"/>
  <c r="BW47" i="31"/>
  <c r="BO47" i="31"/>
  <c r="DJ47" i="31"/>
  <c r="DK47" i="31" s="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K71" i="31" s="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K9" i="31" s="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K10" i="31" s="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DK75" i="31" s="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K83" i="31" s="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K90" i="31" s="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K56" i="31" s="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DK99" i="31" s="1"/>
  <c r="CM99" i="31"/>
  <c r="BT99" i="31"/>
  <c r="DH99" i="31"/>
  <c r="CL99" i="31"/>
  <c r="BO99" i="31"/>
  <c r="DC43" i="31"/>
  <c r="CU43" i="31"/>
  <c r="CM43" i="31"/>
  <c r="CE43" i="31"/>
  <c r="BW43" i="31"/>
  <c r="BO43" i="31"/>
  <c r="DJ43" i="31"/>
  <c r="DK43" i="31" s="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K77" i="31" s="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K12" i="31" s="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K74" i="31" s="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K40" i="31" s="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K19" i="31" s="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DK28" i="31" s="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K36" i="31" s="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K66" i="31" s="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K52" i="31" s="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DK85" i="31" s="1"/>
  <c r="CP85" i="31"/>
  <c r="BS85" i="31"/>
  <c r="DG85" i="31"/>
  <c r="CL85" i="31"/>
  <c r="BR85" i="31"/>
  <c r="DF85" i="31"/>
  <c r="CI85" i="31"/>
  <c r="BN85" i="31"/>
  <c r="DC51" i="31"/>
  <c r="CU51" i="31"/>
  <c r="CM51" i="31"/>
  <c r="CE51" i="31"/>
  <c r="BW51" i="31"/>
  <c r="BO51" i="31"/>
  <c r="DJ51" i="31"/>
  <c r="DK51" i="31" s="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K34" i="31" s="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K82" i="31" s="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DK92" i="31" s="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DK100" i="31" s="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K53" i="31" s="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DK48" i="31" s="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K60" i="31" s="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DK104" i="31" s="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DK103" i="31" s="1"/>
  <c r="CM103" i="31"/>
  <c r="BT103" i="31"/>
  <c r="DH103" i="31"/>
  <c r="CL103" i="31"/>
  <c r="BO103" i="31"/>
  <c r="DC103" i="31"/>
  <c r="CJ103" i="31"/>
  <c r="BN103" i="31"/>
  <c r="DD17" i="31"/>
  <c r="CV17" i="31"/>
  <c r="CN17" i="31"/>
  <c r="CF17" i="31"/>
  <c r="BX17" i="31"/>
  <c r="BP17" i="31"/>
  <c r="DC17" i="31"/>
  <c r="CU17" i="31"/>
  <c r="CM17" i="31"/>
  <c r="CE17" i="31"/>
  <c r="BW17" i="31"/>
  <c r="BO17" i="31"/>
  <c r="DJ17" i="31"/>
  <c r="DK17" i="31" s="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K30" i="31" s="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K38" i="31" s="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K27" i="31" s="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K25" i="31" s="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DK54" i="31" s="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K33" i="31" s="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K72" i="31" s="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K68" i="31" s="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K7" i="31" s="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K58" i="31" s="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DK96" i="31" s="1"/>
  <c r="CN96" i="31"/>
  <c r="BQ96" i="31"/>
  <c r="DE96" i="31"/>
  <c r="CL96" i="31"/>
  <c r="BP96" i="31"/>
  <c r="DD96" i="31"/>
  <c r="CG96" i="31"/>
  <c r="BN96" i="31"/>
  <c r="DB96" i="31"/>
  <c r="CF96" i="31"/>
  <c r="CW96" i="31"/>
  <c r="CD96" i="31"/>
  <c r="DC70" i="31"/>
  <c r="CU70" i="31"/>
  <c r="CM70" i="31"/>
  <c r="CE70" i="31"/>
  <c r="BW70" i="31"/>
  <c r="BO70" i="31"/>
  <c r="DJ70" i="31"/>
  <c r="DK70" i="31" s="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K15" i="31" s="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DK42" i="31" s="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DK6" i="31" s="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K11" i="31" s="1"/>
  <c r="DB11" i="31"/>
  <c r="CT11" i="31"/>
  <c r="CL11" i="31"/>
  <c r="CD11" i="31"/>
  <c r="BV11" i="31"/>
  <c r="BN11" i="31"/>
  <c r="DI11" i="31"/>
  <c r="DA11" i="31"/>
  <c r="CS11" i="31"/>
  <c r="CK11" i="31"/>
  <c r="CC11" i="31"/>
  <c r="BU11" i="31"/>
  <c r="BM11" i="31"/>
  <c r="DC11" i="31"/>
  <c r="CU11" i="31"/>
  <c r="CE11" i="31"/>
  <c r="CM11" i="31"/>
  <c r="BO11" i="31"/>
  <c r="BW11" i="31"/>
  <c r="DJ16" i="31"/>
  <c r="DK16" i="31" s="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DK65" i="31" s="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K94" i="31" s="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K73" i="31" s="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K102" i="31" s="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K91" i="31" s="1"/>
  <c r="DB91" i="31"/>
  <c r="CT91" i="31"/>
  <c r="CL91" i="31"/>
  <c r="DE89" i="31"/>
  <c r="CW89" i="31"/>
  <c r="CO89" i="31"/>
  <c r="CG89" i="31"/>
  <c r="BY89" i="31"/>
  <c r="BQ89" i="31"/>
  <c r="DD89" i="31"/>
  <c r="CV89" i="31"/>
  <c r="CN89" i="31"/>
  <c r="CF89" i="31"/>
  <c r="BX89" i="31"/>
  <c r="BP89" i="31"/>
  <c r="DC89" i="31"/>
  <c r="CU89" i="31"/>
  <c r="CM89" i="31"/>
  <c r="CE89" i="31"/>
  <c r="BW89" i="31"/>
  <c r="BO89" i="31"/>
  <c r="DJ89" i="31"/>
  <c r="DK89" i="31" s="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K31" i="31" s="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K97" i="31" s="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K62" i="31" s="1"/>
  <c r="DB62" i="31"/>
  <c r="CT62" i="31"/>
  <c r="BN62" i="31"/>
  <c r="DC88" i="31"/>
  <c r="CU88" i="31"/>
  <c r="CM88" i="31"/>
  <c r="CE88" i="31"/>
  <c r="BW88" i="31"/>
  <c r="BO88" i="31"/>
  <c r="DJ88" i="31"/>
  <c r="DK88" i="31" s="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L63" i="31" l="1"/>
  <c r="I70" i="32" s="1"/>
  <c r="DL76" i="31"/>
  <c r="I83" i="32" s="1"/>
  <c r="DL57" i="31"/>
  <c r="I64" i="32" s="1"/>
  <c r="DL49" i="31"/>
  <c r="I56" i="32" s="1"/>
  <c r="DL21" i="31"/>
  <c r="I28" i="32" s="1"/>
  <c r="DL78" i="31"/>
  <c r="I85" i="32" s="1"/>
  <c r="DL22" i="31"/>
  <c r="I29" i="32" s="1"/>
  <c r="DL59" i="31"/>
  <c r="I66" i="32" s="1"/>
  <c r="DL80" i="31"/>
  <c r="I87" i="32" s="1"/>
  <c r="DL20" i="31"/>
  <c r="I27" i="32" s="1"/>
  <c r="DL87" i="31"/>
  <c r="I94" i="32" s="1"/>
  <c r="DL86" i="31"/>
  <c r="I93" i="32" s="1"/>
  <c r="DL101" i="31"/>
  <c r="I108" i="32" s="1"/>
  <c r="DL79" i="31"/>
  <c r="I86" i="32" s="1"/>
  <c r="DL84" i="31"/>
  <c r="I91" i="32" s="1"/>
  <c r="DL67" i="31"/>
  <c r="I74" i="32" s="1"/>
  <c r="DL66" i="31"/>
  <c r="I73" i="32" s="1"/>
  <c r="I177" i="32"/>
  <c r="DL38" i="31"/>
  <c r="I45" i="32" s="1"/>
  <c r="DL9" i="31"/>
  <c r="I16" i="32" s="1"/>
  <c r="DL71" i="31"/>
  <c r="I78" i="32" s="1"/>
  <c r="DL13" i="31"/>
  <c r="I20" i="32" s="1"/>
  <c r="DL26" i="31"/>
  <c r="I33" i="32" s="1"/>
  <c r="DL65" i="31"/>
  <c r="I72" i="32" s="1"/>
  <c r="DL68" i="31"/>
  <c r="I75" i="32" s="1"/>
  <c r="DL92" i="31"/>
  <c r="I99" i="32" s="1"/>
  <c r="DL12" i="31"/>
  <c r="I19" i="32" s="1"/>
  <c r="DL90" i="31"/>
  <c r="I97" i="32" s="1"/>
  <c r="DL14" i="31"/>
  <c r="I21" i="32" s="1"/>
  <c r="DL29" i="31"/>
  <c r="I36" i="32" s="1"/>
  <c r="DL50" i="31"/>
  <c r="I57" i="32" s="1"/>
  <c r="DL42" i="31"/>
  <c r="I49" i="32" s="1"/>
  <c r="DL15" i="31"/>
  <c r="I22" i="32" s="1"/>
  <c r="DL94" i="31"/>
  <c r="I101" i="32" s="1"/>
  <c r="DL11" i="31"/>
  <c r="I18" i="32" s="1"/>
  <c r="DL70" i="31"/>
  <c r="I77" i="32" s="1"/>
  <c r="DL48" i="31"/>
  <c r="I55" i="32" s="1"/>
  <c r="DL40" i="31"/>
  <c r="I47" i="32" s="1"/>
  <c r="DL74" i="31"/>
  <c r="I81" i="32" s="1"/>
  <c r="DL10" i="31"/>
  <c r="I17" i="32" s="1"/>
  <c r="DL41" i="31"/>
  <c r="I48" i="32" s="1"/>
  <c r="DL44" i="31"/>
  <c r="I51" i="32" s="1"/>
  <c r="DL28" i="31"/>
  <c r="I35" i="32" s="1"/>
  <c r="DL91" i="31"/>
  <c r="I98" i="32" s="1"/>
  <c r="DL33" i="31"/>
  <c r="I40" i="32" s="1"/>
  <c r="DL27" i="31"/>
  <c r="I34" i="32" s="1"/>
  <c r="DL17" i="31"/>
  <c r="I24" i="32" s="1"/>
  <c r="DL82" i="31"/>
  <c r="I89" i="32" s="1"/>
  <c r="DL51" i="31"/>
  <c r="I58" i="32" s="1"/>
  <c r="DL43" i="31"/>
  <c r="I50" i="32" s="1"/>
  <c r="DL75" i="31"/>
  <c r="I82" i="32" s="1"/>
  <c r="DL47" i="31"/>
  <c r="I54" i="32" s="1"/>
  <c r="DL69" i="31"/>
  <c r="I76" i="32" s="1"/>
  <c r="DL81" i="31"/>
  <c r="I88" i="32" s="1"/>
  <c r="DL37" i="31"/>
  <c r="I44" i="32" s="1"/>
  <c r="DL97" i="31"/>
  <c r="I104" i="32" s="1"/>
  <c r="DL31" i="31"/>
  <c r="I38" i="32" s="1"/>
  <c r="DL89" i="31"/>
  <c r="I96" i="32" s="1"/>
  <c r="DL25" i="31"/>
  <c r="I32" i="32" s="1"/>
  <c r="DL83" i="31"/>
  <c r="I90" i="32" s="1"/>
  <c r="DL35" i="31"/>
  <c r="I42" i="32" s="1"/>
  <c r="DL32" i="31"/>
  <c r="I39" i="32" s="1"/>
  <c r="DL95" i="31"/>
  <c r="I102" i="32" s="1"/>
  <c r="DL98" i="31"/>
  <c r="I105" i="32" s="1"/>
  <c r="DL88" i="31"/>
  <c r="I95" i="32" s="1"/>
  <c r="DL6" i="31"/>
  <c r="I13" i="32" s="1"/>
  <c r="DL96" i="31"/>
  <c r="I103" i="32" s="1"/>
  <c r="DL72" i="31"/>
  <c r="I79" i="32" s="1"/>
  <c r="DL34" i="31"/>
  <c r="I41" i="32" s="1"/>
  <c r="DL36" i="31"/>
  <c r="I43" i="32" s="1"/>
  <c r="DL46" i="31"/>
  <c r="I53" i="32" s="1"/>
  <c r="DL45" i="31"/>
  <c r="I52" i="32" s="1"/>
  <c r="DL55" i="31"/>
  <c r="I62" i="32" s="1"/>
  <c r="DL62" i="31"/>
  <c r="I69" i="32" s="1"/>
  <c r="DL73" i="31"/>
  <c r="I80" i="32" s="1"/>
  <c r="DL16" i="31"/>
  <c r="I23" i="32" s="1"/>
  <c r="DL58" i="31"/>
  <c r="I65" i="32" s="1"/>
  <c r="DL7" i="31"/>
  <c r="I14" i="32" s="1"/>
  <c r="DL60" i="31"/>
  <c r="I67" i="32" s="1"/>
  <c r="DL53" i="31"/>
  <c r="I60" i="32" s="1"/>
  <c r="DL100" i="31"/>
  <c r="I107" i="32" s="1"/>
  <c r="DL52" i="31"/>
  <c r="I59" i="32" s="1"/>
  <c r="DL77" i="31"/>
  <c r="I84" i="32" s="1"/>
  <c r="DL99" i="31"/>
  <c r="I106" i="32" s="1"/>
  <c r="DL64" i="31"/>
  <c r="I71" i="32" s="1"/>
  <c r="DL93" i="31"/>
  <c r="I100" i="32" s="1"/>
  <c r="DL23" i="31"/>
  <c r="I30" i="32" s="1"/>
  <c r="DL61" i="31"/>
  <c r="I68" i="32" s="1"/>
  <c r="DL8" i="31"/>
  <c r="I15" i="32" s="1"/>
  <c r="DL39" i="31"/>
  <c r="I46" i="32" s="1"/>
  <c r="DL5" i="31"/>
  <c r="I12" i="32" s="1"/>
  <c r="DL102" i="31"/>
  <c r="I109" i="32" s="1"/>
  <c r="DL54" i="31"/>
  <c r="I61" i="32" s="1"/>
  <c r="DL30" i="31"/>
  <c r="I37" i="32" s="1"/>
  <c r="DL103" i="31"/>
  <c r="I110" i="32" s="1"/>
  <c r="DL104" i="31"/>
  <c r="I111" i="32" s="1"/>
  <c r="DL85" i="31"/>
  <c r="I92" i="32" s="1"/>
  <c r="DL19" i="31"/>
  <c r="I26" i="32" s="1"/>
  <c r="DL56" i="31"/>
  <c r="I63" i="32" s="1"/>
  <c r="DL24" i="31"/>
  <c r="I31" i="32" s="1"/>
  <c r="DL18" i="31"/>
  <c r="I25" i="32" s="1"/>
  <c r="DM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K4" i="31" s="1"/>
  <c r="DD4" i="31"/>
  <c r="CZ4" i="31"/>
  <c r="CQ4" i="31"/>
  <c r="CM4" i="31"/>
  <c r="CS4" i="31"/>
  <c r="CD4" i="31"/>
  <c r="BZ4" i="31"/>
  <c r="BW4" i="31"/>
  <c r="BR4" i="31"/>
  <c r="BN4" i="31"/>
  <c r="I15" i="17" l="1"/>
  <c r="I16" i="17"/>
  <c r="I24" i="17"/>
  <c r="I43" i="17"/>
  <c r="P43" i="17" s="1"/>
  <c r="I23" i="17"/>
  <c r="I36" i="17"/>
  <c r="I20" i="17"/>
  <c r="I39" i="17"/>
  <c r="I41" i="17"/>
  <c r="I21" i="17"/>
  <c r="I44" i="17"/>
  <c r="I52" i="17"/>
  <c r="I27" i="17"/>
  <c r="I58" i="17"/>
  <c r="I64" i="17"/>
  <c r="I59" i="17"/>
  <c r="I25" i="17"/>
  <c r="I55" i="17"/>
  <c r="I46" i="17"/>
  <c r="I37" i="17"/>
  <c r="I56" i="17"/>
  <c r="I32" i="17"/>
  <c r="I62" i="17"/>
  <c r="I45" i="17"/>
  <c r="I51" i="17"/>
  <c r="I63" i="17"/>
  <c r="I34" i="17"/>
  <c r="P34" i="17" s="1"/>
  <c r="I42" i="17"/>
  <c r="I65" i="17"/>
  <c r="I60" i="17"/>
  <c r="I67" i="17"/>
  <c r="I38" i="17"/>
  <c r="I28" i="17"/>
  <c r="I47" i="17"/>
  <c r="I26" i="17"/>
  <c r="I53" i="17"/>
  <c r="I22" i="17"/>
  <c r="I48" i="17"/>
  <c r="I31" i="17"/>
  <c r="I30" i="17"/>
  <c r="I18" i="17"/>
  <c r="I57" i="17"/>
  <c r="I33" i="17"/>
  <c r="I54" i="17"/>
  <c r="I29" i="17"/>
  <c r="I35" i="17"/>
  <c r="I17" i="17"/>
  <c r="I19" i="17"/>
  <c r="I66" i="17"/>
  <c r="I40" i="17"/>
  <c r="I50" i="17"/>
  <c r="I49" i="17"/>
  <c r="I61" i="17"/>
  <c r="DL4" i="31"/>
  <c r="C4" i="24" s="1"/>
  <c r="I176" i="32"/>
  <c r="B212" i="3"/>
  <c r="AP203" i="6" s="1"/>
  <c r="AQ203" i="6"/>
  <c r="P56" i="17" l="1"/>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N209" i="12"/>
  <c r="N262" i="12"/>
  <c r="N199" i="12"/>
  <c r="N214" i="12"/>
  <c r="N217" i="12"/>
  <c r="N167" i="12"/>
  <c r="N215" i="12"/>
  <c r="N187" i="12"/>
  <c r="N194" i="12"/>
  <c r="N206" i="12"/>
  <c r="N203" i="12"/>
  <c r="N190" i="12"/>
  <c r="N191" i="12"/>
  <c r="N201" i="12"/>
  <c r="N268" i="12"/>
  <c r="N208" i="12"/>
  <c r="N266" i="12"/>
  <c r="N200" i="12"/>
  <c r="N267" i="12"/>
  <c r="N221" i="12"/>
  <c r="N193" i="12"/>
  <c r="T193" i="12" s="1"/>
  <c r="N205" i="12"/>
  <c r="N213" i="12"/>
  <c r="N207" i="12"/>
  <c r="T207" i="12" s="1"/>
  <c r="N218" i="12"/>
  <c r="N212" i="12"/>
  <c r="N269" i="12"/>
  <c r="N189" i="12"/>
  <c r="N274" i="12"/>
  <c r="N192" i="12"/>
  <c r="N196" i="12"/>
  <c r="N211" i="12"/>
  <c r="N264" i="12"/>
  <c r="N270" i="12"/>
  <c r="N168" i="12"/>
  <c r="N219" i="12"/>
  <c r="T219" i="12" s="1"/>
  <c r="N220" i="12"/>
  <c r="N198" i="12"/>
  <c r="N216" i="12"/>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N175" i="12"/>
  <c r="N234" i="12"/>
  <c r="N184" i="12"/>
  <c r="N235" i="12"/>
  <c r="N202" i="12"/>
  <c r="N170" i="12"/>
  <c r="T170" i="12" s="1"/>
  <c r="N223" i="12"/>
  <c r="N228" i="12"/>
  <c r="T228" i="12" s="1"/>
  <c r="N227" i="12"/>
  <c r="N233" i="12"/>
  <c r="N181" i="12"/>
  <c r="N236" i="12"/>
  <c r="N185" i="12"/>
  <c r="N197" i="12"/>
  <c r="N174" i="12"/>
  <c r="N176" i="12"/>
  <c r="T176" i="12" s="1"/>
  <c r="N171" i="12"/>
  <c r="N232" i="12"/>
  <c r="N180" i="12"/>
  <c r="N186" i="12"/>
  <c r="N243" i="12"/>
  <c r="N245" i="12"/>
  <c r="N249" i="12"/>
  <c r="N250" i="12"/>
  <c r="N251" i="12"/>
  <c r="N271" i="12"/>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16" i="12" l="1"/>
  <c r="T208" i="12"/>
  <c r="T204" i="12"/>
  <c r="T271" i="12"/>
  <c r="T167" i="12"/>
  <c r="T223" i="12"/>
  <c r="T235" i="12"/>
  <c r="T211" i="12"/>
  <c r="T187" i="12"/>
  <c r="T224" i="12"/>
  <c r="T241" i="12"/>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05" i="12" l="1"/>
  <c r="U210" i="12"/>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13" i="15" l="1"/>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E55" i="36" l="1"/>
  <c r="AP54" i="15"/>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0"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0"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U5" i="6"/>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H69" i="26" l="1"/>
  <c r="C53" i="18" s="1"/>
  <c r="B61" i="18" s="1"/>
  <c r="H71" i="26"/>
  <c r="DT14" i="6"/>
  <c r="N25" i="17" s="1"/>
  <c r="M25" i="17"/>
  <c r="DU15" i="6"/>
  <c r="DT13" i="6"/>
  <c r="N24" i="17" s="1"/>
  <c r="M24" i="17"/>
  <c r="DT12" i="6"/>
  <c r="N23" i="17" s="1"/>
  <c r="DU12" i="6"/>
  <c r="DT11" i="6"/>
  <c r="N22" i="17" s="1"/>
  <c r="M31" i="17"/>
  <c r="T31" i="17" s="1"/>
  <c r="DU20" i="6"/>
  <c r="DT20" i="6"/>
  <c r="DT15" i="6"/>
  <c r="N26" i="17" s="1"/>
  <c r="M21" i="17"/>
  <c r="T21" i="17" s="1"/>
  <c r="M28" i="17"/>
  <c r="T28" i="17" s="1"/>
  <c r="DU17" i="6"/>
  <c r="DT17" i="6"/>
  <c r="M29" i="17"/>
  <c r="T29" i="17" s="1"/>
  <c r="DU18" i="6"/>
  <c r="DT18" i="6"/>
  <c r="DU16" i="6"/>
  <c r="M27" i="17"/>
  <c r="T27" i="17" s="1"/>
  <c r="DT16" i="6"/>
  <c r="M30" i="17"/>
  <c r="T30" i="17" s="1"/>
  <c r="DU19" i="6"/>
  <c r="DT19" i="6"/>
  <c r="DU22" i="6"/>
  <c r="M33" i="17"/>
  <c r="T33" i="17" s="1"/>
  <c r="DT22" i="6"/>
  <c r="DU25" i="6"/>
  <c r="M36" i="17"/>
  <c r="T36" i="17" s="1"/>
  <c r="DT25" i="6"/>
  <c r="DU27" i="6"/>
  <c r="M38" i="17"/>
  <c r="T38" i="17" s="1"/>
  <c r="DT27" i="6"/>
  <c r="DU21" i="6"/>
  <c r="M32" i="17"/>
  <c r="T32" i="17" s="1"/>
  <c r="DT21" i="6"/>
  <c r="DU26" i="6"/>
  <c r="M37" i="17"/>
  <c r="T37" i="17" s="1"/>
  <c r="DT26" i="6"/>
  <c r="DU29" i="6"/>
  <c r="M40" i="17"/>
  <c r="T40" i="17" s="1"/>
  <c r="DT29" i="6"/>
  <c r="DU23" i="6"/>
  <c r="M34" i="17"/>
  <c r="T34" i="17" s="1"/>
  <c r="DT23" i="6"/>
  <c r="M41" i="17"/>
  <c r="T41" i="17" s="1"/>
  <c r="DU30" i="6"/>
  <c r="DT30" i="6"/>
  <c r="DU24" i="6"/>
  <c r="M35" i="17"/>
  <c r="T35" i="17" s="1"/>
  <c r="DT24" i="6"/>
  <c r="M39" i="17"/>
  <c r="T39" i="17" s="1"/>
  <c r="DU28" i="6"/>
  <c r="DT28" i="6"/>
  <c r="DT10" i="6"/>
  <c r="N21" i="17" s="1"/>
  <c r="J66" i="26"/>
  <c r="C50" i="18"/>
  <c r="DU11" i="6"/>
  <c r="M17" i="17"/>
  <c r="T17" i="17" s="1"/>
  <c r="M18" i="17"/>
  <c r="T18" i="17" s="1"/>
  <c r="DU7" i="6"/>
  <c r="M20" i="17"/>
  <c r="T20" i="17" s="1"/>
  <c r="DU9" i="6"/>
  <c r="DU6" i="6"/>
  <c r="N17" i="17"/>
  <c r="DX7" i="6"/>
  <c r="DT8" i="6"/>
  <c r="DX8" i="6" s="1"/>
  <c r="DU8" i="6"/>
  <c r="M15" i="17"/>
  <c r="DU4" i="6"/>
  <c r="DT4" i="6"/>
  <c r="DX5" i="6"/>
  <c r="N16" i="17"/>
  <c r="U16" i="17" s="1"/>
  <c r="DX9" i="6"/>
  <c r="C29" i="36" l="1"/>
  <c r="C36" i="36"/>
  <c r="T15" i="17"/>
  <c r="C39" i="36"/>
  <c r="DX14" i="6"/>
  <c r="AD8" i="36"/>
  <c r="DX12" i="6"/>
  <c r="DX13" i="6"/>
  <c r="DX11" i="6"/>
  <c r="DX15" i="6"/>
  <c r="U21" i="17"/>
  <c r="DX10" i="6"/>
  <c r="N31" i="17"/>
  <c r="U31" i="17" s="1"/>
  <c r="DX20" i="6"/>
  <c r="N29" i="17"/>
  <c r="U29" i="17" s="1"/>
  <c r="DX18" i="6"/>
  <c r="N30" i="17"/>
  <c r="U30" i="17" s="1"/>
  <c r="DX19" i="6"/>
  <c r="N28" i="17"/>
  <c r="U28" i="17" s="1"/>
  <c r="DX17" i="6"/>
  <c r="N27" i="17"/>
  <c r="U27" i="17" s="1"/>
  <c r="DX16" i="6"/>
  <c r="N39" i="17"/>
  <c r="U39" i="17" s="1"/>
  <c r="DX28" i="6"/>
  <c r="N37" i="17"/>
  <c r="U37" i="17" s="1"/>
  <c r="DX26" i="6"/>
  <c r="N36" i="17"/>
  <c r="U36" i="17" s="1"/>
  <c r="DX25" i="6"/>
  <c r="N34" i="17"/>
  <c r="U34" i="17" s="1"/>
  <c r="DX23" i="6"/>
  <c r="N35" i="17"/>
  <c r="U35" i="17" s="1"/>
  <c r="DX24" i="6"/>
  <c r="N32" i="17"/>
  <c r="U32" i="17" s="1"/>
  <c r="DX21" i="6"/>
  <c r="N33" i="17"/>
  <c r="U33" i="17" s="1"/>
  <c r="DX22" i="6"/>
  <c r="N40" i="17"/>
  <c r="U40" i="17" s="1"/>
  <c r="DX29" i="6"/>
  <c r="N41" i="17"/>
  <c r="U41" i="17" s="1"/>
  <c r="DX30" i="6"/>
  <c r="N38" i="17"/>
  <c r="U38" i="17" s="1"/>
  <c r="DX27" i="6"/>
  <c r="C7" i="36"/>
  <c r="AD9" i="36"/>
  <c r="C9" i="36"/>
  <c r="C28" i="36"/>
  <c r="C8" i="36"/>
  <c r="C6" i="36"/>
  <c r="C35" i="36"/>
  <c r="C38" i="36"/>
  <c r="AD6" i="36"/>
  <c r="C37" i="36"/>
  <c r="AD7" i="36"/>
  <c r="U18" i="17"/>
  <c r="U17" i="17"/>
  <c r="N19" i="17"/>
  <c r="U19" i="17" s="1"/>
  <c r="U20" i="17"/>
  <c r="EE10" i="6"/>
  <c r="EA3" i="6"/>
  <c r="D36" i="40" s="1"/>
  <c r="F36" i="40" s="1"/>
  <c r="DX4" i="6"/>
  <c r="N15" i="17"/>
  <c r="T24" i="17"/>
  <c r="AD55" i="36" s="1"/>
  <c r="T25" i="17"/>
  <c r="C4" i="36" s="1"/>
  <c r="T26" i="17"/>
  <c r="C27" i="36" s="1"/>
  <c r="T22" i="17"/>
  <c r="C23" i="36" s="1"/>
  <c r="T23" i="17"/>
  <c r="C31" i="36" s="1"/>
  <c r="U22" i="17"/>
  <c r="U23" i="17"/>
  <c r="U24" i="17"/>
  <c r="U26" i="17"/>
  <c r="U25" i="17"/>
  <c r="C16" i="36" l="1"/>
  <c r="AD16" i="36"/>
  <c r="C17" i="36"/>
  <c r="AD17" i="36"/>
  <c r="C19" i="36"/>
  <c r="AD19" i="36"/>
  <c r="AD20" i="36"/>
  <c r="C18" i="36"/>
  <c r="AD18" i="36"/>
  <c r="C22" i="36"/>
  <c r="C21" i="36"/>
  <c r="C20" i="36"/>
  <c r="C24" i="36"/>
  <c r="C26" i="36"/>
  <c r="AD26" i="36"/>
  <c r="C25" i="36"/>
  <c r="C51" i="36"/>
  <c r="C49" i="36"/>
  <c r="C5" i="36"/>
  <c r="C52" i="36"/>
  <c r="C50" i="36"/>
  <c r="AD52" i="36"/>
  <c r="AD50" i="36"/>
  <c r="AD49" i="36"/>
  <c r="AD22" i="36"/>
  <c r="AD24" i="36"/>
  <c r="AD23" i="36"/>
  <c r="AD21" i="36"/>
  <c r="AD25" i="36"/>
  <c r="U15" i="17"/>
  <c r="AE4" i="36" s="1"/>
  <c r="AD27" i="36"/>
  <c r="AD37" i="36"/>
  <c r="AD38" i="36"/>
  <c r="AD39" i="36"/>
  <c r="AD29" i="36"/>
  <c r="AD28" i="36"/>
  <c r="AD36" i="36"/>
  <c r="D52" i="36"/>
  <c r="C54" i="36"/>
  <c r="D51" i="36"/>
  <c r="D49" i="36"/>
  <c r="C55" i="36"/>
  <c r="C53" i="36"/>
  <c r="D50" i="36"/>
  <c r="D20" i="36"/>
  <c r="AD5" i="36"/>
  <c r="C48" i="36"/>
  <c r="AD4" i="36"/>
  <c r="C47" i="36"/>
  <c r="AE47" i="36"/>
  <c r="AD48" i="36"/>
  <c r="AD47" i="36"/>
  <c r="AE24" i="36"/>
  <c r="AD53" i="36"/>
  <c r="AD51" i="36"/>
  <c r="AE7" i="36"/>
  <c r="AE20" i="36"/>
  <c r="D29" i="36"/>
  <c r="AE46" i="36"/>
  <c r="AE8" i="36"/>
  <c r="AE30" i="36"/>
  <c r="D24" i="36"/>
  <c r="D9" i="36"/>
  <c r="D17" i="36"/>
  <c r="AE17" i="36"/>
  <c r="D19" i="36"/>
  <c r="AE19" i="36"/>
  <c r="D18" i="36"/>
  <c r="AE18" i="36"/>
  <c r="D23" i="36"/>
  <c r="AE23" i="36"/>
  <c r="D22" i="36"/>
  <c r="AE22" i="36"/>
  <c r="D21" i="36"/>
  <c r="AE21" i="36"/>
  <c r="D4" i="36"/>
  <c r="C13" i="36"/>
  <c r="C34" i="36"/>
  <c r="C15" i="36"/>
  <c r="D25" i="36"/>
  <c r="D36" i="36"/>
  <c r="D26" i="36"/>
  <c r="AD10" i="36"/>
  <c r="AD30" i="36"/>
  <c r="C30" i="36"/>
  <c r="D31" i="36"/>
  <c r="AE25" i="36"/>
  <c r="D8" i="36"/>
  <c r="D28" i="36"/>
  <c r="C33" i="36"/>
  <c r="C12" i="36"/>
  <c r="C32" i="36"/>
  <c r="D7" i="36"/>
  <c r="D27" i="36"/>
  <c r="AE55" i="36"/>
  <c r="C41" i="36"/>
  <c r="C11" i="36"/>
  <c r="D6" i="36"/>
  <c r="C42" i="36"/>
  <c r="C10" i="36"/>
  <c r="C46" i="36"/>
  <c r="C14" i="36"/>
  <c r="C44" i="36"/>
  <c r="C40" i="36"/>
  <c r="D35" i="36"/>
  <c r="AE6" i="36"/>
  <c r="D37" i="36"/>
  <c r="AE27" i="36"/>
  <c r="D38" i="36"/>
  <c r="AE31" i="36"/>
  <c r="AD34" i="36"/>
  <c r="C45" i="36"/>
  <c r="AE28" i="36"/>
  <c r="D39" i="36"/>
  <c r="AD32" i="36"/>
  <c r="C43" i="36"/>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42" i="36"/>
  <c r="AE41" i="36"/>
  <c r="AE40" i="36"/>
  <c r="AE54" i="36"/>
  <c r="AE52" i="36"/>
  <c r="AE53" i="36"/>
  <c r="AE51" i="36"/>
  <c r="AE43" i="36"/>
  <c r="AE50" i="36"/>
  <c r="AE49" i="36"/>
  <c r="AE13" i="36"/>
  <c r="AE14" i="36"/>
  <c r="AE11" i="36"/>
  <c r="AE12" i="36"/>
  <c r="AE5" i="36" l="1"/>
  <c r="D5" i="36"/>
  <c r="AE10" i="36"/>
  <c r="AE16" i="36"/>
  <c r="D16" i="36"/>
  <c r="AE26" i="36"/>
  <c r="AE32" i="36"/>
  <c r="M70" i="17"/>
  <c r="D29" i="18" s="1"/>
  <c r="G29" i="18" s="1"/>
  <c r="D14" i="36"/>
  <c r="D33" i="36"/>
  <c r="D48" i="36"/>
  <c r="D53" i="36"/>
  <c r="D54" i="36"/>
  <c r="D46" i="36"/>
  <c r="D11" i="36"/>
  <c r="D15" i="36"/>
  <c r="D55" i="36"/>
  <c r="D43" i="36"/>
  <c r="D45" i="36"/>
  <c r="D40" i="36"/>
  <c r="D10" i="36"/>
  <c r="D41" i="36"/>
  <c r="D32" i="36"/>
  <c r="D30" i="36"/>
  <c r="D34" i="36"/>
  <c r="D47" i="36"/>
  <c r="D44" i="36"/>
  <c r="D42" i="36"/>
  <c r="D12" i="36"/>
  <c r="D13" i="36"/>
  <c r="N70" i="17" l="1" a="1"/>
  <c r="N70" i="17" s="1"/>
  <c r="C6" i="37" s="1"/>
  <c r="C5" i="37"/>
  <c r="D28" i="18" l="1"/>
  <c r="G28" i="18" s="1"/>
  <c r="N71" i="17"/>
  <c r="I118" i="32"/>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Bytheway, Mark</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27" authorId="1" shapeId="0" xr:uid="{F99A1311-C067-4DDD-A648-3D3B62E10D8A}">
      <text>
        <r>
          <rPr>
            <sz val="9"/>
            <color indexed="81"/>
            <rFont val="Tahoma"/>
            <family val="2"/>
          </rPr>
          <t xml:space="preserve">
Please note that these percentiles are adjusted for rebookings/DNAs/Cancellations/ROTT so the figures displayed will not mirror what is shown on the SPC chart in the SPC chart tab.</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<sst xmlns="http://schemas.openxmlformats.org/spreadsheetml/2006/main" count="2551" uniqueCount="1304">
  <si>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</si>
  <si>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</si>
  <si>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</si>
  <si>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</si>
  <si>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</si>
  <si>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</si>
  <si>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</si>
  <si>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</si>
  <si>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</si>
  <si>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</si>
  <si>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</si>
  <si>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</si>
  <si>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</si>
  <si>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</si>
  <si>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</si>
  <si>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</si>
  <si>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</si>
  <si>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</si>
  <si>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</si>
  <si>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</si>
  <si>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</si>
  <si>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</si>
  <si>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</si>
  <si>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</si>
  <si>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</si>
  <si>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</si>
  <si>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</si>
  <si>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</si>
  <si>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</si>
  <si>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</si>
  <si>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</si>
  <si>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</si>
  <si>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</si>
  <si>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</si>
  <si>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</si>
  <si>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</si>
  <si>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</si>
  <si>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</si>
  <si>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</si>
  <si>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</si>
  <si>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</si>
  <si>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</si>
  <si>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</si>
  <si>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</si>
  <si>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</si>
  <si>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</si>
  <si>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</si>
  <si>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</si>
  <si>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</si>
  <si>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</si>
  <si>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</si>
  <si>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</si>
  <si>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</si>
  <si>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</si>
  <si>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</si>
  <si>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</si>
  <si>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</si>
  <si>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</si>
  <si>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</si>
  <si>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</si>
  <si>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</si>
  <si>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</si>
  <si>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</si>
  <si>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</si>
  <si>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</si>
  <si>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</si>
  <si>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</si>
  <si>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</si>
  <si>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</si>
  <si>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</si>
  <si>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</si>
  <si>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</si>
  <si>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</si>
  <si>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</si>
  <si>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</si>
  <si>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</si>
  <si>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</si>
  <si>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</si>
  <si>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</si>
  <si>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</si>
  <si>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</si>
  <si>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</si>
  <si>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</si>
  <si>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</si>
  <si>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</si>
  <si>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</si>
  <si>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</si>
  <si>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</si>
  <si>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</si>
  <si>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</si>
  <si>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</si>
  <si>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</si>
  <si>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</si>
  <si>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</si>
  <si>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</si>
  <si>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</si>
  <si>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</si>
  <si>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</si>
  <si>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</si>
  <si>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</si>
  <si>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</si>
  <si>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</si>
  <si>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</si>
  <si>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</si>
  <si>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</si>
  <si>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</si>
  <si>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</si>
  <si>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</si>
  <si>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</si>
  <si>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</si>
  <si>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</si>
  <si>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</si>
  <si>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</si>
  <si>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</si>
  <si>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</si>
  <si>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</si>
  <si>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</si>
  <si>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</si>
  <si>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</si>
  <si>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</si>
  <si>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</si>
  <si>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</si>
  <si>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</si>
  <si>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</si>
  <si>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</si>
  <si>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</si>
  <si>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</si>
  <si>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</si>
  <si>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</si>
  <si>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</si>
  <si>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</si>
  <si>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</si>
  <si>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</si>
  <si>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</si>
  <si>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</si>
  <si>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</si>
  <si>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</si>
  <si>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</si>
  <si>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</si>
  <si>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</si>
  <si>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</si>
  <si>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</si>
  <si>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</si>
  <si>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</si>
  <si>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</si>
  <si>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</si>
  <si>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</si>
  <si>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</si>
  <si>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</si>
  <si>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</si>
  <si>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</si>
  <si>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</si>
  <si>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</si>
  <si>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</si>
  <si>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</si>
  <si>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</si>
  <si>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</si>
  <si>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</si>
  <si>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</si>
  <si>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</si>
  <si>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</si>
  <si>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</si>
  <si>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</si>
  <si>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</si>
  <si>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</si>
  <si>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</si>
  <si>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</si>
  <si>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</si>
  <si>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</si>
  <si>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</si>
  <si>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</si>
  <si>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</si>
  <si>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</si>
  <si>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</si>
  <si>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</si>
  <si>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</si>
  <si>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</si>
  <si>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</si>
  <si>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</si>
  <si>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</si>
  <si>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</si>
  <si>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</si>
  <si>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</si>
  <si>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</si>
  <si>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</si>
  <si>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</si>
  <si>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</si>
  <si>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</si>
  <si>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</si>
  <si>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</si>
  <si>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</si>
  <si>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</si>
  <si>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</si>
  <si>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</si>
  <si>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</si>
  <si>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</si>
  <si>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</si>
  <si>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</si>
  <si>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</si>
  <si>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</si>
  <si>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</si>
  <si>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</si>
  <si>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</si>
  <si>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</si>
  <si>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</si>
  <si>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</si>
  <si>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</si>
  <si>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</si>
  <si>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</si>
  <si>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</si>
  <si>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</si>
  <si>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</si>
  <si>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</si>
  <si>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</si>
  <si>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</si>
  <si>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</si>
  <si>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</si>
  <si>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</si>
  <si>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</si>
  <si>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</si>
  <si>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</si>
  <si>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</si>
  <si>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</si>
  <si>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</si>
  <si>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</si>
  <si>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</si>
  <si>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</si>
  <si>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</si>
  <si>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</si>
  <si>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</si>
  <si>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</si>
  <si>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</si>
  <si>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</si>
  <si>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</si>
  <si>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</si>
  <si>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</si>
  <si>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</si>
  <si>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</si>
  <si>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</si>
  <si>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</si>
  <si>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</si>
  <si>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</si>
  <si>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</si>
  <si>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</si>
  <si>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</si>
  <si>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</si>
  <si>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</si>
  <si>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</si>
  <si>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</si>
  <si>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</si>
  <si>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</si>
  <si>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</si>
  <si>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</si>
  <si>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</si>
  <si>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</si>
  <si>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</si>
  <si>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</si>
  <si>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</si>
  <si>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</si>
  <si>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</si>
  <si>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</si>
  <si>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</si>
  <si>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</si>
  <si>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</si>
  <si>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</si>
  <si>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</si>
  <si>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</si>
  <si>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</si>
  <si>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</si>
  <si>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</si>
  <si>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</si>
  <si>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</si>
  <si>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</si>
  <si>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</si>
  <si>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</si>
  <si>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</si>
  <si>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</si>
  <si>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</si>
  <si>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</si>
  <si>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</si>
  <si>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</si>
  <si>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</si>
  <si>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</si>
  <si>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</si>
  <si>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</si>
  <si>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</si>
  <si>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</si>
  <si>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</si>
  <si>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</si>
  <si>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</si>
  <si>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</si>
  <si>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</si>
  <si>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</si>
  <si>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</si>
  <si>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</si>
  <si>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</si>
  <si>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</si>
  <si>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</si>
  <si>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</si>
  <si>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</si>
  <si>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</si>
  <si>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</si>
  <si>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</si>
  <si>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</si>
  <si>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</si>
  <si>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</si>
  <si>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</si>
  <si>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</si>
  <si>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</si>
  <si>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</si>
  <si>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</si>
  <si>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</si>
  <si>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</si>
  <si>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</si>
  <si>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</si>
  <si>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</si>
  <si>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</si>
  <si>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</si>
  <si>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</si>
  <si>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</si>
  <si>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</si>
  <si>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</si>
  <si>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</si>
  <si>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</si>
  <si>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</si>
  <si>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</si>
  <si>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</si>
  <si>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</si>
  <si>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</si>
  <si>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</si>
  <si>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</si>
  <si>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</si>
  <si>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</si>
  <si>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</si>
  <si>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</si>
  <si>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</si>
  <si>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</si>
  <si>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</si>
  <si>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</si>
  <si>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</si>
  <si>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</si>
  <si>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</si>
  <si>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</si>
  <si>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</si>
  <si>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</si>
  <si>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</si>
  <si>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</si>
  <si>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</si>
  <si>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</si>
  <si>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</si>
  <si>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</si>
  <si>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</si>
  <si>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</si>
  <si>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</si>
  <si>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</si>
  <si>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</si>
  <si>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</si>
  <si>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</si>
  <si>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</si>
  <si>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</si>
  <si>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</si>
  <si>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</si>
  <si>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</si>
  <si>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</si>
  <si>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</si>
  <si>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</si>
  <si>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</si>
  <si>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</si>
  <si>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</si>
  <si>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</si>
  <si>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</si>
  <si>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</si>
  <si>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</si>
  <si>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</si>
  <si>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</si>
  <si>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</si>
  <si>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</si>
  <si>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</si>
  <si>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</si>
  <si>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</si>
  <si>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</si>
  <si>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</si>
  <si>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</si>
  <si>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</si>
  <si>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</si>
  <si>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</si>
  <si>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</si>
  <si>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</si>
  <si>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</si>
  <si>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</si>
  <si>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</si>
  <si>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</si>
  <si>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</si>
  <si>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</si>
  <si>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</si>
  <si>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</si>
  <si>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</si>
  <si>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</si>
  <si>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</si>
  <si>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</si>
  <si>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</si>
  <si>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</si>
  <si>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</si>
  <si>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</si>
  <si>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</si>
  <si>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</si>
  <si>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</si>
  <si>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</si>
  <si>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</si>
  <si>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</si>
  <si>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</si>
  <si>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</si>
  <si>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</si>
  <si>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</si>
  <si>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</si>
  <si>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</si>
  <si>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</si>
  <si>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</si>
  <si>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</si>
  <si>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</si>
  <si>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</si>
  <si>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</si>
  <si>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</si>
  <si>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</si>
  <si>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</si>
  <si>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</si>
  <si>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</si>
  <si>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</si>
  <si>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</si>
  <si>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</si>
  <si>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</si>
  <si>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</si>
  <si>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</si>
  <si>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</si>
  <si>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</si>
  <si>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</si>
  <si>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</si>
  <si>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</si>
  <si>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</si>
  <si>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</si>
  <si>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</si>
  <si>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</si>
  <si>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</si>
  <si>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</si>
  <si>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</si>
  <si>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</si>
  <si>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</si>
  <si>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</si>
  <si>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</si>
  <si>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</si>
  <si>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</si>
  <si>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</si>
  <si>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</si>
  <si>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</si>
  <si>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</si>
  <si>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</si>
  <si>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</si>
  <si>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</si>
  <si>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</si>
  <si>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</si>
  <si>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</si>
  <si>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</si>
  <si>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</si>
  <si>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</si>
  <si>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</si>
  <si>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</si>
  <si>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</si>
  <si>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</si>
  <si>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</si>
  <si>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</si>
  <si>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</si>
  <si>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</si>
  <si>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</si>
  <si>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</si>
  <si>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</si>
  <si>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</si>
  <si>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</si>
  <si>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</si>
  <si>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</si>
  <si>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</si>
  <si>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</si>
  <si>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</si>
  <si>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</si>
  <si>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</si>
  <si>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</si>
  <si>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</si>
  <si>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</si>
  <si>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</si>
  <si>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</si>
  <si>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</si>
  <si>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</si>
  <si>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</si>
  <si>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</si>
  <si>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</si>
  <si>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</si>
  <si>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</si>
  <si>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</si>
  <si>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</si>
  <si>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</si>
  <si>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</si>
  <si>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</si>
  <si>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</si>
  <si>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</si>
  <si>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</si>
  <si>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</si>
  <si>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</si>
  <si>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</si>
  <si>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</si>
  <si>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</si>
  <si>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</si>
  <si>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</si>
  <si>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</si>
  <si>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</si>
  <si>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</si>
  <si>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</si>
  <si>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</si>
  <si>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</si>
  <si>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</si>
  <si>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</si>
  <si>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</si>
  <si>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</si>
  <si>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</si>
  <si>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</si>
  <si>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</si>
  <si>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</si>
  <si>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</si>
  <si>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</si>
  <si>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</si>
  <si>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</si>
  <si>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</si>
  <si>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</si>
  <si>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</si>
  <si>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</si>
  <si>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</si>
  <si>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</si>
  <si>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</si>
  <si>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</si>
  <si>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</si>
  <si>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</si>
  <si>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</si>
  <si>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</si>
  <si>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</si>
  <si>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</si>
  <si>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</si>
  <si>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</si>
  <si>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</si>
  <si>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</si>
  <si>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</si>
  <si>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</si>
  <si>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</si>
  <si>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</si>
  <si>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</si>
  <si>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</si>
  <si>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</si>
  <si>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</si>
  <si>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</si>
  <si>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</si>
  <si>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</si>
  <si>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</si>
  <si>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</si>
  <si>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</si>
  <si>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</si>
  <si>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</si>
  <si>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</si>
  <si>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</si>
  <si>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</si>
  <si>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</si>
  <si>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</si>
  <si>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</si>
  <si>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</si>
  <si>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</si>
  <si>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</si>
  <si>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</si>
  <si>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</si>
  <si>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</si>
  <si>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</si>
  <si>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</si>
  <si>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</si>
  <si>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</si>
  <si>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</si>
  <si>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</si>
  <si>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</si>
  <si>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</si>
  <si>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</si>
  <si>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</si>
  <si>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</si>
  <si>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</si>
  <si>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</si>
  <si>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</si>
  <si>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</si>
  <si>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</si>
  <si>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</si>
  <si>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</si>
  <si>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</si>
  <si>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</si>
  <si>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</si>
  <si>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</si>
  <si>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</si>
  <si>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</si>
  <si>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</si>
  <si>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</si>
  <si>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</si>
  <si>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</si>
  <si>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</si>
  <si>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</si>
  <si>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</si>
  <si>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</si>
  <si>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</si>
  <si>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</si>
  <si>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</si>
  <si>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</si>
  <si>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</si>
  <si>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</si>
  <si>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</si>
  <si>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</si>
  <si>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</si>
  <si>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</si>
  <si>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</si>
  <si>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</si>
  <si>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</si>
  <si>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</si>
  <si>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</si>
  <si>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</si>
  <si>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</si>
  <si>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</si>
  <si>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</si>
  <si>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</si>
  <si>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</si>
  <si>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</si>
  <si>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</si>
  <si>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</si>
  <si>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</si>
  <si>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</si>
  <si>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</si>
  <si>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</si>
  <si>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</si>
  <si>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</si>
  <si>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</si>
  <si>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</si>
  <si>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</si>
  <si>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</si>
  <si>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</si>
  <si>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</si>
  <si>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</si>
  <si>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</si>
  <si>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</si>
  <si>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</si>
  <si>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</si>
  <si>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</si>
  <si>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</si>
  <si>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</si>
  <si>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</si>
  <si>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</si>
  <si>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</si>
  <si>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</si>
  <si>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</si>
  <si>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</si>
  <si>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</si>
  <si>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</si>
  <si>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</si>
  <si>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</si>
  <si>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</si>
  <si>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</si>
  <si>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</si>
  <si>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</si>
  <si>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</si>
  <si>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</si>
  <si>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</si>
  <si>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</si>
  <si>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</si>
  <si>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</si>
  <si>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</si>
  <si>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</si>
  <si>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</si>
  <si>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</si>
  <si>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</si>
  <si>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</si>
  <si>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</si>
  <si>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</si>
  <si>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</si>
  <si>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</si>
  <si>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</si>
  <si>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</si>
  <si>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</si>
  <si>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</si>
  <si>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</si>
  <si>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</si>
  <si>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</si>
  <si>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</si>
  <si>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</si>
  <si>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</si>
  <si>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</si>
  <si>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</si>
  <si>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</si>
  <si>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</si>
  <si>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</si>
  <si>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</si>
  <si>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</si>
  <si>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</si>
  <si>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</si>
  <si>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</si>
  <si>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</si>
  <si>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</si>
  <si>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</si>
  <si>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</si>
  <si>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</si>
  <si>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</si>
  <si>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</si>
  <si>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</si>
  <si>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</si>
  <si>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</si>
  <si>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</si>
  <si>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</si>
  <si>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</si>
  <si>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</si>
  <si>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</si>
  <si>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</si>
  <si>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</si>
  <si>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</si>
  <si>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</si>
  <si>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</si>
  <si>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</si>
  <si>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</si>
  <si>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</si>
  <si>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</si>
  <si>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</si>
  <si>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</si>
  <si>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</si>
  <si>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</si>
  <si>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</si>
  <si>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</si>
  <si>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</si>
  <si>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</si>
  <si>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</si>
  <si>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</si>
  <si>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</si>
  <si>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</si>
  <si>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</si>
  <si>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</si>
  <si>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</si>
  <si>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</si>
  <si>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</si>
  <si>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</si>
  <si>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</si>
  <si>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</si>
  <si>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</si>
  <si>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</si>
  <si>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</si>
  <si>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</si>
  <si>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</si>
  <si>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</si>
  <si>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</si>
  <si>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</si>
  <si>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</si>
  <si>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</si>
  <si>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</si>
  <si>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</si>
  <si>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</si>
  <si>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</si>
  <si>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</si>
  <si>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</si>
  <si>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</si>
  <si>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</si>
  <si>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</si>
  <si>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</si>
  <si>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</si>
  <si>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</si>
  <si>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</si>
  <si>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</si>
  <si>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</si>
  <si>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</si>
  <si>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</si>
  <si>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</si>
  <si>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</si>
  <si>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</si>
  <si>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</si>
  <si>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</si>
  <si>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</si>
  <si>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</si>
  <si>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</si>
  <si>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</si>
  <si>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</si>
  <si>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</si>
  <si>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</si>
  <si>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</si>
  <si>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</si>
  <si>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</si>
  <si>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</si>
  <si>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</si>
  <si>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</si>
  <si>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</si>
  <si>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</si>
  <si>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</si>
  <si>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</si>
  <si>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</si>
  <si>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</si>
  <si>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</si>
  <si>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</si>
  <si>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</si>
  <si>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</si>
  <si>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</si>
  <si>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</si>
  <si>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</si>
  <si>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</si>
  <si>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</si>
  <si>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</si>
  <si>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</si>
  <si>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</si>
  <si>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</si>
  <si>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</si>
  <si>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</si>
  <si>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</si>
  <si>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</si>
  <si>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</si>
  <si>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</si>
  <si>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</si>
  <si>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</si>
  <si>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</si>
  <si>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</si>
  <si>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</si>
  <si>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</si>
  <si>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</si>
  <si>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</si>
  <si>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</si>
  <si>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</si>
  <si>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</si>
  <si>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</si>
  <si>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</si>
  <si>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</si>
  <si>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</si>
  <si>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</si>
  <si>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</si>
  <si>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</si>
  <si>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</si>
  <si>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</si>
  <si>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</si>
  <si>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</si>
  <si>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</si>
  <si>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</si>
  <si>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</si>
  <si>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</si>
  <si>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</si>
  <si>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</si>
  <si>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</si>
  <si>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</si>
  <si>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</si>
  <si>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</si>
  <si>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</si>
  <si>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</si>
  <si>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</si>
  <si>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</si>
  <si>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</si>
  <si>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</si>
  <si>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</si>
  <si>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</si>
  <si>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</si>
  <si>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</si>
  <si>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</si>
  <si>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</si>
  <si>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</si>
  <si>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</si>
  <si>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</si>
  <si>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</si>
  <si>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</si>
  <si>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</si>
  <si>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</si>
  <si>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</si>
  <si>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</si>
  <si>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</si>
  <si>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</si>
  <si>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</si>
  <si>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</si>
  <si>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</si>
  <si>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</si>
  <si>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</si>
  <si>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</si>
  <si>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</si>
  <si>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</si>
  <si>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</si>
  <si>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</si>
  <si>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</si>
  <si>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</si>
  <si>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</si>
  <si>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</si>
  <si>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</si>
  <si>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</si>
  <si>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</si>
  <si>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</si>
  <si>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</si>
  <si>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</si>
  <si>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</si>
  <si>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</si>
  <si>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</si>
  <si>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</si>
  <si>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</si>
  <si>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</si>
  <si>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</si>
  <si>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</si>
  <si>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</si>
  <si>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</si>
  <si>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</si>
  <si>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</si>
  <si>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</si>
  <si>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</si>
  <si>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</si>
  <si>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</si>
  <si>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</si>
  <si>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</si>
  <si>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</si>
  <si>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</si>
  <si>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</si>
  <si>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</si>
  <si>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</si>
  <si>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</si>
  <si>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</si>
  <si>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</si>
  <si>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</si>
  <si>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</si>
  <si>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</si>
  <si>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</si>
  <si>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</si>
  <si>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</si>
  <si>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</si>
  <si>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</si>
  <si>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</si>
  <si>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</si>
  <si>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</si>
  <si>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</si>
  <si>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</si>
  <si>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</si>
  <si>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</si>
  <si>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</si>
  <si>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</si>
  <si>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</si>
  <si>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</si>
  <si>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</si>
  <si>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</si>
  <si>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</si>
  <si>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</si>
  <si>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</si>
  <si>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</si>
  <si>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</si>
  <si>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</si>
  <si>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</si>
  <si>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</si>
  <si>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</si>
  <si>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</si>
  <si>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</si>
  <si>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</si>
  <si>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</si>
  <si>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</si>
  <si>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</si>
  <si>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</si>
  <si>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</si>
  <si>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</si>
  <si>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</si>
  <si>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</si>
  <si>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</si>
  <si>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</si>
  <si>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</si>
  <si>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</si>
  <si>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</si>
  <si>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</si>
  <si>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</si>
  <si>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</si>
  <si>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</si>
  <si>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</si>
  <si>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</si>
  <si>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</si>
  <si>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</si>
  <si>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</si>
  <si>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</si>
  <si>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</si>
  <si>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</si>
  <si>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</si>
  <si>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</si>
  <si>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</si>
  <si>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</si>
  <si>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</si>
  <si>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</si>
  <si>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</si>
  <si>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</si>
  <si>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</si>
  <si>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</si>
  <si>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</si>
  <si>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</si>
  <si>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</si>
  <si>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</si>
  <si>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</si>
  <si>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</si>
  <si>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</si>
  <si>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</si>
  <si>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</si>
  <si>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</si>
  <si>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</si>
  <si>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</si>
  <si>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</si>
  <si>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</si>
  <si>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</si>
  <si>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</si>
  <si>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</si>
  <si>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</si>
  <si>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</si>
  <si>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</si>
  <si>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</si>
  <si>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</si>
  <si>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</si>
  <si>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</si>
  <si>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</si>
  <si>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</si>
  <si>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</si>
  <si>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</si>
  <si>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</si>
  <si>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</si>
  <si>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</si>
  <si>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</si>
  <si>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</si>
  <si>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</si>
  <si>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</si>
  <si>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</si>
  <si>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</si>
  <si>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</si>
  <si>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</si>
  <si>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</si>
  <si>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</si>
  <si>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</si>
  <si>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</si>
  <si>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</si>
  <si>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</si>
  <si>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</si>
  <si>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</si>
  <si>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</si>
  <si>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</si>
  <si>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</si>
  <si>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</si>
  <si>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</si>
  <si>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</si>
  <si>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</si>
  <si>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</si>
  <si>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</si>
  <si>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</si>
  <si>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</si>
  <si>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</si>
  <si>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</si>
  <si>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</si>
  <si>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</si>
  <si>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</si>
  <si>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</si>
  <si>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</si>
  <si>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</si>
  <si>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</si>
  <si>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</si>
  <si>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</si>
  <si>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</si>
  <si>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</si>
  <si>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</si>
  <si>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</si>
  <si>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</si>
  <si>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</si>
  <si>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</si>
  <si>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</si>
  <si>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</si>
  <si>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</si>
  <si>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</si>
  <si>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</si>
  <si>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</si>
  <si>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</si>
  <si>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</si>
  <si>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</si>
  <si>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</si>
  <si>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</si>
  <si>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</si>
  <si>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</si>
  <si>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</si>
  <si>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</si>
  <si>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</si>
  <si>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</si>
  <si>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</si>
  <si>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</si>
  <si>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</si>
  <si>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</si>
  <si>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</si>
  <si>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</si>
  <si>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</si>
  <si>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</si>
  <si>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</si>
  <si>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</si>
  <si>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</si>
  <si>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</si>
  <si>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</si>
  <si>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</si>
  <si>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</si>
  <si>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</si>
  <si>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</si>
  <si>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</si>
  <si>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</si>
  <si>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</si>
  <si>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</si>
  <si>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</si>
  <si>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</si>
  <si>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</si>
  <si>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</si>
  <si>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</si>
  <si>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</si>
  <si>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</si>
  <si>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</si>
  <si>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</si>
  <si>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</si>
  <si>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</si>
  <si>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</si>
  <si>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</si>
  <si>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</si>
  <si>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</si>
  <si>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</si>
  <si>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</si>
  <si>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</si>
  <si>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</si>
  <si>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</si>
  <si>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</si>
  <si>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</si>
  <si>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</si>
  <si>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</si>
  <si>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</si>
  <si>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</si>
  <si>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</si>
  <si>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</si>
  <si>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</si>
  <si>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</si>
  <si>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</si>
  <si>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</si>
  <si>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</si>
  <si>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</si>
  <si>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</si>
  <si>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</si>
  <si>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</si>
  <si>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</si>
  <si>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</si>
  <si>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</si>
  <si>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</si>
  <si>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</si>
  <si>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</si>
  <si>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</si>
  <si>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</si>
  <si>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</si>
  <si>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</si>
  <si>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</si>
  <si>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</si>
  <si>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</si>
  <si>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</si>
  <si>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</si>
  <si>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</si>
  <si>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</si>
  <si>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</si>
  <si>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</si>
  <si>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</si>
  <si>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</si>
  <si>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</si>
  <si>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</si>
  <si>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</si>
  <si>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</si>
  <si>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</si>
  <si>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</si>
  <si>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</si>
  <si>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</si>
  <si>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</si>
  <si>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</si>
  <si>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</si>
  <si>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</si>
  <si>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</si>
  <si>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</si>
  <si>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</si>
  <si>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</si>
  <si>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</si>
  <si>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</si>
  <si>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</si>
  <si>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</si>
  <si>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</si>
  <si>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</si>
  <si>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</si>
  <si>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</si>
  <si>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</si>
  <si>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</si>
  <si>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</si>
  <si>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</si>
  <si>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</si>
  <si>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</si>
  <si>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</si>
  <si>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</si>
  <si>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</si>
  <si>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</si>
  <si>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</si>
  <si>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</si>
  <si>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</si>
  <si>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</si>
  <si>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</si>
  <si>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</si>
  <si>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</si>
  <si>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</si>
  <si>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</si>
  <si>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</si>
  <si>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</si>
  <si>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</si>
  <si>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</si>
  <si>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</si>
  <si>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</si>
  <si>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</si>
  <si>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</si>
  <si>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</si>
  <si>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</si>
  <si>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</si>
  <si>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</si>
  <si>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</si>
  <si>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</si>
  <si>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</si>
  <si>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</si>
  <si>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</si>
  <si>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</si>
  <si>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</si>
  <si>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</si>
  <si>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</si>
  <si>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</si>
  <si>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</si>
  <si>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</si>
  <si>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</si>
  <si>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</si>
  <si>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</si>
  <si>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</si>
  <si>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</si>
  <si>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</si>
  <si>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</si>
  <si>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</si>
  <si>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</si>
  <si>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</si>
  <si>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</si>
  <si>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</si>
  <si>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</si>
  <si>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</si>
  <si>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</si>
  <si>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</si>
  <si>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</si>
  <si>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</si>
  <si>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</si>
  <si>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</si>
  <si>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</si>
  <si>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</si>
  <si>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</si>
  <si>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</si>
  <si>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</si>
  <si>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</si>
  <si>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</si>
  <si>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t>
  </si>
  <si>
    <t>AdHoc</t>
  </si>
  <si>
    <t>Enabled</t>
  </si>
  <si>
    <t>Change demand scenario:</t>
  </si>
  <si>
    <t>Consultant: Mr Smith</t>
  </si>
  <si>
    <t>Consultant: Ms Taylor</t>
  </si>
  <si>
    <t>CT Scanner 1</t>
  </si>
  <si>
    <t>CT Scanner 2</t>
  </si>
  <si>
    <t>CT Scanner 3</t>
  </si>
  <si>
    <t>1. Consultant: Mr Smith</t>
  </si>
  <si>
    <t>2. Consultant: Ms Taylor</t>
  </si>
  <si>
    <t>3. CT Scanner 1</t>
  </si>
  <si>
    <t>Change Capacity Scenario:</t>
  </si>
  <si>
    <t>Name:</t>
  </si>
  <si>
    <t>Demand Uplift:</t>
  </si>
  <si>
    <t>ROTT:</t>
  </si>
  <si>
    <t>Scenario Count:</t>
  </si>
  <si>
    <t>Test</t>
  </si>
  <si>
    <t>NASL%</t>
  </si>
  <si>
    <t>NASR:D%</t>
  </si>
  <si>
    <t>NASL:D%</t>
  </si>
  <si>
    <t>Paul Bullard + Sai Khunpha</t>
  </si>
  <si>
    <t>Additional functionality:
Users can now save capacity and scenario templates, and switch between them for what-if planning. 
Scenario and capacity templates can be loaded via the Summary page.</t>
  </si>
  <si>
    <t>Core session</t>
  </si>
  <si>
    <t>3.4h</t>
  </si>
  <si>
    <t>Bug fix:
Capacity conversion from patients -&gt; other units and vice versa not working as expected, corrected so that it is now calculating correctly.</t>
  </si>
  <si>
    <t>3.4i</t>
  </si>
  <si>
    <t>Test name 1</t>
  </si>
  <si>
    <t>Test name 2</t>
  </si>
  <si>
    <t>Another modality</t>
  </si>
  <si>
    <t>Selection List</t>
  </si>
  <si>
    <t>Core Clinic 1</t>
  </si>
  <si>
    <t>Mon</t>
  </si>
  <si>
    <t>Independent sector 1</t>
  </si>
  <si>
    <t>Core Clinic 2</t>
  </si>
  <si>
    <t>Ad Hoc 2</t>
  </si>
  <si>
    <t>Core Clinic 3</t>
  </si>
  <si>
    <t>Tue</t>
  </si>
  <si>
    <t>Core Clinic 4</t>
  </si>
  <si>
    <t>Thu</t>
  </si>
  <si>
    <t>Covid restoration clinic</t>
  </si>
  <si>
    <t>Wed</t>
  </si>
  <si>
    <t>3.4ii</t>
  </si>
  <si>
    <t>5% Increase</t>
  </si>
  <si>
    <t>Current Template:</t>
  </si>
  <si>
    <t>Scenario1</t>
  </si>
  <si>
    <t>Capacity Scenario:</t>
  </si>
  <si>
    <t>Planning Scenario:</t>
  </si>
  <si>
    <t>Capacity Template Options</t>
  </si>
  <si>
    <t>Historic data</t>
  </si>
  <si>
    <t xml:space="preserve">  Based on 85th percentile</t>
  </si>
  <si>
    <t xml:space="preserve">  Based on 65th percentile</t>
  </si>
  <si>
    <t>[Not Saved]</t>
  </si>
  <si>
    <t>Warning message for importing capacity and demand scenarios that unsaved changes will be lost.
Importing demand scenario now updates summary table in summary tab.
Capacity import/export now accounts for change from minutes/points/patients.
Loaded capacity template displayed on capacity, capacity summary and summary sheet.
Waiting list clearance calculation corrected
Warning message to &gt;52 weeks entered in "weeks per year" for Capacity
Change made to how week 53 is displayed in summary tab
Change made to how specific week selections in Capacity Summary calculates in Summary tab
Correction to overall summary capacity figures at top of table in Capacity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</si>
</sst>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
      <sz val="8"/>
      <color rgb="FF000000"/>
      <name val="Tahoma"/>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2F2F2"/>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87">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6"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1"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2" fillId="0" borderId="0" xfId="0" applyFont="1" applyAlignment="1">
      <alignment vertical="center"/>
    </xf>
    <xf numFmtId="0" fontId="62"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3"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2" fillId="0" borderId="0" xfId="0" applyFont="1" applyProtection="1">
      <protection hidden="1"/>
    </xf>
    <xf numFmtId="9" fontId="64" fillId="9" borderId="62" xfId="0" applyNumberFormat="1" applyFont="1" applyFill="1" applyBorder="1" applyProtection="1">
      <protection locked="0"/>
    </xf>
    <xf numFmtId="9" fontId="64"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59" fillId="0" borderId="0" xfId="0" applyFont="1" applyProtection="1">
      <protection hidden="1"/>
    </xf>
    <xf numFmtId="3" fontId="0" fillId="9" borderId="0" xfId="0" applyNumberFormat="1" applyFill="1" applyAlignment="1" applyProtection="1">
      <alignment wrapText="1"/>
      <protection hidden="1"/>
    </xf>
    <xf numFmtId="0" fontId="56" fillId="6" borderId="0" xfId="0" applyFont="1" applyFill="1" applyAlignment="1" applyProtection="1">
      <alignment horizontal="center"/>
      <protection hidden="1"/>
    </xf>
    <xf numFmtId="0" fontId="57"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5" fillId="0" borderId="15" xfId="0" applyNumberFormat="1" applyFont="1" applyBorder="1" applyProtection="1">
      <protection hidden="1"/>
    </xf>
    <xf numFmtId="3" fontId="65" fillId="0" borderId="16" xfId="0" applyNumberFormat="1" applyFont="1" applyBorder="1" applyProtection="1">
      <protection hidden="1"/>
    </xf>
    <xf numFmtId="3" fontId="65" fillId="0" borderId="17" xfId="0" applyNumberFormat="1" applyFont="1" applyBorder="1" applyProtection="1">
      <protection hidden="1"/>
    </xf>
    <xf numFmtId="1" fontId="65" fillId="9" borderId="0" xfId="0" applyNumberFormat="1" applyFont="1" applyFill="1" applyProtection="1">
      <protection hidden="1"/>
    </xf>
    <xf numFmtId="3" fontId="65" fillId="2" borderId="15" xfId="0" applyNumberFormat="1" applyFont="1" applyFill="1" applyBorder="1" applyProtection="1">
      <protection hidden="1"/>
    </xf>
    <xf numFmtId="3" fontId="65" fillId="2" borderId="16" xfId="0" applyNumberFormat="1" applyFont="1" applyFill="1" applyBorder="1" applyProtection="1">
      <protection hidden="1"/>
    </xf>
    <xf numFmtId="3" fontId="65" fillId="2" borderId="17" xfId="0" applyNumberFormat="1" applyFont="1" applyFill="1" applyBorder="1" applyProtection="1">
      <protection hidden="1"/>
    </xf>
    <xf numFmtId="0" fontId="65" fillId="9" borderId="0" xfId="0" applyFont="1" applyFill="1" applyProtection="1">
      <protection hidden="1"/>
    </xf>
    <xf numFmtId="3" fontId="65" fillId="0" borderId="3" xfId="0" applyNumberFormat="1" applyFont="1" applyBorder="1" applyProtection="1">
      <protection hidden="1"/>
    </xf>
    <xf numFmtId="3" fontId="65" fillId="0" borderId="4" xfId="0" applyNumberFormat="1" applyFont="1" applyBorder="1" applyProtection="1">
      <protection hidden="1"/>
    </xf>
    <xf numFmtId="3" fontId="65" fillId="0" borderId="5" xfId="0" applyNumberFormat="1" applyFont="1" applyBorder="1" applyProtection="1">
      <protection hidden="1"/>
    </xf>
    <xf numFmtId="3" fontId="65" fillId="9" borderId="0" xfId="0" applyNumberFormat="1" applyFont="1" applyFill="1" applyProtection="1">
      <protection hidden="1"/>
    </xf>
    <xf numFmtId="0" fontId="61" fillId="0" borderId="0" xfId="0" applyNumberFormat="1" applyFont="1" applyBorder="1" applyAlignment="1" applyProtection="1">
      <alignment horizontal="center"/>
      <protection hidden="1"/>
    </xf>
    <xf numFmtId="0" fontId="61" fillId="0" borderId="15" xfId="0" applyNumberFormat="1" applyFont="1" applyBorder="1" applyProtection="1">
      <protection hidden="1"/>
    </xf>
    <xf numFmtId="0" fontId="61" fillId="0" borderId="16" xfId="0" applyNumberFormat="1" applyFont="1" applyBorder="1" applyProtection="1">
      <protection hidden="1"/>
    </xf>
    <xf numFmtId="0" fontId="61" fillId="0" borderId="17" xfId="0" applyNumberFormat="1" applyFont="1" applyBorder="1" applyProtection="1">
      <protection hidden="1"/>
    </xf>
    <xf numFmtId="0" fontId="61" fillId="9" borderId="0" xfId="0" applyNumberFormat="1" applyFont="1" applyFill="1" applyBorder="1" applyAlignment="1" applyProtection="1">
      <alignment horizontal="center"/>
      <protection hidden="1"/>
    </xf>
    <xf numFmtId="0" fontId="61"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0" fillId="9" borderId="0" xfId="0" applyNumberFormat="1" applyFont="1" applyFill="1" applyProtection="1">
      <protection hidden="1"/>
    </xf>
    <xf numFmtId="0" fontId="60" fillId="9" borderId="0" xfId="0" applyFont="1" applyFill="1" applyProtection="1">
      <protection hidden="1"/>
    </xf>
    <xf numFmtId="14" fontId="60" fillId="9" borderId="54" xfId="0" applyNumberFormat="1" applyFont="1" applyFill="1" applyBorder="1" applyProtection="1">
      <protection hidden="1"/>
    </xf>
    <xf numFmtId="14" fontId="60" fillId="7" borderId="60" xfId="0" applyNumberFormat="1" applyFont="1" applyFill="1" applyBorder="1" applyProtection="1">
      <protection hidden="1"/>
    </xf>
    <xf numFmtId="14" fontId="60" fillId="7" borderId="70" xfId="0" applyNumberFormat="1" applyFont="1" applyFill="1" applyBorder="1" applyProtection="1">
      <protection hidden="1"/>
    </xf>
    <xf numFmtId="3" fontId="60" fillId="9" borderId="0" xfId="0" applyNumberFormat="1" applyFont="1" applyFill="1" applyProtection="1">
      <protection hidden="1"/>
    </xf>
    <xf numFmtId="0" fontId="9" fillId="0" borderId="0" xfId="0" applyFont="1"/>
    <xf numFmtId="3" fontId="62"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0" fillId="0" borderId="0" xfId="0" applyFont="1" applyAlignment="1">
      <alignment horizontal="center"/>
    </xf>
    <xf numFmtId="164" fontId="60"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6" fillId="0" borderId="52" xfId="0" applyFont="1" applyBorder="1" applyAlignment="1" applyProtection="1">
      <alignment vertical="center" wrapText="1"/>
      <protection locked="0"/>
    </xf>
    <xf numFmtId="0" fontId="67" fillId="0" borderId="52" xfId="0" applyFont="1" applyBorder="1" applyAlignment="1" applyProtection="1">
      <alignment vertical="center" wrapText="1"/>
      <protection locked="0"/>
    </xf>
    <xf numFmtId="2" fontId="4" fillId="0" borderId="72" xfId="0" applyNumberFormat="1" applyFont="1" applyBorder="1"/>
    <xf numFmtId="0" fontId="68" fillId="0" borderId="0" xfId="0" applyFont="1" applyFill="1" applyBorder="1"/>
    <xf numFmtId="0" fontId="60" fillId="9" borderId="0" xfId="0" applyNumberFormat="1" applyFont="1" applyFill="1" applyProtection="1">
      <protection hidden="1"/>
    </xf>
    <xf numFmtId="0" fontId="59" fillId="0" borderId="0" xfId="0" applyFont="1" applyFill="1"/>
    <xf numFmtId="2" fontId="0" fillId="0" borderId="72" xfId="0" applyNumberFormat="1" applyFont="1" applyBorder="1"/>
    <xf numFmtId="0" fontId="69" fillId="0" borderId="0" xfId="0" applyFont="1" applyAlignment="1"/>
    <xf numFmtId="0" fontId="59" fillId="0" borderId="85" xfId="0" applyFont="1" applyFill="1" applyBorder="1" applyAlignment="1" applyProtection="1">
      <alignment horizontal="center" vertical="center"/>
      <protection locked="0"/>
    </xf>
    <xf numFmtId="164" fontId="59"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1" fillId="0" borderId="0" xfId="0" applyFont="1" applyBorder="1"/>
    <xf numFmtId="0" fontId="70" fillId="0" borderId="0" xfId="0" applyFont="1" applyBorder="1" applyAlignment="1" applyProtection="1">
      <alignment horizontal="center" vertical="center"/>
      <protection locked="0"/>
    </xf>
    <xf numFmtId="0" fontId="70" fillId="0" borderId="0" xfId="0" applyFont="1" applyFill="1" applyBorder="1" applyAlignment="1" applyProtection="1">
      <alignment horizontal="center" vertical="center"/>
      <protection locked="0"/>
    </xf>
    <xf numFmtId="0" fontId="71" fillId="0" borderId="0" xfId="0" applyFont="1"/>
    <xf numFmtId="0" fontId="72" fillId="0" borderId="0" xfId="0" applyFont="1"/>
    <xf numFmtId="3" fontId="60" fillId="0" borderId="0" xfId="0" applyNumberFormat="1" applyFont="1" applyBorder="1" applyAlignment="1" applyProtection="1">
      <alignment horizontal="right"/>
      <protection hidden="1"/>
    </xf>
    <xf numFmtId="0" fontId="59" fillId="0" borderId="0" xfId="0" applyFont="1"/>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3"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4" borderId="72" xfId="0" applyFont="1" applyFill="1" applyBorder="1" applyProtection="1">
      <protection hidden="1"/>
    </xf>
    <xf numFmtId="3" fontId="4" fillId="84"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4" fillId="0" borderId="52" xfId="0" applyNumberFormat="1" applyFont="1" applyBorder="1" applyAlignment="1" applyProtection="1">
      <alignment horizontal="center"/>
      <protection locked="0"/>
    </xf>
    <xf numFmtId="3" fontId="74" fillId="0" borderId="53" xfId="0" applyNumberFormat="1" applyFont="1" applyBorder="1" applyAlignment="1" applyProtection="1">
      <alignment horizontal="center"/>
      <protection locked="0"/>
    </xf>
    <xf numFmtId="0" fontId="75" fillId="0" borderId="0" xfId="0" applyFont="1" applyAlignment="1" applyProtection="1">
      <alignment horizontal="center" vertical="center"/>
      <protection locked="0"/>
    </xf>
    <xf numFmtId="0" fontId="75" fillId="0" borderId="0" xfId="0" applyFont="1" applyBorder="1" applyAlignment="1" applyProtection="1">
      <alignment horizontal="center" vertical="center"/>
      <protection locked="0"/>
    </xf>
    <xf numFmtId="0" fontId="75" fillId="0" borderId="58" xfId="0" applyFont="1" applyBorder="1" applyAlignment="1" applyProtection="1">
      <alignment horizontal="center" vertical="center"/>
      <protection locked="0"/>
    </xf>
    <xf numFmtId="0" fontId="75" fillId="0" borderId="59" xfId="0" applyFont="1" applyBorder="1" applyAlignment="1" applyProtection="1">
      <alignment horizontal="center" vertical="center"/>
      <protection locked="0"/>
    </xf>
    <xf numFmtId="0" fontId="75"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69" fillId="0" borderId="0" xfId="0" applyFont="1"/>
    <xf numFmtId="0" fontId="77"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0" fontId="4" fillId="0" borderId="0" xfId="0" applyFont="1"/>
    <xf numFmtId="0" fontId="0" fillId="85" borderId="0" xfId="0" applyFill="1"/>
    <xf numFmtId="9" fontId="0" fillId="85" borderId="0" xfId="1" applyFont="1" applyFill="1"/>
    <xf numFmtId="9" fontId="0" fillId="85" borderId="0" xfId="0" applyNumberFormat="1" applyFill="1"/>
    <xf numFmtId="0" fontId="0" fillId="9" borderId="66" xfId="0" applyFill="1" applyBorder="1" applyAlignment="1">
      <alignment horizontal="right"/>
    </xf>
    <xf numFmtId="0" fontId="59" fillId="0" borderId="0" xfId="0" applyFont="1"/>
    <xf numFmtId="14" fontId="0" fillId="0" borderId="72" xfId="0" applyNumberFormat="1" applyFont="1" applyBorder="1" applyAlignment="1">
      <alignment wrapText="1"/>
    </xf>
    <xf numFmtId="0" fontId="4" fillId="0" borderId="0" xfId="0" applyFont="1"/>
    <xf numFmtId="0" fontId="0" fillId="68" borderId="72" xfId="0" applyFill="1" applyBorder="1"/>
    <xf numFmtId="1" fontId="0" fillId="9" borderId="67" xfId="0" applyNumberFormat="1" applyFill="1" applyBorder="1" applyAlignment="1"/>
    <xf numFmtId="0" fontId="5" fillId="0" borderId="0" xfId="0" applyFont="1" applyAlignment="1">
      <alignment vertical="center"/>
    </xf>
    <xf numFmtId="0" fontId="5" fillId="76" borderId="48" xfId="0" applyFont="1" applyFill="1" applyBorder="1" applyAlignment="1">
      <alignment horizontal="center" vertical="center"/>
    </xf>
    <xf numFmtId="14" fontId="0" fillId="68" borderId="48" xfId="0" applyNumberFormat="1" applyFill="1" applyBorder="1" applyProtection="1">
      <protection locked="0"/>
    </xf>
    <xf numFmtId="14" fontId="14" fillId="0" borderId="82" xfId="0" applyNumberFormat="1" applyFont="1" applyFill="1" applyBorder="1" applyAlignment="1" applyProtection="1">
      <alignment horizontal="center" vertical="center"/>
      <protection locked="0"/>
    </xf>
    <xf numFmtId="3" fontId="14" fillId="86" borderId="64" xfId="0" applyNumberFormat="1" applyFont="1" applyFill="1" applyBorder="1" applyProtection="1">
      <protection hidden="1"/>
    </xf>
    <xf numFmtId="0" fontId="14" fillId="86" borderId="64" xfId="0" applyFont="1" applyFill="1" applyBorder="1" applyAlignment="1" applyProtection="1">
      <alignment horizontal="right"/>
      <protection hidden="1"/>
    </xf>
    <xf numFmtId="0" fontId="4" fillId="85" borderId="0" xfId="0" applyFont="1" applyFill="1"/>
    <xf numFmtId="3" fontId="0" fillId="85" borderId="0" xfId="0" applyNumberFormat="1" applyFill="1"/>
    <xf numFmtId="168" fontId="0" fillId="0" borderId="72" xfId="1" applyNumberFormat="1" applyFont="1" applyBorder="1" applyAlignment="1" applyProtection="1">
      <alignment horizontal="center" vertical="center"/>
    </xf>
    <xf numFmtId="9" fontId="0" fillId="0" borderId="72" xfId="1" applyFont="1" applyBorder="1" applyAlignment="1" applyProtection="1">
      <alignment horizontal="center" vertical="center"/>
    </xf>
    <xf numFmtId="0" fontId="61" fillId="0" borderId="0" xfId="0" applyFont="1" applyBorder="1" applyAlignment="1">
      <alignment horizontal="left"/>
    </xf>
    <xf numFmtId="0" fontId="61"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0" fillId="0" borderId="0" xfId="0" applyAlignment="1">
      <alignment horizontal="left"/>
    </xf>
    <xf numFmtId="0" fontId="0" fillId="0" borderId="51" xfId="0" applyBorder="1" applyAlignment="1">
      <alignment horizontal="left"/>
    </xf>
    <xf numFmtId="0" fontId="56" fillId="0" borderId="83" xfId="0" applyFont="1" applyBorder="1" applyAlignment="1">
      <alignment horizontal="center"/>
    </xf>
    <xf numFmtId="0" fontId="56" fillId="0" borderId="86" xfId="0" applyFont="1" applyBorder="1" applyAlignment="1">
      <alignment horizontal="center"/>
    </xf>
    <xf numFmtId="0" fontId="56" fillId="0" borderId="84" xfId="0" applyFont="1" applyBorder="1" applyAlignment="1">
      <alignment horizontal="center"/>
    </xf>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5" fillId="4" borderId="0" xfId="0" applyFont="1" applyFill="1" applyAlignment="1">
      <alignment horizontal="center" vertical="center" wrapText="1"/>
    </xf>
    <xf numFmtId="0" fontId="5" fillId="4" borderId="91" xfId="0" applyFont="1" applyFill="1" applyBorder="1" applyAlignment="1">
      <alignment horizontal="center" vertical="center" wrapText="1"/>
    </xf>
    <xf numFmtId="0" fontId="5" fillId="4" borderId="90" xfId="0" applyFont="1" applyFill="1" applyBorder="1" applyAlignment="1">
      <alignment horizontal="center" vertical="center" wrapText="1"/>
    </xf>
    <xf numFmtId="0" fontId="5" fillId="4" borderId="0" xfId="0" applyFont="1" applyFill="1" applyAlignment="1">
      <alignment horizontal="center" vertical="center"/>
    </xf>
    <xf numFmtId="0" fontId="5" fillId="4" borderId="90" xfId="0" applyFont="1" applyFill="1" applyBorder="1" applyAlignment="1">
      <alignment horizontal="center" vertical="center"/>
    </xf>
    <xf numFmtId="0" fontId="56" fillId="10" borderId="81" xfId="0" applyFont="1" applyFill="1" applyBorder="1" applyAlignment="1" applyProtection="1">
      <alignment horizontal="center" vertical="center" wrapText="1"/>
      <protection hidden="1"/>
    </xf>
    <xf numFmtId="0" fontId="56"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0" fontId="9" fillId="7" borderId="0" xfId="0" applyFont="1" applyFill="1" applyAlignment="1">
      <alignment horizontal="left"/>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0" fontId="4" fillId="0" borderId="0" xfId="0" applyFont="1" applyAlignment="1">
      <alignment horizontal="center" vertical="center"/>
    </xf>
    <xf numFmtId="0" fontId="59"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3" fontId="0" fillId="9" borderId="70" xfId="0" applyNumberFormat="1" applyFill="1" applyBorder="1" applyAlignment="1" applyProtection="1">
      <alignment horizontal="center"/>
      <protection hidden="1"/>
    </xf>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59" fillId="0" borderId="0" xfId="0" applyFont="1"/>
    <xf numFmtId="0" fontId="59" fillId="0" borderId="96" xfId="0" applyFont="1" applyBorder="1"/>
    <xf numFmtId="0" fontId="4" fillId="0" borderId="0" xfId="0" applyFont="1"/>
    <xf numFmtId="0" fontId="4" fillId="0" borderId="51" xfId="0" applyFont="1" applyBorder="1"/>
    <xf numFmtId="0" fontId="4" fillId="0" borderId="0" xfId="0" applyFont="1" applyAlignment="1">
      <alignment horizontal="left" vertical="center"/>
    </xf>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9">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patternType="none">
          <bgColor auto="1"/>
        </patternFill>
      </fill>
    </dxf>
    <dxf>
      <font>
        <b val="0"/>
        <i val="0"/>
        <color auto="1"/>
      </font>
      <fill>
        <patternFill>
          <bgColor theme="0" tint="-0.14996795556505021"/>
        </patternFill>
      </fill>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bgColor theme="0"/>
        </patternFill>
      </fill>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[0]!D_Adj_Lower</c:f>
              <c:numCache>
                <c:formatCode>#,##0</c:formatCode>
                <c:ptCount val="3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[0]!D_Adj_Upper</c:f>
              <c:numCache>
                <c:formatCode>#,##0</c:formatCode>
                <c:ptCount val="3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
                <c:pt idx="0">
                  <c:v>0</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
                <c:pt idx="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
                <c:pt idx="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
                <c:pt idx="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numRef>
              <c:f>[0]!Range_DateAxis</c:f>
              <c:numCache>
                <c:formatCode>General</c:formatCode>
                <c:ptCount val="1"/>
                <c:pt idx="0">
                  <c:v>1</c:v>
                </c:pt>
              </c:numCache>
            </c:numRef>
          </c:cat>
          <c:val>
            <c:numRef>
              <c:f>[0]!ChartRange_Data</c:f>
              <c:numCache>
                <c:formatCode>#,##0</c:formatCode>
                <c:ptCount val="1"/>
                <c:pt idx="0">
                  <c:v>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
                <c:pt idx="0">
                  <c:v>#N/A</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
                <c:pt idx="0">
                  <c:v>#N/A</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
                <c:pt idx="0">
                  <c:v>#N/A</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
                <c:pt idx="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
                <c:pt idx="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
                <c:pt idx="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
                <c:pt idx="0">
                  <c:v>#N/A</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
                <c:pt idx="0">
                  <c:v>#N/A</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4</c:v>
                </c:pt>
                <c:pt idx="1">
                  <c:v>5</c:v>
                </c:pt>
                <c:pt idx="2">
                  <c:v>2</c:v>
                </c:pt>
                <c:pt idx="3">
                  <c:v>3</c:v>
                </c:pt>
                <c:pt idx="4">
                  <c:v>5</c:v>
                </c:pt>
                <c:pt idx="5">
                  <c:v>3</c:v>
                </c:pt>
                <c:pt idx="6">
                  <c:v>4</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8.4542553191489365</c:v>
                </c:pt>
                <c:pt idx="1">
                  <c:v>8.4542553191489365</c:v>
                </c:pt>
                <c:pt idx="2">
                  <c:v>8.4542553191489365</c:v>
                </c:pt>
                <c:pt idx="3">
                  <c:v>8.4542553191489365</c:v>
                </c:pt>
                <c:pt idx="4">
                  <c:v>8.4542553191489365</c:v>
                </c:pt>
                <c:pt idx="5">
                  <c:v>8.4542553191489365</c:v>
                </c:pt>
                <c:pt idx="6">
                  <c:v>8.4542553191489365</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3.8</c:v>
                </c:pt>
                <c:pt idx="1">
                  <c:v>3.8</c:v>
                </c:pt>
                <c:pt idx="2">
                  <c:v>3.8</c:v>
                </c:pt>
                <c:pt idx="3">
                  <c:v>3.8</c:v>
                </c:pt>
                <c:pt idx="4">
                  <c:v>3.8</c:v>
                </c:pt>
                <c:pt idx="5">
                  <c:v>3.8</c:v>
                </c:pt>
                <c:pt idx="6">
                  <c:v>3.8</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44508</c:v>
                </c:pt>
                <c:pt idx="1">
                  <c:v>44515</c:v>
                </c:pt>
                <c:pt idx="2">
                  <c:v>44522</c:v>
                </c:pt>
                <c:pt idx="3">
                  <c:v>44529</c:v>
                </c:pt>
                <c:pt idx="4">
                  <c:v>44536</c:v>
                </c:pt>
                <c:pt idx="5">
                  <c:v>44543</c:v>
                </c:pt>
                <c:pt idx="6">
                  <c:v>44550</c:v>
                </c:pt>
                <c:pt idx="7">
                  <c:v>44557</c:v>
                </c:pt>
                <c:pt idx="8">
                  <c:v>44564</c:v>
                </c:pt>
                <c:pt idx="9">
                  <c:v>44571</c:v>
                </c:pt>
                <c:pt idx="10">
                  <c:v>44578</c:v>
                </c:pt>
                <c:pt idx="11">
                  <c:v>44585</c:v>
                </c:pt>
                <c:pt idx="12">
                  <c:v>44592</c:v>
                </c:pt>
                <c:pt idx="13">
                  <c:v>44599</c:v>
                </c:pt>
                <c:pt idx="14">
                  <c:v>44606</c:v>
                </c:pt>
                <c:pt idx="15">
                  <c:v>44613</c:v>
                </c:pt>
                <c:pt idx="16">
                  <c:v>44620</c:v>
                </c:pt>
                <c:pt idx="17">
                  <c:v>44627</c:v>
                </c:pt>
                <c:pt idx="18">
                  <c:v>44634</c:v>
                </c:pt>
                <c:pt idx="19">
                  <c:v>44641</c:v>
                </c:pt>
                <c:pt idx="20">
                  <c:v>44648</c:v>
                </c:pt>
                <c:pt idx="21">
                  <c:v>44655</c:v>
                </c:pt>
                <c:pt idx="22">
                  <c:v>44662</c:v>
                </c:pt>
                <c:pt idx="23">
                  <c:v>44669</c:v>
                </c:pt>
                <c:pt idx="24">
                  <c:v>44676</c:v>
                </c:pt>
                <c:pt idx="25">
                  <c:v>44683</c:v>
                </c:pt>
                <c:pt idx="26">
                  <c:v>44690</c:v>
                </c:pt>
                <c:pt idx="27">
                  <c:v>44697</c:v>
                </c:pt>
                <c:pt idx="28">
                  <c:v>44704</c:v>
                </c:pt>
                <c:pt idx="29">
                  <c:v>44711</c:v>
                </c:pt>
                <c:pt idx="30">
                  <c:v>44718</c:v>
                </c:pt>
                <c:pt idx="31">
                  <c:v>44725</c:v>
                </c:pt>
                <c:pt idx="32">
                  <c:v>44732</c:v>
                </c:pt>
                <c:pt idx="33">
                  <c:v>44739</c:v>
                </c:pt>
                <c:pt idx="34">
                  <c:v>44746</c:v>
                </c:pt>
                <c:pt idx="35">
                  <c:v>44753</c:v>
                </c:pt>
                <c:pt idx="36">
                  <c:v>44760</c:v>
                </c:pt>
                <c:pt idx="37">
                  <c:v>44767</c:v>
                </c:pt>
                <c:pt idx="38">
                  <c:v>44774</c:v>
                </c:pt>
                <c:pt idx="39">
                  <c:v>44781</c:v>
                </c:pt>
                <c:pt idx="40">
                  <c:v>44788</c:v>
                </c:pt>
                <c:pt idx="41">
                  <c:v>44795</c:v>
                </c:pt>
                <c:pt idx="42">
                  <c:v>44802</c:v>
                </c:pt>
                <c:pt idx="43">
                  <c:v>44809</c:v>
                </c:pt>
                <c:pt idx="44">
                  <c:v>44816</c:v>
                </c:pt>
                <c:pt idx="45">
                  <c:v>44823</c:v>
                </c:pt>
                <c:pt idx="46">
                  <c:v>44830</c:v>
                </c:pt>
                <c:pt idx="47">
                  <c:v>44837</c:v>
                </c:pt>
                <c:pt idx="48">
                  <c:v>44844</c:v>
                </c:pt>
                <c:pt idx="49">
                  <c:v>44851</c:v>
                </c:pt>
                <c:pt idx="50">
                  <c:v>44858</c:v>
                </c:pt>
                <c:pt idx="51">
                  <c:v>44865</c:v>
                </c:pt>
              </c:numCache>
            </c:numRef>
          </c:cat>
          <c:val>
            <c:numRef>
              <c:f>[0]!Cap_Chart_Core_Range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44508</c:v>
                </c:pt>
                <c:pt idx="1">
                  <c:v>44515</c:v>
                </c:pt>
                <c:pt idx="2">
                  <c:v>44522</c:v>
                </c:pt>
                <c:pt idx="3">
                  <c:v>44529</c:v>
                </c:pt>
                <c:pt idx="4">
                  <c:v>44536</c:v>
                </c:pt>
                <c:pt idx="5">
                  <c:v>44543</c:v>
                </c:pt>
                <c:pt idx="6">
                  <c:v>44550</c:v>
                </c:pt>
                <c:pt idx="7">
                  <c:v>44557</c:v>
                </c:pt>
                <c:pt idx="8">
                  <c:v>44564</c:v>
                </c:pt>
                <c:pt idx="9">
                  <c:v>44571</c:v>
                </c:pt>
                <c:pt idx="10">
                  <c:v>44578</c:v>
                </c:pt>
                <c:pt idx="11">
                  <c:v>44585</c:v>
                </c:pt>
                <c:pt idx="12">
                  <c:v>44592</c:v>
                </c:pt>
                <c:pt idx="13">
                  <c:v>44599</c:v>
                </c:pt>
                <c:pt idx="14">
                  <c:v>44606</c:v>
                </c:pt>
                <c:pt idx="15">
                  <c:v>44613</c:v>
                </c:pt>
                <c:pt idx="16">
                  <c:v>44620</c:v>
                </c:pt>
                <c:pt idx="17">
                  <c:v>44627</c:v>
                </c:pt>
                <c:pt idx="18">
                  <c:v>44634</c:v>
                </c:pt>
                <c:pt idx="19">
                  <c:v>44641</c:v>
                </c:pt>
                <c:pt idx="20">
                  <c:v>44648</c:v>
                </c:pt>
                <c:pt idx="21">
                  <c:v>44655</c:v>
                </c:pt>
                <c:pt idx="22">
                  <c:v>44662</c:v>
                </c:pt>
                <c:pt idx="23">
                  <c:v>44669</c:v>
                </c:pt>
                <c:pt idx="24">
                  <c:v>44676</c:v>
                </c:pt>
                <c:pt idx="25">
                  <c:v>44683</c:v>
                </c:pt>
                <c:pt idx="26">
                  <c:v>44690</c:v>
                </c:pt>
                <c:pt idx="27">
                  <c:v>44697</c:v>
                </c:pt>
                <c:pt idx="28">
                  <c:v>44704</c:v>
                </c:pt>
                <c:pt idx="29">
                  <c:v>44711</c:v>
                </c:pt>
                <c:pt idx="30">
                  <c:v>44718</c:v>
                </c:pt>
                <c:pt idx="31">
                  <c:v>44725</c:v>
                </c:pt>
                <c:pt idx="32">
                  <c:v>44732</c:v>
                </c:pt>
                <c:pt idx="33">
                  <c:v>44739</c:v>
                </c:pt>
                <c:pt idx="34">
                  <c:v>44746</c:v>
                </c:pt>
                <c:pt idx="35">
                  <c:v>44753</c:v>
                </c:pt>
                <c:pt idx="36">
                  <c:v>44760</c:v>
                </c:pt>
                <c:pt idx="37">
                  <c:v>44767</c:v>
                </c:pt>
                <c:pt idx="38">
                  <c:v>44774</c:v>
                </c:pt>
                <c:pt idx="39">
                  <c:v>44781</c:v>
                </c:pt>
                <c:pt idx="40">
                  <c:v>44788</c:v>
                </c:pt>
                <c:pt idx="41">
                  <c:v>44795</c:v>
                </c:pt>
                <c:pt idx="42">
                  <c:v>44802</c:v>
                </c:pt>
                <c:pt idx="43">
                  <c:v>44809</c:v>
                </c:pt>
                <c:pt idx="44">
                  <c:v>44816</c:v>
                </c:pt>
                <c:pt idx="45">
                  <c:v>44823</c:v>
                </c:pt>
                <c:pt idx="46">
                  <c:v>44830</c:v>
                </c:pt>
                <c:pt idx="47">
                  <c:v>44837</c:v>
                </c:pt>
                <c:pt idx="48">
                  <c:v>44844</c:v>
                </c:pt>
                <c:pt idx="49">
                  <c:v>44851</c:v>
                </c:pt>
                <c:pt idx="50">
                  <c:v>44858</c:v>
                </c:pt>
                <c:pt idx="51">
                  <c:v>44865</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#N/A</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#N/A</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0</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#N/A</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0</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0</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30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48"/>
                <c:lvl>
                  <c:pt idx="0">
                    <c:v>Nov</c:v>
                  </c:pt>
                  <c:pt idx="4">
                    <c:v>Dec</c:v>
                  </c:pt>
                  <c:pt idx="8">
                    <c:v>Jan</c:v>
                  </c:pt>
                  <c:pt idx="13">
                    <c:v>Feb</c:v>
                  </c:pt>
                  <c:pt idx="17">
                    <c:v>Mar</c:v>
                  </c:pt>
                  <c:pt idx="21">
                    <c:v>Apr</c:v>
                  </c:pt>
                  <c:pt idx="25">
                    <c:v>May</c:v>
                  </c:pt>
                  <c:pt idx="30">
                    <c:v>Jun</c:v>
                  </c:pt>
                  <c:pt idx="34">
                    <c:v>Jul</c:v>
                  </c:pt>
                  <c:pt idx="38">
                    <c:v>Aug</c:v>
                  </c:pt>
                  <c:pt idx="43">
                    <c:v>Sep</c:v>
                  </c:pt>
                  <c:pt idx="47">
                    <c:v>Oct</c:v>
                  </c:pt>
                </c:lvl>
                <c:lvl>
                  <c:pt idx="0">
                    <c:v>2021</c:v>
                  </c:pt>
                  <c:pt idx="8">
                    <c:v>2022</c:v>
                  </c:pt>
                </c:lvl>
              </c:multiLvlStrCache>
            </c:multiLvlStrRef>
          </c:cat>
          <c:val>
            <c:numRef>
              <c:f>[0]!Summary_Blank</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48"/>
                <c:lvl>
                  <c:pt idx="0">
                    <c:v>Nov</c:v>
                  </c:pt>
                  <c:pt idx="4">
                    <c:v>Dec</c:v>
                  </c:pt>
                  <c:pt idx="8">
                    <c:v>Jan</c:v>
                  </c:pt>
                  <c:pt idx="13">
                    <c:v>Feb</c:v>
                  </c:pt>
                  <c:pt idx="17">
                    <c:v>Mar</c:v>
                  </c:pt>
                  <c:pt idx="21">
                    <c:v>Apr</c:v>
                  </c:pt>
                  <c:pt idx="25">
                    <c:v>May</c:v>
                  </c:pt>
                  <c:pt idx="30">
                    <c:v>Jun</c:v>
                  </c:pt>
                  <c:pt idx="34">
                    <c:v>Jul</c:v>
                  </c:pt>
                  <c:pt idx="38">
                    <c:v>Aug</c:v>
                  </c:pt>
                  <c:pt idx="43">
                    <c:v>Sep</c:v>
                  </c:pt>
                  <c:pt idx="47">
                    <c:v>Oct</c:v>
                  </c:pt>
                </c:lvl>
                <c:lvl>
                  <c:pt idx="0">
                    <c:v>2021</c:v>
                  </c:pt>
                  <c:pt idx="8">
                    <c:v>2022</c:v>
                  </c:pt>
                </c:lvl>
              </c:multiLvlStrCache>
            </c:multiLvlStrRef>
          </c:cat>
          <c:val>
            <c:numRef>
              <c:f>[0]!Summary_Req</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48"/>
                <c:lvl>
                  <c:pt idx="0">
                    <c:v>Nov</c:v>
                  </c:pt>
                  <c:pt idx="4">
                    <c:v>Dec</c:v>
                  </c:pt>
                  <c:pt idx="8">
                    <c:v>Jan</c:v>
                  </c:pt>
                  <c:pt idx="13">
                    <c:v>Feb</c:v>
                  </c:pt>
                  <c:pt idx="17">
                    <c:v>Mar</c:v>
                  </c:pt>
                  <c:pt idx="21">
                    <c:v>Apr</c:v>
                  </c:pt>
                  <c:pt idx="25">
                    <c:v>May</c:v>
                  </c:pt>
                  <c:pt idx="30">
                    <c:v>Jun</c:v>
                  </c:pt>
                  <c:pt idx="34">
                    <c:v>Jul</c:v>
                  </c:pt>
                  <c:pt idx="38">
                    <c:v>Aug</c:v>
                  </c:pt>
                  <c:pt idx="43">
                    <c:v>Sep</c:v>
                  </c:pt>
                  <c:pt idx="47">
                    <c:v>Oct</c:v>
                  </c:pt>
                </c:lvl>
                <c:lvl>
                  <c:pt idx="0">
                    <c:v>2021</c:v>
                  </c:pt>
                  <c:pt idx="8">
                    <c:v>2022</c:v>
                  </c:pt>
                </c:lvl>
              </c:multiLvlStrCache>
            </c:multiLvlStrRef>
          </c:cat>
          <c:val>
            <c:numRef>
              <c:f>'WL PI Backing (hide)'!$AA$13:$AA$64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48"/>
                <c:lvl>
                  <c:pt idx="0">
                    <c:v>Nov</c:v>
                  </c:pt>
                  <c:pt idx="4">
                    <c:v>Dec</c:v>
                  </c:pt>
                  <c:pt idx="8">
                    <c:v>Jan</c:v>
                  </c:pt>
                  <c:pt idx="13">
                    <c:v>Feb</c:v>
                  </c:pt>
                  <c:pt idx="17">
                    <c:v>Mar</c:v>
                  </c:pt>
                  <c:pt idx="21">
                    <c:v>Apr</c:v>
                  </c:pt>
                  <c:pt idx="25">
                    <c:v>May</c:v>
                  </c:pt>
                  <c:pt idx="30">
                    <c:v>Jun</c:v>
                  </c:pt>
                  <c:pt idx="34">
                    <c:v>Jul</c:v>
                  </c:pt>
                  <c:pt idx="38">
                    <c:v>Aug</c:v>
                  </c:pt>
                  <c:pt idx="43">
                    <c:v>Sep</c:v>
                  </c:pt>
                  <c:pt idx="47">
                    <c:v>Oct</c:v>
                  </c:pt>
                </c:lvl>
                <c:lvl>
                  <c:pt idx="0">
                    <c:v>2021</c:v>
                  </c:pt>
                  <c:pt idx="8">
                    <c:v>2022</c:v>
                  </c:pt>
                </c:lvl>
              </c:multiLvlStrCache>
            </c:multiLvlStrRef>
          </c:cat>
          <c:val>
            <c:numRef>
              <c:f>'WL PI Backing (hide)'!$AC$13:$AC$64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44515</c:v>
                </c:pt>
                <c:pt idx="1">
                  <c:v>44522</c:v>
                </c:pt>
                <c:pt idx="2">
                  <c:v>44529</c:v>
                </c:pt>
                <c:pt idx="3">
                  <c:v>44536</c:v>
                </c:pt>
                <c:pt idx="4">
                  <c:v>44543</c:v>
                </c:pt>
                <c:pt idx="5">
                  <c:v>44550</c:v>
                </c:pt>
                <c:pt idx="6">
                  <c:v>44557</c:v>
                </c:pt>
                <c:pt idx="7">
                  <c:v>44564</c:v>
                </c:pt>
                <c:pt idx="8">
                  <c:v>44571</c:v>
                </c:pt>
                <c:pt idx="9">
                  <c:v>44578</c:v>
                </c:pt>
                <c:pt idx="10">
                  <c:v>44585</c:v>
                </c:pt>
                <c:pt idx="11">
                  <c:v>44592</c:v>
                </c:pt>
                <c:pt idx="12">
                  <c:v>44599</c:v>
                </c:pt>
                <c:pt idx="13">
                  <c:v>44606</c:v>
                </c:pt>
                <c:pt idx="14">
                  <c:v>44613</c:v>
                </c:pt>
                <c:pt idx="15">
                  <c:v>44620</c:v>
                </c:pt>
                <c:pt idx="16">
                  <c:v>44627</c:v>
                </c:pt>
                <c:pt idx="17">
                  <c:v>44634</c:v>
                </c:pt>
                <c:pt idx="18">
                  <c:v>44641</c:v>
                </c:pt>
                <c:pt idx="19">
                  <c:v>44648</c:v>
                </c:pt>
                <c:pt idx="20">
                  <c:v>44655</c:v>
                </c:pt>
                <c:pt idx="21">
                  <c:v>44662</c:v>
                </c:pt>
                <c:pt idx="22">
                  <c:v>44669</c:v>
                </c:pt>
                <c:pt idx="23">
                  <c:v>44676</c:v>
                </c:pt>
                <c:pt idx="24">
                  <c:v>44683</c:v>
                </c:pt>
                <c:pt idx="25">
                  <c:v>44690</c:v>
                </c:pt>
                <c:pt idx="26">
                  <c:v>44697</c:v>
                </c:pt>
                <c:pt idx="27">
                  <c:v>44704</c:v>
                </c:pt>
                <c:pt idx="28">
                  <c:v>44711</c:v>
                </c:pt>
                <c:pt idx="29">
                  <c:v>44718</c:v>
                </c:pt>
                <c:pt idx="30">
                  <c:v>44725</c:v>
                </c:pt>
                <c:pt idx="31">
                  <c:v>44732</c:v>
                </c:pt>
                <c:pt idx="32">
                  <c:v>44739</c:v>
                </c:pt>
                <c:pt idx="33">
                  <c:v>44746</c:v>
                </c:pt>
                <c:pt idx="34">
                  <c:v>44753</c:v>
                </c:pt>
                <c:pt idx="35">
                  <c:v>44760</c:v>
                </c:pt>
                <c:pt idx="36">
                  <c:v>44767</c:v>
                </c:pt>
                <c:pt idx="37">
                  <c:v>44774</c:v>
                </c:pt>
                <c:pt idx="38">
                  <c:v>44781</c:v>
                </c:pt>
                <c:pt idx="39">
                  <c:v>44788</c:v>
                </c:pt>
                <c:pt idx="40">
                  <c:v>44795</c:v>
                </c:pt>
                <c:pt idx="41">
                  <c:v>44802</c:v>
                </c:pt>
                <c:pt idx="42">
                  <c:v>44809</c:v>
                </c:pt>
                <c:pt idx="43">
                  <c:v>44816</c:v>
                </c:pt>
                <c:pt idx="44">
                  <c:v>44823</c:v>
                </c:pt>
                <c:pt idx="45">
                  <c:v>44830</c:v>
                </c:pt>
                <c:pt idx="46">
                  <c:v>44837</c:v>
                </c:pt>
                <c:pt idx="47">
                  <c:v>44844</c:v>
                </c:pt>
                <c:pt idx="48">
                  <c:v>44851</c:v>
                </c:pt>
                <c:pt idx="49">
                  <c:v>44858</c:v>
                </c:pt>
                <c:pt idx="50">
                  <c:v>44865</c:v>
                </c:pt>
                <c:pt idx="51">
                  <c:v>44872</c:v>
                </c:pt>
              </c:numCache>
            </c:numRef>
          </c:cat>
          <c:val>
            <c:numRef>
              <c:f>'Planning (hide)'!$AD$4:$AD$55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44515</c:v>
                </c:pt>
                <c:pt idx="1">
                  <c:v>44522</c:v>
                </c:pt>
                <c:pt idx="2">
                  <c:v>44529</c:v>
                </c:pt>
                <c:pt idx="3">
                  <c:v>44536</c:v>
                </c:pt>
                <c:pt idx="4">
                  <c:v>44543</c:v>
                </c:pt>
                <c:pt idx="5">
                  <c:v>44550</c:v>
                </c:pt>
                <c:pt idx="6">
                  <c:v>44557</c:v>
                </c:pt>
                <c:pt idx="7">
                  <c:v>44564</c:v>
                </c:pt>
                <c:pt idx="8">
                  <c:v>44571</c:v>
                </c:pt>
                <c:pt idx="9">
                  <c:v>44578</c:v>
                </c:pt>
                <c:pt idx="10">
                  <c:v>44585</c:v>
                </c:pt>
                <c:pt idx="11">
                  <c:v>44592</c:v>
                </c:pt>
                <c:pt idx="12">
                  <c:v>44599</c:v>
                </c:pt>
                <c:pt idx="13">
                  <c:v>44606</c:v>
                </c:pt>
                <c:pt idx="14">
                  <c:v>44613</c:v>
                </c:pt>
                <c:pt idx="15">
                  <c:v>44620</c:v>
                </c:pt>
                <c:pt idx="16">
                  <c:v>44627</c:v>
                </c:pt>
                <c:pt idx="17">
                  <c:v>44634</c:v>
                </c:pt>
                <c:pt idx="18">
                  <c:v>44641</c:v>
                </c:pt>
                <c:pt idx="19">
                  <c:v>44648</c:v>
                </c:pt>
                <c:pt idx="20">
                  <c:v>44655</c:v>
                </c:pt>
                <c:pt idx="21">
                  <c:v>44662</c:v>
                </c:pt>
                <c:pt idx="22">
                  <c:v>44669</c:v>
                </c:pt>
                <c:pt idx="23">
                  <c:v>44676</c:v>
                </c:pt>
                <c:pt idx="24">
                  <c:v>44683</c:v>
                </c:pt>
                <c:pt idx="25">
                  <c:v>44690</c:v>
                </c:pt>
                <c:pt idx="26">
                  <c:v>44697</c:v>
                </c:pt>
                <c:pt idx="27">
                  <c:v>44704</c:v>
                </c:pt>
                <c:pt idx="28">
                  <c:v>44711</c:v>
                </c:pt>
                <c:pt idx="29">
                  <c:v>44718</c:v>
                </c:pt>
                <c:pt idx="30">
                  <c:v>44725</c:v>
                </c:pt>
                <c:pt idx="31">
                  <c:v>44732</c:v>
                </c:pt>
                <c:pt idx="32">
                  <c:v>44739</c:v>
                </c:pt>
                <c:pt idx="33">
                  <c:v>44746</c:v>
                </c:pt>
                <c:pt idx="34">
                  <c:v>44753</c:v>
                </c:pt>
                <c:pt idx="35">
                  <c:v>44760</c:v>
                </c:pt>
                <c:pt idx="36">
                  <c:v>44767</c:v>
                </c:pt>
                <c:pt idx="37">
                  <c:v>44774</c:v>
                </c:pt>
                <c:pt idx="38">
                  <c:v>44781</c:v>
                </c:pt>
                <c:pt idx="39">
                  <c:v>44788</c:v>
                </c:pt>
                <c:pt idx="40">
                  <c:v>44795</c:v>
                </c:pt>
                <c:pt idx="41">
                  <c:v>44802</c:v>
                </c:pt>
                <c:pt idx="42">
                  <c:v>44809</c:v>
                </c:pt>
                <c:pt idx="43">
                  <c:v>44816</c:v>
                </c:pt>
                <c:pt idx="44">
                  <c:v>44823</c:v>
                </c:pt>
                <c:pt idx="45">
                  <c:v>44830</c:v>
                </c:pt>
                <c:pt idx="46">
                  <c:v>44837</c:v>
                </c:pt>
                <c:pt idx="47">
                  <c:v>44844</c:v>
                </c:pt>
                <c:pt idx="48">
                  <c:v>44851</c:v>
                </c:pt>
                <c:pt idx="49">
                  <c:v>44858</c:v>
                </c:pt>
                <c:pt idx="50">
                  <c:v>44865</c:v>
                </c:pt>
                <c:pt idx="51">
                  <c:v>44872</c:v>
                </c:pt>
              </c:numCache>
            </c:numRef>
          </c:cat>
          <c:val>
            <c:numRef>
              <c:f>'Planning (hide)'!$AE$4:$AE$55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44515</c:v>
                </c:pt>
                <c:pt idx="1">
                  <c:v>44522</c:v>
                </c:pt>
                <c:pt idx="2">
                  <c:v>44529</c:v>
                </c:pt>
                <c:pt idx="3">
                  <c:v>44536</c:v>
                </c:pt>
                <c:pt idx="4">
                  <c:v>44543</c:v>
                </c:pt>
                <c:pt idx="5">
                  <c:v>44550</c:v>
                </c:pt>
                <c:pt idx="6">
                  <c:v>44557</c:v>
                </c:pt>
                <c:pt idx="7">
                  <c:v>44564</c:v>
                </c:pt>
                <c:pt idx="8">
                  <c:v>44571</c:v>
                </c:pt>
                <c:pt idx="9">
                  <c:v>44578</c:v>
                </c:pt>
                <c:pt idx="10">
                  <c:v>44585</c:v>
                </c:pt>
                <c:pt idx="11">
                  <c:v>44592</c:v>
                </c:pt>
                <c:pt idx="12">
                  <c:v>44599</c:v>
                </c:pt>
                <c:pt idx="13">
                  <c:v>44606</c:v>
                </c:pt>
                <c:pt idx="14">
                  <c:v>44613</c:v>
                </c:pt>
                <c:pt idx="15">
                  <c:v>44620</c:v>
                </c:pt>
                <c:pt idx="16">
                  <c:v>44627</c:v>
                </c:pt>
                <c:pt idx="17">
                  <c:v>44634</c:v>
                </c:pt>
                <c:pt idx="18">
                  <c:v>44641</c:v>
                </c:pt>
                <c:pt idx="19">
                  <c:v>44648</c:v>
                </c:pt>
                <c:pt idx="20">
                  <c:v>44655</c:v>
                </c:pt>
                <c:pt idx="21">
                  <c:v>44662</c:v>
                </c:pt>
                <c:pt idx="22">
                  <c:v>44669</c:v>
                </c:pt>
                <c:pt idx="23">
                  <c:v>44676</c:v>
                </c:pt>
                <c:pt idx="24">
                  <c:v>44683</c:v>
                </c:pt>
                <c:pt idx="25">
                  <c:v>44690</c:v>
                </c:pt>
                <c:pt idx="26">
                  <c:v>44697</c:v>
                </c:pt>
                <c:pt idx="27">
                  <c:v>44704</c:v>
                </c:pt>
                <c:pt idx="28">
                  <c:v>44711</c:v>
                </c:pt>
                <c:pt idx="29">
                  <c:v>44718</c:v>
                </c:pt>
                <c:pt idx="30">
                  <c:v>44725</c:v>
                </c:pt>
                <c:pt idx="31">
                  <c:v>44732</c:v>
                </c:pt>
                <c:pt idx="32">
                  <c:v>44739</c:v>
                </c:pt>
                <c:pt idx="33">
                  <c:v>44746</c:v>
                </c:pt>
                <c:pt idx="34">
                  <c:v>44753</c:v>
                </c:pt>
                <c:pt idx="35">
                  <c:v>44760</c:v>
                </c:pt>
                <c:pt idx="36">
                  <c:v>44767</c:v>
                </c:pt>
                <c:pt idx="37">
                  <c:v>44774</c:v>
                </c:pt>
                <c:pt idx="38">
                  <c:v>44781</c:v>
                </c:pt>
                <c:pt idx="39">
                  <c:v>44788</c:v>
                </c:pt>
                <c:pt idx="40">
                  <c:v>44795</c:v>
                </c:pt>
                <c:pt idx="41">
                  <c:v>44802</c:v>
                </c:pt>
                <c:pt idx="42">
                  <c:v>44809</c:v>
                </c:pt>
                <c:pt idx="43">
                  <c:v>44816</c:v>
                </c:pt>
                <c:pt idx="44">
                  <c:v>44823</c:v>
                </c:pt>
                <c:pt idx="45">
                  <c:v>44830</c:v>
                </c:pt>
                <c:pt idx="46">
                  <c:v>44837</c:v>
                </c:pt>
                <c:pt idx="47">
                  <c:v>44844</c:v>
                </c:pt>
                <c:pt idx="48">
                  <c:v>44851</c:v>
                </c:pt>
                <c:pt idx="49">
                  <c:v>44858</c:v>
                </c:pt>
                <c:pt idx="50">
                  <c:v>44865</c:v>
                </c:pt>
                <c:pt idx="51">
                  <c:v>44872</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44515</c:v>
                </c:pt>
                <c:pt idx="1">
                  <c:v>44522</c:v>
                </c:pt>
                <c:pt idx="2">
                  <c:v>44529</c:v>
                </c:pt>
                <c:pt idx="3">
                  <c:v>44536</c:v>
                </c:pt>
                <c:pt idx="4">
                  <c:v>44543</c:v>
                </c:pt>
                <c:pt idx="5">
                  <c:v>44550</c:v>
                </c:pt>
                <c:pt idx="6">
                  <c:v>44557</c:v>
                </c:pt>
                <c:pt idx="7">
                  <c:v>44564</c:v>
                </c:pt>
                <c:pt idx="8">
                  <c:v>44571</c:v>
                </c:pt>
                <c:pt idx="9">
                  <c:v>44578</c:v>
                </c:pt>
                <c:pt idx="10">
                  <c:v>44585</c:v>
                </c:pt>
                <c:pt idx="11">
                  <c:v>44592</c:v>
                </c:pt>
                <c:pt idx="12">
                  <c:v>44599</c:v>
                </c:pt>
                <c:pt idx="13">
                  <c:v>44606</c:v>
                </c:pt>
                <c:pt idx="14">
                  <c:v>44613</c:v>
                </c:pt>
                <c:pt idx="15">
                  <c:v>44620</c:v>
                </c:pt>
                <c:pt idx="16">
                  <c:v>44627</c:v>
                </c:pt>
                <c:pt idx="17">
                  <c:v>44634</c:v>
                </c:pt>
                <c:pt idx="18">
                  <c:v>44641</c:v>
                </c:pt>
                <c:pt idx="19">
                  <c:v>44648</c:v>
                </c:pt>
                <c:pt idx="20">
                  <c:v>44655</c:v>
                </c:pt>
                <c:pt idx="21">
                  <c:v>44662</c:v>
                </c:pt>
                <c:pt idx="22">
                  <c:v>44669</c:v>
                </c:pt>
                <c:pt idx="23">
                  <c:v>44676</c:v>
                </c:pt>
                <c:pt idx="24">
                  <c:v>44683</c:v>
                </c:pt>
                <c:pt idx="25">
                  <c:v>44690</c:v>
                </c:pt>
                <c:pt idx="26">
                  <c:v>44697</c:v>
                </c:pt>
                <c:pt idx="27">
                  <c:v>44704</c:v>
                </c:pt>
                <c:pt idx="28">
                  <c:v>44711</c:v>
                </c:pt>
                <c:pt idx="29">
                  <c:v>44718</c:v>
                </c:pt>
                <c:pt idx="30">
                  <c:v>44725</c:v>
                </c:pt>
                <c:pt idx="31">
                  <c:v>44732</c:v>
                </c:pt>
                <c:pt idx="32">
                  <c:v>44739</c:v>
                </c:pt>
                <c:pt idx="33">
                  <c:v>44746</c:v>
                </c:pt>
                <c:pt idx="34">
                  <c:v>44753</c:v>
                </c:pt>
                <c:pt idx="35">
                  <c:v>44760</c:v>
                </c:pt>
                <c:pt idx="36">
                  <c:v>44767</c:v>
                </c:pt>
                <c:pt idx="37">
                  <c:v>44774</c:v>
                </c:pt>
                <c:pt idx="38">
                  <c:v>44781</c:v>
                </c:pt>
                <c:pt idx="39">
                  <c:v>44788</c:v>
                </c:pt>
                <c:pt idx="40">
                  <c:v>44795</c:v>
                </c:pt>
                <c:pt idx="41">
                  <c:v>44802</c:v>
                </c:pt>
                <c:pt idx="42">
                  <c:v>44809</c:v>
                </c:pt>
                <c:pt idx="43">
                  <c:v>44816</c:v>
                </c:pt>
                <c:pt idx="44">
                  <c:v>44823</c:v>
                </c:pt>
                <c:pt idx="45">
                  <c:v>44830</c:v>
                </c:pt>
                <c:pt idx="46">
                  <c:v>44837</c:v>
                </c:pt>
                <c:pt idx="47">
                  <c:v>44844</c:v>
                </c:pt>
                <c:pt idx="48">
                  <c:v>44851</c:v>
                </c:pt>
                <c:pt idx="49">
                  <c:v>44858</c:v>
                </c:pt>
                <c:pt idx="50">
                  <c:v>44865</c:v>
                </c:pt>
                <c:pt idx="51">
                  <c:v>44872</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ax val="20"/>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1"/>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0"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checked="Checked" firstButton="1" fmlaLink="'Capacity calculation (hide)'!$E$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400050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hidden="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180975</xdr:rowOff>
        </xdr:from>
        <xdr:to>
          <xdr:col>2</xdr:col>
          <xdr:colOff>0</xdr:colOff>
          <xdr:row>4</xdr:row>
          <xdr:rowOff>180975</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866775</xdr:colOff>
          <xdr:row>3</xdr:row>
          <xdr:rowOff>171450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866775</xdr:colOff>
          <xdr:row>4</xdr:row>
          <xdr:rowOff>171450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95250</xdr:rowOff>
        </xdr:from>
        <xdr:to>
          <xdr:col>3</xdr:col>
          <xdr:colOff>247650</xdr:colOff>
          <xdr:row>13</xdr:row>
          <xdr:rowOff>95250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95250</xdr:rowOff>
        </xdr:from>
        <xdr:to>
          <xdr:col>3</xdr:col>
          <xdr:colOff>142875</xdr:colOff>
          <xdr:row>6</xdr:row>
          <xdr:rowOff>171450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1428750</xdr:colOff>
          <xdr:row>15</xdr:row>
          <xdr:rowOff>533400</xdr:rowOff>
        </xdr:from>
        <xdr:to>
          <xdr:col>2</xdr:col>
          <xdr:colOff>1123950</xdr:colOff>
          <xdr:row>16</xdr:row>
          <xdr:rowOff>171450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5</xdr:row>
          <xdr:rowOff>171450</xdr:rowOff>
        </xdr:from>
        <xdr:to>
          <xdr:col>2</xdr:col>
          <xdr:colOff>866775</xdr:colOff>
          <xdr:row>7</xdr:row>
          <xdr:rowOff>28575</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819150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12</xdr:col>
          <xdr:colOff>238125</xdr:colOff>
          <xdr:row>2</xdr:row>
          <xdr:rowOff>104775</xdr:rowOff>
        </xdr:from>
        <xdr:to>
          <xdr:col>13</xdr:col>
          <xdr:colOff>1352550</xdr:colOff>
          <xdr:row>5</xdr:row>
          <xdr:rowOff>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5</xdr:row>
          <xdr:rowOff>38100</xdr:rowOff>
        </xdr:from>
        <xdr:to>
          <xdr:col>13</xdr:col>
          <xdr:colOff>1352550</xdr:colOff>
          <xdr:row>7</xdr:row>
          <xdr:rowOff>95250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7</xdr:row>
          <xdr:rowOff>171450</xdr:rowOff>
        </xdr:from>
        <xdr:to>
          <xdr:col>13</xdr:col>
          <xdr:colOff>1352550</xdr:colOff>
          <xdr:row>12</xdr:row>
          <xdr:rowOff>66675</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180333</xdr:colOff>
      <xdr:row>22</xdr:row>
      <xdr:rowOff>332740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5</xdr:row>
          <xdr:rowOff>171450</xdr:rowOff>
        </xdr:from>
        <xdr:to>
          <xdr:col>2</xdr:col>
          <xdr:colOff>552450</xdr:colOff>
          <xdr:row>7</xdr:row>
          <xdr:rowOff>28575</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370840</xdr:colOff>
      <xdr:row>2</xdr:row>
      <xdr:rowOff>48260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28575</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981075</xdr:colOff>
          <xdr:row>3</xdr:row>
          <xdr:rowOff>0</xdr:rowOff>
        </xdr:from>
        <xdr:to>
          <xdr:col>6</xdr:col>
          <xdr:colOff>0</xdr:colOff>
          <xdr:row>4</xdr:row>
          <xdr:rowOff>28575</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6350" y="152400"/>
          <a:ext cx="11195050" cy="5895975"/>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17</xdr:row>
      <xdr:rowOff>87779</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12</xdr:col>
      <xdr:colOff>449618</xdr:colOff>
      <xdr:row>54</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17</xdr:col>
      <xdr:colOff>666614</xdr:colOff>
      <xdr:row>18</xdr:row>
      <xdr:rowOff>0</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142875</xdr:rowOff>
        </xdr:from>
        <xdr:to>
          <xdr:col>4</xdr:col>
          <xdr:colOff>285750</xdr:colOff>
          <xdr:row>45</xdr:row>
          <xdr:rowOff>19050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602615</xdr:colOff>
      <xdr:row>42</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28575</xdr:colOff>
          <xdr:row>14</xdr:row>
          <xdr:rowOff>19050</xdr:rowOff>
        </xdr:from>
        <xdr:to>
          <xdr:col>2</xdr:col>
          <xdr:colOff>0</xdr:colOff>
          <xdr:row>14</xdr:row>
          <xdr:rowOff>419100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14</xdr:row>
          <xdr:rowOff>19050</xdr:rowOff>
        </xdr:from>
        <xdr:to>
          <xdr:col>2</xdr:col>
          <xdr:colOff>952500</xdr:colOff>
          <xdr:row>14</xdr:row>
          <xdr:rowOff>419100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209550</xdr:rowOff>
        </xdr:from>
        <xdr:to>
          <xdr:col>2</xdr:col>
          <xdr:colOff>0</xdr:colOff>
          <xdr:row>16</xdr:row>
          <xdr:rowOff>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57150</xdr:rowOff>
        </xdr:from>
        <xdr:to>
          <xdr:col>60</xdr:col>
          <xdr:colOff>19050</xdr:colOff>
          <xdr:row>4</xdr:row>
          <xdr:rowOff>104775</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142875</xdr:rowOff>
        </xdr:from>
        <xdr:to>
          <xdr:col>60</xdr:col>
          <xdr:colOff>19050</xdr:colOff>
          <xdr:row>8</xdr:row>
          <xdr:rowOff>28575</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133350</xdr:rowOff>
        </xdr:from>
        <xdr:to>
          <xdr:col>60</xdr:col>
          <xdr:colOff>28575</xdr:colOff>
          <xdr:row>11</xdr:row>
          <xdr:rowOff>19050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9"/>
  <sheetViews>
    <sheetView showGridLines="0" workbookViewId="0">
      <selection activeCell="D3" sqref="D3"/>
    </sheetView>
  </sheetViews>
  <sheetFormatPr defaultRowHeight="14.25" x14ac:dyDescent="0.2"/>
  <cols>
    <col min="1" max="1" width="9.625" bestFit="1" customWidth="1"/>
    <col min="2" max="2" width="9.75" bestFit="1" customWidth="1"/>
    <col min="3" max="3" width="20.125" customWidth="1"/>
    <col min="4" max="4" width="74.25" customWidth="1"/>
    <col min="5" max="5" width="35.25" customWidth="1"/>
  </cols>
  <sheetData>
    <row r="2" spans="1:5" ht="15" x14ac:dyDescent="0.25">
      <c r="A2" s="285" t="s">
        <v>0</v>
      </c>
      <c r="B2" s="285" t="s">
        <v>1</v>
      </c>
      <c r="C2" s="285" t="s">
        <v>2</v>
      </c>
      <c r="D2" s="285" t="s">
        <v>3</v>
      </c>
      <c r="E2" s="285" t="s">
        <v>11</v>
      </c>
    </row>
    <row r="3" spans="1:5" s="67" customFormat="1" ht="171.75" x14ac:dyDescent="0.25">
      <c r="A3" s="289" t="s">
        <v>1292</v>
      </c>
      <c r="B3" s="290">
        <v>44145</v>
      </c>
      <c r="C3" s="289" t="s">
        <v>276</v>
      </c>
      <c r="D3" s="292" t="s">
        <v>1303</v>
      </c>
      <c r="E3" s="285"/>
    </row>
    <row r="4" spans="1:5" s="67" customFormat="1" ht="42.75" x14ac:dyDescent="0.2">
      <c r="A4" s="292" t="s">
        <v>1276</v>
      </c>
      <c r="B4" s="380">
        <v>44061</v>
      </c>
      <c r="C4" s="292" t="s">
        <v>1271</v>
      </c>
      <c r="D4" s="292" t="s">
        <v>1275</v>
      </c>
      <c r="E4" s="292"/>
    </row>
    <row r="5" spans="1:5" s="67" customFormat="1" ht="57" x14ac:dyDescent="0.2">
      <c r="A5" s="289" t="s">
        <v>1274</v>
      </c>
      <c r="B5" s="290">
        <v>44057</v>
      </c>
      <c r="C5" s="292" t="s">
        <v>1271</v>
      </c>
      <c r="D5" s="292" t="s">
        <v>1272</v>
      </c>
      <c r="E5" s="289"/>
    </row>
    <row r="6" spans="1:5" s="67" customFormat="1" ht="57" x14ac:dyDescent="0.2">
      <c r="A6" s="289" t="s">
        <v>1241</v>
      </c>
      <c r="B6" s="290">
        <v>44027</v>
      </c>
      <c r="C6" s="289" t="s">
        <v>5</v>
      </c>
      <c r="D6" s="292" t="s">
        <v>1242</v>
      </c>
      <c r="E6" s="289"/>
    </row>
    <row r="7" spans="1:5" s="67" customFormat="1" ht="156.75" x14ac:dyDescent="0.2">
      <c r="A7" s="289" t="s">
        <v>1234</v>
      </c>
      <c r="B7" s="290">
        <v>44025</v>
      </c>
      <c r="C7" s="289" t="s">
        <v>5</v>
      </c>
      <c r="D7" s="292" t="s">
        <v>1240</v>
      </c>
      <c r="E7" s="292"/>
    </row>
    <row r="8" spans="1:5" s="67" customFormat="1" ht="71.25" x14ac:dyDescent="0.2">
      <c r="A8" s="289" t="s">
        <v>1232</v>
      </c>
      <c r="B8" s="290">
        <v>43997</v>
      </c>
      <c r="C8" s="289" t="s">
        <v>5</v>
      </c>
      <c r="D8" s="292" t="s">
        <v>1235</v>
      </c>
      <c r="E8" s="289"/>
    </row>
    <row r="9" spans="1:5" s="67" customFormat="1" ht="156.75" x14ac:dyDescent="0.2">
      <c r="A9" s="289">
        <v>3.4</v>
      </c>
      <c r="B9" s="290">
        <v>43993</v>
      </c>
      <c r="C9" s="289" t="s">
        <v>5</v>
      </c>
      <c r="D9" s="292" t="s">
        <v>1230</v>
      </c>
      <c r="E9" s="292"/>
    </row>
    <row r="10" spans="1:5" s="67" customFormat="1" ht="142.5" x14ac:dyDescent="0.2">
      <c r="A10" s="289">
        <v>3.3</v>
      </c>
      <c r="B10" s="290">
        <v>43980</v>
      </c>
      <c r="C10" s="289" t="s">
        <v>5</v>
      </c>
      <c r="D10" s="292" t="s">
        <v>1228</v>
      </c>
      <c r="E10" s="289"/>
    </row>
    <row r="11" spans="1:5" s="67" customFormat="1" ht="42.75" x14ac:dyDescent="0.2">
      <c r="A11" s="334">
        <v>3.2</v>
      </c>
      <c r="B11" s="290">
        <v>43965</v>
      </c>
      <c r="C11" s="289" t="s">
        <v>5</v>
      </c>
      <c r="D11" s="292" t="s">
        <v>1211</v>
      </c>
      <c r="E11" s="292"/>
    </row>
    <row r="12" spans="1:5" s="67" customFormat="1" ht="42.75" x14ac:dyDescent="0.2">
      <c r="A12" s="334">
        <v>3.1</v>
      </c>
      <c r="B12" s="290">
        <v>43964</v>
      </c>
      <c r="C12" s="289" t="s">
        <v>5</v>
      </c>
      <c r="D12" s="292" t="s">
        <v>1206</v>
      </c>
      <c r="E12" s="292"/>
    </row>
    <row r="13" spans="1:5" s="67" customFormat="1" ht="99.75" x14ac:dyDescent="0.2">
      <c r="A13" s="334">
        <v>3</v>
      </c>
      <c r="B13" s="290">
        <v>43963</v>
      </c>
      <c r="C13" s="289" t="s">
        <v>5</v>
      </c>
      <c r="D13" s="292" t="s">
        <v>1202</v>
      </c>
      <c r="E13" s="292" t="s">
        <v>1203</v>
      </c>
    </row>
    <row r="14" spans="1:5" s="67" customFormat="1" ht="72" x14ac:dyDescent="0.25">
      <c r="A14" s="289">
        <v>2.13</v>
      </c>
      <c r="B14" s="290">
        <v>43903</v>
      </c>
      <c r="C14" s="289" t="s">
        <v>5</v>
      </c>
      <c r="D14" s="292" t="s">
        <v>1174</v>
      </c>
      <c r="E14" s="285"/>
    </row>
    <row r="15" spans="1:5" s="67" customFormat="1" ht="29.25" x14ac:dyDescent="0.25">
      <c r="A15" s="289">
        <v>2.12</v>
      </c>
      <c r="B15" s="290">
        <v>43887</v>
      </c>
      <c r="C15" s="289" t="s">
        <v>276</v>
      </c>
      <c r="D15" s="292" t="s">
        <v>1175</v>
      </c>
      <c r="E15" s="285"/>
    </row>
    <row r="16" spans="1:5" s="67" customFormat="1" ht="57" x14ac:dyDescent="0.2">
      <c r="A16" s="289">
        <v>2.11</v>
      </c>
      <c r="B16" s="290">
        <v>43846</v>
      </c>
      <c r="C16" s="292" t="s">
        <v>1166</v>
      </c>
      <c r="D16" s="292" t="s">
        <v>1173</v>
      </c>
      <c r="E16" s="292" t="s">
        <v>1171</v>
      </c>
    </row>
    <row r="17" spans="1:5" s="67" customFormat="1" ht="43.5" x14ac:dyDescent="0.25">
      <c r="A17" s="327">
        <v>2.1</v>
      </c>
      <c r="B17" s="290">
        <v>43756</v>
      </c>
      <c r="C17" s="289" t="s">
        <v>276</v>
      </c>
      <c r="D17" s="292" t="s">
        <v>1170</v>
      </c>
      <c r="E17" s="285"/>
    </row>
    <row r="18" spans="1:5" s="67" customFormat="1" ht="57.75" x14ac:dyDescent="0.25">
      <c r="A18" s="289">
        <v>2.02</v>
      </c>
      <c r="B18" s="290">
        <v>43718</v>
      </c>
      <c r="C18" s="289" t="s">
        <v>5</v>
      </c>
      <c r="D18" s="292" t="s">
        <v>1169</v>
      </c>
      <c r="E18" s="285"/>
    </row>
    <row r="19" spans="1:5" s="67" customFormat="1" ht="57.75" x14ac:dyDescent="0.25">
      <c r="A19" s="289">
        <v>2.0099999999999998</v>
      </c>
      <c r="B19" s="290">
        <v>43693</v>
      </c>
      <c r="C19" s="289" t="s">
        <v>1108</v>
      </c>
      <c r="D19" s="292" t="s">
        <v>1168</v>
      </c>
      <c r="E19" s="285"/>
    </row>
    <row r="20" spans="1:5" s="67" customFormat="1" ht="100.5" x14ac:dyDescent="0.25">
      <c r="A20" s="323">
        <v>2</v>
      </c>
      <c r="B20" s="313">
        <v>43665</v>
      </c>
      <c r="C20" s="292" t="s">
        <v>1166</v>
      </c>
      <c r="D20" s="292" t="s">
        <v>1167</v>
      </c>
      <c r="E20" s="285"/>
    </row>
    <row r="21" spans="1:5" s="67" customFormat="1" ht="257.25" x14ac:dyDescent="0.25">
      <c r="A21" s="285">
        <v>1.05</v>
      </c>
      <c r="B21" s="313">
        <v>43570</v>
      </c>
      <c r="C21" s="292" t="s">
        <v>1165</v>
      </c>
      <c r="D21" s="292" t="s">
        <v>1160</v>
      </c>
      <c r="E21" s="315" t="s">
        <v>1159</v>
      </c>
    </row>
    <row r="22" spans="1:5" s="67" customFormat="1" ht="85.5" x14ac:dyDescent="0.2">
      <c r="A22" s="289">
        <v>1.04</v>
      </c>
      <c r="B22" s="290">
        <v>43516</v>
      </c>
      <c r="C22" s="289" t="s">
        <v>1108</v>
      </c>
      <c r="D22" s="292" t="s">
        <v>1111</v>
      </c>
      <c r="E22" s="292"/>
    </row>
    <row r="23" spans="1:5" s="67" customFormat="1" ht="128.25" x14ac:dyDescent="0.2">
      <c r="A23" s="289" t="s">
        <v>1107</v>
      </c>
      <c r="B23" s="290">
        <v>43486</v>
      </c>
      <c r="C23" s="289" t="s">
        <v>1108</v>
      </c>
      <c r="D23" s="292" t="s">
        <v>1109</v>
      </c>
      <c r="E23" s="292" t="s">
        <v>1110</v>
      </c>
    </row>
    <row r="24" spans="1:5" s="291" customFormat="1" ht="171" x14ac:dyDescent="0.2">
      <c r="A24" s="289" t="s">
        <v>1107</v>
      </c>
      <c r="B24" s="290">
        <v>43395</v>
      </c>
      <c r="C24" s="289" t="s">
        <v>5</v>
      </c>
      <c r="D24" s="292" t="s">
        <v>1106</v>
      </c>
      <c r="E24" s="292" t="s">
        <v>1105</v>
      </c>
    </row>
    <row r="25" spans="1:5" s="291" customFormat="1" ht="171" x14ac:dyDescent="0.2">
      <c r="A25" s="289">
        <v>1.03</v>
      </c>
      <c r="B25" s="290">
        <v>43319</v>
      </c>
      <c r="C25" s="289" t="s">
        <v>5</v>
      </c>
      <c r="D25" s="292" t="s">
        <v>1104</v>
      </c>
      <c r="E25" s="289"/>
    </row>
    <row r="26" spans="1:5" ht="409.5" x14ac:dyDescent="0.2">
      <c r="A26" s="286">
        <v>1.02</v>
      </c>
      <c r="B26" s="287">
        <v>43292</v>
      </c>
      <c r="C26" s="286" t="s">
        <v>5</v>
      </c>
      <c r="D26" s="288" t="s">
        <v>1103</v>
      </c>
      <c r="E26" s="288" t="s">
        <v>944</v>
      </c>
    </row>
    <row r="27" spans="1:5" ht="42.75" x14ac:dyDescent="0.2">
      <c r="A27" s="286" t="s">
        <v>932</v>
      </c>
      <c r="B27" s="287">
        <v>43291</v>
      </c>
      <c r="C27" s="286" t="s">
        <v>5</v>
      </c>
      <c r="D27" s="288" t="s">
        <v>933</v>
      </c>
      <c r="E27" s="286"/>
    </row>
    <row r="28" spans="1:5" ht="156.75" x14ac:dyDescent="0.2">
      <c r="A28" s="286" t="s">
        <v>880</v>
      </c>
      <c r="B28" s="287">
        <v>43255</v>
      </c>
      <c r="C28" s="286" t="s">
        <v>5</v>
      </c>
      <c r="D28" s="288" t="s">
        <v>881</v>
      </c>
      <c r="E28" s="286"/>
    </row>
    <row r="29" spans="1:5" ht="42.75" x14ac:dyDescent="0.2">
      <c r="A29" s="286" t="s">
        <v>873</v>
      </c>
      <c r="B29" s="287">
        <v>43247</v>
      </c>
      <c r="C29" s="286" t="s">
        <v>5</v>
      </c>
      <c r="D29" s="288" t="s">
        <v>874</v>
      </c>
      <c r="E29" s="286"/>
    </row>
    <row r="30" spans="1:5" ht="142.5" x14ac:dyDescent="0.2">
      <c r="A30" s="286">
        <v>0.4</v>
      </c>
      <c r="B30" s="287">
        <v>43229</v>
      </c>
      <c r="C30" s="286" t="s">
        <v>5</v>
      </c>
      <c r="D30" s="288" t="s">
        <v>491</v>
      </c>
      <c r="E30" s="288" t="s">
        <v>492</v>
      </c>
    </row>
    <row r="31" spans="1:5" ht="114" x14ac:dyDescent="0.2">
      <c r="A31" s="286" t="s">
        <v>324</v>
      </c>
      <c r="B31" s="287">
        <v>43206</v>
      </c>
      <c r="C31" s="286" t="s">
        <v>5</v>
      </c>
      <c r="D31" s="288" t="s">
        <v>325</v>
      </c>
      <c r="E31" s="288" t="s">
        <v>339</v>
      </c>
    </row>
    <row r="32" spans="1:5" ht="57" x14ac:dyDescent="0.2">
      <c r="A32" s="286" t="s">
        <v>300</v>
      </c>
      <c r="B32" s="287">
        <v>43185</v>
      </c>
      <c r="C32" s="286" t="s">
        <v>5</v>
      </c>
      <c r="D32" s="286"/>
      <c r="E32" s="288" t="s">
        <v>301</v>
      </c>
    </row>
    <row r="33" spans="1:5" ht="71.25" x14ac:dyDescent="0.2">
      <c r="A33" s="286" t="s">
        <v>298</v>
      </c>
      <c r="B33" s="287">
        <v>43178</v>
      </c>
      <c r="C33" s="286" t="s">
        <v>276</v>
      </c>
      <c r="D33" s="288" t="s">
        <v>299</v>
      </c>
      <c r="E33" s="286"/>
    </row>
    <row r="34" spans="1:5" ht="128.25" x14ac:dyDescent="0.2">
      <c r="A34" s="286" t="s">
        <v>288</v>
      </c>
      <c r="B34" s="287">
        <v>43172</v>
      </c>
      <c r="C34" s="286" t="s">
        <v>5</v>
      </c>
      <c r="D34" s="288" t="s">
        <v>289</v>
      </c>
      <c r="E34" s="288" t="s">
        <v>291</v>
      </c>
    </row>
    <row r="35" spans="1:5" ht="57" x14ac:dyDescent="0.2">
      <c r="A35" s="286" t="s">
        <v>275</v>
      </c>
      <c r="B35" s="287">
        <v>43167</v>
      </c>
      <c r="C35" s="286" t="s">
        <v>276</v>
      </c>
      <c r="D35" s="286" t="s">
        <v>277</v>
      </c>
      <c r="E35" s="288" t="s">
        <v>282</v>
      </c>
    </row>
    <row r="36" spans="1:5" x14ac:dyDescent="0.2">
      <c r="A36" s="286"/>
      <c r="B36" s="287">
        <v>43147</v>
      </c>
      <c r="C36" s="286" t="s">
        <v>5</v>
      </c>
      <c r="D36" s="286" t="s">
        <v>127</v>
      </c>
      <c r="E36" s="286"/>
    </row>
    <row r="37" spans="1:5" ht="99.75" x14ac:dyDescent="0.2">
      <c r="A37" s="286" t="s">
        <v>9</v>
      </c>
      <c r="B37" s="287">
        <v>43130</v>
      </c>
      <c r="C37" s="286" t="s">
        <v>5</v>
      </c>
      <c r="D37" s="288" t="s">
        <v>10</v>
      </c>
      <c r="E37" s="288" t="s">
        <v>12</v>
      </c>
    </row>
    <row r="38" spans="1:5" x14ac:dyDescent="0.2">
      <c r="A38" s="286" t="s">
        <v>7</v>
      </c>
      <c r="B38" s="287">
        <v>43068</v>
      </c>
      <c r="C38" s="286" t="s">
        <v>5</v>
      </c>
      <c r="D38" s="286" t="s">
        <v>8</v>
      </c>
      <c r="E38" s="286"/>
    </row>
    <row r="39" spans="1:5" x14ac:dyDescent="0.2">
      <c r="A39" s="286" t="s">
        <v>4</v>
      </c>
      <c r="B39" s="287">
        <v>42852</v>
      </c>
      <c r="C39" s="286" t="s">
        <v>5</v>
      </c>
      <c r="D39" s="286" t="s">
        <v>6</v>
      </c>
      <c r="E39" s="286"/>
    </row>
  </sheetData>
  <sortState xmlns:xlrd2="http://schemas.microsoft.com/office/spreadsheetml/2017/richdata2" ref="A22:E35">
    <sortCondition descending="1" ref="B22:B35"/>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4.25" x14ac:dyDescent="0.2"/>
  <cols>
    <col min="1" max="1" width="5.625" style="67" hidden="1" customWidth="1"/>
    <col min="2" max="2" width="27.5" customWidth="1"/>
    <col min="3" max="3" width="7.625" customWidth="1"/>
    <col min="4" max="4" width="23.25" customWidth="1"/>
  </cols>
  <sheetData>
    <row r="1" spans="1:18" x14ac:dyDescent="0.2">
      <c r="B1" t="s">
        <v>523</v>
      </c>
    </row>
    <row r="3" spans="1:18" x14ac:dyDescent="0.2">
      <c r="B3" t="s">
        <v>524</v>
      </c>
    </row>
    <row r="4" spans="1:18" x14ac:dyDescent="0.2">
      <c r="B4" t="s">
        <v>525</v>
      </c>
    </row>
    <row r="7" spans="1:18" ht="15" x14ac:dyDescent="0.25">
      <c r="B7" s="2" t="s">
        <v>947</v>
      </c>
      <c r="K7" s="2" t="s">
        <v>1102</v>
      </c>
    </row>
    <row r="9" spans="1:18" ht="15" x14ac:dyDescent="0.25">
      <c r="A9" s="67">
        <f>COUNTA(B10:B1048576)</f>
        <v>236</v>
      </c>
      <c r="B9" s="2" t="s">
        <v>526</v>
      </c>
      <c r="C9" s="2"/>
      <c r="D9" s="2" t="s">
        <v>527</v>
      </c>
      <c r="K9" s="2" t="s">
        <v>1100</v>
      </c>
      <c r="R9" s="2" t="s">
        <v>1101</v>
      </c>
    </row>
    <row r="10" spans="1:18" x14ac:dyDescent="0.2">
      <c r="A10" s="67">
        <f>COUNTA(D10:D1048576)</f>
        <v>79</v>
      </c>
      <c r="B10" s="67" t="s">
        <v>557</v>
      </c>
      <c r="D10" s="67" t="s">
        <v>827</v>
      </c>
      <c r="K10" t="s">
        <v>948</v>
      </c>
      <c r="R10" t="s">
        <v>827</v>
      </c>
    </row>
    <row r="11" spans="1:18" x14ac:dyDescent="0.2">
      <c r="B11" s="67" t="s">
        <v>558</v>
      </c>
      <c r="D11" s="67" t="s">
        <v>853</v>
      </c>
      <c r="K11" t="s">
        <v>949</v>
      </c>
      <c r="R11" t="s">
        <v>853</v>
      </c>
    </row>
    <row r="12" spans="1:18" x14ac:dyDescent="0.2">
      <c r="B12" s="67" t="s">
        <v>559</v>
      </c>
      <c r="D12" s="67" t="s">
        <v>811</v>
      </c>
      <c r="K12" t="s">
        <v>950</v>
      </c>
      <c r="R12" t="s">
        <v>811</v>
      </c>
    </row>
    <row r="13" spans="1:18" x14ac:dyDescent="0.2">
      <c r="B13" s="67" t="s">
        <v>560</v>
      </c>
      <c r="D13" s="67" t="s">
        <v>819</v>
      </c>
      <c r="K13" t="s">
        <v>951</v>
      </c>
      <c r="R13" t="s">
        <v>819</v>
      </c>
    </row>
    <row r="14" spans="1:18" x14ac:dyDescent="0.2">
      <c r="B14" s="67" t="s">
        <v>561</v>
      </c>
      <c r="D14" s="67" t="s">
        <v>861</v>
      </c>
      <c r="K14" t="s">
        <v>952</v>
      </c>
      <c r="R14" t="s">
        <v>861</v>
      </c>
    </row>
    <row r="15" spans="1:18" x14ac:dyDescent="0.2">
      <c r="B15" s="67" t="s">
        <v>562</v>
      </c>
      <c r="D15" s="67" t="s">
        <v>824</v>
      </c>
      <c r="K15" t="s">
        <v>953</v>
      </c>
      <c r="R15" t="s">
        <v>824</v>
      </c>
    </row>
    <row r="16" spans="1:18" x14ac:dyDescent="0.2">
      <c r="B16" s="67" t="s">
        <v>563</v>
      </c>
      <c r="D16" s="67" t="s">
        <v>809</v>
      </c>
      <c r="K16" t="s">
        <v>954</v>
      </c>
      <c r="R16" t="s">
        <v>809</v>
      </c>
    </row>
    <row r="17" spans="2:18" x14ac:dyDescent="0.2">
      <c r="B17" s="67" t="s">
        <v>564</v>
      </c>
      <c r="D17" s="67" t="s">
        <v>862</v>
      </c>
      <c r="K17" t="s">
        <v>955</v>
      </c>
      <c r="R17" t="s">
        <v>862</v>
      </c>
    </row>
    <row r="18" spans="2:18" x14ac:dyDescent="0.2">
      <c r="B18" s="67" t="s">
        <v>565</v>
      </c>
      <c r="D18" s="67" t="s">
        <v>854</v>
      </c>
      <c r="K18" t="s">
        <v>956</v>
      </c>
      <c r="R18" t="s">
        <v>854</v>
      </c>
    </row>
    <row r="19" spans="2:18" x14ac:dyDescent="0.2">
      <c r="B19" s="67" t="s">
        <v>566</v>
      </c>
      <c r="D19" s="67" t="s">
        <v>820</v>
      </c>
      <c r="K19" t="s">
        <v>957</v>
      </c>
      <c r="R19" t="s">
        <v>820</v>
      </c>
    </row>
    <row r="20" spans="2:18" x14ac:dyDescent="0.2">
      <c r="B20" s="67" t="s">
        <v>567</v>
      </c>
      <c r="D20" s="67" t="s">
        <v>816</v>
      </c>
      <c r="K20" t="s">
        <v>958</v>
      </c>
      <c r="R20" t="s">
        <v>816</v>
      </c>
    </row>
    <row r="21" spans="2:18" x14ac:dyDescent="0.2">
      <c r="B21" s="67" t="s">
        <v>568</v>
      </c>
      <c r="D21" s="67" t="s">
        <v>821</v>
      </c>
      <c r="K21" t="s">
        <v>959</v>
      </c>
      <c r="R21" t="s">
        <v>821</v>
      </c>
    </row>
    <row r="22" spans="2:18" x14ac:dyDescent="0.2">
      <c r="B22" s="67" t="s">
        <v>569</v>
      </c>
      <c r="D22" s="67" t="s">
        <v>837</v>
      </c>
      <c r="K22" t="s">
        <v>960</v>
      </c>
      <c r="R22" t="s">
        <v>837</v>
      </c>
    </row>
    <row r="23" spans="2:18" x14ac:dyDescent="0.2">
      <c r="B23" s="67" t="s">
        <v>570</v>
      </c>
      <c r="D23" s="67" t="s">
        <v>858</v>
      </c>
      <c r="K23" t="s">
        <v>961</v>
      </c>
      <c r="R23" t="s">
        <v>858</v>
      </c>
    </row>
    <row r="24" spans="2:18" x14ac:dyDescent="0.2">
      <c r="B24" s="67" t="s">
        <v>571</v>
      </c>
      <c r="D24" s="67" t="s">
        <v>818</v>
      </c>
      <c r="K24" t="s">
        <v>962</v>
      </c>
      <c r="R24" t="s">
        <v>818</v>
      </c>
    </row>
    <row r="25" spans="2:18" x14ac:dyDescent="0.2">
      <c r="B25" s="67" t="s">
        <v>572</v>
      </c>
      <c r="D25" s="67" t="s">
        <v>817</v>
      </c>
      <c r="K25" t="s">
        <v>963</v>
      </c>
      <c r="R25" t="s">
        <v>817</v>
      </c>
    </row>
    <row r="26" spans="2:18" x14ac:dyDescent="0.2">
      <c r="B26" s="67" t="s">
        <v>573</v>
      </c>
      <c r="D26" s="67" t="s">
        <v>871</v>
      </c>
      <c r="K26" t="s">
        <v>964</v>
      </c>
      <c r="R26" t="s">
        <v>871</v>
      </c>
    </row>
    <row r="27" spans="2:18" x14ac:dyDescent="0.2">
      <c r="B27" s="67" t="s">
        <v>574</v>
      </c>
      <c r="D27" s="67" t="s">
        <v>869</v>
      </c>
      <c r="K27" t="s">
        <v>965</v>
      </c>
      <c r="R27" t="s">
        <v>869</v>
      </c>
    </row>
    <row r="28" spans="2:18" x14ac:dyDescent="0.2">
      <c r="B28" s="67" t="s">
        <v>575</v>
      </c>
      <c r="D28" s="67" t="s">
        <v>848</v>
      </c>
      <c r="K28" t="s">
        <v>966</v>
      </c>
      <c r="R28" t="s">
        <v>848</v>
      </c>
    </row>
    <row r="29" spans="2:18" x14ac:dyDescent="0.2">
      <c r="B29" s="67" t="s">
        <v>576</v>
      </c>
      <c r="D29" s="67" t="s">
        <v>812</v>
      </c>
      <c r="K29" t="s">
        <v>967</v>
      </c>
      <c r="R29" t="s">
        <v>812</v>
      </c>
    </row>
    <row r="30" spans="2:18" x14ac:dyDescent="0.2">
      <c r="B30" s="67" t="s">
        <v>577</v>
      </c>
      <c r="D30" s="67" t="s">
        <v>842</v>
      </c>
      <c r="K30" t="s">
        <v>968</v>
      </c>
      <c r="R30" t="s">
        <v>842</v>
      </c>
    </row>
    <row r="31" spans="2:18" x14ac:dyDescent="0.2">
      <c r="B31" s="67" t="s">
        <v>578</v>
      </c>
      <c r="D31" s="67" t="s">
        <v>828</v>
      </c>
      <c r="K31" t="s">
        <v>969</v>
      </c>
      <c r="R31" t="s">
        <v>828</v>
      </c>
    </row>
    <row r="32" spans="2:18" x14ac:dyDescent="0.2">
      <c r="B32" s="67" t="s">
        <v>579</v>
      </c>
      <c r="D32" s="67" t="s">
        <v>815</v>
      </c>
      <c r="K32" t="s">
        <v>970</v>
      </c>
      <c r="R32" t="s">
        <v>815</v>
      </c>
    </row>
    <row r="33" spans="2:18" x14ac:dyDescent="0.2">
      <c r="B33" s="67" t="s">
        <v>580</v>
      </c>
      <c r="D33" s="67" t="s">
        <v>803</v>
      </c>
      <c r="K33" t="s">
        <v>971</v>
      </c>
      <c r="R33" t="s">
        <v>803</v>
      </c>
    </row>
    <row r="34" spans="2:18" x14ac:dyDescent="0.2">
      <c r="B34" s="67" t="s">
        <v>581</v>
      </c>
      <c r="D34" s="67" t="s">
        <v>796</v>
      </c>
      <c r="K34" t="s">
        <v>972</v>
      </c>
      <c r="R34" t="s">
        <v>796</v>
      </c>
    </row>
    <row r="35" spans="2:18" x14ac:dyDescent="0.2">
      <c r="B35" s="67" t="s">
        <v>582</v>
      </c>
      <c r="D35" s="67" t="s">
        <v>855</v>
      </c>
      <c r="K35" t="s">
        <v>973</v>
      </c>
      <c r="R35" t="s">
        <v>855</v>
      </c>
    </row>
    <row r="36" spans="2:18" x14ac:dyDescent="0.2">
      <c r="B36" s="67" t="s">
        <v>583</v>
      </c>
      <c r="D36" s="67" t="s">
        <v>814</v>
      </c>
      <c r="K36" t="s">
        <v>974</v>
      </c>
      <c r="R36" t="s">
        <v>814</v>
      </c>
    </row>
    <row r="37" spans="2:18" x14ac:dyDescent="0.2">
      <c r="B37" s="67" t="s">
        <v>584</v>
      </c>
      <c r="D37" s="67" t="s">
        <v>851</v>
      </c>
      <c r="K37" t="s">
        <v>975</v>
      </c>
      <c r="R37" t="s">
        <v>851</v>
      </c>
    </row>
    <row r="38" spans="2:18" x14ac:dyDescent="0.2">
      <c r="B38" s="67" t="s">
        <v>585</v>
      </c>
      <c r="D38" s="67" t="s">
        <v>850</v>
      </c>
      <c r="K38" t="s">
        <v>976</v>
      </c>
      <c r="R38" t="s">
        <v>850</v>
      </c>
    </row>
    <row r="39" spans="2:18" x14ac:dyDescent="0.2">
      <c r="B39" s="67" t="s">
        <v>586</v>
      </c>
      <c r="D39" s="67" t="s">
        <v>813</v>
      </c>
      <c r="K39" t="s">
        <v>977</v>
      </c>
      <c r="R39" t="s">
        <v>813</v>
      </c>
    </row>
    <row r="40" spans="2:18" x14ac:dyDescent="0.2">
      <c r="B40" s="67" t="s">
        <v>587</v>
      </c>
      <c r="D40" t="s">
        <v>860</v>
      </c>
      <c r="K40" t="s">
        <v>978</v>
      </c>
      <c r="R40" t="s">
        <v>860</v>
      </c>
    </row>
    <row r="41" spans="2:18" x14ac:dyDescent="0.2">
      <c r="B41" s="67" t="s">
        <v>588</v>
      </c>
      <c r="D41" t="s">
        <v>793</v>
      </c>
      <c r="K41" t="s">
        <v>979</v>
      </c>
      <c r="R41" t="s">
        <v>793</v>
      </c>
    </row>
    <row r="42" spans="2:18" x14ac:dyDescent="0.2">
      <c r="B42" s="67" t="s">
        <v>589</v>
      </c>
      <c r="D42" t="s">
        <v>832</v>
      </c>
      <c r="K42" t="s">
        <v>980</v>
      </c>
      <c r="R42" t="s">
        <v>832</v>
      </c>
    </row>
    <row r="43" spans="2:18" x14ac:dyDescent="0.2">
      <c r="B43" s="67" t="s">
        <v>590</v>
      </c>
      <c r="D43" t="s">
        <v>841</v>
      </c>
      <c r="K43" t="s">
        <v>981</v>
      </c>
      <c r="R43" t="s">
        <v>841</v>
      </c>
    </row>
    <row r="44" spans="2:18" x14ac:dyDescent="0.2">
      <c r="B44" s="67" t="s">
        <v>591</v>
      </c>
      <c r="D44" t="s">
        <v>847</v>
      </c>
      <c r="K44" t="s">
        <v>982</v>
      </c>
      <c r="R44" t="s">
        <v>847</v>
      </c>
    </row>
    <row r="45" spans="2:18" x14ac:dyDescent="0.2">
      <c r="B45" s="67" t="s">
        <v>592</v>
      </c>
      <c r="D45" t="s">
        <v>863</v>
      </c>
      <c r="K45" t="s">
        <v>983</v>
      </c>
      <c r="R45" t="s">
        <v>863</v>
      </c>
    </row>
    <row r="46" spans="2:18" x14ac:dyDescent="0.2">
      <c r="B46" s="67" t="s">
        <v>593</v>
      </c>
      <c r="D46" t="s">
        <v>864</v>
      </c>
      <c r="K46" t="s">
        <v>984</v>
      </c>
      <c r="R46" t="s">
        <v>864</v>
      </c>
    </row>
    <row r="47" spans="2:18" x14ac:dyDescent="0.2">
      <c r="B47" s="67" t="s">
        <v>594</v>
      </c>
      <c r="D47" t="s">
        <v>865</v>
      </c>
      <c r="K47" t="s">
        <v>985</v>
      </c>
      <c r="R47" t="s">
        <v>865</v>
      </c>
    </row>
    <row r="48" spans="2:18" x14ac:dyDescent="0.2">
      <c r="B48" s="67" t="s">
        <v>595</v>
      </c>
      <c r="D48" t="s">
        <v>830</v>
      </c>
      <c r="K48" t="s">
        <v>986</v>
      </c>
      <c r="R48" t="s">
        <v>830</v>
      </c>
    </row>
    <row r="49" spans="2:18" x14ac:dyDescent="0.2">
      <c r="B49" s="67" t="s">
        <v>596</v>
      </c>
      <c r="D49" t="s">
        <v>852</v>
      </c>
      <c r="K49" t="s">
        <v>987</v>
      </c>
      <c r="R49" t="s">
        <v>852</v>
      </c>
    </row>
    <row r="50" spans="2:18" x14ac:dyDescent="0.2">
      <c r="B50" s="67" t="s">
        <v>597</v>
      </c>
      <c r="D50" t="s">
        <v>867</v>
      </c>
      <c r="K50" t="s">
        <v>988</v>
      </c>
      <c r="R50" t="s">
        <v>867</v>
      </c>
    </row>
    <row r="51" spans="2:18" x14ac:dyDescent="0.2">
      <c r="B51" s="67" t="s">
        <v>598</v>
      </c>
      <c r="D51" t="s">
        <v>866</v>
      </c>
      <c r="K51" t="s">
        <v>989</v>
      </c>
      <c r="R51" t="s">
        <v>866</v>
      </c>
    </row>
    <row r="52" spans="2:18" x14ac:dyDescent="0.2">
      <c r="B52" s="67" t="s">
        <v>599</v>
      </c>
      <c r="D52" t="s">
        <v>834</v>
      </c>
      <c r="K52" t="s">
        <v>990</v>
      </c>
      <c r="R52" t="s">
        <v>834</v>
      </c>
    </row>
    <row r="53" spans="2:18" x14ac:dyDescent="0.2">
      <c r="B53" s="67" t="s">
        <v>600</v>
      </c>
      <c r="D53" t="s">
        <v>844</v>
      </c>
      <c r="K53" t="s">
        <v>991</v>
      </c>
      <c r="R53" t="s">
        <v>844</v>
      </c>
    </row>
    <row r="54" spans="2:18" x14ac:dyDescent="0.2">
      <c r="B54" s="67" t="s">
        <v>601</v>
      </c>
      <c r="D54" t="s">
        <v>868</v>
      </c>
      <c r="K54" t="s">
        <v>992</v>
      </c>
      <c r="R54" t="s">
        <v>868</v>
      </c>
    </row>
    <row r="55" spans="2:18" x14ac:dyDescent="0.2">
      <c r="B55" s="67" t="s">
        <v>602</v>
      </c>
      <c r="D55" t="s">
        <v>849</v>
      </c>
      <c r="K55" t="s">
        <v>993</v>
      </c>
      <c r="R55" t="s">
        <v>849</v>
      </c>
    </row>
    <row r="56" spans="2:18" x14ac:dyDescent="0.2">
      <c r="B56" s="67" t="s">
        <v>603</v>
      </c>
      <c r="D56" t="s">
        <v>833</v>
      </c>
      <c r="K56" t="s">
        <v>994</v>
      </c>
      <c r="R56" t="s">
        <v>833</v>
      </c>
    </row>
    <row r="57" spans="2:18" x14ac:dyDescent="0.2">
      <c r="B57" s="67" t="s">
        <v>604</v>
      </c>
      <c r="D57" t="s">
        <v>836</v>
      </c>
      <c r="K57" t="s">
        <v>995</v>
      </c>
      <c r="R57" t="s">
        <v>836</v>
      </c>
    </row>
    <row r="58" spans="2:18" x14ac:dyDescent="0.2">
      <c r="B58" s="67" t="s">
        <v>605</v>
      </c>
      <c r="D58" t="s">
        <v>807</v>
      </c>
      <c r="K58" t="s">
        <v>996</v>
      </c>
      <c r="R58" t="s">
        <v>807</v>
      </c>
    </row>
    <row r="59" spans="2:18" x14ac:dyDescent="0.2">
      <c r="B59" s="67" t="s">
        <v>606</v>
      </c>
      <c r="D59" t="s">
        <v>835</v>
      </c>
      <c r="K59" t="s">
        <v>997</v>
      </c>
      <c r="R59" t="s">
        <v>835</v>
      </c>
    </row>
    <row r="60" spans="2:18" x14ac:dyDescent="0.2">
      <c r="B60" s="67" t="s">
        <v>607</v>
      </c>
      <c r="D60" t="s">
        <v>846</v>
      </c>
      <c r="K60" t="s">
        <v>998</v>
      </c>
      <c r="R60" t="s">
        <v>846</v>
      </c>
    </row>
    <row r="61" spans="2:18" x14ac:dyDescent="0.2">
      <c r="B61" s="67" t="s">
        <v>608</v>
      </c>
      <c r="D61" t="s">
        <v>845</v>
      </c>
      <c r="K61" t="s">
        <v>999</v>
      </c>
      <c r="R61" t="s">
        <v>845</v>
      </c>
    </row>
    <row r="62" spans="2:18" x14ac:dyDescent="0.2">
      <c r="B62" s="67" t="s">
        <v>609</v>
      </c>
      <c r="D62" t="s">
        <v>870</v>
      </c>
      <c r="K62" t="s">
        <v>1000</v>
      </c>
      <c r="R62" t="s">
        <v>870</v>
      </c>
    </row>
    <row r="63" spans="2:18" x14ac:dyDescent="0.2">
      <c r="B63" s="67" t="s">
        <v>610</v>
      </c>
      <c r="D63" t="s">
        <v>857</v>
      </c>
      <c r="K63" t="s">
        <v>1001</v>
      </c>
      <c r="R63" t="s">
        <v>857</v>
      </c>
    </row>
    <row r="64" spans="2:18" x14ac:dyDescent="0.2">
      <c r="B64" s="67" t="s">
        <v>611</v>
      </c>
      <c r="D64" t="s">
        <v>797</v>
      </c>
      <c r="K64" t="s">
        <v>1002</v>
      </c>
      <c r="R64" t="s">
        <v>797</v>
      </c>
    </row>
    <row r="65" spans="2:18" x14ac:dyDescent="0.2">
      <c r="B65" s="67" t="s">
        <v>612</v>
      </c>
      <c r="D65" t="s">
        <v>802</v>
      </c>
      <c r="K65" t="s">
        <v>1003</v>
      </c>
      <c r="R65" t="s">
        <v>802</v>
      </c>
    </row>
    <row r="66" spans="2:18" x14ac:dyDescent="0.2">
      <c r="B66" s="67" t="s">
        <v>613</v>
      </c>
      <c r="D66" t="s">
        <v>798</v>
      </c>
      <c r="K66" t="s">
        <v>1004</v>
      </c>
      <c r="R66" t="s">
        <v>798</v>
      </c>
    </row>
    <row r="67" spans="2:18" x14ac:dyDescent="0.2">
      <c r="B67" s="67" t="s">
        <v>614</v>
      </c>
      <c r="D67" t="s">
        <v>801</v>
      </c>
      <c r="K67" t="s">
        <v>1005</v>
      </c>
      <c r="R67" t="s">
        <v>801</v>
      </c>
    </row>
    <row r="68" spans="2:18" x14ac:dyDescent="0.2">
      <c r="B68" s="67" t="s">
        <v>615</v>
      </c>
      <c r="D68" t="s">
        <v>825</v>
      </c>
      <c r="K68" t="s">
        <v>1006</v>
      </c>
      <c r="R68" t="s">
        <v>825</v>
      </c>
    </row>
    <row r="69" spans="2:18" x14ac:dyDescent="0.2">
      <c r="B69" s="67" t="s">
        <v>616</v>
      </c>
      <c r="D69" t="s">
        <v>800</v>
      </c>
      <c r="K69" t="s">
        <v>1007</v>
      </c>
      <c r="R69" t="s">
        <v>800</v>
      </c>
    </row>
    <row r="70" spans="2:18" x14ac:dyDescent="0.2">
      <c r="B70" s="67" t="s">
        <v>617</v>
      </c>
      <c r="D70" t="s">
        <v>840</v>
      </c>
      <c r="K70" t="s">
        <v>1008</v>
      </c>
      <c r="R70" t="s">
        <v>840</v>
      </c>
    </row>
    <row r="71" spans="2:18" x14ac:dyDescent="0.2">
      <c r="B71" s="67" t="s">
        <v>618</v>
      </c>
      <c r="D71" t="s">
        <v>810</v>
      </c>
      <c r="K71" t="s">
        <v>1009</v>
      </c>
      <c r="R71" t="s">
        <v>810</v>
      </c>
    </row>
    <row r="72" spans="2:18" x14ac:dyDescent="0.2">
      <c r="B72" s="67" t="s">
        <v>619</v>
      </c>
      <c r="D72" t="s">
        <v>839</v>
      </c>
      <c r="K72" t="s">
        <v>1010</v>
      </c>
      <c r="R72" t="s">
        <v>839</v>
      </c>
    </row>
    <row r="73" spans="2:18" x14ac:dyDescent="0.2">
      <c r="B73" s="67" t="s">
        <v>620</v>
      </c>
      <c r="D73" t="s">
        <v>823</v>
      </c>
      <c r="K73" t="s">
        <v>1011</v>
      </c>
      <c r="R73" t="s">
        <v>823</v>
      </c>
    </row>
    <row r="74" spans="2:18" x14ac:dyDescent="0.2">
      <c r="B74" s="67" t="s">
        <v>621</v>
      </c>
      <c r="D74" t="s">
        <v>804</v>
      </c>
      <c r="K74" t="s">
        <v>1012</v>
      </c>
      <c r="R74" t="s">
        <v>804</v>
      </c>
    </row>
    <row r="75" spans="2:18" x14ac:dyDescent="0.2">
      <c r="B75" s="67" t="s">
        <v>622</v>
      </c>
      <c r="D75" t="s">
        <v>808</v>
      </c>
      <c r="K75" t="s">
        <v>1013</v>
      </c>
      <c r="R75" t="s">
        <v>808</v>
      </c>
    </row>
    <row r="76" spans="2:18" x14ac:dyDescent="0.2">
      <c r="B76" s="67" t="s">
        <v>623</v>
      </c>
      <c r="D76" t="s">
        <v>805</v>
      </c>
      <c r="K76" t="s">
        <v>1014</v>
      </c>
      <c r="R76" t="s">
        <v>805</v>
      </c>
    </row>
    <row r="77" spans="2:18" x14ac:dyDescent="0.2">
      <c r="B77" s="67" t="s">
        <v>624</v>
      </c>
      <c r="D77" t="s">
        <v>856</v>
      </c>
      <c r="K77" t="s">
        <v>1015</v>
      </c>
      <c r="R77" t="s">
        <v>856</v>
      </c>
    </row>
    <row r="78" spans="2:18" x14ac:dyDescent="0.2">
      <c r="B78" s="67" t="s">
        <v>625</v>
      </c>
      <c r="D78" t="s">
        <v>859</v>
      </c>
      <c r="K78" t="s">
        <v>1016</v>
      </c>
      <c r="R78" t="s">
        <v>859</v>
      </c>
    </row>
    <row r="79" spans="2:18" x14ac:dyDescent="0.2">
      <c r="B79" s="67" t="s">
        <v>626</v>
      </c>
      <c r="D79" t="s">
        <v>822</v>
      </c>
      <c r="K79" t="s">
        <v>1017</v>
      </c>
      <c r="R79" t="s">
        <v>822</v>
      </c>
    </row>
    <row r="80" spans="2:18" x14ac:dyDescent="0.2">
      <c r="B80" s="67" t="s">
        <v>627</v>
      </c>
      <c r="D80" t="s">
        <v>829</v>
      </c>
      <c r="K80" t="s">
        <v>1018</v>
      </c>
      <c r="R80" t="s">
        <v>829</v>
      </c>
    </row>
    <row r="81" spans="2:18" x14ac:dyDescent="0.2">
      <c r="B81" s="67" t="s">
        <v>628</v>
      </c>
      <c r="D81" t="s">
        <v>799</v>
      </c>
      <c r="K81" t="s">
        <v>1019</v>
      </c>
      <c r="R81" t="s">
        <v>799</v>
      </c>
    </row>
    <row r="82" spans="2:18" x14ac:dyDescent="0.2">
      <c r="B82" s="67" t="s">
        <v>629</v>
      </c>
      <c r="D82" t="s">
        <v>838</v>
      </c>
      <c r="K82" t="s">
        <v>1020</v>
      </c>
      <c r="R82" t="s">
        <v>838</v>
      </c>
    </row>
    <row r="83" spans="2:18" x14ac:dyDescent="0.2">
      <c r="B83" s="67" t="s">
        <v>630</v>
      </c>
      <c r="D83" t="s">
        <v>843</v>
      </c>
      <c r="K83" t="s">
        <v>1021</v>
      </c>
      <c r="R83" t="s">
        <v>843</v>
      </c>
    </row>
    <row r="84" spans="2:18" x14ac:dyDescent="0.2">
      <c r="B84" s="67" t="s">
        <v>631</v>
      </c>
      <c r="D84" t="s">
        <v>826</v>
      </c>
      <c r="K84" t="s">
        <v>1022</v>
      </c>
      <c r="R84" t="s">
        <v>826</v>
      </c>
    </row>
    <row r="85" spans="2:18" x14ac:dyDescent="0.2">
      <c r="B85" s="67" t="s">
        <v>632</v>
      </c>
      <c r="D85" t="s">
        <v>806</v>
      </c>
      <c r="K85" t="s">
        <v>1023</v>
      </c>
      <c r="R85" t="s">
        <v>806</v>
      </c>
    </row>
    <row r="86" spans="2:18" x14ac:dyDescent="0.2">
      <c r="B86" s="67" t="s">
        <v>633</v>
      </c>
      <c r="D86" t="s">
        <v>795</v>
      </c>
      <c r="K86" t="s">
        <v>1024</v>
      </c>
      <c r="R86" t="s">
        <v>795</v>
      </c>
    </row>
    <row r="87" spans="2:18" x14ac:dyDescent="0.2">
      <c r="B87" s="67" t="s">
        <v>634</v>
      </c>
      <c r="D87" t="s">
        <v>831</v>
      </c>
      <c r="K87" t="s">
        <v>1025</v>
      </c>
      <c r="R87" t="s">
        <v>831</v>
      </c>
    </row>
    <row r="88" spans="2:18" x14ac:dyDescent="0.2">
      <c r="B88" s="67" t="s">
        <v>635</v>
      </c>
      <c r="D88" t="s">
        <v>794</v>
      </c>
      <c r="K88" t="s">
        <v>1026</v>
      </c>
      <c r="R88" t="s">
        <v>794</v>
      </c>
    </row>
    <row r="89" spans="2:18" x14ac:dyDescent="0.2">
      <c r="B89" s="67" t="s">
        <v>636</v>
      </c>
      <c r="K89" t="s">
        <v>1027</v>
      </c>
    </row>
    <row r="90" spans="2:18" x14ac:dyDescent="0.2">
      <c r="B90" s="67" t="s">
        <v>637</v>
      </c>
      <c r="K90" t="s">
        <v>1028</v>
      </c>
    </row>
    <row r="91" spans="2:18" x14ac:dyDescent="0.2">
      <c r="B91" s="67" t="s">
        <v>638</v>
      </c>
      <c r="K91" t="s">
        <v>1029</v>
      </c>
    </row>
    <row r="92" spans="2:18" x14ac:dyDescent="0.2">
      <c r="B92" s="67" t="s">
        <v>639</v>
      </c>
      <c r="K92" t="s">
        <v>1030</v>
      </c>
    </row>
    <row r="93" spans="2:18" x14ac:dyDescent="0.2">
      <c r="B93" s="67" t="s">
        <v>640</v>
      </c>
      <c r="K93" t="s">
        <v>1031</v>
      </c>
    </row>
    <row r="94" spans="2:18" x14ac:dyDescent="0.2">
      <c r="B94" s="67" t="s">
        <v>641</v>
      </c>
      <c r="K94" t="s">
        <v>1032</v>
      </c>
    </row>
    <row r="95" spans="2:18" x14ac:dyDescent="0.2">
      <c r="B95" s="67" t="s">
        <v>642</v>
      </c>
      <c r="K95" t="s">
        <v>1033</v>
      </c>
    </row>
    <row r="96" spans="2:18" x14ac:dyDescent="0.2">
      <c r="B96" s="67" t="s">
        <v>643</v>
      </c>
      <c r="K96" t="s">
        <v>1034</v>
      </c>
    </row>
    <row r="97" spans="2:11" x14ac:dyDescent="0.2">
      <c r="B97" s="67" t="s">
        <v>644</v>
      </c>
      <c r="K97" t="s">
        <v>1035</v>
      </c>
    </row>
    <row r="98" spans="2:11" x14ac:dyDescent="0.2">
      <c r="B98" s="67" t="s">
        <v>645</v>
      </c>
      <c r="K98" t="s">
        <v>1036</v>
      </c>
    </row>
    <row r="99" spans="2:11" x14ac:dyDescent="0.2">
      <c r="B99" s="67" t="s">
        <v>646</v>
      </c>
      <c r="K99" t="s">
        <v>1037</v>
      </c>
    </row>
    <row r="100" spans="2:11" x14ac:dyDescent="0.2">
      <c r="B100" s="67" t="s">
        <v>647</v>
      </c>
      <c r="K100" t="s">
        <v>1038</v>
      </c>
    </row>
    <row r="101" spans="2:11" x14ac:dyDescent="0.2">
      <c r="B101" s="67" t="s">
        <v>648</v>
      </c>
      <c r="K101" t="s">
        <v>1039</v>
      </c>
    </row>
    <row r="102" spans="2:11" x14ac:dyDescent="0.2">
      <c r="B102" s="67" t="s">
        <v>649</v>
      </c>
      <c r="K102" t="s">
        <v>1040</v>
      </c>
    </row>
    <row r="103" spans="2:11" x14ac:dyDescent="0.2">
      <c r="B103" s="67" t="s">
        <v>650</v>
      </c>
      <c r="K103" t="s">
        <v>1041</v>
      </c>
    </row>
    <row r="104" spans="2:11" x14ac:dyDescent="0.2">
      <c r="B104" s="67" t="s">
        <v>651</v>
      </c>
      <c r="K104" t="s">
        <v>1042</v>
      </c>
    </row>
    <row r="105" spans="2:11" x14ac:dyDescent="0.2">
      <c r="B105" s="67" t="s">
        <v>652</v>
      </c>
      <c r="K105" t="s">
        <v>1043</v>
      </c>
    </row>
    <row r="106" spans="2:11" x14ac:dyDescent="0.2">
      <c r="B106" s="67" t="s">
        <v>653</v>
      </c>
      <c r="K106" t="s">
        <v>1044</v>
      </c>
    </row>
    <row r="107" spans="2:11" x14ac:dyDescent="0.2">
      <c r="B107" s="67" t="s">
        <v>654</v>
      </c>
      <c r="K107" t="s">
        <v>1045</v>
      </c>
    </row>
    <row r="108" spans="2:11" x14ac:dyDescent="0.2">
      <c r="B108" s="67" t="s">
        <v>655</v>
      </c>
      <c r="K108" t="s">
        <v>1046</v>
      </c>
    </row>
    <row r="109" spans="2:11" x14ac:dyDescent="0.2">
      <c r="B109" s="67" t="s">
        <v>656</v>
      </c>
      <c r="K109" t="s">
        <v>1047</v>
      </c>
    </row>
    <row r="110" spans="2:11" x14ac:dyDescent="0.2">
      <c r="B110" s="67" t="s">
        <v>657</v>
      </c>
      <c r="K110" t="s">
        <v>1048</v>
      </c>
    </row>
    <row r="111" spans="2:11" x14ac:dyDescent="0.2">
      <c r="B111" s="67" t="s">
        <v>658</v>
      </c>
      <c r="K111" t="s">
        <v>1049</v>
      </c>
    </row>
    <row r="112" spans="2:11" x14ac:dyDescent="0.2">
      <c r="B112" s="67" t="s">
        <v>659</v>
      </c>
      <c r="K112" t="s">
        <v>1050</v>
      </c>
    </row>
    <row r="113" spans="2:11" x14ac:dyDescent="0.2">
      <c r="B113" s="67" t="s">
        <v>660</v>
      </c>
      <c r="K113" t="s">
        <v>1051</v>
      </c>
    </row>
    <row r="114" spans="2:11" x14ac:dyDescent="0.2">
      <c r="B114" s="67" t="s">
        <v>661</v>
      </c>
      <c r="K114" t="s">
        <v>1052</v>
      </c>
    </row>
    <row r="115" spans="2:11" x14ac:dyDescent="0.2">
      <c r="B115" s="67" t="s">
        <v>662</v>
      </c>
      <c r="K115" t="s">
        <v>1053</v>
      </c>
    </row>
    <row r="116" spans="2:11" x14ac:dyDescent="0.2">
      <c r="B116" s="67" t="s">
        <v>663</v>
      </c>
      <c r="K116" t="s">
        <v>1054</v>
      </c>
    </row>
    <row r="117" spans="2:11" x14ac:dyDescent="0.2">
      <c r="B117" s="67" t="s">
        <v>664</v>
      </c>
      <c r="K117" t="s">
        <v>1055</v>
      </c>
    </row>
    <row r="118" spans="2:11" x14ac:dyDescent="0.2">
      <c r="B118" s="67" t="s">
        <v>665</v>
      </c>
      <c r="K118" t="s">
        <v>1056</v>
      </c>
    </row>
    <row r="119" spans="2:11" x14ac:dyDescent="0.2">
      <c r="B119" s="67" t="s">
        <v>666</v>
      </c>
      <c r="K119" t="s">
        <v>1057</v>
      </c>
    </row>
    <row r="120" spans="2:11" x14ac:dyDescent="0.2">
      <c r="B120" s="67" t="s">
        <v>667</v>
      </c>
      <c r="K120" t="s">
        <v>1058</v>
      </c>
    </row>
    <row r="121" spans="2:11" x14ac:dyDescent="0.2">
      <c r="B121" s="67" t="s">
        <v>668</v>
      </c>
      <c r="K121" t="s">
        <v>1059</v>
      </c>
    </row>
    <row r="122" spans="2:11" x14ac:dyDescent="0.2">
      <c r="B122" s="67" t="s">
        <v>669</v>
      </c>
      <c r="K122" t="s">
        <v>1060</v>
      </c>
    </row>
    <row r="123" spans="2:11" x14ac:dyDescent="0.2">
      <c r="B123" s="67" t="s">
        <v>670</v>
      </c>
      <c r="K123" t="s">
        <v>1061</v>
      </c>
    </row>
    <row r="124" spans="2:11" x14ac:dyDescent="0.2">
      <c r="B124" s="67" t="s">
        <v>671</v>
      </c>
      <c r="K124" t="s">
        <v>1062</v>
      </c>
    </row>
    <row r="125" spans="2:11" x14ac:dyDescent="0.2">
      <c r="B125" s="67" t="s">
        <v>672</v>
      </c>
      <c r="K125" t="s">
        <v>1063</v>
      </c>
    </row>
    <row r="126" spans="2:11" x14ac:dyDescent="0.2">
      <c r="B126" s="67" t="s">
        <v>673</v>
      </c>
      <c r="K126" t="s">
        <v>1064</v>
      </c>
    </row>
    <row r="127" spans="2:11" x14ac:dyDescent="0.2">
      <c r="B127" s="67" t="s">
        <v>674</v>
      </c>
      <c r="K127" t="s">
        <v>1065</v>
      </c>
    </row>
    <row r="128" spans="2:11" x14ac:dyDescent="0.2">
      <c r="B128" s="67" t="s">
        <v>675</v>
      </c>
      <c r="K128" t="s">
        <v>1066</v>
      </c>
    </row>
    <row r="129" spans="2:11" x14ac:dyDescent="0.2">
      <c r="B129" s="67" t="s">
        <v>676</v>
      </c>
      <c r="K129" t="s">
        <v>1067</v>
      </c>
    </row>
    <row r="130" spans="2:11" x14ac:dyDescent="0.2">
      <c r="B130" s="67" t="s">
        <v>677</v>
      </c>
      <c r="K130" t="s">
        <v>1068</v>
      </c>
    </row>
    <row r="131" spans="2:11" x14ac:dyDescent="0.2">
      <c r="B131" s="67" t="s">
        <v>678</v>
      </c>
      <c r="K131" t="s">
        <v>1069</v>
      </c>
    </row>
    <row r="132" spans="2:11" x14ac:dyDescent="0.2">
      <c r="B132" s="67" t="s">
        <v>679</v>
      </c>
      <c r="K132" t="s">
        <v>1070</v>
      </c>
    </row>
    <row r="133" spans="2:11" x14ac:dyDescent="0.2">
      <c r="B133" s="67" t="s">
        <v>680</v>
      </c>
      <c r="K133" t="s">
        <v>1071</v>
      </c>
    </row>
    <row r="134" spans="2:11" x14ac:dyDescent="0.2">
      <c r="B134" s="67" t="s">
        <v>681</v>
      </c>
      <c r="K134" t="s">
        <v>1072</v>
      </c>
    </row>
    <row r="135" spans="2:11" x14ac:dyDescent="0.2">
      <c r="B135" s="67" t="s">
        <v>682</v>
      </c>
      <c r="K135" t="s">
        <v>1073</v>
      </c>
    </row>
    <row r="136" spans="2:11" x14ac:dyDescent="0.2">
      <c r="B136" s="67" t="s">
        <v>683</v>
      </c>
      <c r="K136" t="s">
        <v>1074</v>
      </c>
    </row>
    <row r="137" spans="2:11" x14ac:dyDescent="0.2">
      <c r="B137" s="67" t="s">
        <v>684</v>
      </c>
      <c r="K137" t="s">
        <v>1075</v>
      </c>
    </row>
    <row r="138" spans="2:11" x14ac:dyDescent="0.2">
      <c r="B138" s="67" t="s">
        <v>685</v>
      </c>
      <c r="K138" t="s">
        <v>1076</v>
      </c>
    </row>
    <row r="139" spans="2:11" x14ac:dyDescent="0.2">
      <c r="B139" s="67" t="s">
        <v>686</v>
      </c>
      <c r="K139" t="s">
        <v>1077</v>
      </c>
    </row>
    <row r="140" spans="2:11" x14ac:dyDescent="0.2">
      <c r="B140" s="67" t="s">
        <v>687</v>
      </c>
      <c r="K140" t="s">
        <v>1078</v>
      </c>
    </row>
    <row r="141" spans="2:11" x14ac:dyDescent="0.2">
      <c r="B141" s="67" t="s">
        <v>688</v>
      </c>
      <c r="K141" t="s">
        <v>1079</v>
      </c>
    </row>
    <row r="142" spans="2:11" x14ac:dyDescent="0.2">
      <c r="B142" s="67" t="s">
        <v>689</v>
      </c>
      <c r="K142" t="s">
        <v>1080</v>
      </c>
    </row>
    <row r="143" spans="2:11" x14ac:dyDescent="0.2">
      <c r="B143" s="67" t="s">
        <v>690</v>
      </c>
      <c r="K143" t="s">
        <v>1081</v>
      </c>
    </row>
    <row r="144" spans="2:11" x14ac:dyDescent="0.2">
      <c r="B144" s="67" t="s">
        <v>691</v>
      </c>
      <c r="K144" t="s">
        <v>1082</v>
      </c>
    </row>
    <row r="145" spans="2:11" x14ac:dyDescent="0.2">
      <c r="B145" s="67" t="s">
        <v>692</v>
      </c>
      <c r="K145" t="s">
        <v>1083</v>
      </c>
    </row>
    <row r="146" spans="2:11" x14ac:dyDescent="0.2">
      <c r="B146" s="67" t="s">
        <v>693</v>
      </c>
      <c r="K146" t="s">
        <v>1084</v>
      </c>
    </row>
    <row r="147" spans="2:11" x14ac:dyDescent="0.2">
      <c r="B147" s="67" t="s">
        <v>694</v>
      </c>
      <c r="K147" t="s">
        <v>1085</v>
      </c>
    </row>
    <row r="148" spans="2:11" x14ac:dyDescent="0.2">
      <c r="B148" s="67" t="s">
        <v>695</v>
      </c>
      <c r="K148" t="s">
        <v>1086</v>
      </c>
    </row>
    <row r="149" spans="2:11" x14ac:dyDescent="0.2">
      <c r="B149" s="67" t="s">
        <v>696</v>
      </c>
      <c r="K149" t="s">
        <v>1087</v>
      </c>
    </row>
    <row r="150" spans="2:11" x14ac:dyDescent="0.2">
      <c r="B150" s="67" t="s">
        <v>697</v>
      </c>
      <c r="K150" t="s">
        <v>1088</v>
      </c>
    </row>
    <row r="151" spans="2:11" x14ac:dyDescent="0.2">
      <c r="B151" s="67" t="s">
        <v>698</v>
      </c>
      <c r="K151" t="s">
        <v>1089</v>
      </c>
    </row>
    <row r="152" spans="2:11" x14ac:dyDescent="0.2">
      <c r="B152" s="67" t="s">
        <v>699</v>
      </c>
      <c r="K152" t="s">
        <v>1090</v>
      </c>
    </row>
    <row r="153" spans="2:11" x14ac:dyDescent="0.2">
      <c r="B153" s="67" t="s">
        <v>700</v>
      </c>
      <c r="K153" t="s">
        <v>1091</v>
      </c>
    </row>
    <row r="154" spans="2:11" x14ac:dyDescent="0.2">
      <c r="B154" s="67" t="s">
        <v>701</v>
      </c>
      <c r="K154" t="s">
        <v>1092</v>
      </c>
    </row>
    <row r="155" spans="2:11" x14ac:dyDescent="0.2">
      <c r="B155" s="67" t="s">
        <v>702</v>
      </c>
      <c r="K155" t="s">
        <v>1093</v>
      </c>
    </row>
    <row r="156" spans="2:11" x14ac:dyDescent="0.2">
      <c r="B156" s="67" t="s">
        <v>703</v>
      </c>
      <c r="K156" t="s">
        <v>1094</v>
      </c>
    </row>
    <row r="157" spans="2:11" x14ac:dyDescent="0.2">
      <c r="B157" s="67" t="s">
        <v>704</v>
      </c>
      <c r="K157" t="s">
        <v>1095</v>
      </c>
    </row>
    <row r="158" spans="2:11" x14ac:dyDescent="0.2">
      <c r="B158" s="67" t="s">
        <v>705</v>
      </c>
      <c r="K158" t="s">
        <v>1096</v>
      </c>
    </row>
    <row r="159" spans="2:11" x14ac:dyDescent="0.2">
      <c r="B159" s="67" t="s">
        <v>706</v>
      </c>
      <c r="K159" t="s">
        <v>1097</v>
      </c>
    </row>
    <row r="160" spans="2:11" x14ac:dyDescent="0.2">
      <c r="B160" s="67" t="s">
        <v>707</v>
      </c>
      <c r="K160" t="s">
        <v>1098</v>
      </c>
    </row>
    <row r="161" spans="2:11" x14ac:dyDescent="0.2">
      <c r="B161" s="67" t="s">
        <v>708</v>
      </c>
      <c r="K161" t="s">
        <v>1099</v>
      </c>
    </row>
    <row r="162" spans="2:11" x14ac:dyDescent="0.2">
      <c r="B162" s="67" t="s">
        <v>709</v>
      </c>
    </row>
    <row r="163" spans="2:11" x14ac:dyDescent="0.2">
      <c r="B163" s="67" t="s">
        <v>710</v>
      </c>
    </row>
    <row r="164" spans="2:11" x14ac:dyDescent="0.2">
      <c r="B164" s="67" t="s">
        <v>711</v>
      </c>
    </row>
    <row r="165" spans="2:11" x14ac:dyDescent="0.2">
      <c r="B165" s="67" t="s">
        <v>712</v>
      </c>
    </row>
    <row r="166" spans="2:11" x14ac:dyDescent="0.2">
      <c r="B166" s="67" t="s">
        <v>713</v>
      </c>
    </row>
    <row r="167" spans="2:11" x14ac:dyDescent="0.2">
      <c r="B167" s="67" t="s">
        <v>714</v>
      </c>
    </row>
    <row r="168" spans="2:11" x14ac:dyDescent="0.2">
      <c r="B168" s="67" t="s">
        <v>715</v>
      </c>
    </row>
    <row r="169" spans="2:11" x14ac:dyDescent="0.2">
      <c r="B169" s="67" t="s">
        <v>716</v>
      </c>
    </row>
    <row r="170" spans="2:11" x14ac:dyDescent="0.2">
      <c r="B170" s="67" t="s">
        <v>717</v>
      </c>
    </row>
    <row r="171" spans="2:11" x14ac:dyDescent="0.2">
      <c r="B171" s="67" t="s">
        <v>718</v>
      </c>
    </row>
    <row r="172" spans="2:11" x14ac:dyDescent="0.2">
      <c r="B172" s="67" t="s">
        <v>719</v>
      </c>
    </row>
    <row r="173" spans="2:11" x14ac:dyDescent="0.2">
      <c r="B173" s="67" t="s">
        <v>720</v>
      </c>
    </row>
    <row r="174" spans="2:11" x14ac:dyDescent="0.2">
      <c r="B174" s="67" t="s">
        <v>721</v>
      </c>
    </row>
    <row r="175" spans="2:11" x14ac:dyDescent="0.2">
      <c r="B175" s="67" t="s">
        <v>722</v>
      </c>
    </row>
    <row r="176" spans="2:11" x14ac:dyDescent="0.2">
      <c r="B176" s="67" t="s">
        <v>723</v>
      </c>
    </row>
    <row r="177" spans="2:2" x14ac:dyDescent="0.2">
      <c r="B177" s="67" t="s">
        <v>724</v>
      </c>
    </row>
    <row r="178" spans="2:2" x14ac:dyDescent="0.2">
      <c r="B178" s="67" t="s">
        <v>725</v>
      </c>
    </row>
    <row r="179" spans="2:2" x14ac:dyDescent="0.2">
      <c r="B179" s="67" t="s">
        <v>726</v>
      </c>
    </row>
    <row r="180" spans="2:2" x14ac:dyDescent="0.2">
      <c r="B180" s="67" t="s">
        <v>727</v>
      </c>
    </row>
    <row r="181" spans="2:2" x14ac:dyDescent="0.2">
      <c r="B181" s="67" t="s">
        <v>728</v>
      </c>
    </row>
    <row r="182" spans="2:2" x14ac:dyDescent="0.2">
      <c r="B182" s="67" t="s">
        <v>729</v>
      </c>
    </row>
    <row r="183" spans="2:2" x14ac:dyDescent="0.2">
      <c r="B183" s="67" t="s">
        <v>730</v>
      </c>
    </row>
    <row r="184" spans="2:2" x14ac:dyDescent="0.2">
      <c r="B184" s="67" t="s">
        <v>731</v>
      </c>
    </row>
    <row r="185" spans="2:2" x14ac:dyDescent="0.2">
      <c r="B185" s="67" t="s">
        <v>732</v>
      </c>
    </row>
    <row r="186" spans="2:2" x14ac:dyDescent="0.2">
      <c r="B186" s="67" t="s">
        <v>733</v>
      </c>
    </row>
    <row r="187" spans="2:2" x14ac:dyDescent="0.2">
      <c r="B187" s="67" t="s">
        <v>734</v>
      </c>
    </row>
    <row r="188" spans="2:2" x14ac:dyDescent="0.2">
      <c r="B188" s="67" t="s">
        <v>735</v>
      </c>
    </row>
    <row r="189" spans="2:2" x14ac:dyDescent="0.2">
      <c r="B189" s="67" t="s">
        <v>736</v>
      </c>
    </row>
    <row r="190" spans="2:2" x14ac:dyDescent="0.2">
      <c r="B190" s="67" t="s">
        <v>737</v>
      </c>
    </row>
    <row r="191" spans="2:2" x14ac:dyDescent="0.2">
      <c r="B191" s="67" t="s">
        <v>738</v>
      </c>
    </row>
    <row r="192" spans="2:2" x14ac:dyDescent="0.2">
      <c r="B192" s="67" t="s">
        <v>739</v>
      </c>
    </row>
    <row r="193" spans="2:2" x14ac:dyDescent="0.2">
      <c r="B193" s="67" t="s">
        <v>740</v>
      </c>
    </row>
    <row r="194" spans="2:2" x14ac:dyDescent="0.2">
      <c r="B194" s="67" t="s">
        <v>741</v>
      </c>
    </row>
    <row r="195" spans="2:2" x14ac:dyDescent="0.2">
      <c r="B195" s="67" t="s">
        <v>742</v>
      </c>
    </row>
    <row r="196" spans="2:2" x14ac:dyDescent="0.2">
      <c r="B196" s="67" t="s">
        <v>743</v>
      </c>
    </row>
    <row r="197" spans="2:2" x14ac:dyDescent="0.2">
      <c r="B197" s="67" t="s">
        <v>744</v>
      </c>
    </row>
    <row r="198" spans="2:2" x14ac:dyDescent="0.2">
      <c r="B198" s="67" t="s">
        <v>745</v>
      </c>
    </row>
    <row r="199" spans="2:2" x14ac:dyDescent="0.2">
      <c r="B199" s="67" t="s">
        <v>746</v>
      </c>
    </row>
    <row r="200" spans="2:2" x14ac:dyDescent="0.2">
      <c r="B200" s="67" t="s">
        <v>747</v>
      </c>
    </row>
    <row r="201" spans="2:2" x14ac:dyDescent="0.2">
      <c r="B201" s="67" t="s">
        <v>748</v>
      </c>
    </row>
    <row r="202" spans="2:2" x14ac:dyDescent="0.2">
      <c r="B202" s="67" t="s">
        <v>749</v>
      </c>
    </row>
    <row r="203" spans="2:2" x14ac:dyDescent="0.2">
      <c r="B203" s="67" t="s">
        <v>750</v>
      </c>
    </row>
    <row r="204" spans="2:2" x14ac:dyDescent="0.2">
      <c r="B204" s="67" t="s">
        <v>751</v>
      </c>
    </row>
    <row r="205" spans="2:2" x14ac:dyDescent="0.2">
      <c r="B205" s="67" t="s">
        <v>752</v>
      </c>
    </row>
    <row r="206" spans="2:2" x14ac:dyDescent="0.2">
      <c r="B206" s="67" t="s">
        <v>753</v>
      </c>
    </row>
    <row r="207" spans="2:2" x14ac:dyDescent="0.2">
      <c r="B207" s="67" t="s">
        <v>754</v>
      </c>
    </row>
    <row r="208" spans="2:2" x14ac:dyDescent="0.2">
      <c r="B208" s="67" t="s">
        <v>755</v>
      </c>
    </row>
    <row r="209" spans="2:2" x14ac:dyDescent="0.2">
      <c r="B209" s="67" t="s">
        <v>756</v>
      </c>
    </row>
    <row r="210" spans="2:2" x14ac:dyDescent="0.2">
      <c r="B210" s="67" t="s">
        <v>757</v>
      </c>
    </row>
    <row r="211" spans="2:2" x14ac:dyDescent="0.2">
      <c r="B211" s="67" t="s">
        <v>758</v>
      </c>
    </row>
    <row r="212" spans="2:2" x14ac:dyDescent="0.2">
      <c r="B212" s="67" t="s">
        <v>759</v>
      </c>
    </row>
    <row r="213" spans="2:2" x14ac:dyDescent="0.2">
      <c r="B213" s="67" t="s">
        <v>760</v>
      </c>
    </row>
    <row r="214" spans="2:2" x14ac:dyDescent="0.2">
      <c r="B214" s="67" t="s">
        <v>761</v>
      </c>
    </row>
    <row r="215" spans="2:2" x14ac:dyDescent="0.2">
      <c r="B215" s="67" t="s">
        <v>762</v>
      </c>
    </row>
    <row r="216" spans="2:2" x14ac:dyDescent="0.2">
      <c r="B216" s="67" t="s">
        <v>763</v>
      </c>
    </row>
    <row r="217" spans="2:2" x14ac:dyDescent="0.2">
      <c r="B217" s="67" t="s">
        <v>764</v>
      </c>
    </row>
    <row r="218" spans="2:2" x14ac:dyDescent="0.2">
      <c r="B218" s="67" t="s">
        <v>765</v>
      </c>
    </row>
    <row r="219" spans="2:2" x14ac:dyDescent="0.2">
      <c r="B219" s="67" t="s">
        <v>766</v>
      </c>
    </row>
    <row r="220" spans="2:2" x14ac:dyDescent="0.2">
      <c r="B220" s="67" t="s">
        <v>767</v>
      </c>
    </row>
    <row r="221" spans="2:2" x14ac:dyDescent="0.2">
      <c r="B221" s="67" t="s">
        <v>768</v>
      </c>
    </row>
    <row r="222" spans="2:2" x14ac:dyDescent="0.2">
      <c r="B222" s="67" t="s">
        <v>769</v>
      </c>
    </row>
    <row r="223" spans="2:2" x14ac:dyDescent="0.2">
      <c r="B223" s="67" t="s">
        <v>770</v>
      </c>
    </row>
    <row r="224" spans="2:2" x14ac:dyDescent="0.2">
      <c r="B224" s="67" t="s">
        <v>771</v>
      </c>
    </row>
    <row r="225" spans="2:2" x14ac:dyDescent="0.2">
      <c r="B225" s="67" t="s">
        <v>772</v>
      </c>
    </row>
    <row r="226" spans="2:2" x14ac:dyDescent="0.2">
      <c r="B226" s="67" t="s">
        <v>773</v>
      </c>
    </row>
    <row r="227" spans="2:2" x14ac:dyDescent="0.2">
      <c r="B227" s="67" t="s">
        <v>774</v>
      </c>
    </row>
    <row r="228" spans="2:2" x14ac:dyDescent="0.2">
      <c r="B228" s="67" t="s">
        <v>775</v>
      </c>
    </row>
    <row r="229" spans="2:2" x14ac:dyDescent="0.2">
      <c r="B229" s="67" t="s">
        <v>776</v>
      </c>
    </row>
    <row r="230" spans="2:2" x14ac:dyDescent="0.2">
      <c r="B230" s="67" t="s">
        <v>777</v>
      </c>
    </row>
    <row r="231" spans="2:2" x14ac:dyDescent="0.2">
      <c r="B231" s="67" t="s">
        <v>778</v>
      </c>
    </row>
    <row r="232" spans="2:2" x14ac:dyDescent="0.2">
      <c r="B232" s="67" t="s">
        <v>779</v>
      </c>
    </row>
    <row r="233" spans="2:2" x14ac:dyDescent="0.2">
      <c r="B233" s="67" t="s">
        <v>780</v>
      </c>
    </row>
    <row r="234" spans="2:2" x14ac:dyDescent="0.2">
      <c r="B234" s="67" t="s">
        <v>781</v>
      </c>
    </row>
    <row r="235" spans="2:2" x14ac:dyDescent="0.2">
      <c r="B235" s="67" t="s">
        <v>782</v>
      </c>
    </row>
    <row r="236" spans="2:2" x14ac:dyDescent="0.2">
      <c r="B236" s="67" t="s">
        <v>783</v>
      </c>
    </row>
    <row r="237" spans="2:2" x14ac:dyDescent="0.2">
      <c r="B237" s="67" t="s">
        <v>784</v>
      </c>
    </row>
    <row r="238" spans="2:2" x14ac:dyDescent="0.2">
      <c r="B238" s="67" t="s">
        <v>785</v>
      </c>
    </row>
    <row r="239" spans="2:2" x14ac:dyDescent="0.2">
      <c r="B239" s="67" t="s">
        <v>786</v>
      </c>
    </row>
    <row r="240" spans="2:2" x14ac:dyDescent="0.2">
      <c r="B240" s="67" t="s">
        <v>787</v>
      </c>
    </row>
    <row r="241" spans="2:2" x14ac:dyDescent="0.2">
      <c r="B241" s="67" t="s">
        <v>788</v>
      </c>
    </row>
    <row r="242" spans="2:2" x14ac:dyDescent="0.2">
      <c r="B242" s="67" t="s">
        <v>789</v>
      </c>
    </row>
    <row r="243" spans="2:2" x14ac:dyDescent="0.2">
      <c r="B243" s="67" t="s">
        <v>790</v>
      </c>
    </row>
    <row r="244" spans="2:2" x14ac:dyDescent="0.2">
      <c r="B244" s="67" t="s">
        <v>791</v>
      </c>
    </row>
    <row r="245" spans="2:2" x14ac:dyDescent="0.2">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4.25" x14ac:dyDescent="0.2"/>
  <cols>
    <col min="6" max="6" width="11.25" bestFit="1" customWidth="1"/>
    <col min="11" max="11" width="28.25" customWidth="1"/>
    <col min="12" max="12" width="9.75" bestFit="1" customWidth="1"/>
    <col min="13" max="13" width="17.5" customWidth="1"/>
    <col min="16" max="16" width="10" bestFit="1" customWidth="1"/>
    <col min="17" max="17" width="11.25" bestFit="1" customWidth="1"/>
    <col min="19" max="19" width="12.25" bestFit="1" customWidth="1"/>
  </cols>
  <sheetData>
    <row r="1" spans="1:35" x14ac:dyDescent="0.2">
      <c r="A1" t="s">
        <v>26</v>
      </c>
      <c r="C1" t="s">
        <v>13</v>
      </c>
      <c r="E1" t="s">
        <v>14</v>
      </c>
      <c r="F1" t="s">
        <v>15</v>
      </c>
      <c r="H1" t="s">
        <v>16</v>
      </c>
      <c r="K1" t="s">
        <v>1184</v>
      </c>
      <c r="S1" t="s">
        <v>17</v>
      </c>
      <c r="V1" t="s">
        <v>18</v>
      </c>
      <c r="Y1" t="s">
        <v>207</v>
      </c>
      <c r="AE1" t="s">
        <v>297</v>
      </c>
      <c r="AI1" t="s">
        <v>327</v>
      </c>
    </row>
    <row r="2" spans="1:35" x14ac:dyDescent="0.2">
      <c r="A2">
        <v>0</v>
      </c>
      <c r="E2" t="s">
        <v>19</v>
      </c>
      <c r="F2">
        <v>1</v>
      </c>
      <c r="H2">
        <v>65</v>
      </c>
      <c r="I2">
        <v>0.65</v>
      </c>
      <c r="K2" s="317">
        <v>43892</v>
      </c>
      <c r="L2" s="317"/>
      <c r="M2" s="317"/>
      <c r="S2" s="7" t="str">
        <f>IF(Demand!$C$6="","",Demand!$C$6)</f>
        <v/>
      </c>
      <c r="V2">
        <v>1</v>
      </c>
      <c r="Y2" t="s">
        <v>210</v>
      </c>
      <c r="Z2" t="s">
        <v>208</v>
      </c>
      <c r="AA2" t="s">
        <v>209</v>
      </c>
      <c r="AE2" t="s">
        <v>57</v>
      </c>
      <c r="AI2" t="str">
        <f ca="1">"Baseline: "&amp;TEXT(MAX('SPC background (hide)'!$I$5:$I$11),"#")&amp;" wks"</f>
        <v>Baseline: -97 wks</v>
      </c>
    </row>
    <row r="3" spans="1:35" x14ac:dyDescent="0.2">
      <c r="A3">
        <v>1</v>
      </c>
      <c r="C3" t="s">
        <v>20</v>
      </c>
      <c r="E3" t="s">
        <v>21</v>
      </c>
      <c r="F3">
        <v>2</v>
      </c>
      <c r="H3">
        <v>70</v>
      </c>
      <c r="I3">
        <v>0.7</v>
      </c>
      <c r="K3" s="317">
        <f>K2+7</f>
        <v>43899</v>
      </c>
      <c r="S3" s="7" t="str">
        <f>IF($S$2="","",S2+7)</f>
        <v/>
      </c>
      <c r="V3">
        <v>1.5</v>
      </c>
      <c r="Y3" t="s">
        <v>32</v>
      </c>
      <c r="Z3" t="str">
        <f>Setup!C27</f>
        <v>Test name 1</v>
      </c>
      <c r="AA3" t="str">
        <f>IF(Z3="",Y3,Z3)</f>
        <v>Test name 1</v>
      </c>
      <c r="AE3" t="str">
        <f>IF(Capacity!B17="","",ROW(A1)&amp;". "&amp;Capacity!B17)</f>
        <v/>
      </c>
      <c r="AF3" s="67"/>
      <c r="AI3">
        <v>20</v>
      </c>
    </row>
    <row r="4" spans="1:35" x14ac:dyDescent="0.2">
      <c r="A4">
        <v>2</v>
      </c>
      <c r="C4" t="s">
        <v>22</v>
      </c>
      <c r="E4" t="s">
        <v>23</v>
      </c>
      <c r="F4">
        <v>3</v>
      </c>
      <c r="H4">
        <v>75</v>
      </c>
      <c r="I4">
        <v>0.75</v>
      </c>
      <c r="K4" s="317">
        <f t="shared" ref="K4:K54" si="0">K3+7</f>
        <v>43906</v>
      </c>
      <c r="S4" s="7" t="str">
        <f t="shared" ref="S4:S53" si="1">IF($S$2="","",S3+7)</f>
        <v/>
      </c>
      <c r="V4">
        <v>2</v>
      </c>
      <c r="Y4" t="s">
        <v>34</v>
      </c>
      <c r="Z4" t="str">
        <f>Setup!C28</f>
        <v>Test name 2</v>
      </c>
      <c r="AA4" t="str">
        <f t="shared" ref="AA4:AA12" si="2">IF(Z4="",Y4,Z4)</f>
        <v>Test name 2</v>
      </c>
      <c r="AE4" s="67" t="str">
        <f>IF(Capacity!B18="","",ROW(A2)&amp;". "&amp;Capacity!B18)</f>
        <v/>
      </c>
      <c r="AF4" s="67"/>
      <c r="AI4">
        <v>21</v>
      </c>
    </row>
    <row r="5" spans="1:35" x14ac:dyDescent="0.2">
      <c r="A5">
        <v>3</v>
      </c>
      <c r="H5">
        <v>80</v>
      </c>
      <c r="I5">
        <v>0.8</v>
      </c>
      <c r="K5" s="317">
        <f t="shared" si="0"/>
        <v>43913</v>
      </c>
      <c r="S5" s="7" t="str">
        <f t="shared" si="1"/>
        <v/>
      </c>
      <c r="V5">
        <v>2.5</v>
      </c>
      <c r="Y5" t="s">
        <v>36</v>
      </c>
      <c r="Z5" t="str">
        <f>Setup!C29</f>
        <v>Another modality</v>
      </c>
      <c r="AA5" t="str">
        <f t="shared" si="2"/>
        <v>Another modality</v>
      </c>
      <c r="AE5" s="67" t="str">
        <f>IF(Capacity!B19="","",ROW(A3)&amp;". "&amp;Capacity!B19)</f>
        <v/>
      </c>
      <c r="AF5" s="67"/>
      <c r="AI5" s="67">
        <v>22</v>
      </c>
    </row>
    <row r="6" spans="1:35" x14ac:dyDescent="0.2">
      <c r="A6">
        <v>4</v>
      </c>
      <c r="C6" t="s">
        <v>22</v>
      </c>
      <c r="E6" t="s">
        <v>19</v>
      </c>
      <c r="I6">
        <v>0.85</v>
      </c>
      <c r="K6" s="317">
        <f t="shared" si="0"/>
        <v>43920</v>
      </c>
      <c r="S6" s="7" t="str">
        <f t="shared" si="1"/>
        <v/>
      </c>
      <c r="V6">
        <v>3</v>
      </c>
      <c r="Y6" t="s">
        <v>38</v>
      </c>
      <c r="Z6" t="str">
        <f>Setup!C30</f>
        <v>Modality 4</v>
      </c>
      <c r="AA6" t="str">
        <f t="shared" si="2"/>
        <v>Modality 4</v>
      </c>
      <c r="AE6" s="67" t="str">
        <f>IF(Capacity!B20="","",ROW(A4)&amp;". "&amp;Capacity!B20)</f>
        <v/>
      </c>
      <c r="AF6" s="67"/>
      <c r="AI6" s="67">
        <v>23</v>
      </c>
    </row>
    <row r="7" spans="1:35" x14ac:dyDescent="0.2">
      <c r="A7">
        <v>5</v>
      </c>
      <c r="C7" t="s">
        <v>20</v>
      </c>
      <c r="E7" t="s">
        <v>23</v>
      </c>
      <c r="K7" s="317">
        <f t="shared" si="0"/>
        <v>43927</v>
      </c>
      <c r="S7" s="7" t="str">
        <f t="shared" si="1"/>
        <v/>
      </c>
      <c r="V7">
        <v>3.5</v>
      </c>
      <c r="Y7" t="s">
        <v>40</v>
      </c>
      <c r="Z7" t="str">
        <f>Setup!C31</f>
        <v>Modality 5</v>
      </c>
      <c r="AA7" t="str">
        <f t="shared" si="2"/>
        <v>Modality 5</v>
      </c>
      <c r="AE7" s="67" t="str">
        <f>IF(Capacity!B21="","",ROW(A5)&amp;". "&amp;Capacity!B21)</f>
        <v/>
      </c>
      <c r="AF7" s="67"/>
      <c r="AI7" s="67">
        <v>24</v>
      </c>
    </row>
    <row r="8" spans="1:35" x14ac:dyDescent="0.2">
      <c r="A8">
        <v>6</v>
      </c>
      <c r="K8" s="317">
        <f t="shared" si="0"/>
        <v>43934</v>
      </c>
      <c r="S8" s="7" t="str">
        <f t="shared" si="1"/>
        <v/>
      </c>
      <c r="V8">
        <v>4</v>
      </c>
      <c r="Y8" t="s">
        <v>42</v>
      </c>
      <c r="Z8" t="str">
        <f>Setup!C32</f>
        <v>Modality 6</v>
      </c>
      <c r="AA8" t="str">
        <f t="shared" si="2"/>
        <v>Modality 6</v>
      </c>
      <c r="AE8" s="67" t="str">
        <f>IF(Capacity!B22="","",ROW(A6)&amp;". "&amp;Capacity!B22)</f>
        <v/>
      </c>
      <c r="AF8" s="67"/>
      <c r="AI8" s="67">
        <v>25</v>
      </c>
    </row>
    <row r="9" spans="1:35" x14ac:dyDescent="0.2">
      <c r="A9">
        <v>7</v>
      </c>
      <c r="E9" t="s">
        <v>19</v>
      </c>
      <c r="H9" t="s">
        <v>137</v>
      </c>
      <c r="I9">
        <f>VLOOKUP(Setup!I19,'Control sheet (hide)'!H2:I5,2,0)</f>
        <v>0.65</v>
      </c>
      <c r="K9" s="317">
        <f t="shared" si="0"/>
        <v>43941</v>
      </c>
      <c r="S9" s="7" t="str">
        <f t="shared" si="1"/>
        <v/>
      </c>
      <c r="V9">
        <v>4.5</v>
      </c>
      <c r="Y9" t="s">
        <v>44</v>
      </c>
      <c r="Z9" t="str">
        <f>Setup!C33</f>
        <v>Modality 7</v>
      </c>
      <c r="AA9" t="str">
        <f t="shared" si="2"/>
        <v>Modality 7</v>
      </c>
      <c r="AE9" s="67" t="str">
        <f>IF(Capacity!B23="","",ROW(A7)&amp;". "&amp;Capacity!B23)</f>
        <v/>
      </c>
      <c r="AF9" s="67"/>
      <c r="AI9" s="67">
        <v>26</v>
      </c>
    </row>
    <row r="10" spans="1:35" x14ac:dyDescent="0.2">
      <c r="A10">
        <v>8</v>
      </c>
      <c r="E10" t="s">
        <v>21</v>
      </c>
      <c r="H10" t="s">
        <v>138</v>
      </c>
      <c r="I10">
        <f>I6</f>
        <v>0.85</v>
      </c>
      <c r="K10" s="317">
        <f t="shared" si="0"/>
        <v>43948</v>
      </c>
      <c r="S10" s="7" t="str">
        <f t="shared" si="1"/>
        <v/>
      </c>
      <c r="V10">
        <v>5</v>
      </c>
      <c r="Y10" t="s">
        <v>46</v>
      </c>
      <c r="Z10" t="str">
        <f>Setup!C34</f>
        <v>Modality 8</v>
      </c>
      <c r="AA10" t="str">
        <f t="shared" si="2"/>
        <v>Modality 8</v>
      </c>
      <c r="AE10" s="67" t="str">
        <f>IF(Capacity!B24="","",ROW(A8)&amp;". "&amp;Capacity!B24)</f>
        <v/>
      </c>
      <c r="AF10" s="67"/>
      <c r="AI10" s="67">
        <v>27</v>
      </c>
    </row>
    <row r="11" spans="1:35" x14ac:dyDescent="0.2">
      <c r="A11">
        <v>9</v>
      </c>
      <c r="C11" t="s">
        <v>1178</v>
      </c>
      <c r="K11" s="317">
        <f t="shared" si="0"/>
        <v>43955</v>
      </c>
      <c r="S11" s="7" t="str">
        <f t="shared" si="1"/>
        <v/>
      </c>
      <c r="V11">
        <v>5.5</v>
      </c>
      <c r="Y11" t="s">
        <v>48</v>
      </c>
      <c r="Z11" t="str">
        <f>Setup!C35</f>
        <v>Modality 9</v>
      </c>
      <c r="AA11" t="str">
        <f t="shared" si="2"/>
        <v>Modality 9</v>
      </c>
      <c r="AE11" s="67" t="str">
        <f>IF(Capacity!B25="","",ROW(A9)&amp;". "&amp;Capacity!B25)</f>
        <v/>
      </c>
      <c r="AF11" s="67"/>
      <c r="AI11" s="67">
        <v>28</v>
      </c>
    </row>
    <row r="12" spans="1:35" x14ac:dyDescent="0.2">
      <c r="A12">
        <v>10</v>
      </c>
      <c r="K12" s="317">
        <f t="shared" si="0"/>
        <v>43962</v>
      </c>
      <c r="S12" s="7" t="str">
        <f t="shared" si="1"/>
        <v/>
      </c>
      <c r="V12">
        <v>6</v>
      </c>
      <c r="Y12" t="s">
        <v>50</v>
      </c>
      <c r="Z12" t="str">
        <f>Setup!C36</f>
        <v>Modality 10</v>
      </c>
      <c r="AA12" t="str">
        <f t="shared" si="2"/>
        <v>Modality 10</v>
      </c>
      <c r="AE12" s="67" t="str">
        <f>IF(Capacity!B26="","",ROW(A10)&amp;". "&amp;Capacity!B26)</f>
        <v/>
      </c>
      <c r="AF12" s="67"/>
      <c r="AI12" s="67">
        <v>29</v>
      </c>
    </row>
    <row r="13" spans="1:35" x14ac:dyDescent="0.2">
      <c r="A13">
        <v>11</v>
      </c>
      <c r="E13" t="s">
        <v>24</v>
      </c>
      <c r="H13" t="s">
        <v>875</v>
      </c>
      <c r="K13" s="317">
        <f t="shared" si="0"/>
        <v>43969</v>
      </c>
      <c r="S13" s="7" t="str">
        <f t="shared" si="1"/>
        <v/>
      </c>
      <c r="V13">
        <v>6.5</v>
      </c>
      <c r="AA13" t="s">
        <v>211</v>
      </c>
      <c r="AE13" s="67" t="str">
        <f>IF(Capacity!B27="","",ROW(A11)&amp;". "&amp;Capacity!B27)</f>
        <v/>
      </c>
      <c r="AF13" s="67"/>
      <c r="AI13" s="67">
        <v>30</v>
      </c>
    </row>
    <row r="14" spans="1:35" x14ac:dyDescent="0.2">
      <c r="A14">
        <v>12</v>
      </c>
      <c r="E14" t="s">
        <v>25</v>
      </c>
      <c r="H14" t="s">
        <v>876</v>
      </c>
      <c r="K14" s="317">
        <f t="shared" si="0"/>
        <v>43976</v>
      </c>
      <c r="S14" s="7" t="str">
        <f t="shared" si="1"/>
        <v/>
      </c>
      <c r="V14">
        <v>7</v>
      </c>
      <c r="AE14" s="67" t="str">
        <f>IF(Capacity!B28="","",ROW(A12)&amp;". "&amp;Capacity!B28)</f>
        <v/>
      </c>
      <c r="AF14" s="67"/>
      <c r="AI14" s="67">
        <v>31</v>
      </c>
    </row>
    <row r="15" spans="1:35" x14ac:dyDescent="0.2">
      <c r="A15">
        <v>13</v>
      </c>
      <c r="K15" s="317">
        <f t="shared" si="0"/>
        <v>43983</v>
      </c>
      <c r="S15" s="7" t="str">
        <f t="shared" si="1"/>
        <v/>
      </c>
      <c r="V15">
        <v>7.5</v>
      </c>
      <c r="AE15" s="67" t="str">
        <f>IF(Capacity!B29="","",ROW(A13)&amp;". "&amp;Capacity!B29)</f>
        <v/>
      </c>
      <c r="AF15" s="67"/>
      <c r="AI15" s="67">
        <v>32</v>
      </c>
    </row>
    <row r="16" spans="1:35" x14ac:dyDescent="0.2">
      <c r="A16">
        <v>14</v>
      </c>
      <c r="E16" t="s">
        <v>88</v>
      </c>
      <c r="K16" s="317">
        <f t="shared" si="0"/>
        <v>43990</v>
      </c>
      <c r="S16" s="7" t="str">
        <f t="shared" si="1"/>
        <v/>
      </c>
      <c r="V16">
        <v>8</v>
      </c>
      <c r="AE16" s="67" t="str">
        <f>IF(Capacity!B30="","",ROW(A14)&amp;". "&amp;Capacity!B30)</f>
        <v/>
      </c>
      <c r="AF16" s="67"/>
      <c r="AI16" s="67">
        <v>33</v>
      </c>
    </row>
    <row r="17" spans="1:35" x14ac:dyDescent="0.2">
      <c r="A17">
        <v>15</v>
      </c>
      <c r="E17" t="s">
        <v>87</v>
      </c>
      <c r="K17" s="317">
        <f t="shared" si="0"/>
        <v>43997</v>
      </c>
      <c r="S17" s="7" t="str">
        <f t="shared" si="1"/>
        <v/>
      </c>
      <c r="V17">
        <v>8.5</v>
      </c>
      <c r="AE17" s="67" t="str">
        <f>IF(Capacity!B31="","",ROW(A15)&amp;". "&amp;Capacity!B31)</f>
        <v/>
      </c>
      <c r="AF17" s="67"/>
      <c r="AI17" s="67">
        <v>34</v>
      </c>
    </row>
    <row r="18" spans="1:35" x14ac:dyDescent="0.2">
      <c r="A18">
        <v>16</v>
      </c>
      <c r="K18" s="317">
        <f t="shared" si="0"/>
        <v>44004</v>
      </c>
      <c r="S18" s="7" t="str">
        <f t="shared" si="1"/>
        <v/>
      </c>
      <c r="V18">
        <v>9</v>
      </c>
      <c r="AE18" s="67" t="str">
        <f>IF(Capacity!B32="","",ROW(A16)&amp;". "&amp;Capacity!B32)</f>
        <v/>
      </c>
      <c r="AF18" s="67"/>
      <c r="AI18" s="67">
        <v>35</v>
      </c>
    </row>
    <row r="19" spans="1:35" x14ac:dyDescent="0.2">
      <c r="A19">
        <v>17</v>
      </c>
      <c r="E19" t="s">
        <v>402</v>
      </c>
      <c r="K19" s="317">
        <f t="shared" si="0"/>
        <v>44011</v>
      </c>
      <c r="S19" s="7" t="str">
        <f t="shared" si="1"/>
        <v/>
      </c>
      <c r="V19">
        <v>9.5</v>
      </c>
      <c r="AE19" s="67" t="str">
        <f>IF(Capacity!B33="","",ROW(A17)&amp;". "&amp;Capacity!B33)</f>
        <v/>
      </c>
      <c r="AF19" s="67"/>
      <c r="AI19" s="67">
        <v>36</v>
      </c>
    </row>
    <row r="20" spans="1:35" x14ac:dyDescent="0.2">
      <c r="A20">
        <v>18</v>
      </c>
      <c r="E20" t="s">
        <v>401</v>
      </c>
      <c r="K20" s="317">
        <f t="shared" si="0"/>
        <v>44018</v>
      </c>
      <c r="S20" s="7" t="str">
        <f t="shared" si="1"/>
        <v/>
      </c>
      <c r="V20">
        <v>10</v>
      </c>
      <c r="AE20" s="67" t="str">
        <f>IF(Capacity!B34="","",ROW(A18)&amp;". "&amp;Capacity!B34)</f>
        <v/>
      </c>
      <c r="AF20" s="67"/>
      <c r="AI20" s="67">
        <v>37</v>
      </c>
    </row>
    <row r="21" spans="1:35" x14ac:dyDescent="0.2">
      <c r="A21">
        <v>19</v>
      </c>
      <c r="K21" s="317">
        <f t="shared" si="0"/>
        <v>44025</v>
      </c>
      <c r="S21" s="7" t="str">
        <f t="shared" si="1"/>
        <v/>
      </c>
      <c r="V21">
        <v>10.5</v>
      </c>
      <c r="AE21" s="67" t="str">
        <f>IF(Capacity!B35="","",ROW(A19)&amp;". "&amp;Capacity!B35)</f>
        <v/>
      </c>
      <c r="AF21" s="67"/>
      <c r="AI21" s="67">
        <v>38</v>
      </c>
    </row>
    <row r="22" spans="1:35" x14ac:dyDescent="0.2">
      <c r="A22">
        <v>20</v>
      </c>
      <c r="E22" t="s">
        <v>24</v>
      </c>
      <c r="K22" s="317">
        <f t="shared" si="0"/>
        <v>44032</v>
      </c>
      <c r="S22" s="7" t="str">
        <f t="shared" si="1"/>
        <v/>
      </c>
      <c r="V22">
        <v>11</v>
      </c>
      <c r="AE22" s="67" t="str">
        <f>IF(Capacity!B36="","",ROW(A20)&amp;". "&amp;Capacity!B36)</f>
        <v/>
      </c>
      <c r="AF22" s="67"/>
      <c r="AI22" s="67">
        <v>39</v>
      </c>
    </row>
    <row r="23" spans="1:35" x14ac:dyDescent="0.2">
      <c r="A23">
        <v>21</v>
      </c>
      <c r="E23" t="s">
        <v>421</v>
      </c>
      <c r="K23" s="317">
        <f t="shared" si="0"/>
        <v>44039</v>
      </c>
      <c r="S23" s="7" t="str">
        <f t="shared" si="1"/>
        <v/>
      </c>
      <c r="V23">
        <v>11.5</v>
      </c>
      <c r="AE23" s="67" t="str">
        <f>IF(Capacity!B37="","",ROW(A21)&amp;". "&amp;Capacity!B37)</f>
        <v/>
      </c>
      <c r="AF23" s="67"/>
      <c r="AI23" s="67">
        <v>40</v>
      </c>
    </row>
    <row r="24" spans="1:35" x14ac:dyDescent="0.2">
      <c r="A24">
        <v>22</v>
      </c>
      <c r="H24" t="s">
        <v>249</v>
      </c>
      <c r="K24" s="317">
        <f t="shared" si="0"/>
        <v>44046</v>
      </c>
      <c r="S24" s="7" t="str">
        <f t="shared" si="1"/>
        <v/>
      </c>
      <c r="V24">
        <v>12</v>
      </c>
      <c r="AE24" s="67" t="str">
        <f>IF(Capacity!B38="","",ROW(A22)&amp;". "&amp;Capacity!B38)</f>
        <v/>
      </c>
      <c r="AF24" s="67"/>
      <c r="AI24" s="67">
        <v>41</v>
      </c>
    </row>
    <row r="25" spans="1:35" x14ac:dyDescent="0.2">
      <c r="A25">
        <v>23</v>
      </c>
      <c r="E25" t="s">
        <v>480</v>
      </c>
      <c r="H25" t="s">
        <v>1229</v>
      </c>
      <c r="K25" s="317">
        <f t="shared" si="0"/>
        <v>44053</v>
      </c>
      <c r="S25" s="7" t="str">
        <f t="shared" si="1"/>
        <v/>
      </c>
      <c r="AE25" s="67" t="str">
        <f>IF(Capacity!B39="","",ROW(A23)&amp;". "&amp;Capacity!B39)</f>
        <v/>
      </c>
      <c r="AF25" s="67"/>
      <c r="AI25" s="67">
        <v>42</v>
      </c>
    </row>
    <row r="26" spans="1:35" x14ac:dyDescent="0.2">
      <c r="A26">
        <v>24</v>
      </c>
      <c r="E26" t="s">
        <v>481</v>
      </c>
      <c r="K26" s="317">
        <f t="shared" si="0"/>
        <v>44060</v>
      </c>
      <c r="S26" s="7" t="str">
        <f t="shared" si="1"/>
        <v/>
      </c>
      <c r="AE26" s="67" t="str">
        <f>IF(Capacity!B40="","",ROW(A24)&amp;". "&amp;Capacity!B40)</f>
        <v/>
      </c>
      <c r="AF26" s="67"/>
      <c r="AI26" s="67">
        <v>43</v>
      </c>
    </row>
    <row r="27" spans="1:35" x14ac:dyDescent="0.2">
      <c r="A27">
        <v>25</v>
      </c>
      <c r="K27" s="317">
        <f t="shared" si="0"/>
        <v>44067</v>
      </c>
      <c r="S27" s="7" t="str">
        <f t="shared" si="1"/>
        <v/>
      </c>
      <c r="AE27" s="67" t="str">
        <f>IF(Capacity!B41="","",ROW(A25)&amp;". "&amp;Capacity!B41)</f>
        <v/>
      </c>
      <c r="AF27" s="67"/>
      <c r="AI27" s="67">
        <v>44</v>
      </c>
    </row>
    <row r="28" spans="1:35" x14ac:dyDescent="0.2">
      <c r="A28">
        <v>26</v>
      </c>
      <c r="K28" s="317">
        <f t="shared" si="0"/>
        <v>44074</v>
      </c>
      <c r="S28" s="7" t="str">
        <f t="shared" si="1"/>
        <v/>
      </c>
      <c r="AE28" s="67" t="str">
        <f>IF(Capacity!B42="","",ROW(A26)&amp;". "&amp;Capacity!B42)</f>
        <v/>
      </c>
      <c r="AF28" s="67"/>
      <c r="AI28" s="67">
        <v>45</v>
      </c>
    </row>
    <row r="29" spans="1:35" x14ac:dyDescent="0.2">
      <c r="A29">
        <v>27</v>
      </c>
      <c r="C29" t="s">
        <v>194</v>
      </c>
      <c r="E29" t="s">
        <v>482</v>
      </c>
      <c r="K29" s="317">
        <f t="shared" si="0"/>
        <v>44081</v>
      </c>
      <c r="S29" s="7" t="str">
        <f t="shared" si="1"/>
        <v/>
      </c>
      <c r="AE29" s="67" t="str">
        <f>IF(Capacity!B43="","",ROW(A27)&amp;". "&amp;Capacity!B43)</f>
        <v/>
      </c>
      <c r="AF29" s="67"/>
      <c r="AI29" s="67">
        <v>46</v>
      </c>
    </row>
    <row r="30" spans="1:35" x14ac:dyDescent="0.2">
      <c r="A30">
        <v>28</v>
      </c>
      <c r="C30" t="s">
        <v>192</v>
      </c>
      <c r="K30" s="317">
        <f t="shared" si="0"/>
        <v>44088</v>
      </c>
      <c r="S30" s="7" t="str">
        <f t="shared" si="1"/>
        <v/>
      </c>
      <c r="AE30" s="67" t="str">
        <f>IF(Capacity!B44="","",ROW(A28)&amp;". "&amp;Capacity!B44)</f>
        <v/>
      </c>
      <c r="AF30" s="67"/>
      <c r="AI30" s="67">
        <v>47</v>
      </c>
    </row>
    <row r="31" spans="1:35" x14ac:dyDescent="0.2">
      <c r="A31">
        <v>29</v>
      </c>
      <c r="C31" t="s">
        <v>193</v>
      </c>
      <c r="K31" s="317">
        <f t="shared" si="0"/>
        <v>44095</v>
      </c>
      <c r="S31" s="7" t="str">
        <f t="shared" si="1"/>
        <v/>
      </c>
      <c r="AE31" s="67" t="str">
        <f>IF(Capacity!B45="","",ROW(A29)&amp;". "&amp;Capacity!B45)</f>
        <v/>
      </c>
      <c r="AF31" s="67"/>
      <c r="AI31" s="67">
        <v>48</v>
      </c>
    </row>
    <row r="32" spans="1:35" x14ac:dyDescent="0.2">
      <c r="A32">
        <v>30</v>
      </c>
      <c r="K32" s="317">
        <f t="shared" si="0"/>
        <v>44102</v>
      </c>
      <c r="S32" s="7" t="str">
        <f t="shared" si="1"/>
        <v/>
      </c>
      <c r="AE32" s="67" t="str">
        <f>IF(Capacity!B46="","",ROW(A30)&amp;". "&amp;Capacity!B46)</f>
        <v/>
      </c>
      <c r="AF32" s="67"/>
      <c r="AI32" s="67">
        <v>49</v>
      </c>
    </row>
    <row r="33" spans="1:35" x14ac:dyDescent="0.2">
      <c r="A33">
        <v>31</v>
      </c>
      <c r="K33" s="317">
        <f t="shared" si="0"/>
        <v>44109</v>
      </c>
      <c r="S33" s="7" t="str">
        <f t="shared" si="1"/>
        <v/>
      </c>
      <c r="AE33" s="67" t="str">
        <f>IF(Capacity!B47="","",ROW(A31)&amp;". "&amp;Capacity!B47)</f>
        <v/>
      </c>
      <c r="AF33" s="67"/>
      <c r="AI33" s="67">
        <v>50</v>
      </c>
    </row>
    <row r="34" spans="1:35" x14ac:dyDescent="0.2">
      <c r="A34">
        <v>32</v>
      </c>
      <c r="C34" t="s">
        <v>24</v>
      </c>
      <c r="K34" s="317">
        <f t="shared" si="0"/>
        <v>44116</v>
      </c>
      <c r="S34" s="7" t="str">
        <f t="shared" si="1"/>
        <v/>
      </c>
      <c r="AE34" s="67" t="str">
        <f>IF(Capacity!B48="","",ROW(A32)&amp;". "&amp;Capacity!B48)</f>
        <v/>
      </c>
      <c r="AF34" s="67"/>
      <c r="AI34" s="67">
        <v>51</v>
      </c>
    </row>
    <row r="35" spans="1:35" x14ac:dyDescent="0.2">
      <c r="A35">
        <v>33</v>
      </c>
      <c r="C35" t="s">
        <v>102</v>
      </c>
      <c r="K35" s="317">
        <f t="shared" si="0"/>
        <v>44123</v>
      </c>
      <c r="S35" s="7" t="str">
        <f t="shared" si="1"/>
        <v/>
      </c>
      <c r="AE35" s="67" t="str">
        <f>IF(Capacity!B49="","",ROW(A33)&amp;". "&amp;Capacity!B49)</f>
        <v/>
      </c>
      <c r="AF35" s="67"/>
      <c r="AI35" s="67">
        <v>52</v>
      </c>
    </row>
    <row r="36" spans="1:35" x14ac:dyDescent="0.2">
      <c r="A36">
        <v>34</v>
      </c>
      <c r="K36" s="317">
        <f t="shared" si="0"/>
        <v>44130</v>
      </c>
      <c r="S36" s="7" t="str">
        <f t="shared" si="1"/>
        <v/>
      </c>
      <c r="AE36" s="67" t="str">
        <f>IF(Capacity!B50="","",ROW(A34)&amp;". "&amp;Capacity!B50)</f>
        <v/>
      </c>
      <c r="AF36" s="67"/>
    </row>
    <row r="37" spans="1:35" x14ac:dyDescent="0.2">
      <c r="A37">
        <v>35</v>
      </c>
      <c r="K37" s="317">
        <f t="shared" si="0"/>
        <v>44137</v>
      </c>
      <c r="S37" s="7" t="str">
        <f t="shared" si="1"/>
        <v/>
      </c>
      <c r="AE37" s="67" t="str">
        <f>IF(Capacity!B51="","",ROW(A35)&amp;". "&amp;Capacity!B51)</f>
        <v/>
      </c>
      <c r="AF37" s="67"/>
    </row>
    <row r="38" spans="1:35" x14ac:dyDescent="0.2">
      <c r="A38">
        <v>36</v>
      </c>
      <c r="K38" s="317">
        <f t="shared" si="0"/>
        <v>44144</v>
      </c>
      <c r="S38" s="7" t="str">
        <f t="shared" si="1"/>
        <v/>
      </c>
      <c r="AE38" s="67" t="str">
        <f>IF(Capacity!B52="","",ROW(A36)&amp;". "&amp;Capacity!B52)</f>
        <v/>
      </c>
      <c r="AF38" s="67"/>
    </row>
    <row r="39" spans="1:35" x14ac:dyDescent="0.2">
      <c r="A39">
        <v>37</v>
      </c>
      <c r="K39" s="317">
        <f t="shared" si="0"/>
        <v>44151</v>
      </c>
      <c r="S39" s="7" t="str">
        <f t="shared" si="1"/>
        <v/>
      </c>
      <c r="AE39" s="67" t="str">
        <f>IF(Capacity!B53="","",ROW(A37)&amp;". "&amp;Capacity!B53)</f>
        <v/>
      </c>
      <c r="AF39" s="67"/>
    </row>
    <row r="40" spans="1:35" x14ac:dyDescent="0.2">
      <c r="A40">
        <v>38</v>
      </c>
      <c r="K40" s="317">
        <f t="shared" si="0"/>
        <v>44158</v>
      </c>
      <c r="S40" s="7" t="str">
        <f t="shared" si="1"/>
        <v/>
      </c>
      <c r="AE40" s="67" t="str">
        <f>IF(Capacity!B54="","",ROW(A38)&amp;". "&amp;Capacity!B54)</f>
        <v/>
      </c>
      <c r="AF40" s="67"/>
    </row>
    <row r="41" spans="1:35" x14ac:dyDescent="0.2">
      <c r="A41">
        <v>39</v>
      </c>
      <c r="K41" s="317">
        <f t="shared" si="0"/>
        <v>44165</v>
      </c>
      <c r="S41" s="7" t="str">
        <f t="shared" si="1"/>
        <v/>
      </c>
      <c r="AE41" s="67" t="str">
        <f>IF(Capacity!B55="","",ROW(A39)&amp;". "&amp;Capacity!B55)</f>
        <v/>
      </c>
      <c r="AF41" s="67"/>
    </row>
    <row r="42" spans="1:35" x14ac:dyDescent="0.2">
      <c r="A42">
        <v>40</v>
      </c>
      <c r="K42" s="317">
        <f t="shared" si="0"/>
        <v>44172</v>
      </c>
      <c r="S42" s="7" t="str">
        <f t="shared" si="1"/>
        <v/>
      </c>
      <c r="AE42" s="67" t="str">
        <f>IF(Capacity!B56="","",ROW(A40)&amp;". "&amp;Capacity!B56)</f>
        <v/>
      </c>
      <c r="AF42" s="67"/>
    </row>
    <row r="43" spans="1:35" x14ac:dyDescent="0.2">
      <c r="A43">
        <v>41</v>
      </c>
      <c r="K43" s="317">
        <f t="shared" si="0"/>
        <v>44179</v>
      </c>
      <c r="S43" s="7" t="str">
        <f t="shared" si="1"/>
        <v/>
      </c>
      <c r="AE43" s="67" t="str">
        <f>IF(Capacity!B57="","",ROW(A41)&amp;". "&amp;Capacity!B57)</f>
        <v/>
      </c>
      <c r="AF43" s="67"/>
    </row>
    <row r="44" spans="1:35" x14ac:dyDescent="0.2">
      <c r="A44">
        <v>42</v>
      </c>
      <c r="K44" s="317">
        <f t="shared" si="0"/>
        <v>44186</v>
      </c>
      <c r="S44" s="7" t="str">
        <f t="shared" si="1"/>
        <v/>
      </c>
      <c r="AE44" s="67" t="str">
        <f>IF(Capacity!B58="","",ROW(A42)&amp;". "&amp;Capacity!B58)</f>
        <v/>
      </c>
      <c r="AF44" s="67"/>
    </row>
    <row r="45" spans="1:35" x14ac:dyDescent="0.2">
      <c r="A45">
        <v>43</v>
      </c>
      <c r="K45" s="317">
        <f t="shared" si="0"/>
        <v>44193</v>
      </c>
      <c r="S45" s="7" t="str">
        <f t="shared" si="1"/>
        <v/>
      </c>
      <c r="AE45" s="67" t="str">
        <f>IF(Capacity!B59="","",ROW(A43)&amp;". "&amp;Capacity!B59)</f>
        <v/>
      </c>
      <c r="AF45" s="67"/>
    </row>
    <row r="46" spans="1:35" x14ac:dyDescent="0.2">
      <c r="A46">
        <v>44</v>
      </c>
      <c r="K46" s="317">
        <f t="shared" si="0"/>
        <v>44200</v>
      </c>
      <c r="S46" s="7" t="str">
        <f t="shared" si="1"/>
        <v/>
      </c>
      <c r="AE46" s="67" t="str">
        <f>IF(Capacity!B60="","",ROW(A44)&amp;". "&amp;Capacity!B60)</f>
        <v/>
      </c>
      <c r="AF46" s="67"/>
    </row>
    <row r="47" spans="1:35" x14ac:dyDescent="0.2">
      <c r="A47">
        <v>45</v>
      </c>
      <c r="K47" s="317">
        <f t="shared" si="0"/>
        <v>44207</v>
      </c>
      <c r="S47" s="7" t="str">
        <f t="shared" si="1"/>
        <v/>
      </c>
      <c r="AE47" s="67" t="str">
        <f>IF(Capacity!B61="","",ROW(A45)&amp;". "&amp;Capacity!B61)</f>
        <v/>
      </c>
      <c r="AF47" s="67"/>
    </row>
    <row r="48" spans="1:35" x14ac:dyDescent="0.2">
      <c r="A48">
        <v>46</v>
      </c>
      <c r="K48" s="317">
        <f t="shared" si="0"/>
        <v>44214</v>
      </c>
      <c r="S48" s="7" t="str">
        <f t="shared" si="1"/>
        <v/>
      </c>
      <c r="AE48" s="67" t="str">
        <f>IF(Capacity!B62="","",ROW(A46)&amp;". "&amp;Capacity!B62)</f>
        <v/>
      </c>
      <c r="AF48" s="67"/>
    </row>
    <row r="49" spans="1:32" x14ac:dyDescent="0.2">
      <c r="A49">
        <v>47</v>
      </c>
      <c r="K49" s="317">
        <f t="shared" si="0"/>
        <v>44221</v>
      </c>
      <c r="S49" s="7" t="str">
        <f t="shared" si="1"/>
        <v/>
      </c>
      <c r="AE49" s="67" t="str">
        <f>IF(Capacity!B63="","",ROW(A47)&amp;". "&amp;Capacity!B63)</f>
        <v/>
      </c>
      <c r="AF49" s="67"/>
    </row>
    <row r="50" spans="1:32" x14ac:dyDescent="0.2">
      <c r="A50">
        <v>48</v>
      </c>
      <c r="K50" s="317">
        <f t="shared" si="0"/>
        <v>44228</v>
      </c>
      <c r="S50" s="7" t="str">
        <f t="shared" si="1"/>
        <v/>
      </c>
      <c r="AE50" s="67" t="str">
        <f>IF(Capacity!B64="","",ROW(A48)&amp;". "&amp;Capacity!B64)</f>
        <v/>
      </c>
      <c r="AF50" s="67"/>
    </row>
    <row r="51" spans="1:32" x14ac:dyDescent="0.2">
      <c r="A51">
        <v>49</v>
      </c>
      <c r="K51" s="317">
        <f t="shared" si="0"/>
        <v>44235</v>
      </c>
      <c r="S51" s="7" t="str">
        <f t="shared" si="1"/>
        <v/>
      </c>
      <c r="AE51" s="67" t="str">
        <f>IF(Capacity!B65="","",ROW(A49)&amp;". "&amp;Capacity!B65)</f>
        <v/>
      </c>
      <c r="AF51" s="67"/>
    </row>
    <row r="52" spans="1:32" x14ac:dyDescent="0.2">
      <c r="A52">
        <v>50</v>
      </c>
      <c r="K52" s="317">
        <f t="shared" si="0"/>
        <v>44242</v>
      </c>
      <c r="S52" s="7" t="str">
        <f t="shared" si="1"/>
        <v/>
      </c>
      <c r="AE52" s="67" t="str">
        <f>IF(Capacity!B66="","",ROW(A50)&amp;". "&amp;Capacity!B66)</f>
        <v/>
      </c>
      <c r="AF52" s="67"/>
    </row>
    <row r="53" spans="1:32" x14ac:dyDescent="0.2">
      <c r="A53">
        <v>51</v>
      </c>
      <c r="K53" s="317">
        <f t="shared" si="0"/>
        <v>44249</v>
      </c>
      <c r="S53" s="7" t="str">
        <f t="shared" si="1"/>
        <v/>
      </c>
      <c r="AE53" s="67" t="str">
        <f>IF(Capacity!B67="","",ROW(A51)&amp;". "&amp;Capacity!B67)</f>
        <v/>
      </c>
      <c r="AF53" s="67"/>
    </row>
    <row r="54" spans="1:32" x14ac:dyDescent="0.2">
      <c r="A54">
        <v>52</v>
      </c>
      <c r="K54" s="317">
        <f t="shared" si="0"/>
        <v>44256</v>
      </c>
      <c r="AE54" s="67" t="str">
        <f>IF(Capacity!B68="","",ROW(A52)&amp;". "&amp;Capacity!B68)</f>
        <v/>
      </c>
      <c r="AF54" s="67"/>
    </row>
    <row r="55" spans="1:32" x14ac:dyDescent="0.2">
      <c r="A55">
        <v>53</v>
      </c>
      <c r="AE55" s="67" t="str">
        <f>IF(Capacity!B69="","",ROW(A53)&amp;". "&amp;Capacity!B69)</f>
        <v/>
      </c>
      <c r="AF55" s="67"/>
    </row>
    <row r="56" spans="1:32" x14ac:dyDescent="0.2">
      <c r="A56">
        <v>54</v>
      </c>
      <c r="AE56" s="67" t="str">
        <f>IF(Capacity!B70="","",ROW(A54)&amp;". "&amp;Capacity!B70)</f>
        <v/>
      </c>
      <c r="AF56" s="67"/>
    </row>
    <row r="57" spans="1:32" x14ac:dyDescent="0.2">
      <c r="A57">
        <v>55</v>
      </c>
      <c r="AE57" s="67" t="str">
        <f>IF(Capacity!B71="","",ROW(A55)&amp;". "&amp;Capacity!B71)</f>
        <v/>
      </c>
      <c r="AF57" s="67"/>
    </row>
    <row r="58" spans="1:32" x14ac:dyDescent="0.2">
      <c r="A58">
        <v>56</v>
      </c>
      <c r="AE58" s="67" t="str">
        <f>IF(Capacity!B72="","",ROW(A56)&amp;". "&amp;Capacity!B72)</f>
        <v/>
      </c>
      <c r="AF58" s="67"/>
    </row>
    <row r="59" spans="1:32" x14ac:dyDescent="0.2">
      <c r="A59">
        <v>57</v>
      </c>
      <c r="AE59" s="67" t="str">
        <f>IF(Capacity!B73="","",ROW(A57)&amp;". "&amp;Capacity!B73)</f>
        <v/>
      </c>
      <c r="AF59" s="67"/>
    </row>
    <row r="60" spans="1:32" x14ac:dyDescent="0.2">
      <c r="A60">
        <v>58</v>
      </c>
      <c r="AE60" s="67" t="str">
        <f>IF(Capacity!B74="","",ROW(A58)&amp;". "&amp;Capacity!B74)</f>
        <v/>
      </c>
      <c r="AF60" s="67"/>
    </row>
    <row r="61" spans="1:32" x14ac:dyDescent="0.2">
      <c r="A61">
        <v>59</v>
      </c>
      <c r="AE61" s="67" t="str">
        <f>IF(Capacity!B75="","",ROW(A59)&amp;". "&amp;Capacity!B75)</f>
        <v/>
      </c>
      <c r="AF61" s="67"/>
    </row>
    <row r="62" spans="1:32" x14ac:dyDescent="0.2">
      <c r="A62">
        <v>60</v>
      </c>
      <c r="AE62" s="67" t="str">
        <f>IF(Capacity!B76="","",ROW(A60)&amp;". "&amp;Capacity!B76)</f>
        <v/>
      </c>
      <c r="AF62" s="67"/>
    </row>
    <row r="63" spans="1:32" x14ac:dyDescent="0.2">
      <c r="A63">
        <v>61</v>
      </c>
      <c r="AE63" s="67" t="str">
        <f>IF(Capacity!B77="","",ROW(A61)&amp;". "&amp;Capacity!B77)</f>
        <v/>
      </c>
      <c r="AF63" s="67"/>
    </row>
    <row r="64" spans="1:32" x14ac:dyDescent="0.2">
      <c r="A64">
        <v>62</v>
      </c>
      <c r="AE64" s="67" t="str">
        <f>IF(Capacity!B78="","",ROW(A62)&amp;". "&amp;Capacity!B78)</f>
        <v/>
      </c>
      <c r="AF64" s="67"/>
    </row>
    <row r="65" spans="1:32" x14ac:dyDescent="0.2">
      <c r="A65">
        <v>63</v>
      </c>
      <c r="AE65" s="67" t="str">
        <f>IF(Capacity!B79="","",ROW(A63)&amp;". "&amp;Capacity!B79)</f>
        <v/>
      </c>
      <c r="AF65" s="67"/>
    </row>
    <row r="66" spans="1:32" x14ac:dyDescent="0.2">
      <c r="A66">
        <v>64</v>
      </c>
      <c r="AE66" s="67" t="str">
        <f>IF(Capacity!B80="","",ROW(A64)&amp;". "&amp;Capacity!B80)</f>
        <v/>
      </c>
      <c r="AF66" s="67"/>
    </row>
    <row r="67" spans="1:32" x14ac:dyDescent="0.2">
      <c r="A67">
        <v>65</v>
      </c>
      <c r="AE67" s="67" t="str">
        <f>IF(Capacity!B81="","",ROW(A65)&amp;". "&amp;Capacity!B81)</f>
        <v/>
      </c>
      <c r="AF67" s="67"/>
    </row>
    <row r="68" spans="1:32" x14ac:dyDescent="0.2">
      <c r="A68">
        <v>66</v>
      </c>
      <c r="AE68" s="67" t="str">
        <f>IF(Capacity!B82="","",ROW(A66)&amp;". "&amp;Capacity!B82)</f>
        <v/>
      </c>
      <c r="AF68" s="67"/>
    </row>
    <row r="69" spans="1:32" x14ac:dyDescent="0.2">
      <c r="A69">
        <v>67</v>
      </c>
      <c r="AE69" s="67" t="str">
        <f>IF(Capacity!B83="","",ROW(A67)&amp;". "&amp;Capacity!B83)</f>
        <v/>
      </c>
      <c r="AF69" s="67"/>
    </row>
    <row r="70" spans="1:32" x14ac:dyDescent="0.2">
      <c r="A70">
        <v>68</v>
      </c>
      <c r="AE70" s="67" t="str">
        <f>IF(Capacity!B84="","",ROW(A68)&amp;". "&amp;Capacity!B84)</f>
        <v/>
      </c>
      <c r="AF70" s="67"/>
    </row>
    <row r="71" spans="1:32" x14ac:dyDescent="0.2">
      <c r="A71">
        <v>69</v>
      </c>
      <c r="AE71" s="67" t="str">
        <f>IF(Capacity!B85="","",ROW(A69)&amp;". "&amp;Capacity!B85)</f>
        <v/>
      </c>
      <c r="AF71" s="67"/>
    </row>
    <row r="72" spans="1:32" x14ac:dyDescent="0.2">
      <c r="A72">
        <v>70</v>
      </c>
      <c r="AE72" s="67" t="str">
        <f>IF(Capacity!B86="","",ROW(A70)&amp;". "&amp;Capacity!B86)</f>
        <v/>
      </c>
      <c r="AF72" s="67"/>
    </row>
    <row r="73" spans="1:32" x14ac:dyDescent="0.2">
      <c r="A73">
        <v>71</v>
      </c>
      <c r="AE73" s="67" t="str">
        <f>IF(Capacity!B87="","",ROW(A71)&amp;". "&amp;Capacity!B87)</f>
        <v/>
      </c>
      <c r="AF73" s="67"/>
    </row>
    <row r="74" spans="1:32" x14ac:dyDescent="0.2">
      <c r="A74">
        <v>72</v>
      </c>
      <c r="AE74" s="67" t="str">
        <f>IF(Capacity!B88="","",ROW(A72)&amp;". "&amp;Capacity!B88)</f>
        <v/>
      </c>
      <c r="AF74" s="67"/>
    </row>
    <row r="75" spans="1:32" x14ac:dyDescent="0.2">
      <c r="A75">
        <v>73</v>
      </c>
      <c r="AE75" s="67" t="str">
        <f>IF(Capacity!B89="","",ROW(A73)&amp;". "&amp;Capacity!B89)</f>
        <v/>
      </c>
      <c r="AF75" s="67"/>
    </row>
    <row r="76" spans="1:32" x14ac:dyDescent="0.2">
      <c r="A76">
        <v>74</v>
      </c>
      <c r="AE76" s="67" t="str">
        <f>IF(Capacity!B90="","",ROW(A74)&amp;". "&amp;Capacity!B90)</f>
        <v/>
      </c>
      <c r="AF76" s="67"/>
    </row>
    <row r="77" spans="1:32" x14ac:dyDescent="0.2">
      <c r="A77">
        <v>75</v>
      </c>
      <c r="AE77" s="67" t="str">
        <f>IF(Capacity!B91="","",ROW(A75)&amp;". "&amp;Capacity!B91)</f>
        <v/>
      </c>
      <c r="AF77" s="67"/>
    </row>
    <row r="78" spans="1:32" x14ac:dyDescent="0.2">
      <c r="A78">
        <v>76</v>
      </c>
      <c r="AE78" s="67" t="str">
        <f>IF(Capacity!B92="","",ROW(A76)&amp;". "&amp;Capacity!B92)</f>
        <v/>
      </c>
      <c r="AF78" s="67"/>
    </row>
    <row r="79" spans="1:32" x14ac:dyDescent="0.2">
      <c r="A79">
        <v>77</v>
      </c>
      <c r="AE79" s="67" t="str">
        <f>IF(Capacity!B93="","",ROW(A77)&amp;". "&amp;Capacity!B93)</f>
        <v/>
      </c>
      <c r="AF79" s="67"/>
    </row>
    <row r="80" spans="1:32" x14ac:dyDescent="0.2">
      <c r="A80">
        <v>78</v>
      </c>
      <c r="AE80" s="67" t="str">
        <f>IF(Capacity!B94="","",ROW(A78)&amp;". "&amp;Capacity!B94)</f>
        <v/>
      </c>
      <c r="AF80" s="67"/>
    </row>
    <row r="81" spans="1:32" x14ac:dyDescent="0.2">
      <c r="A81">
        <v>79</v>
      </c>
      <c r="AE81" s="67" t="str">
        <f>IF(Capacity!B95="","",ROW(A79)&amp;". "&amp;Capacity!B95)</f>
        <v/>
      </c>
      <c r="AF81" s="67"/>
    </row>
    <row r="82" spans="1:32" x14ac:dyDescent="0.2">
      <c r="A82">
        <v>80</v>
      </c>
      <c r="AE82" s="67" t="str">
        <f>IF(Capacity!B96="","",ROW(A80)&amp;". "&amp;Capacity!B96)</f>
        <v/>
      </c>
      <c r="AF82" s="67"/>
    </row>
    <row r="83" spans="1:32" x14ac:dyDescent="0.2">
      <c r="A83">
        <v>81</v>
      </c>
      <c r="AE83" s="67" t="str">
        <f>IF(Capacity!B97="","",ROW(A81)&amp;". "&amp;Capacity!B97)</f>
        <v/>
      </c>
      <c r="AF83" s="67"/>
    </row>
    <row r="84" spans="1:32" x14ac:dyDescent="0.2">
      <c r="A84">
        <v>82</v>
      </c>
      <c r="AE84" s="67" t="str">
        <f>IF(Capacity!B98="","",ROW(A82)&amp;". "&amp;Capacity!B98)</f>
        <v/>
      </c>
      <c r="AF84" s="67"/>
    </row>
    <row r="85" spans="1:32" x14ac:dyDescent="0.2">
      <c r="A85">
        <v>83</v>
      </c>
      <c r="AE85" s="67" t="str">
        <f>IF(Capacity!B99="","",ROW(A83)&amp;". "&amp;Capacity!B99)</f>
        <v/>
      </c>
      <c r="AF85" s="67"/>
    </row>
    <row r="86" spans="1:32" x14ac:dyDescent="0.2">
      <c r="A86">
        <v>84</v>
      </c>
      <c r="AE86" s="67" t="str">
        <f>IF(Capacity!B100="","",ROW(A84)&amp;". "&amp;Capacity!B100)</f>
        <v/>
      </c>
      <c r="AF86" s="67"/>
    </row>
    <row r="87" spans="1:32" x14ac:dyDescent="0.2">
      <c r="A87">
        <v>85</v>
      </c>
      <c r="AE87" s="67" t="str">
        <f>IF(Capacity!B101="","",ROW(A85)&amp;". "&amp;Capacity!B101)</f>
        <v/>
      </c>
      <c r="AF87" s="67"/>
    </row>
    <row r="88" spans="1:32" x14ac:dyDescent="0.2">
      <c r="A88">
        <v>86</v>
      </c>
      <c r="AE88" s="67" t="str">
        <f>IF(Capacity!B102="","",ROW(A86)&amp;". "&amp;Capacity!B102)</f>
        <v/>
      </c>
      <c r="AF88" s="67"/>
    </row>
    <row r="89" spans="1:32" x14ac:dyDescent="0.2">
      <c r="A89">
        <v>87</v>
      </c>
      <c r="AE89" s="67" t="str">
        <f>IF(Capacity!B103="","",ROW(A87)&amp;". "&amp;Capacity!B103)</f>
        <v/>
      </c>
      <c r="AF89" s="67"/>
    </row>
    <row r="90" spans="1:32" x14ac:dyDescent="0.2">
      <c r="A90">
        <v>88</v>
      </c>
      <c r="AE90" s="67" t="str">
        <f>IF(Capacity!B104="","",ROW(A88)&amp;". "&amp;Capacity!B104)</f>
        <v/>
      </c>
      <c r="AF90" s="67"/>
    </row>
    <row r="91" spans="1:32" x14ac:dyDescent="0.2">
      <c r="A91">
        <v>89</v>
      </c>
      <c r="AE91" s="67" t="str">
        <f>IF(Capacity!B105="","",ROW(A89)&amp;". "&amp;Capacity!B105)</f>
        <v/>
      </c>
      <c r="AF91" s="67"/>
    </row>
    <row r="92" spans="1:32" x14ac:dyDescent="0.2">
      <c r="A92">
        <v>90</v>
      </c>
      <c r="AE92" s="67" t="str">
        <f>IF(Capacity!B106="","",ROW(A90)&amp;". "&amp;Capacity!B106)</f>
        <v/>
      </c>
      <c r="AF92" s="67"/>
    </row>
    <row r="93" spans="1:32" x14ac:dyDescent="0.2">
      <c r="A93">
        <v>91</v>
      </c>
      <c r="AE93" s="67" t="str">
        <f>IF(Capacity!B107="","",ROW(A91)&amp;". "&amp;Capacity!B107)</f>
        <v/>
      </c>
      <c r="AF93" s="67"/>
    </row>
    <row r="94" spans="1:32" x14ac:dyDescent="0.2">
      <c r="A94">
        <v>92</v>
      </c>
      <c r="AE94" s="67" t="str">
        <f>IF(Capacity!B108="","",ROW(A92)&amp;". "&amp;Capacity!B108)</f>
        <v/>
      </c>
      <c r="AF94" s="67"/>
    </row>
    <row r="95" spans="1:32" x14ac:dyDescent="0.2">
      <c r="A95">
        <v>93</v>
      </c>
      <c r="AE95" s="67" t="str">
        <f>IF(Capacity!B109="","",ROW(A93)&amp;". "&amp;Capacity!B109)</f>
        <v/>
      </c>
      <c r="AF95" s="67"/>
    </row>
    <row r="96" spans="1:32" x14ac:dyDescent="0.2">
      <c r="A96">
        <v>94</v>
      </c>
      <c r="AE96" s="67" t="str">
        <f>IF(Capacity!B110="","",ROW(A94)&amp;". "&amp;Capacity!B110)</f>
        <v/>
      </c>
      <c r="AF96" s="67"/>
    </row>
    <row r="97" spans="1:32" x14ac:dyDescent="0.2">
      <c r="A97">
        <v>95</v>
      </c>
      <c r="AE97" s="67" t="str">
        <f>IF(Capacity!B111="","",ROW(A95)&amp;". "&amp;Capacity!B111)</f>
        <v/>
      </c>
      <c r="AF97" s="67"/>
    </row>
    <row r="98" spans="1:32" x14ac:dyDescent="0.2">
      <c r="A98">
        <v>96</v>
      </c>
      <c r="AE98" s="67" t="str">
        <f>IF(Capacity!B112="","",ROW(A96)&amp;". "&amp;Capacity!B112)</f>
        <v/>
      </c>
      <c r="AF98" s="67"/>
    </row>
    <row r="99" spans="1:32" x14ac:dyDescent="0.2">
      <c r="A99">
        <v>97</v>
      </c>
      <c r="AE99" s="67" t="str">
        <f>IF(Capacity!B113="","",ROW(A97)&amp;". "&amp;Capacity!B113)</f>
        <v/>
      </c>
      <c r="AF99" s="67"/>
    </row>
    <row r="100" spans="1:32" x14ac:dyDescent="0.2">
      <c r="A100">
        <v>98</v>
      </c>
      <c r="AE100" s="67" t="str">
        <f>IF(Capacity!B114="","",ROW(A98)&amp;". "&amp;Capacity!B114)</f>
        <v/>
      </c>
      <c r="AF100" s="67"/>
    </row>
    <row r="101" spans="1:32" x14ac:dyDescent="0.2">
      <c r="A101">
        <v>99</v>
      </c>
      <c r="AE101" s="67" t="str">
        <f>IF(Capacity!B115="","",ROW(A99)&amp;". "&amp;Capacity!B115)</f>
        <v/>
      </c>
      <c r="AF101" s="67"/>
    </row>
    <row r="102" spans="1:32" x14ac:dyDescent="0.2">
      <c r="A102">
        <v>100</v>
      </c>
      <c r="AE102" s="67" t="str">
        <f>IF(Capacity!B116="","",ROW(A100)&amp;". "&amp;Capacity!B116)</f>
        <v/>
      </c>
      <c r="AF102" s="67"/>
    </row>
    <row r="103" spans="1:32" x14ac:dyDescent="0.2">
      <c r="A103">
        <v>101</v>
      </c>
      <c r="AE103" s="67" t="e">
        <f>IF(Capacity!#REF!="","",ROW(A101)&amp;". "&amp;Capacity!#REF!)</f>
        <v>#REF!</v>
      </c>
      <c r="AF103" s="67"/>
    </row>
    <row r="104" spans="1:32" x14ac:dyDescent="0.2">
      <c r="A104">
        <v>102</v>
      </c>
      <c r="AE104" s="67" t="e">
        <f>IF(Capacity!#REF!="","",ROW(A102)&amp;". "&amp;Capacity!#REF!)</f>
        <v>#REF!</v>
      </c>
      <c r="AF104" s="67"/>
    </row>
    <row r="105" spans="1:32" x14ac:dyDescent="0.2">
      <c r="A105">
        <v>103</v>
      </c>
    </row>
    <row r="106" spans="1:32" x14ac:dyDescent="0.2">
      <c r="A106">
        <v>104</v>
      </c>
    </row>
    <row r="107" spans="1:32" x14ac:dyDescent="0.2">
      <c r="A107">
        <v>105</v>
      </c>
    </row>
    <row r="108" spans="1:32" x14ac:dyDescent="0.2">
      <c r="A108">
        <v>106</v>
      </c>
    </row>
    <row r="109" spans="1:32" x14ac:dyDescent="0.2">
      <c r="A109">
        <v>107</v>
      </c>
    </row>
    <row r="110" spans="1:32" x14ac:dyDescent="0.2">
      <c r="A110">
        <v>108</v>
      </c>
    </row>
    <row r="111" spans="1:32" x14ac:dyDescent="0.2">
      <c r="A111">
        <v>109</v>
      </c>
    </row>
    <row r="112" spans="1:32" x14ac:dyDescent="0.2">
      <c r="A112">
        <v>110</v>
      </c>
    </row>
    <row r="113" spans="1:1" x14ac:dyDescent="0.2">
      <c r="A113">
        <v>111</v>
      </c>
    </row>
    <row r="114" spans="1:1" x14ac:dyDescent="0.2">
      <c r="A114">
        <v>112</v>
      </c>
    </row>
    <row r="115" spans="1:1" x14ac:dyDescent="0.2">
      <c r="A115">
        <v>113</v>
      </c>
    </row>
    <row r="116" spans="1:1" x14ac:dyDescent="0.2">
      <c r="A116">
        <v>114</v>
      </c>
    </row>
    <row r="117" spans="1:1" x14ac:dyDescent="0.2">
      <c r="A117">
        <v>115</v>
      </c>
    </row>
    <row r="118" spans="1:1" x14ac:dyDescent="0.2">
      <c r="A118">
        <v>116</v>
      </c>
    </row>
    <row r="119" spans="1:1" x14ac:dyDescent="0.2">
      <c r="A119">
        <v>117</v>
      </c>
    </row>
    <row r="120" spans="1:1" x14ac:dyDescent="0.2">
      <c r="A120">
        <v>118</v>
      </c>
    </row>
    <row r="121" spans="1:1" x14ac:dyDescent="0.2">
      <c r="A121">
        <v>119</v>
      </c>
    </row>
    <row r="122" spans="1:1" x14ac:dyDescent="0.2">
      <c r="A122">
        <v>120</v>
      </c>
    </row>
    <row r="123" spans="1:1" x14ac:dyDescent="0.2">
      <c r="A123">
        <v>121</v>
      </c>
    </row>
    <row r="124" spans="1:1" x14ac:dyDescent="0.2">
      <c r="A124">
        <v>122</v>
      </c>
    </row>
    <row r="125" spans="1:1" x14ac:dyDescent="0.2">
      <c r="A125">
        <v>123</v>
      </c>
    </row>
    <row r="126" spans="1:1" x14ac:dyDescent="0.2">
      <c r="A126">
        <v>124</v>
      </c>
    </row>
    <row r="127" spans="1:1" x14ac:dyDescent="0.2">
      <c r="A127">
        <v>125</v>
      </c>
    </row>
    <row r="128" spans="1:1" x14ac:dyDescent="0.2">
      <c r="A128">
        <v>126</v>
      </c>
    </row>
    <row r="129" spans="1:1" x14ac:dyDescent="0.2">
      <c r="A129">
        <v>127</v>
      </c>
    </row>
    <row r="130" spans="1:1" x14ac:dyDescent="0.2">
      <c r="A130">
        <v>128</v>
      </c>
    </row>
    <row r="131" spans="1:1" x14ac:dyDescent="0.2">
      <c r="A131">
        <v>129</v>
      </c>
    </row>
    <row r="132" spans="1:1" x14ac:dyDescent="0.2">
      <c r="A132">
        <v>130</v>
      </c>
    </row>
    <row r="133" spans="1:1" x14ac:dyDescent="0.2">
      <c r="A133">
        <v>131</v>
      </c>
    </row>
    <row r="134" spans="1:1" x14ac:dyDescent="0.2">
      <c r="A134">
        <v>132</v>
      </c>
    </row>
    <row r="135" spans="1:1" x14ac:dyDescent="0.2">
      <c r="A135">
        <v>133</v>
      </c>
    </row>
    <row r="136" spans="1:1" x14ac:dyDescent="0.2">
      <c r="A136">
        <v>134</v>
      </c>
    </row>
    <row r="137" spans="1:1" x14ac:dyDescent="0.2">
      <c r="A137">
        <v>135</v>
      </c>
    </row>
    <row r="138" spans="1:1" x14ac:dyDescent="0.2">
      <c r="A138">
        <v>136</v>
      </c>
    </row>
    <row r="139" spans="1:1" x14ac:dyDescent="0.2">
      <c r="A139">
        <v>137</v>
      </c>
    </row>
    <row r="140" spans="1:1" x14ac:dyDescent="0.2">
      <c r="A140">
        <v>138</v>
      </c>
    </row>
    <row r="141" spans="1:1" x14ac:dyDescent="0.2">
      <c r="A141">
        <v>139</v>
      </c>
    </row>
    <row r="142" spans="1:1" x14ac:dyDescent="0.2">
      <c r="A142">
        <v>140</v>
      </c>
    </row>
    <row r="143" spans="1:1" x14ac:dyDescent="0.2">
      <c r="A143">
        <v>141</v>
      </c>
    </row>
    <row r="144" spans="1:1" x14ac:dyDescent="0.2">
      <c r="A144">
        <v>142</v>
      </c>
    </row>
    <row r="145" spans="1:1" x14ac:dyDescent="0.2">
      <c r="A145">
        <v>143</v>
      </c>
    </row>
    <row r="146" spans="1:1" x14ac:dyDescent="0.2">
      <c r="A146">
        <v>144</v>
      </c>
    </row>
    <row r="147" spans="1:1" x14ac:dyDescent="0.2">
      <c r="A147">
        <v>145</v>
      </c>
    </row>
    <row r="148" spans="1:1" x14ac:dyDescent="0.2">
      <c r="A148">
        <v>146</v>
      </c>
    </row>
    <row r="149" spans="1:1" x14ac:dyDescent="0.2">
      <c r="A149">
        <v>147</v>
      </c>
    </row>
    <row r="150" spans="1:1" x14ac:dyDescent="0.2">
      <c r="A150">
        <v>148</v>
      </c>
    </row>
    <row r="151" spans="1:1" x14ac:dyDescent="0.2">
      <c r="A151">
        <v>149</v>
      </c>
    </row>
    <row r="152" spans="1:1" x14ac:dyDescent="0.2">
      <c r="A152">
        <v>150</v>
      </c>
    </row>
    <row r="153" spans="1:1" x14ac:dyDescent="0.2">
      <c r="A153">
        <v>151</v>
      </c>
    </row>
    <row r="154" spans="1:1" x14ac:dyDescent="0.2">
      <c r="A154">
        <v>152</v>
      </c>
    </row>
    <row r="155" spans="1:1" x14ac:dyDescent="0.2">
      <c r="A155">
        <v>153</v>
      </c>
    </row>
    <row r="156" spans="1:1" x14ac:dyDescent="0.2">
      <c r="A156">
        <v>154</v>
      </c>
    </row>
    <row r="157" spans="1:1" x14ac:dyDescent="0.2">
      <c r="A157">
        <v>155</v>
      </c>
    </row>
    <row r="158" spans="1:1" x14ac:dyDescent="0.2">
      <c r="A158">
        <v>156</v>
      </c>
    </row>
    <row r="159" spans="1:1" x14ac:dyDescent="0.2">
      <c r="A159">
        <v>157</v>
      </c>
    </row>
    <row r="160" spans="1:1" x14ac:dyDescent="0.2">
      <c r="A160">
        <v>158</v>
      </c>
    </row>
    <row r="161" spans="1:1" x14ac:dyDescent="0.2">
      <c r="A161">
        <v>159</v>
      </c>
    </row>
    <row r="162" spans="1:1" x14ac:dyDescent="0.2">
      <c r="A162">
        <v>160</v>
      </c>
    </row>
    <row r="163" spans="1:1" x14ac:dyDescent="0.2">
      <c r="A163">
        <v>161</v>
      </c>
    </row>
    <row r="164" spans="1:1" x14ac:dyDescent="0.2">
      <c r="A164">
        <v>162</v>
      </c>
    </row>
    <row r="165" spans="1:1" x14ac:dyDescent="0.2">
      <c r="A165">
        <v>163</v>
      </c>
    </row>
    <row r="166" spans="1:1" x14ac:dyDescent="0.2">
      <c r="A166">
        <v>164</v>
      </c>
    </row>
    <row r="167" spans="1:1" x14ac:dyDescent="0.2">
      <c r="A167">
        <v>165</v>
      </c>
    </row>
    <row r="168" spans="1:1" x14ac:dyDescent="0.2">
      <c r="A168">
        <v>166</v>
      </c>
    </row>
    <row r="169" spans="1:1" x14ac:dyDescent="0.2">
      <c r="A169">
        <v>167</v>
      </c>
    </row>
    <row r="170" spans="1:1" x14ac:dyDescent="0.2">
      <c r="A170">
        <v>168</v>
      </c>
    </row>
    <row r="171" spans="1:1" x14ac:dyDescent="0.2">
      <c r="A171">
        <v>169</v>
      </c>
    </row>
    <row r="172" spans="1:1" x14ac:dyDescent="0.2">
      <c r="A172">
        <v>170</v>
      </c>
    </row>
    <row r="173" spans="1:1" x14ac:dyDescent="0.2">
      <c r="A173">
        <v>171</v>
      </c>
    </row>
    <row r="174" spans="1:1" x14ac:dyDescent="0.2">
      <c r="A174">
        <v>172</v>
      </c>
    </row>
    <row r="175" spans="1:1" x14ac:dyDescent="0.2">
      <c r="A175">
        <v>173</v>
      </c>
    </row>
    <row r="176" spans="1:1" x14ac:dyDescent="0.2">
      <c r="A176">
        <v>174</v>
      </c>
    </row>
    <row r="177" spans="1:1" x14ac:dyDescent="0.2">
      <c r="A177">
        <v>175</v>
      </c>
    </row>
    <row r="178" spans="1:1" x14ac:dyDescent="0.2">
      <c r="A178">
        <v>176</v>
      </c>
    </row>
    <row r="179" spans="1:1" x14ac:dyDescent="0.2">
      <c r="A179">
        <v>177</v>
      </c>
    </row>
    <row r="180" spans="1:1" x14ac:dyDescent="0.2">
      <c r="A180">
        <v>178</v>
      </c>
    </row>
    <row r="181" spans="1:1" x14ac:dyDescent="0.2">
      <c r="A181">
        <v>179</v>
      </c>
    </row>
    <row r="182" spans="1:1" x14ac:dyDescent="0.2">
      <c r="A182">
        <v>180</v>
      </c>
    </row>
    <row r="183" spans="1:1" x14ac:dyDescent="0.2">
      <c r="A183">
        <v>181</v>
      </c>
    </row>
    <row r="184" spans="1:1" x14ac:dyDescent="0.2">
      <c r="A184">
        <v>182</v>
      </c>
    </row>
    <row r="185" spans="1:1" x14ac:dyDescent="0.2">
      <c r="A185">
        <v>183</v>
      </c>
    </row>
    <row r="186" spans="1:1" x14ac:dyDescent="0.2">
      <c r="A186">
        <v>184</v>
      </c>
    </row>
    <row r="187" spans="1:1" x14ac:dyDescent="0.2">
      <c r="A187">
        <v>185</v>
      </c>
    </row>
    <row r="188" spans="1:1" x14ac:dyDescent="0.2">
      <c r="A188">
        <v>186</v>
      </c>
    </row>
    <row r="189" spans="1:1" x14ac:dyDescent="0.2">
      <c r="A189">
        <v>187</v>
      </c>
    </row>
    <row r="190" spans="1:1" x14ac:dyDescent="0.2">
      <c r="A190">
        <v>188</v>
      </c>
    </row>
    <row r="191" spans="1:1" x14ac:dyDescent="0.2">
      <c r="A191">
        <v>189</v>
      </c>
    </row>
    <row r="192" spans="1:1" x14ac:dyDescent="0.2">
      <c r="A192">
        <v>190</v>
      </c>
    </row>
    <row r="193" spans="1:1" x14ac:dyDescent="0.2">
      <c r="A193">
        <v>191</v>
      </c>
    </row>
    <row r="194" spans="1:1" x14ac:dyDescent="0.2">
      <c r="A194">
        <v>192</v>
      </c>
    </row>
    <row r="195" spans="1:1" x14ac:dyDescent="0.2">
      <c r="A195">
        <v>193</v>
      </c>
    </row>
    <row r="196" spans="1:1" x14ac:dyDescent="0.2">
      <c r="A196">
        <v>194</v>
      </c>
    </row>
    <row r="197" spans="1:1" x14ac:dyDescent="0.2">
      <c r="A197">
        <v>195</v>
      </c>
    </row>
    <row r="198" spans="1:1" x14ac:dyDescent="0.2">
      <c r="A198">
        <v>196</v>
      </c>
    </row>
    <row r="199" spans="1:1" x14ac:dyDescent="0.2">
      <c r="A199">
        <v>197</v>
      </c>
    </row>
    <row r="200" spans="1:1" x14ac:dyDescent="0.2">
      <c r="A200">
        <v>198</v>
      </c>
    </row>
    <row r="201" spans="1:1" x14ac:dyDescent="0.2">
      <c r="A201">
        <v>199</v>
      </c>
    </row>
    <row r="202" spans="1:1" x14ac:dyDescent="0.2">
      <c r="A202">
        <v>200</v>
      </c>
    </row>
    <row r="203" spans="1:1" x14ac:dyDescent="0.2">
      <c r="A203">
        <v>201</v>
      </c>
    </row>
    <row r="204" spans="1:1" x14ac:dyDescent="0.2">
      <c r="A204">
        <v>202</v>
      </c>
    </row>
    <row r="205" spans="1:1" x14ac:dyDescent="0.2">
      <c r="A205">
        <v>203</v>
      </c>
    </row>
    <row r="206" spans="1:1" x14ac:dyDescent="0.2">
      <c r="A206">
        <v>204</v>
      </c>
    </row>
    <row r="207" spans="1:1" x14ac:dyDescent="0.2">
      <c r="A207">
        <v>205</v>
      </c>
    </row>
    <row r="208" spans="1:1" x14ac:dyDescent="0.2">
      <c r="A208">
        <v>206</v>
      </c>
    </row>
    <row r="209" spans="1:1" x14ac:dyDescent="0.2">
      <c r="A209">
        <v>207</v>
      </c>
    </row>
    <row r="210" spans="1:1" x14ac:dyDescent="0.2">
      <c r="A210">
        <v>208</v>
      </c>
    </row>
    <row r="211" spans="1:1" x14ac:dyDescent="0.2">
      <c r="A211">
        <v>209</v>
      </c>
    </row>
    <row r="212" spans="1:1" x14ac:dyDescent="0.2">
      <c r="A212">
        <v>210</v>
      </c>
    </row>
    <row r="213" spans="1:1" x14ac:dyDescent="0.2">
      <c r="A213">
        <v>211</v>
      </c>
    </row>
    <row r="214" spans="1:1" x14ac:dyDescent="0.2">
      <c r="A214">
        <v>212</v>
      </c>
    </row>
    <row r="215" spans="1:1" x14ac:dyDescent="0.2">
      <c r="A215">
        <v>213</v>
      </c>
    </row>
    <row r="216" spans="1:1" x14ac:dyDescent="0.2">
      <c r="A216">
        <v>214</v>
      </c>
    </row>
    <row r="217" spans="1:1" x14ac:dyDescent="0.2">
      <c r="A217">
        <v>215</v>
      </c>
    </row>
    <row r="218" spans="1:1" x14ac:dyDescent="0.2">
      <c r="A218">
        <v>216</v>
      </c>
    </row>
    <row r="219" spans="1:1" x14ac:dyDescent="0.2">
      <c r="A219">
        <v>217</v>
      </c>
    </row>
    <row r="220" spans="1:1" x14ac:dyDescent="0.2">
      <c r="A220">
        <v>218</v>
      </c>
    </row>
    <row r="221" spans="1:1" x14ac:dyDescent="0.2">
      <c r="A221">
        <v>219</v>
      </c>
    </row>
    <row r="222" spans="1:1" x14ac:dyDescent="0.2">
      <c r="A222">
        <v>220</v>
      </c>
    </row>
    <row r="223" spans="1:1" x14ac:dyDescent="0.2">
      <c r="A223">
        <v>221</v>
      </c>
    </row>
    <row r="224" spans="1:1" x14ac:dyDescent="0.2">
      <c r="A224">
        <v>222</v>
      </c>
    </row>
    <row r="225" spans="1:1" x14ac:dyDescent="0.2">
      <c r="A225">
        <v>223</v>
      </c>
    </row>
    <row r="226" spans="1:1" x14ac:dyDescent="0.2">
      <c r="A226">
        <v>224</v>
      </c>
    </row>
    <row r="227" spans="1:1" x14ac:dyDescent="0.2">
      <c r="A227">
        <v>225</v>
      </c>
    </row>
    <row r="228" spans="1:1" x14ac:dyDescent="0.2">
      <c r="A228">
        <v>226</v>
      </c>
    </row>
    <row r="229" spans="1:1" x14ac:dyDescent="0.2">
      <c r="A229">
        <v>227</v>
      </c>
    </row>
    <row r="230" spans="1:1" x14ac:dyDescent="0.2">
      <c r="A230">
        <v>228</v>
      </c>
    </row>
    <row r="231" spans="1:1" x14ac:dyDescent="0.2">
      <c r="A231">
        <v>229</v>
      </c>
    </row>
    <row r="232" spans="1:1" x14ac:dyDescent="0.2">
      <c r="A232">
        <v>230</v>
      </c>
    </row>
    <row r="233" spans="1:1" x14ac:dyDescent="0.2">
      <c r="A233">
        <v>231</v>
      </c>
    </row>
    <row r="234" spans="1:1" x14ac:dyDescent="0.2">
      <c r="A234">
        <v>232</v>
      </c>
    </row>
    <row r="235" spans="1:1" x14ac:dyDescent="0.2">
      <c r="A235">
        <v>233</v>
      </c>
    </row>
    <row r="236" spans="1:1" x14ac:dyDescent="0.2">
      <c r="A236">
        <v>234</v>
      </c>
    </row>
    <row r="237" spans="1:1" x14ac:dyDescent="0.2">
      <c r="A237">
        <v>235</v>
      </c>
    </row>
    <row r="238" spans="1:1" x14ac:dyDescent="0.2">
      <c r="A238">
        <v>236</v>
      </c>
    </row>
    <row r="239" spans="1:1" x14ac:dyDescent="0.2">
      <c r="A239">
        <v>237</v>
      </c>
    </row>
    <row r="240" spans="1:1" x14ac:dyDescent="0.2">
      <c r="A240">
        <v>238</v>
      </c>
    </row>
    <row r="241" spans="1:1" x14ac:dyDescent="0.2">
      <c r="A241">
        <v>239</v>
      </c>
    </row>
    <row r="242" spans="1:1" x14ac:dyDescent="0.2">
      <c r="A242">
        <v>240</v>
      </c>
    </row>
    <row r="243" spans="1:1" x14ac:dyDescent="0.2">
      <c r="A243">
        <v>241</v>
      </c>
    </row>
    <row r="244" spans="1:1" x14ac:dyDescent="0.2">
      <c r="A244">
        <v>242</v>
      </c>
    </row>
    <row r="245" spans="1:1" x14ac:dyDescent="0.2">
      <c r="A245">
        <v>243</v>
      </c>
    </row>
    <row r="246" spans="1:1" x14ac:dyDescent="0.2">
      <c r="A246">
        <v>244</v>
      </c>
    </row>
    <row r="247" spans="1:1" x14ac:dyDescent="0.2">
      <c r="A247">
        <v>245</v>
      </c>
    </row>
    <row r="248" spans="1:1" x14ac:dyDescent="0.2">
      <c r="A248">
        <v>246</v>
      </c>
    </row>
    <row r="249" spans="1:1" x14ac:dyDescent="0.2">
      <c r="A249">
        <v>247</v>
      </c>
    </row>
    <row r="250" spans="1:1" x14ac:dyDescent="0.2">
      <c r="A250">
        <v>248</v>
      </c>
    </row>
    <row r="251" spans="1:1" x14ac:dyDescent="0.2">
      <c r="A251">
        <v>249</v>
      </c>
    </row>
    <row r="252" spans="1:1" x14ac:dyDescent="0.2">
      <c r="A252">
        <v>250</v>
      </c>
    </row>
    <row r="253" spans="1:1" x14ac:dyDescent="0.2">
      <c r="A253">
        <v>251</v>
      </c>
    </row>
    <row r="254" spans="1:1" x14ac:dyDescent="0.2">
      <c r="A254">
        <v>252</v>
      </c>
    </row>
    <row r="255" spans="1:1" x14ac:dyDescent="0.2">
      <c r="A255">
        <v>253</v>
      </c>
    </row>
    <row r="256" spans="1:1" x14ac:dyDescent="0.2">
      <c r="A256">
        <v>254</v>
      </c>
    </row>
    <row r="257" spans="1:1" x14ac:dyDescent="0.2">
      <c r="A257">
        <v>255</v>
      </c>
    </row>
    <row r="258" spans="1:1" x14ac:dyDescent="0.2">
      <c r="A258">
        <v>256</v>
      </c>
    </row>
    <row r="259" spans="1:1" x14ac:dyDescent="0.2">
      <c r="A259">
        <v>257</v>
      </c>
    </row>
    <row r="260" spans="1:1" x14ac:dyDescent="0.2">
      <c r="A260">
        <v>258</v>
      </c>
    </row>
    <row r="261" spans="1:1" x14ac:dyDescent="0.2">
      <c r="A261">
        <v>259</v>
      </c>
    </row>
    <row r="262" spans="1:1" x14ac:dyDescent="0.2">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
    </sheetView>
  </sheetViews>
  <sheetFormatPr defaultRowHeight="14.25" x14ac:dyDescent="0.2"/>
  <cols>
    <col min="2" max="2" width="129.125" customWidth="1"/>
  </cols>
  <sheetData>
    <row r="2" spans="2:17" ht="15" x14ac:dyDescent="0.25">
      <c r="B2" s="284" t="str">
        <f>"Demand and capacity analysis notes for "&amp;Setup!C5&amp;", "&amp;Setup!C7</f>
        <v>Demand and capacity analysis notes for A. N. Other Trust, Test Service</v>
      </c>
    </row>
    <row r="4" spans="2:17" x14ac:dyDescent="0.2">
      <c r="B4" s="151"/>
      <c r="C4" s="67"/>
      <c r="D4" s="67"/>
      <c r="E4" s="67"/>
      <c r="F4" s="67"/>
      <c r="G4" s="67"/>
      <c r="H4" s="67"/>
      <c r="I4" s="67"/>
      <c r="J4" s="67"/>
      <c r="K4" s="67"/>
      <c r="L4" s="67"/>
      <c r="M4" s="67"/>
      <c r="N4" s="67"/>
      <c r="O4" s="67"/>
      <c r="P4" s="67"/>
      <c r="Q4" s="67"/>
    </row>
    <row r="5" spans="2:17" s="1" customFormat="1" ht="15" x14ac:dyDescent="0.2">
      <c r="B5" s="321"/>
    </row>
    <row r="6" spans="2:17" s="1" customFormat="1" x14ac:dyDescent="0.2">
      <c r="B6" s="318"/>
    </row>
    <row r="7" spans="2:17" s="1" customFormat="1" ht="15" x14ac:dyDescent="0.2">
      <c r="B7" s="322"/>
    </row>
    <row r="8" spans="2:17" s="1" customFormat="1" x14ac:dyDescent="0.2">
      <c r="B8" s="318"/>
    </row>
    <row r="9" spans="2:17" s="1" customFormat="1" x14ac:dyDescent="0.2">
      <c r="B9" s="318"/>
    </row>
    <row r="10" spans="2:17" s="1" customFormat="1" ht="15" x14ac:dyDescent="0.2">
      <c r="B10" s="322"/>
    </row>
    <row r="11" spans="2:17" s="1" customFormat="1" x14ac:dyDescent="0.2">
      <c r="B11" s="318"/>
    </row>
    <row r="12" spans="2:17" s="1" customFormat="1" x14ac:dyDescent="0.2">
      <c r="B12" s="318"/>
    </row>
    <row r="13" spans="2:17" s="1" customFormat="1" ht="15" x14ac:dyDescent="0.2">
      <c r="B13" s="322"/>
    </row>
    <row r="14" spans="2:17" s="1" customFormat="1" x14ac:dyDescent="0.2">
      <c r="B14" s="318"/>
    </row>
    <row r="15" spans="2:17" s="1" customFormat="1" x14ac:dyDescent="0.2">
      <c r="B15" s="318"/>
    </row>
    <row r="16" spans="2:17" s="1" customFormat="1" x14ac:dyDescent="0.2">
      <c r="B16" s="318"/>
    </row>
    <row r="17" spans="2:2" s="1" customFormat="1" x14ac:dyDescent="0.2">
      <c r="B17" s="318"/>
    </row>
    <row r="18" spans="2:2" s="1" customFormat="1" x14ac:dyDescent="0.2">
      <c r="B18" s="318"/>
    </row>
    <row r="19" spans="2:2" s="1" customFormat="1" x14ac:dyDescent="0.2">
      <c r="B19" s="318"/>
    </row>
    <row r="20" spans="2:2" s="1" customFormat="1" x14ac:dyDescent="0.2">
      <c r="B20" s="318"/>
    </row>
    <row r="21" spans="2:2" s="1" customFormat="1" x14ac:dyDescent="0.2">
      <c r="B21" s="318"/>
    </row>
    <row r="22" spans="2:2" s="1" customFormat="1" x14ac:dyDescent="0.2">
      <c r="B22" s="318"/>
    </row>
    <row r="23" spans="2:2" s="1" customFormat="1" x14ac:dyDescent="0.2">
      <c r="B23" s="318"/>
    </row>
    <row r="24" spans="2:2" s="1" customFormat="1" x14ac:dyDescent="0.2">
      <c r="B24" s="318"/>
    </row>
    <row r="25" spans="2:2" s="1" customFormat="1" x14ac:dyDescent="0.2">
      <c r="B25" s="318"/>
    </row>
    <row r="26" spans="2:2" s="1" customFormat="1" x14ac:dyDescent="0.2">
      <c r="B26" s="318"/>
    </row>
    <row r="27" spans="2:2" s="1" customFormat="1" x14ac:dyDescent="0.2">
      <c r="B27" s="318"/>
    </row>
    <row r="28" spans="2:2" s="1" customFormat="1" x14ac:dyDescent="0.2">
      <c r="B28" s="318"/>
    </row>
    <row r="29" spans="2:2" s="1" customFormat="1" x14ac:dyDescent="0.2">
      <c r="B29" s="318"/>
    </row>
    <row r="30" spans="2:2" s="1" customFormat="1" x14ac:dyDescent="0.2">
      <c r="B30" s="318"/>
    </row>
    <row r="31" spans="2:2" s="1" customFormat="1" x14ac:dyDescent="0.2">
      <c r="B31" s="318"/>
    </row>
    <row r="32" spans="2:2" s="1" customFormat="1" x14ac:dyDescent="0.2">
      <c r="B32" s="318"/>
    </row>
    <row r="33" spans="2:17" s="1" customFormat="1" x14ac:dyDescent="0.2">
      <c r="B33" s="318"/>
    </row>
    <row r="34" spans="2:17" s="1" customFormat="1" x14ac:dyDescent="0.2">
      <c r="B34" s="318"/>
    </row>
    <row r="35" spans="2:17" s="1" customFormat="1" x14ac:dyDescent="0.2">
      <c r="B35" s="318"/>
    </row>
    <row r="36" spans="2:17" s="1" customFormat="1" x14ac:dyDescent="0.2">
      <c r="B36" s="318"/>
    </row>
    <row r="37" spans="2:17" s="1" customFormat="1" x14ac:dyDescent="0.2">
      <c r="B37" s="318"/>
    </row>
    <row r="38" spans="2:17" s="1" customFormat="1" x14ac:dyDescent="0.2">
      <c r="B38" s="318"/>
    </row>
    <row r="39" spans="2:17" s="1" customFormat="1" x14ac:dyDescent="0.2">
      <c r="B39" s="318"/>
    </row>
    <row r="40" spans="2:17" s="1" customFormat="1" x14ac:dyDescent="0.2">
      <c r="B40" s="318"/>
    </row>
    <row r="41" spans="2:17" s="1" customFormat="1" x14ac:dyDescent="0.2">
      <c r="B41" s="318"/>
    </row>
    <row r="42" spans="2:17" s="1" customFormat="1" x14ac:dyDescent="0.2">
      <c r="B42" s="318"/>
    </row>
    <row r="43" spans="2:17" s="1" customFormat="1" x14ac:dyDescent="0.2">
      <c r="B43" s="318"/>
    </row>
    <row r="44" spans="2:17" x14ac:dyDescent="0.2">
      <c r="B44" s="318"/>
      <c r="C44" s="67"/>
      <c r="D44" s="67"/>
      <c r="E44" s="67"/>
      <c r="F44" s="67"/>
      <c r="G44" s="67"/>
      <c r="H44" s="67"/>
      <c r="I44" s="67"/>
      <c r="J44" s="67"/>
      <c r="K44" s="67"/>
      <c r="L44" s="67"/>
      <c r="M44" s="67"/>
      <c r="N44" s="67"/>
      <c r="O44" s="67"/>
      <c r="P44" s="67"/>
      <c r="Q44" s="67"/>
    </row>
    <row r="45" spans="2:17" x14ac:dyDescent="0.2">
      <c r="B45" s="318"/>
    </row>
    <row r="46" spans="2:17" x14ac:dyDescent="0.2">
      <c r="B46" s="318"/>
    </row>
    <row r="47" spans="2:17" x14ac:dyDescent="0.2">
      <c r="B47" s="318"/>
    </row>
    <row r="48" spans="2:17" x14ac:dyDescent="0.2">
      <c r="B48" s="318"/>
    </row>
    <row r="49" spans="2:2" x14ac:dyDescent="0.2">
      <c r="B49" s="318"/>
    </row>
    <row r="50" spans="2:2" x14ac:dyDescent="0.2">
      <c r="B50" s="318"/>
    </row>
    <row r="51" spans="2:2" x14ac:dyDescent="0.2">
      <c r="B51" s="318"/>
    </row>
    <row r="52" spans="2:2" x14ac:dyDescent="0.2">
      <c r="B52" s="318"/>
    </row>
    <row r="53" spans="2:2" x14ac:dyDescent="0.2">
      <c r="B53" s="318"/>
    </row>
    <row r="54" spans="2:2" x14ac:dyDescent="0.2">
      <c r="B54" s="318"/>
    </row>
    <row r="55" spans="2:2" x14ac:dyDescent="0.2">
      <c r="B55" s="318"/>
    </row>
    <row r="56" spans="2:2" x14ac:dyDescent="0.2">
      <c r="B56" s="318"/>
    </row>
    <row r="57" spans="2:2" x14ac:dyDescent="0.2">
      <c r="B57" s="316"/>
    </row>
    <row r="58" spans="2:2" x14ac:dyDescent="0.2">
      <c r="B58" s="316"/>
    </row>
    <row r="59" spans="2:2" x14ac:dyDescent="0.2">
      <c r="B59" s="316"/>
    </row>
    <row r="60" spans="2:2" x14ac:dyDescent="0.2">
      <c r="B60" s="316"/>
    </row>
    <row r="61" spans="2:2" x14ac:dyDescent="0.2">
      <c r="B61" s="316"/>
    </row>
    <row r="62" spans="2:2" x14ac:dyDescent="0.2">
      <c r="B62" s="316"/>
    </row>
    <row r="63" spans="2:2" x14ac:dyDescent="0.2">
      <c r="B63" s="316"/>
    </row>
    <row r="64" spans="2:2" x14ac:dyDescent="0.2">
      <c r="B64" s="316"/>
    </row>
    <row r="65" spans="2:2" x14ac:dyDescent="0.2">
      <c r="B65" s="316"/>
    </row>
    <row r="66" spans="2:2" x14ac:dyDescent="0.2">
      <c r="B66" s="316"/>
    </row>
    <row r="67" spans="2:2" x14ac:dyDescent="0.2">
      <c r="B67" s="316"/>
    </row>
    <row r="68" spans="2:2" x14ac:dyDescent="0.2">
      <c r="B68" s="316"/>
    </row>
    <row r="69" spans="2:2" x14ac:dyDescent="0.2">
      <c r="B69" s="316"/>
    </row>
    <row r="70" spans="2:2" x14ac:dyDescent="0.2">
      <c r="B70" s="316"/>
    </row>
    <row r="71" spans="2:2" x14ac:dyDescent="0.2">
      <c r="B71" s="316"/>
    </row>
    <row r="72" spans="2:2" x14ac:dyDescent="0.2">
      <c r="B72" s="316"/>
    </row>
    <row r="73" spans="2:2" x14ac:dyDescent="0.2">
      <c r="B73" s="316"/>
    </row>
    <row r="74" spans="2:2" x14ac:dyDescent="0.2">
      <c r="B74" s="316"/>
    </row>
    <row r="75" spans="2:2" x14ac:dyDescent="0.2">
      <c r="B75" s="316"/>
    </row>
    <row r="76" spans="2:2" x14ac:dyDescent="0.2">
      <c r="B76" s="316"/>
    </row>
    <row r="77" spans="2:2" x14ac:dyDescent="0.2">
      <c r="B77" s="316"/>
    </row>
    <row r="78" spans="2:2" x14ac:dyDescent="0.2">
      <c r="B78" s="316"/>
    </row>
    <row r="79" spans="2:2" x14ac:dyDescent="0.2">
      <c r="B79" s="316"/>
    </row>
    <row r="80" spans="2:2" x14ac:dyDescent="0.2">
      <c r="B80" s="316"/>
    </row>
    <row r="81" spans="2:2" x14ac:dyDescent="0.2">
      <c r="B81" s="316"/>
    </row>
    <row r="82" spans="2:2" x14ac:dyDescent="0.2">
      <c r="B82" s="316"/>
    </row>
    <row r="83" spans="2:2" x14ac:dyDescent="0.2">
      <c r="B83" s="316"/>
    </row>
    <row r="84" spans="2:2" x14ac:dyDescent="0.2">
      <c r="B84" s="316"/>
    </row>
    <row r="85" spans="2:2" x14ac:dyDescent="0.2">
      <c r="B85" s="316"/>
    </row>
    <row r="86" spans="2:2" x14ac:dyDescent="0.2">
      <c r="B86" s="316"/>
    </row>
    <row r="87" spans="2:2" x14ac:dyDescent="0.2">
      <c r="B87" s="316"/>
    </row>
    <row r="88" spans="2:2" x14ac:dyDescent="0.2">
      <c r="B88" s="316"/>
    </row>
    <row r="89" spans="2:2" x14ac:dyDescent="0.2">
      <c r="B89" s="316"/>
    </row>
    <row r="90" spans="2:2" x14ac:dyDescent="0.2">
      <c r="B90" s="316"/>
    </row>
    <row r="91" spans="2:2" x14ac:dyDescent="0.2">
      <c r="B91" s="316"/>
    </row>
    <row r="92" spans="2:2" x14ac:dyDescent="0.2">
      <c r="B92" s="316"/>
    </row>
    <row r="93" spans="2:2" x14ac:dyDescent="0.2">
      <c r="B93" s="316"/>
    </row>
    <row r="94" spans="2:2" x14ac:dyDescent="0.2">
      <c r="B94" s="316"/>
    </row>
    <row r="95" spans="2:2" x14ac:dyDescent="0.2">
      <c r="B95" s="316"/>
    </row>
    <row r="96" spans="2:2" x14ac:dyDescent="0.2">
      <c r="B96" s="316"/>
    </row>
    <row r="97" spans="2:2" x14ac:dyDescent="0.2">
      <c r="B97" s="316"/>
    </row>
    <row r="98" spans="2:2" x14ac:dyDescent="0.2">
      <c r="B98" s="316"/>
    </row>
    <row r="99" spans="2:2" x14ac:dyDescent="0.2">
      <c r="B99" s="316"/>
    </row>
    <row r="100" spans="2:2" x14ac:dyDescent="0.2">
      <c r="B100" s="316"/>
    </row>
    <row r="101" spans="2:2" x14ac:dyDescent="0.2">
      <c r="B101" s="316"/>
    </row>
    <row r="102" spans="2:2" x14ac:dyDescent="0.2">
      <c r="B102" s="316"/>
    </row>
    <row r="103" spans="2:2" x14ac:dyDescent="0.2">
      <c r="B103" s="316"/>
    </row>
    <row r="104" spans="2:2" x14ac:dyDescent="0.2">
      <c r="B104" s="316"/>
    </row>
    <row r="105" spans="2:2" x14ac:dyDescent="0.2">
      <c r="B105" s="316"/>
    </row>
    <row r="106" spans="2:2" x14ac:dyDescent="0.2">
      <c r="B106" s="316"/>
    </row>
    <row r="107" spans="2:2" x14ac:dyDescent="0.2">
      <c r="B107" s="316"/>
    </row>
    <row r="108" spans="2:2" x14ac:dyDescent="0.2">
      <c r="B108" s="316"/>
    </row>
    <row r="109" spans="2:2" x14ac:dyDescent="0.2">
      <c r="B109" s="319"/>
    </row>
    <row r="110" spans="2:2" x14ac:dyDescent="0.2">
      <c r="B110" s="319"/>
    </row>
    <row r="111" spans="2:2" x14ac:dyDescent="0.2">
      <c r="B111" s="319"/>
    </row>
    <row r="112" spans="2:2" x14ac:dyDescent="0.2">
      <c r="B112" s="319"/>
    </row>
    <row r="113" spans="2:2" x14ac:dyDescent="0.2">
      <c r="B113" s="319"/>
    </row>
    <row r="114" spans="2:2" x14ac:dyDescent="0.2">
      <c r="B114" s="319"/>
    </row>
    <row r="115" spans="2:2" x14ac:dyDescent="0.2">
      <c r="B115" s="319"/>
    </row>
    <row r="116" spans="2:2" x14ac:dyDescent="0.2">
      <c r="B116" s="319"/>
    </row>
    <row r="117" spans="2:2" x14ac:dyDescent="0.2">
      <c r="B117" s="319"/>
    </row>
    <row r="118" spans="2:2" x14ac:dyDescent="0.2">
      <c r="B118" s="319"/>
    </row>
    <row r="119" spans="2:2" x14ac:dyDescent="0.2">
      <c r="B119" s="319"/>
    </row>
    <row r="120" spans="2:2" x14ac:dyDescent="0.2">
      <c r="B120" s="319"/>
    </row>
    <row r="121" spans="2:2" x14ac:dyDescent="0.2">
      <c r="B121" s="319"/>
    </row>
    <row r="122" spans="2:2" x14ac:dyDescent="0.2">
      <c r="B122" s="319"/>
    </row>
    <row r="123" spans="2:2" x14ac:dyDescent="0.2">
      <c r="B123" s="319"/>
    </row>
    <row r="124" spans="2:2" x14ac:dyDescent="0.2">
      <c r="B124" s="319"/>
    </row>
    <row r="125" spans="2:2" x14ac:dyDescent="0.2">
      <c r="B125" s="319"/>
    </row>
    <row r="126" spans="2:2" x14ac:dyDescent="0.2">
      <c r="B126" s="319"/>
    </row>
    <row r="127" spans="2:2" x14ac:dyDescent="0.2">
      <c r="B127" s="319"/>
    </row>
    <row r="128" spans="2:2" x14ac:dyDescent="0.2">
      <c r="B128" s="319"/>
    </row>
    <row r="129" spans="2:2" x14ac:dyDescent="0.2">
      <c r="B129" s="319"/>
    </row>
    <row r="130" spans="2:2" x14ac:dyDescent="0.2">
      <c r="B130" s="319"/>
    </row>
    <row r="131" spans="2:2" x14ac:dyDescent="0.2">
      <c r="B131" s="319"/>
    </row>
    <row r="132" spans="2:2" x14ac:dyDescent="0.2">
      <c r="B132" s="319"/>
    </row>
    <row r="133" spans="2:2" x14ac:dyDescent="0.2">
      <c r="B133" s="319"/>
    </row>
    <row r="134" spans="2:2" x14ac:dyDescent="0.2">
      <c r="B134" s="319"/>
    </row>
    <row r="135" spans="2:2" x14ac:dyDescent="0.2">
      <c r="B135" s="319"/>
    </row>
    <row r="136" spans="2:2" x14ac:dyDescent="0.2">
      <c r="B136" s="319"/>
    </row>
    <row r="137" spans="2:2" x14ac:dyDescent="0.2">
      <c r="B137" s="319"/>
    </row>
    <row r="138" spans="2:2" x14ac:dyDescent="0.2">
      <c r="B138" s="319"/>
    </row>
    <row r="139" spans="2:2" x14ac:dyDescent="0.2">
      <c r="B139" s="319"/>
    </row>
    <row r="140" spans="2:2" x14ac:dyDescent="0.2">
      <c r="B140" s="319"/>
    </row>
    <row r="141" spans="2:2" x14ac:dyDescent="0.2">
      <c r="B141" s="319"/>
    </row>
    <row r="142" spans="2:2" x14ac:dyDescent="0.2">
      <c r="B142" s="319"/>
    </row>
    <row r="143" spans="2:2" x14ac:dyDescent="0.2">
      <c r="B143" s="319"/>
    </row>
    <row r="144" spans="2:2" x14ac:dyDescent="0.2">
      <c r="B144" s="319"/>
    </row>
    <row r="145" spans="2:2" x14ac:dyDescent="0.2">
      <c r="B145" s="319"/>
    </row>
    <row r="146" spans="2:2" x14ac:dyDescent="0.2">
      <c r="B146" s="319"/>
    </row>
    <row r="147" spans="2:2" x14ac:dyDescent="0.2">
      <c r="B147" s="319"/>
    </row>
    <row r="148" spans="2:2" x14ac:dyDescent="0.2">
      <c r="B148" s="319"/>
    </row>
    <row r="149" spans="2:2" x14ac:dyDescent="0.2">
      <c r="B149" s="319"/>
    </row>
    <row r="150" spans="2:2" x14ac:dyDescent="0.2">
      <c r="B150" s="319"/>
    </row>
    <row r="151" spans="2:2" x14ac:dyDescent="0.2">
      <c r="B151" s="319"/>
    </row>
    <row r="152" spans="2:2" x14ac:dyDescent="0.2">
      <c r="B152" s="319"/>
    </row>
    <row r="153" spans="2:2" x14ac:dyDescent="0.2">
      <c r="B153" s="319"/>
    </row>
    <row r="154" spans="2:2" x14ac:dyDescent="0.2">
      <c r="B154" s="319"/>
    </row>
    <row r="155" spans="2:2" x14ac:dyDescent="0.2">
      <c r="B155" s="319"/>
    </row>
    <row r="156" spans="2:2" x14ac:dyDescent="0.2">
      <c r="B156" s="319"/>
    </row>
    <row r="157" spans="2:2" x14ac:dyDescent="0.2">
      <c r="B157" s="319"/>
    </row>
    <row r="158" spans="2:2" x14ac:dyDescent="0.2">
      <c r="B158" s="319"/>
    </row>
    <row r="159" spans="2:2" x14ac:dyDescent="0.2">
      <c r="B159" s="319"/>
    </row>
    <row r="160" spans="2:2" x14ac:dyDescent="0.2">
      <c r="B160" s="319"/>
    </row>
    <row r="161" spans="2:2" x14ac:dyDescent="0.2">
      <c r="B161" s="319"/>
    </row>
    <row r="162" spans="2:2" x14ac:dyDescent="0.2">
      <c r="B162" s="319"/>
    </row>
    <row r="163" spans="2:2" x14ac:dyDescent="0.2">
      <c r="B163" s="319"/>
    </row>
    <row r="164" spans="2:2" x14ac:dyDescent="0.2">
      <c r="B164" s="319"/>
    </row>
    <row r="165" spans="2:2" x14ac:dyDescent="0.2">
      <c r="B165" s="319"/>
    </row>
    <row r="166" spans="2:2" x14ac:dyDescent="0.2">
      <c r="B166" s="319"/>
    </row>
    <row r="167" spans="2:2" x14ac:dyDescent="0.2">
      <c r="B167" s="319"/>
    </row>
    <row r="168" spans="2:2" x14ac:dyDescent="0.2">
      <c r="B168" s="319"/>
    </row>
    <row r="169" spans="2:2" x14ac:dyDescent="0.2">
      <c r="B169" s="319"/>
    </row>
    <row r="170" spans="2:2" x14ac:dyDescent="0.2">
      <c r="B170" s="319"/>
    </row>
    <row r="171" spans="2:2" x14ac:dyDescent="0.2">
      <c r="B171" s="319"/>
    </row>
    <row r="172" spans="2:2" x14ac:dyDescent="0.2">
      <c r="B172" s="319"/>
    </row>
    <row r="173" spans="2:2" x14ac:dyDescent="0.2">
      <c r="B173" s="319"/>
    </row>
    <row r="174" spans="2:2" x14ac:dyDescent="0.2">
      <c r="B174" s="319"/>
    </row>
    <row r="175" spans="2:2" x14ac:dyDescent="0.2">
      <c r="B175" s="319"/>
    </row>
    <row r="176" spans="2:2" x14ac:dyDescent="0.2">
      <c r="B176" s="319"/>
    </row>
    <row r="177" spans="2:2" x14ac:dyDescent="0.2">
      <c r="B177" s="319"/>
    </row>
    <row r="178" spans="2:2" x14ac:dyDescent="0.2">
      <c r="B178" s="319"/>
    </row>
    <row r="179" spans="2:2" x14ac:dyDescent="0.2">
      <c r="B179" s="319"/>
    </row>
    <row r="180" spans="2:2" x14ac:dyDescent="0.2">
      <c r="B180" s="319"/>
    </row>
    <row r="181" spans="2:2" x14ac:dyDescent="0.2">
      <c r="B181" s="319"/>
    </row>
    <row r="182" spans="2:2" x14ac:dyDescent="0.2">
      <c r="B182" s="319"/>
    </row>
    <row r="183" spans="2:2" x14ac:dyDescent="0.2">
      <c r="B183" s="319"/>
    </row>
    <row r="184" spans="2:2" x14ac:dyDescent="0.2">
      <c r="B184" s="319"/>
    </row>
    <row r="185" spans="2:2" x14ac:dyDescent="0.2">
      <c r="B185" s="319"/>
    </row>
    <row r="186" spans="2:2" x14ac:dyDescent="0.2">
      <c r="B186" s="319"/>
    </row>
    <row r="187" spans="2:2" x14ac:dyDescent="0.2">
      <c r="B187" s="319"/>
    </row>
    <row r="188" spans="2:2" x14ac:dyDescent="0.2">
      <c r="B188" s="319"/>
    </row>
    <row r="189" spans="2:2" x14ac:dyDescent="0.2">
      <c r="B189" s="319"/>
    </row>
    <row r="190" spans="2:2" x14ac:dyDescent="0.2">
      <c r="B190" s="319"/>
    </row>
    <row r="191" spans="2:2" x14ac:dyDescent="0.2">
      <c r="B191" s="319"/>
    </row>
    <row r="192" spans="2:2" x14ac:dyDescent="0.2">
      <c r="B192" s="319"/>
    </row>
    <row r="193" spans="2:2" x14ac:dyDescent="0.2">
      <c r="B193" s="319"/>
    </row>
    <row r="194" spans="2:2" x14ac:dyDescent="0.2">
      <c r="B194" s="319"/>
    </row>
    <row r="195" spans="2:2" x14ac:dyDescent="0.2">
      <c r="B195" s="319"/>
    </row>
    <row r="196" spans="2:2" x14ac:dyDescent="0.2">
      <c r="B196" s="319"/>
    </row>
    <row r="197" spans="2:2" x14ac:dyDescent="0.2">
      <c r="B197" s="319"/>
    </row>
    <row r="198" spans="2:2" x14ac:dyDescent="0.2">
      <c r="B198" s="319"/>
    </row>
    <row r="199" spans="2:2" x14ac:dyDescent="0.2">
      <c r="B199" s="319"/>
    </row>
    <row r="200" spans="2:2" x14ac:dyDescent="0.2">
      <c r="B200" s="319"/>
    </row>
    <row r="201" spans="2:2" x14ac:dyDescent="0.2">
      <c r="B201" s="319"/>
    </row>
    <row r="202" spans="2:2" x14ac:dyDescent="0.2">
      <c r="B202" s="319"/>
    </row>
    <row r="203" spans="2:2" x14ac:dyDescent="0.2">
      <c r="B203" s="319"/>
    </row>
    <row r="204" spans="2:2" x14ac:dyDescent="0.2">
      <c r="B204" s="319"/>
    </row>
    <row r="205" spans="2:2" x14ac:dyDescent="0.2">
      <c r="B205" s="319"/>
    </row>
    <row r="206" spans="2:2" x14ac:dyDescent="0.2">
      <c r="B206" s="319"/>
    </row>
    <row r="207" spans="2:2" x14ac:dyDescent="0.2">
      <c r="B207" s="319"/>
    </row>
    <row r="208" spans="2:2" x14ac:dyDescent="0.2">
      <c r="B208" s="319"/>
    </row>
    <row r="209" spans="2:2" x14ac:dyDescent="0.2">
      <c r="B209" s="319"/>
    </row>
    <row r="210" spans="2:2" x14ac:dyDescent="0.2">
      <c r="B210" s="319"/>
    </row>
    <row r="211" spans="2:2" x14ac:dyDescent="0.2">
      <c r="B211" s="319"/>
    </row>
    <row r="212" spans="2:2" x14ac:dyDescent="0.2">
      <c r="B212" s="319"/>
    </row>
    <row r="213" spans="2:2" x14ac:dyDescent="0.2">
      <c r="B213" s="319"/>
    </row>
    <row r="214" spans="2:2" x14ac:dyDescent="0.2">
      <c r="B214" s="319"/>
    </row>
    <row r="215" spans="2:2" x14ac:dyDescent="0.2">
      <c r="B215" s="319"/>
    </row>
    <row r="216" spans="2:2" x14ac:dyDescent="0.2">
      <c r="B216" s="319"/>
    </row>
    <row r="217" spans="2:2" x14ac:dyDescent="0.2">
      <c r="B217" s="319"/>
    </row>
    <row r="218" spans="2:2" x14ac:dyDescent="0.2">
      <c r="B218" s="319"/>
    </row>
    <row r="219" spans="2:2" x14ac:dyDescent="0.2">
      <c r="B219" s="319"/>
    </row>
    <row r="220" spans="2:2" x14ac:dyDescent="0.2">
      <c r="B220" s="319"/>
    </row>
    <row r="221" spans="2:2" x14ac:dyDescent="0.2">
      <c r="B221" s="319"/>
    </row>
    <row r="222" spans="2:2" x14ac:dyDescent="0.2">
      <c r="B222" s="319"/>
    </row>
    <row r="223" spans="2:2" x14ac:dyDescent="0.2">
      <c r="B223" s="319"/>
    </row>
    <row r="224" spans="2:2" x14ac:dyDescent="0.2">
      <c r="B224" s="319"/>
    </row>
    <row r="225" spans="2:2" x14ac:dyDescent="0.2">
      <c r="B225" s="319"/>
    </row>
    <row r="226" spans="2:2" x14ac:dyDescent="0.2">
      <c r="B226" s="319"/>
    </row>
    <row r="227" spans="2:2" x14ac:dyDescent="0.2">
      <c r="B227" s="319"/>
    </row>
    <row r="228" spans="2:2" x14ac:dyDescent="0.2">
      <c r="B228" s="319"/>
    </row>
    <row r="229" spans="2:2" x14ac:dyDescent="0.2">
      <c r="B229" s="319"/>
    </row>
    <row r="230" spans="2:2" x14ac:dyDescent="0.2">
      <c r="B230" s="319"/>
    </row>
    <row r="231" spans="2:2" x14ac:dyDescent="0.2">
      <c r="B231" s="319"/>
    </row>
    <row r="232" spans="2:2" x14ac:dyDescent="0.2">
      <c r="B232" s="319"/>
    </row>
    <row r="233" spans="2:2" x14ac:dyDescent="0.2">
      <c r="B233" s="319"/>
    </row>
    <row r="234" spans="2:2" x14ac:dyDescent="0.2">
      <c r="B234" s="319"/>
    </row>
    <row r="235" spans="2:2" x14ac:dyDescent="0.2">
      <c r="B235" s="319"/>
    </row>
    <row r="236" spans="2:2" x14ac:dyDescent="0.2">
      <c r="B236" s="319"/>
    </row>
    <row r="237" spans="2:2" x14ac:dyDescent="0.2">
      <c r="B237" s="319"/>
    </row>
    <row r="238" spans="2:2" x14ac:dyDescent="0.2">
      <c r="B238" s="319"/>
    </row>
    <row r="239" spans="2:2" x14ac:dyDescent="0.2">
      <c r="B239" s="319"/>
    </row>
    <row r="240" spans="2:2" x14ac:dyDescent="0.2">
      <c r="B240" s="319"/>
    </row>
    <row r="241" spans="2:2" x14ac:dyDescent="0.2">
      <c r="B241" s="319"/>
    </row>
    <row r="242" spans="2:2" x14ac:dyDescent="0.2">
      <c r="B242" s="319"/>
    </row>
    <row r="243" spans="2:2" x14ac:dyDescent="0.2">
      <c r="B243" s="319"/>
    </row>
    <row r="244" spans="2:2" x14ac:dyDescent="0.2">
      <c r="B244" s="319"/>
    </row>
    <row r="245" spans="2:2" x14ac:dyDescent="0.2">
      <c r="B245" s="319"/>
    </row>
    <row r="246" spans="2:2" x14ac:dyDescent="0.2">
      <c r="B246" s="319"/>
    </row>
    <row r="247" spans="2:2" x14ac:dyDescent="0.2">
      <c r="B247" s="319"/>
    </row>
    <row r="248" spans="2:2" x14ac:dyDescent="0.2">
      <c r="B248" s="319"/>
    </row>
    <row r="249" spans="2:2" x14ac:dyDescent="0.2">
      <c r="B249" s="319"/>
    </row>
    <row r="250" spans="2:2" x14ac:dyDescent="0.2">
      <c r="B250" s="319"/>
    </row>
    <row r="251" spans="2:2" x14ac:dyDescent="0.2">
      <c r="B251" s="319"/>
    </row>
    <row r="252" spans="2:2" x14ac:dyDescent="0.2">
      <c r="B252" s="319"/>
    </row>
    <row r="253" spans="2:2" x14ac:dyDescent="0.2">
      <c r="B253" s="319"/>
    </row>
    <row r="254" spans="2:2" x14ac:dyDescent="0.2">
      <c r="B254" s="319"/>
    </row>
    <row r="255" spans="2:2" x14ac:dyDescent="0.2">
      <c r="B255" s="319"/>
    </row>
    <row r="256" spans="2:2" x14ac:dyDescent="0.2">
      <c r="B256" s="319"/>
    </row>
    <row r="257" spans="2:2" x14ac:dyDescent="0.2">
      <c r="B257" s="319"/>
    </row>
    <row r="258" spans="2:2" x14ac:dyDescent="0.2">
      <c r="B258" s="319"/>
    </row>
    <row r="259" spans="2:2" x14ac:dyDescent="0.2">
      <c r="B259" s="319"/>
    </row>
    <row r="260" spans="2:2" x14ac:dyDescent="0.2">
      <c r="B260" s="319"/>
    </row>
    <row r="261" spans="2:2" x14ac:dyDescent="0.2">
      <c r="B261" s="319"/>
    </row>
    <row r="262" spans="2:2" x14ac:dyDescent="0.2">
      <c r="B262" s="319"/>
    </row>
    <row r="263" spans="2:2" x14ac:dyDescent="0.2">
      <c r="B263" s="319"/>
    </row>
    <row r="264" spans="2:2" x14ac:dyDescent="0.2">
      <c r="B264" s="319"/>
    </row>
    <row r="265" spans="2:2" x14ac:dyDescent="0.2">
      <c r="B265" s="319"/>
    </row>
    <row r="266" spans="2:2" x14ac:dyDescent="0.2">
      <c r="B266" s="319"/>
    </row>
    <row r="267" spans="2:2" x14ac:dyDescent="0.2">
      <c r="B267" s="319"/>
    </row>
    <row r="268" spans="2:2" x14ac:dyDescent="0.2">
      <c r="B268" s="319"/>
    </row>
    <row r="269" spans="2:2" x14ac:dyDescent="0.2">
      <c r="B269" s="319"/>
    </row>
    <row r="270" spans="2:2" x14ac:dyDescent="0.2">
      <c r="B270" s="319"/>
    </row>
    <row r="271" spans="2:2" x14ac:dyDescent="0.2">
      <c r="B271" s="319"/>
    </row>
    <row r="272" spans="2:2" x14ac:dyDescent="0.2">
      <c r="B272" s="319"/>
    </row>
    <row r="273" spans="2:2" x14ac:dyDescent="0.2">
      <c r="B273" s="319"/>
    </row>
    <row r="274" spans="2:2" x14ac:dyDescent="0.2">
      <c r="B274" s="319"/>
    </row>
    <row r="275" spans="2:2" x14ac:dyDescent="0.2">
      <c r="B275" s="319"/>
    </row>
    <row r="276" spans="2:2" x14ac:dyDescent="0.2">
      <c r="B276" s="319"/>
    </row>
    <row r="277" spans="2:2" x14ac:dyDescent="0.2">
      <c r="B277" s="319"/>
    </row>
    <row r="278" spans="2:2" x14ac:dyDescent="0.2">
      <c r="B278" s="319"/>
    </row>
    <row r="279" spans="2:2" x14ac:dyDescent="0.2">
      <c r="B279" s="319"/>
    </row>
    <row r="280" spans="2:2" x14ac:dyDescent="0.2">
      <c r="B280" s="319"/>
    </row>
    <row r="281" spans="2:2" x14ac:dyDescent="0.2">
      <c r="B281" s="319"/>
    </row>
    <row r="282" spans="2:2" x14ac:dyDescent="0.2">
      <c r="B282" s="319"/>
    </row>
    <row r="283" spans="2:2" x14ac:dyDescent="0.2">
      <c r="B283" s="319"/>
    </row>
    <row r="284" spans="2:2" x14ac:dyDescent="0.2">
      <c r="B284" s="319"/>
    </row>
    <row r="285" spans="2:2" x14ac:dyDescent="0.2">
      <c r="B285" s="319"/>
    </row>
    <row r="286" spans="2:2" x14ac:dyDescent="0.2">
      <c r="B286" s="319"/>
    </row>
    <row r="287" spans="2:2" x14ac:dyDescent="0.2">
      <c r="B287" s="319"/>
    </row>
    <row r="288" spans="2:2" x14ac:dyDescent="0.2">
      <c r="B288" s="319"/>
    </row>
    <row r="289" spans="2:2" x14ac:dyDescent="0.2">
      <c r="B289" s="319"/>
    </row>
    <row r="290" spans="2:2" x14ac:dyDescent="0.2">
      <c r="B290" s="319"/>
    </row>
    <row r="291" spans="2:2" x14ac:dyDescent="0.2">
      <c r="B291" s="319"/>
    </row>
    <row r="292" spans="2:2" x14ac:dyDescent="0.2">
      <c r="B292" s="319"/>
    </row>
    <row r="293" spans="2:2" x14ac:dyDescent="0.2">
      <c r="B293" s="319"/>
    </row>
    <row r="294" spans="2:2" x14ac:dyDescent="0.2">
      <c r="B294" s="319"/>
    </row>
    <row r="295" spans="2:2" x14ac:dyDescent="0.2">
      <c r="B295" s="319"/>
    </row>
    <row r="296" spans="2:2" x14ac:dyDescent="0.2">
      <c r="B296" s="319"/>
    </row>
    <row r="297" spans="2:2" x14ac:dyDescent="0.2">
      <c r="B297" s="319"/>
    </row>
    <row r="298" spans="2:2" x14ac:dyDescent="0.2">
      <c r="B298" s="319"/>
    </row>
    <row r="299" spans="2:2" x14ac:dyDescent="0.2">
      <c r="B299" s="319"/>
    </row>
    <row r="300" spans="2:2" x14ac:dyDescent="0.2">
      <c r="B300" s="319"/>
    </row>
    <row r="301" spans="2:2" x14ac:dyDescent="0.2">
      <c r="B301" s="319"/>
    </row>
    <row r="302" spans="2:2" x14ac:dyDescent="0.2">
      <c r="B302" s="319"/>
    </row>
    <row r="303" spans="2:2" x14ac:dyDescent="0.2">
      <c r="B303" s="319"/>
    </row>
    <row r="304" spans="2:2" x14ac:dyDescent="0.2">
      <c r="B304" s="319"/>
    </row>
    <row r="305" spans="2:2" x14ac:dyDescent="0.2">
      <c r="B305" s="319"/>
    </row>
    <row r="306" spans="2:2" x14ac:dyDescent="0.2">
      <c r="B306" s="319"/>
    </row>
    <row r="307" spans="2:2" x14ac:dyDescent="0.2">
      <c r="B307" s="319"/>
    </row>
    <row r="308" spans="2:2" x14ac:dyDescent="0.2">
      <c r="B308" s="319"/>
    </row>
    <row r="309" spans="2:2" x14ac:dyDescent="0.2">
      <c r="B309" s="319"/>
    </row>
    <row r="310" spans="2:2" x14ac:dyDescent="0.2">
      <c r="B310" s="319"/>
    </row>
    <row r="311" spans="2:2" x14ac:dyDescent="0.2">
      <c r="B311" s="319"/>
    </row>
    <row r="312" spans="2:2" x14ac:dyDescent="0.2">
      <c r="B312" s="319"/>
    </row>
    <row r="313" spans="2:2" x14ac:dyDescent="0.2">
      <c r="B313" s="319"/>
    </row>
    <row r="314" spans="2:2" x14ac:dyDescent="0.2">
      <c r="B314" s="319"/>
    </row>
    <row r="315" spans="2:2" x14ac:dyDescent="0.2">
      <c r="B315" s="319"/>
    </row>
    <row r="316" spans="2:2" x14ac:dyDescent="0.2">
      <c r="B316" s="319"/>
    </row>
    <row r="317" spans="2:2" x14ac:dyDescent="0.2">
      <c r="B317" s="319"/>
    </row>
    <row r="318" spans="2:2" x14ac:dyDescent="0.2">
      <c r="B318" s="319"/>
    </row>
    <row r="319" spans="2:2" x14ac:dyDescent="0.2">
      <c r="B319" s="319"/>
    </row>
    <row r="320" spans="2:2" x14ac:dyDescent="0.2">
      <c r="B320" s="319"/>
    </row>
    <row r="321" spans="2:2" x14ac:dyDescent="0.2">
      <c r="B321" s="319"/>
    </row>
    <row r="322" spans="2:2" x14ac:dyDescent="0.2">
      <c r="B322" s="319"/>
    </row>
    <row r="323" spans="2:2" x14ac:dyDescent="0.2">
      <c r="B323" s="319"/>
    </row>
    <row r="324" spans="2:2" x14ac:dyDescent="0.2">
      <c r="B324" s="319"/>
    </row>
    <row r="325" spans="2:2" x14ac:dyDescent="0.2">
      <c r="B325" s="319"/>
    </row>
    <row r="326" spans="2:2" x14ac:dyDescent="0.2">
      <c r="B326" s="319"/>
    </row>
    <row r="327" spans="2:2" x14ac:dyDescent="0.2">
      <c r="B327" s="319"/>
    </row>
    <row r="328" spans="2:2" x14ac:dyDescent="0.2">
      <c r="B328" s="319"/>
    </row>
    <row r="329" spans="2:2" x14ac:dyDescent="0.2">
      <c r="B329" s="319"/>
    </row>
    <row r="330" spans="2:2" x14ac:dyDescent="0.2">
      <c r="B330" s="319"/>
    </row>
    <row r="331" spans="2:2" x14ac:dyDescent="0.2">
      <c r="B331" s="319"/>
    </row>
    <row r="332" spans="2:2" x14ac:dyDescent="0.2">
      <c r="B332" s="319"/>
    </row>
    <row r="333" spans="2:2" x14ac:dyDescent="0.2">
      <c r="B333" s="319"/>
    </row>
    <row r="334" spans="2:2" x14ac:dyDescent="0.2">
      <c r="B334" s="319"/>
    </row>
    <row r="335" spans="2:2" x14ac:dyDescent="0.2">
      <c r="B335" s="319"/>
    </row>
    <row r="336" spans="2:2" x14ac:dyDescent="0.2">
      <c r="B336" s="319"/>
    </row>
    <row r="337" spans="2:2" x14ac:dyDescent="0.2">
      <c r="B337" s="319"/>
    </row>
    <row r="338" spans="2:2" x14ac:dyDescent="0.2">
      <c r="B338" s="319"/>
    </row>
    <row r="339" spans="2:2" x14ac:dyDescent="0.2">
      <c r="B339" s="319"/>
    </row>
    <row r="340" spans="2:2" x14ac:dyDescent="0.2">
      <c r="B340" s="319"/>
    </row>
    <row r="341" spans="2:2" x14ac:dyDescent="0.2">
      <c r="B341" s="319"/>
    </row>
    <row r="342" spans="2:2" x14ac:dyDescent="0.2">
      <c r="B342" s="319"/>
    </row>
    <row r="343" spans="2:2" x14ac:dyDescent="0.2">
      <c r="B343" s="319"/>
    </row>
    <row r="344" spans="2:2" x14ac:dyDescent="0.2">
      <c r="B344" s="319"/>
    </row>
    <row r="345" spans="2:2" x14ac:dyDescent="0.2">
      <c r="B345" s="319"/>
    </row>
    <row r="346" spans="2:2" x14ac:dyDescent="0.2">
      <c r="B346" s="319"/>
    </row>
    <row r="347" spans="2:2" x14ac:dyDescent="0.2">
      <c r="B347" s="319"/>
    </row>
    <row r="348" spans="2:2" x14ac:dyDescent="0.2">
      <c r="B348" s="319"/>
    </row>
    <row r="349" spans="2:2" x14ac:dyDescent="0.2">
      <c r="B349" s="319"/>
    </row>
    <row r="350" spans="2:2" x14ac:dyDescent="0.2">
      <c r="B350" s="319"/>
    </row>
    <row r="351" spans="2:2" x14ac:dyDescent="0.2">
      <c r="B351" s="319"/>
    </row>
    <row r="352" spans="2:2" x14ac:dyDescent="0.2">
      <c r="B352" s="319"/>
    </row>
    <row r="353" spans="2:2" x14ac:dyDescent="0.2">
      <c r="B353" s="319"/>
    </row>
    <row r="354" spans="2:2" x14ac:dyDescent="0.2">
      <c r="B354" s="319"/>
    </row>
    <row r="355" spans="2:2" x14ac:dyDescent="0.2">
      <c r="B355" s="319"/>
    </row>
    <row r="356" spans="2:2" x14ac:dyDescent="0.2">
      <c r="B356" s="319"/>
    </row>
    <row r="357" spans="2:2" x14ac:dyDescent="0.2">
      <c r="B357" s="319"/>
    </row>
    <row r="358" spans="2:2" x14ac:dyDescent="0.2">
      <c r="B358" s="319"/>
    </row>
    <row r="359" spans="2:2" x14ac:dyDescent="0.2">
      <c r="B359" s="319"/>
    </row>
    <row r="360" spans="2:2" x14ac:dyDescent="0.2">
      <c r="B360" s="319"/>
    </row>
    <row r="361" spans="2:2" x14ac:dyDescent="0.2">
      <c r="B361" s="319"/>
    </row>
    <row r="362" spans="2:2" x14ac:dyDescent="0.2">
      <c r="B362" s="319"/>
    </row>
    <row r="363" spans="2:2" x14ac:dyDescent="0.2">
      <c r="B363" s="319"/>
    </row>
    <row r="364" spans="2:2" x14ac:dyDescent="0.2">
      <c r="B364" s="319"/>
    </row>
    <row r="365" spans="2:2" x14ac:dyDescent="0.2">
      <c r="B365" s="319"/>
    </row>
    <row r="366" spans="2:2" x14ac:dyDescent="0.2">
      <c r="B366" s="319"/>
    </row>
    <row r="367" spans="2:2" x14ac:dyDescent="0.2">
      <c r="B367" s="319"/>
    </row>
    <row r="368" spans="2:2" x14ac:dyDescent="0.2">
      <c r="B368" s="319"/>
    </row>
    <row r="369" spans="2:2" x14ac:dyDescent="0.2">
      <c r="B369" s="319"/>
    </row>
    <row r="370" spans="2:2" x14ac:dyDescent="0.2">
      <c r="B370" s="319"/>
    </row>
    <row r="371" spans="2:2" x14ac:dyDescent="0.2">
      <c r="B371" s="319"/>
    </row>
    <row r="372" spans="2:2" x14ac:dyDescent="0.2">
      <c r="B372" s="319"/>
    </row>
    <row r="373" spans="2:2" x14ac:dyDescent="0.2">
      <c r="B373" s="319"/>
    </row>
    <row r="374" spans="2:2" x14ac:dyDescent="0.2">
      <c r="B374" s="319"/>
    </row>
    <row r="375" spans="2:2" x14ac:dyDescent="0.2">
      <c r="B375" s="319"/>
    </row>
    <row r="376" spans="2:2" x14ac:dyDescent="0.2">
      <c r="B376" s="319"/>
    </row>
    <row r="377" spans="2:2" x14ac:dyDescent="0.2">
      <c r="B377" s="319"/>
    </row>
    <row r="378" spans="2:2" x14ac:dyDescent="0.2">
      <c r="B378" s="319"/>
    </row>
    <row r="379" spans="2:2" x14ac:dyDescent="0.2">
      <c r="B379" s="319"/>
    </row>
    <row r="380" spans="2:2" x14ac:dyDescent="0.2">
      <c r="B380" s="319"/>
    </row>
    <row r="381" spans="2:2" x14ac:dyDescent="0.2">
      <c r="B381" s="319"/>
    </row>
    <row r="382" spans="2:2" x14ac:dyDescent="0.2">
      <c r="B382" s="319"/>
    </row>
    <row r="383" spans="2:2" x14ac:dyDescent="0.2">
      <c r="B383" s="319"/>
    </row>
    <row r="384" spans="2:2" x14ac:dyDescent="0.2">
      <c r="B384" s="319"/>
    </row>
    <row r="385" spans="2:2" x14ac:dyDescent="0.2">
      <c r="B385" s="319"/>
    </row>
    <row r="386" spans="2:2" x14ac:dyDescent="0.2">
      <c r="B386" s="319"/>
    </row>
    <row r="387" spans="2:2" x14ac:dyDescent="0.2">
      <c r="B387" s="319"/>
    </row>
    <row r="388" spans="2:2" x14ac:dyDescent="0.2">
      <c r="B388" s="319"/>
    </row>
    <row r="389" spans="2:2" x14ac:dyDescent="0.2">
      <c r="B389" s="319"/>
    </row>
    <row r="390" spans="2:2" x14ac:dyDescent="0.2">
      <c r="B390" s="319"/>
    </row>
    <row r="391" spans="2:2" x14ac:dyDescent="0.2">
      <c r="B391" s="319"/>
    </row>
    <row r="392" spans="2:2" x14ac:dyDescent="0.2">
      <c r="B392" s="319"/>
    </row>
    <row r="393" spans="2:2" x14ac:dyDescent="0.2">
      <c r="B393" s="319"/>
    </row>
    <row r="394" spans="2:2" x14ac:dyDescent="0.2">
      <c r="B394" s="319"/>
    </row>
    <row r="395" spans="2:2" x14ac:dyDescent="0.2">
      <c r="B395" s="319"/>
    </row>
    <row r="396" spans="2:2" x14ac:dyDescent="0.2">
      <c r="B396" s="319"/>
    </row>
    <row r="397" spans="2:2" x14ac:dyDescent="0.2">
      <c r="B397" s="319"/>
    </row>
    <row r="398" spans="2:2" x14ac:dyDescent="0.2">
      <c r="B398" s="319"/>
    </row>
    <row r="399" spans="2:2" x14ac:dyDescent="0.2">
      <c r="B399" s="319"/>
    </row>
    <row r="400" spans="2:2" x14ac:dyDescent="0.2">
      <c r="B400" s="319"/>
    </row>
    <row r="401" spans="2:2" x14ac:dyDescent="0.2">
      <c r="B401" s="319"/>
    </row>
    <row r="402" spans="2:2" x14ac:dyDescent="0.2">
      <c r="B402" s="319"/>
    </row>
    <row r="403" spans="2:2" x14ac:dyDescent="0.2">
      <c r="B403" s="319"/>
    </row>
    <row r="404" spans="2:2" x14ac:dyDescent="0.2">
      <c r="B404" s="319"/>
    </row>
    <row r="405" spans="2:2" x14ac:dyDescent="0.2">
      <c r="B405" s="319"/>
    </row>
    <row r="406" spans="2:2" x14ac:dyDescent="0.2">
      <c r="B406" s="319"/>
    </row>
    <row r="407" spans="2:2" x14ac:dyDescent="0.2">
      <c r="B407" s="319"/>
    </row>
    <row r="408" spans="2:2" x14ac:dyDescent="0.2">
      <c r="B408" s="319"/>
    </row>
    <row r="409" spans="2:2" x14ac:dyDescent="0.2">
      <c r="B409" s="319"/>
    </row>
    <row r="410" spans="2:2" x14ac:dyDescent="0.2">
      <c r="B410" s="319"/>
    </row>
    <row r="411" spans="2:2" x14ac:dyDescent="0.2">
      <c r="B411" s="319"/>
    </row>
    <row r="412" spans="2:2" x14ac:dyDescent="0.2">
      <c r="B412" s="319"/>
    </row>
    <row r="413" spans="2:2" x14ac:dyDescent="0.2">
      <c r="B413" s="319"/>
    </row>
    <row r="414" spans="2:2" x14ac:dyDescent="0.2">
      <c r="B414" s="319"/>
    </row>
    <row r="415" spans="2:2" x14ac:dyDescent="0.2">
      <c r="B415" s="319"/>
    </row>
    <row r="416" spans="2:2" x14ac:dyDescent="0.2">
      <c r="B416" s="319"/>
    </row>
    <row r="417" spans="2:2" x14ac:dyDescent="0.2">
      <c r="B417" s="319"/>
    </row>
    <row r="418" spans="2:2" x14ac:dyDescent="0.2">
      <c r="B418" s="319"/>
    </row>
    <row r="419" spans="2:2" x14ac:dyDescent="0.2">
      <c r="B419" s="319"/>
    </row>
    <row r="420" spans="2:2" x14ac:dyDescent="0.2">
      <c r="B420" s="319"/>
    </row>
    <row r="421" spans="2:2" x14ac:dyDescent="0.2">
      <c r="B421" s="319"/>
    </row>
    <row r="422" spans="2:2" x14ac:dyDescent="0.2">
      <c r="B422" s="319"/>
    </row>
    <row r="423" spans="2:2" x14ac:dyDescent="0.2">
      <c r="B423" s="319"/>
    </row>
    <row r="424" spans="2:2" x14ac:dyDescent="0.2">
      <c r="B424" s="319"/>
    </row>
    <row r="425" spans="2:2" x14ac:dyDescent="0.2">
      <c r="B425" s="319"/>
    </row>
    <row r="426" spans="2:2" x14ac:dyDescent="0.2">
      <c r="B426" s="319"/>
    </row>
    <row r="427" spans="2:2" x14ac:dyDescent="0.2">
      <c r="B427" s="319"/>
    </row>
    <row r="428" spans="2:2" x14ac:dyDescent="0.2">
      <c r="B428" s="319"/>
    </row>
    <row r="429" spans="2:2" x14ac:dyDescent="0.2">
      <c r="B429" s="319"/>
    </row>
    <row r="430" spans="2:2" x14ac:dyDescent="0.2">
      <c r="B430" s="152"/>
    </row>
    <row r="431" spans="2:2" x14ac:dyDescent="0.2">
      <c r="B431" s="152"/>
    </row>
    <row r="432" spans="2:2" x14ac:dyDescent="0.2">
      <c r="B432" s="152"/>
    </row>
    <row r="433" spans="2:2" x14ac:dyDescent="0.2">
      <c r="B433" s="152"/>
    </row>
    <row r="434" spans="2:2" x14ac:dyDescent="0.2">
      <c r="B434" s="152"/>
    </row>
    <row r="435" spans="2:2" x14ac:dyDescent="0.2">
      <c r="B435" s="152"/>
    </row>
    <row r="436" spans="2:2" x14ac:dyDescent="0.2">
      <c r="B436" s="152"/>
    </row>
    <row r="437" spans="2:2" x14ac:dyDescent="0.2">
      <c r="B437" s="152"/>
    </row>
    <row r="438" spans="2:2" x14ac:dyDescent="0.2">
      <c r="B438" s="152"/>
    </row>
    <row r="439" spans="2:2" x14ac:dyDescent="0.2">
      <c r="B439" s="152"/>
    </row>
    <row r="440" spans="2:2" x14ac:dyDescent="0.2">
      <c r="B440" s="152"/>
    </row>
    <row r="441" spans="2:2" x14ac:dyDescent="0.2">
      <c r="B441" s="152"/>
    </row>
    <row r="442" spans="2:2" x14ac:dyDescent="0.2">
      <c r="B442" s="152"/>
    </row>
    <row r="443" spans="2:2" x14ac:dyDescent="0.2">
      <c r="B443" s="152"/>
    </row>
    <row r="444" spans="2:2" x14ac:dyDescent="0.2">
      <c r="B444" s="152"/>
    </row>
    <row r="445" spans="2:2" x14ac:dyDescent="0.2">
      <c r="B445" s="152"/>
    </row>
    <row r="446" spans="2:2" x14ac:dyDescent="0.2">
      <c r="B446" s="152"/>
    </row>
    <row r="447" spans="2:2" x14ac:dyDescent="0.2">
      <c r="B447" s="152"/>
    </row>
    <row r="448" spans="2:2" x14ac:dyDescent="0.2">
      <c r="B448" s="152"/>
    </row>
    <row r="449" spans="2:2" x14ac:dyDescent="0.2">
      <c r="B449" s="152"/>
    </row>
    <row r="450" spans="2:2" x14ac:dyDescent="0.2">
      <c r="B450" s="152"/>
    </row>
    <row r="451" spans="2:2" x14ac:dyDescent="0.2">
      <c r="B451" s="152"/>
    </row>
    <row r="452" spans="2:2" x14ac:dyDescent="0.2">
      <c r="B452" s="152"/>
    </row>
    <row r="453" spans="2:2" x14ac:dyDescent="0.2">
      <c r="B453" s="152"/>
    </row>
    <row r="454" spans="2:2" x14ac:dyDescent="0.2">
      <c r="B454" s="152"/>
    </row>
    <row r="455" spans="2:2" x14ac:dyDescent="0.2">
      <c r="B455" s="152"/>
    </row>
    <row r="456" spans="2:2" x14ac:dyDescent="0.2">
      <c r="B456" s="152"/>
    </row>
    <row r="457" spans="2:2" x14ac:dyDescent="0.2">
      <c r="B457" s="152"/>
    </row>
    <row r="458" spans="2:2" x14ac:dyDescent="0.2">
      <c r="B458" s="152"/>
    </row>
    <row r="459" spans="2:2" x14ac:dyDescent="0.2">
      <c r="B459" s="152"/>
    </row>
    <row r="460" spans="2:2" x14ac:dyDescent="0.2">
      <c r="B460" s="152"/>
    </row>
    <row r="461" spans="2:2" x14ac:dyDescent="0.2">
      <c r="B461" s="152"/>
    </row>
    <row r="462" spans="2:2" x14ac:dyDescent="0.2">
      <c r="B462" s="152"/>
    </row>
    <row r="463" spans="2:2" x14ac:dyDescent="0.2">
      <c r="B463" s="152"/>
    </row>
    <row r="464" spans="2:2" x14ac:dyDescent="0.2">
      <c r="B464" s="152"/>
    </row>
    <row r="465" spans="2:2" x14ac:dyDescent="0.2">
      <c r="B465" s="152"/>
    </row>
    <row r="466" spans="2:2" x14ac:dyDescent="0.2">
      <c r="B466" s="152"/>
    </row>
    <row r="467" spans="2:2" x14ac:dyDescent="0.2">
      <c r="B467" s="152"/>
    </row>
    <row r="468" spans="2:2" x14ac:dyDescent="0.2">
      <c r="B468" s="152"/>
    </row>
    <row r="469" spans="2:2" x14ac:dyDescent="0.2">
      <c r="B469" s="152"/>
    </row>
    <row r="470" spans="2:2" x14ac:dyDescent="0.2">
      <c r="B470" s="152"/>
    </row>
    <row r="471" spans="2:2" x14ac:dyDescent="0.2">
      <c r="B471" s="152"/>
    </row>
    <row r="472" spans="2:2" x14ac:dyDescent="0.2">
      <c r="B472" s="152"/>
    </row>
    <row r="473" spans="2:2" x14ac:dyDescent="0.2">
      <c r="B473" s="152"/>
    </row>
    <row r="474" spans="2:2" x14ac:dyDescent="0.2">
      <c r="B474" s="152"/>
    </row>
    <row r="475" spans="2:2" x14ac:dyDescent="0.2">
      <c r="B475" s="152"/>
    </row>
    <row r="476" spans="2:2" x14ac:dyDescent="0.2">
      <c r="B476" s="152"/>
    </row>
    <row r="477" spans="2:2" x14ac:dyDescent="0.2">
      <c r="B477" s="152"/>
    </row>
    <row r="478" spans="2:2" x14ac:dyDescent="0.2">
      <c r="B478" s="152"/>
    </row>
    <row r="479" spans="2:2" x14ac:dyDescent="0.2">
      <c r="B479" s="152"/>
    </row>
    <row r="480" spans="2:2" x14ac:dyDescent="0.2">
      <c r="B480" s="152"/>
    </row>
    <row r="481" spans="2:2" x14ac:dyDescent="0.2">
      <c r="B481" s="152"/>
    </row>
    <row r="482" spans="2:2" x14ac:dyDescent="0.2">
      <c r="B482" s="152"/>
    </row>
    <row r="483" spans="2:2" x14ac:dyDescent="0.2">
      <c r="B483" s="152"/>
    </row>
    <row r="484" spans="2:2" x14ac:dyDescent="0.2">
      <c r="B484" s="152"/>
    </row>
    <row r="485" spans="2:2" x14ac:dyDescent="0.2">
      <c r="B485" s="152"/>
    </row>
    <row r="486" spans="2:2" x14ac:dyDescent="0.2">
      <c r="B486" s="152"/>
    </row>
    <row r="487" spans="2:2" x14ac:dyDescent="0.2">
      <c r="B487" s="152"/>
    </row>
    <row r="488" spans="2:2" x14ac:dyDescent="0.2">
      <c r="B488" s="152"/>
    </row>
    <row r="489" spans="2:2" x14ac:dyDescent="0.2">
      <c r="B489" s="152"/>
    </row>
    <row r="490" spans="2:2" x14ac:dyDescent="0.2">
      <c r="B490" s="152"/>
    </row>
    <row r="491" spans="2:2" x14ac:dyDescent="0.2">
      <c r="B491" s="152"/>
    </row>
    <row r="492" spans="2:2" x14ac:dyDescent="0.2">
      <c r="B492" s="152"/>
    </row>
    <row r="493" spans="2:2" x14ac:dyDescent="0.2">
      <c r="B493" s="152"/>
    </row>
    <row r="494" spans="2:2" x14ac:dyDescent="0.2">
      <c r="B494" s="152"/>
    </row>
    <row r="495" spans="2:2" x14ac:dyDescent="0.2">
      <c r="B495" s="152"/>
    </row>
    <row r="496" spans="2:2" x14ac:dyDescent="0.2">
      <c r="B496" s="152"/>
    </row>
    <row r="497" spans="2:2" x14ac:dyDescent="0.2">
      <c r="B497" s="152"/>
    </row>
    <row r="498" spans="2:2" x14ac:dyDescent="0.2">
      <c r="B498" s="152"/>
    </row>
    <row r="499" spans="2:2" x14ac:dyDescent="0.2">
      <c r="B499" s="152"/>
    </row>
    <row r="500" spans="2:2" x14ac:dyDescent="0.2">
      <c r="B500" s="152"/>
    </row>
    <row r="501" spans="2:2" x14ac:dyDescent="0.2">
      <c r="B501" s="152"/>
    </row>
    <row r="502" spans="2:2" x14ac:dyDescent="0.2">
      <c r="B502" s="152"/>
    </row>
    <row r="503" spans="2:2" x14ac:dyDescent="0.2">
      <c r="B503" s="152"/>
    </row>
    <row r="504" spans="2:2" x14ac:dyDescent="0.2">
      <c r="B504" s="152"/>
    </row>
    <row r="505" spans="2:2" x14ac:dyDescent="0.2">
      <c r="B505" s="152"/>
    </row>
    <row r="506" spans="2:2" x14ac:dyDescent="0.2">
      <c r="B506" s="152"/>
    </row>
    <row r="507" spans="2:2" x14ac:dyDescent="0.2">
      <c r="B507" s="152"/>
    </row>
    <row r="508" spans="2:2" x14ac:dyDescent="0.2">
      <c r="B508" s="152"/>
    </row>
    <row r="509" spans="2:2" x14ac:dyDescent="0.2">
      <c r="B509" s="152"/>
    </row>
    <row r="510" spans="2:2" x14ac:dyDescent="0.2">
      <c r="B510" s="152"/>
    </row>
    <row r="511" spans="2:2" x14ac:dyDescent="0.2">
      <c r="B511" s="152"/>
    </row>
    <row r="512" spans="2:2" x14ac:dyDescent="0.2">
      <c r="B512" s="152"/>
    </row>
    <row r="513" spans="2:2" x14ac:dyDescent="0.2">
      <c r="B513" s="152"/>
    </row>
    <row r="514" spans="2:2" x14ac:dyDescent="0.2">
      <c r="B514" s="152"/>
    </row>
    <row r="515" spans="2:2" x14ac:dyDescent="0.2">
      <c r="B515" s="152"/>
    </row>
    <row r="516" spans="2:2" x14ac:dyDescent="0.2">
      <c r="B516" s="152"/>
    </row>
    <row r="517" spans="2:2" x14ac:dyDescent="0.2">
      <c r="B517" s="152"/>
    </row>
    <row r="518" spans="2:2" x14ac:dyDescent="0.2">
      <c r="B518" s="152"/>
    </row>
    <row r="519" spans="2:2" x14ac:dyDescent="0.2">
      <c r="B519" s="152"/>
    </row>
    <row r="520" spans="2:2" x14ac:dyDescent="0.2">
      <c r="B520" s="152"/>
    </row>
    <row r="521" spans="2:2" x14ac:dyDescent="0.2">
      <c r="B521" s="152"/>
    </row>
    <row r="522" spans="2:2" x14ac:dyDescent="0.2">
      <c r="B522" s="152"/>
    </row>
    <row r="523" spans="2:2" x14ac:dyDescent="0.2">
      <c r="B523" s="152"/>
    </row>
    <row r="524" spans="2:2" x14ac:dyDescent="0.2">
      <c r="B524" s="152"/>
    </row>
    <row r="525" spans="2:2" x14ac:dyDescent="0.2">
      <c r="B525" s="152"/>
    </row>
    <row r="526" spans="2:2" x14ac:dyDescent="0.2">
      <c r="B526" s="152"/>
    </row>
    <row r="527" spans="2:2" x14ac:dyDescent="0.2">
      <c r="B527" s="152"/>
    </row>
    <row r="528" spans="2:2" x14ac:dyDescent="0.2">
      <c r="B528" s="152"/>
    </row>
    <row r="529" spans="2:2" x14ac:dyDescent="0.2">
      <c r="B529" s="152"/>
    </row>
    <row r="530" spans="2:2" x14ac:dyDescent="0.2">
      <c r="B530" s="152"/>
    </row>
    <row r="531" spans="2:2" x14ac:dyDescent="0.2">
      <c r="B531" s="152"/>
    </row>
    <row r="532" spans="2:2" x14ac:dyDescent="0.2">
      <c r="B532" s="152"/>
    </row>
    <row r="533" spans="2:2" x14ac:dyDescent="0.2">
      <c r="B533" s="152"/>
    </row>
    <row r="534" spans="2:2" x14ac:dyDescent="0.2">
      <c r="B534" s="152"/>
    </row>
    <row r="535" spans="2:2" x14ac:dyDescent="0.2">
      <c r="B535" s="152"/>
    </row>
    <row r="536" spans="2:2" x14ac:dyDescent="0.2">
      <c r="B536" s="152"/>
    </row>
    <row r="537" spans="2:2" x14ac:dyDescent="0.2">
      <c r="B537" s="152"/>
    </row>
    <row r="538" spans="2:2" x14ac:dyDescent="0.2">
      <c r="B538" s="152"/>
    </row>
    <row r="539" spans="2:2" x14ac:dyDescent="0.2">
      <c r="B539" s="152"/>
    </row>
    <row r="540" spans="2:2" x14ac:dyDescent="0.2">
      <c r="B540" s="152"/>
    </row>
    <row r="541" spans="2:2" x14ac:dyDescent="0.2">
      <c r="B541" s="152"/>
    </row>
    <row r="542" spans="2:2" x14ac:dyDescent="0.2">
      <c r="B542" s="152"/>
    </row>
    <row r="543" spans="2:2" x14ac:dyDescent="0.2">
      <c r="B543" s="152"/>
    </row>
    <row r="544" spans="2:2" x14ac:dyDescent="0.2">
      <c r="B544" s="152"/>
    </row>
    <row r="545" spans="2:2" x14ac:dyDescent="0.2">
      <c r="B545" s="152"/>
    </row>
    <row r="546" spans="2:2" x14ac:dyDescent="0.2">
      <c r="B546" s="152"/>
    </row>
    <row r="547" spans="2:2" x14ac:dyDescent="0.2">
      <c r="B547" s="152"/>
    </row>
    <row r="548" spans="2:2" x14ac:dyDescent="0.2">
      <c r="B548" s="152"/>
    </row>
    <row r="549" spans="2:2" x14ac:dyDescent="0.2">
      <c r="B549" s="152"/>
    </row>
    <row r="550" spans="2:2" x14ac:dyDescent="0.2">
      <c r="B550" s="152"/>
    </row>
    <row r="551" spans="2:2" x14ac:dyDescent="0.2">
      <c r="B551" s="152"/>
    </row>
    <row r="552" spans="2:2" x14ac:dyDescent="0.2">
      <c r="B552" s="152"/>
    </row>
    <row r="553" spans="2:2" x14ac:dyDescent="0.2">
      <c r="B553" s="152"/>
    </row>
    <row r="554" spans="2:2" x14ac:dyDescent="0.2">
      <c r="B554" s="152"/>
    </row>
    <row r="555" spans="2:2" x14ac:dyDescent="0.2">
      <c r="B555" s="152"/>
    </row>
    <row r="556" spans="2:2" x14ac:dyDescent="0.2">
      <c r="B556" s="152"/>
    </row>
    <row r="557" spans="2:2" x14ac:dyDescent="0.2">
      <c r="B557" s="152"/>
    </row>
    <row r="558" spans="2:2" x14ac:dyDescent="0.2">
      <c r="B558" s="152"/>
    </row>
    <row r="559" spans="2:2" x14ac:dyDescent="0.2">
      <c r="B559" s="152"/>
    </row>
    <row r="560" spans="2:2" x14ac:dyDescent="0.2">
      <c r="B560" s="152"/>
    </row>
    <row r="561" spans="2:2" x14ac:dyDescent="0.2">
      <c r="B561" s="152"/>
    </row>
    <row r="562" spans="2:2" x14ac:dyDescent="0.2">
      <c r="B562" s="152"/>
    </row>
    <row r="563" spans="2:2" x14ac:dyDescent="0.2">
      <c r="B563" s="152"/>
    </row>
    <row r="564" spans="2:2" x14ac:dyDescent="0.2">
      <c r="B564" s="152"/>
    </row>
    <row r="565" spans="2:2" x14ac:dyDescent="0.2">
      <c r="B565" s="152"/>
    </row>
    <row r="566" spans="2:2" x14ac:dyDescent="0.2">
      <c r="B566" s="152"/>
    </row>
    <row r="567" spans="2:2" x14ac:dyDescent="0.2">
      <c r="B567" s="152"/>
    </row>
    <row r="568" spans="2:2" x14ac:dyDescent="0.2">
      <c r="B568" s="152"/>
    </row>
    <row r="569" spans="2:2" x14ac:dyDescent="0.2">
      <c r="B569" s="152"/>
    </row>
    <row r="570" spans="2:2" x14ac:dyDescent="0.2">
      <c r="B570" s="152"/>
    </row>
    <row r="571" spans="2:2" x14ac:dyDescent="0.2">
      <c r="B571" s="152"/>
    </row>
    <row r="572" spans="2:2" x14ac:dyDescent="0.2">
      <c r="B572" s="152"/>
    </row>
    <row r="573" spans="2:2" x14ac:dyDescent="0.2">
      <c r="B573" s="152"/>
    </row>
    <row r="574" spans="2:2" x14ac:dyDescent="0.2">
      <c r="B574" s="152"/>
    </row>
    <row r="575" spans="2:2" x14ac:dyDescent="0.2">
      <c r="B575" s="152"/>
    </row>
    <row r="576" spans="2:2" x14ac:dyDescent="0.2">
      <c r="B576" s="152"/>
    </row>
    <row r="577" spans="2:2" x14ac:dyDescent="0.2">
      <c r="B577" s="152"/>
    </row>
    <row r="578" spans="2:2" x14ac:dyDescent="0.2">
      <c r="B578" s="152"/>
    </row>
    <row r="579" spans="2:2" x14ac:dyDescent="0.2">
      <c r="B579" s="152"/>
    </row>
    <row r="580" spans="2:2" x14ac:dyDescent="0.2">
      <c r="B580" s="152"/>
    </row>
    <row r="581" spans="2:2" x14ac:dyDescent="0.2">
      <c r="B581" s="152"/>
    </row>
    <row r="582" spans="2:2" x14ac:dyDescent="0.2">
      <c r="B582" s="152"/>
    </row>
    <row r="583" spans="2:2" x14ac:dyDescent="0.2">
      <c r="B583" s="152"/>
    </row>
    <row r="584" spans="2:2" x14ac:dyDescent="0.2">
      <c r="B584" s="152"/>
    </row>
    <row r="585" spans="2:2" x14ac:dyDescent="0.2">
      <c r="B585" s="152"/>
    </row>
    <row r="586" spans="2:2" x14ac:dyDescent="0.2">
      <c r="B586" s="152"/>
    </row>
    <row r="587" spans="2:2" x14ac:dyDescent="0.2">
      <c r="B587" s="152"/>
    </row>
    <row r="588" spans="2:2" x14ac:dyDescent="0.2">
      <c r="B588" s="152"/>
    </row>
    <row r="589" spans="2:2" x14ac:dyDescent="0.2">
      <c r="B589" s="152"/>
    </row>
    <row r="590" spans="2:2" x14ac:dyDescent="0.2">
      <c r="B590" s="152"/>
    </row>
    <row r="591" spans="2:2" x14ac:dyDescent="0.2">
      <c r="B591" s="152"/>
    </row>
    <row r="592" spans="2:2" x14ac:dyDescent="0.2">
      <c r="B592" s="152"/>
    </row>
    <row r="593" spans="2:2" x14ac:dyDescent="0.2">
      <c r="B593" s="152"/>
    </row>
    <row r="594" spans="2:2" x14ac:dyDescent="0.2">
      <c r="B594" s="152"/>
    </row>
    <row r="595" spans="2:2" x14ac:dyDescent="0.2">
      <c r="B595" s="152"/>
    </row>
    <row r="596" spans="2:2" x14ac:dyDescent="0.2">
      <c r="B596" s="152"/>
    </row>
    <row r="597" spans="2:2" x14ac:dyDescent="0.2">
      <c r="B597" s="152"/>
    </row>
    <row r="598" spans="2:2" x14ac:dyDescent="0.2">
      <c r="B598" s="152"/>
    </row>
    <row r="599" spans="2:2" x14ac:dyDescent="0.2">
      <c r="B599" s="152"/>
    </row>
    <row r="600" spans="2:2" x14ac:dyDescent="0.2">
      <c r="B600" s="152"/>
    </row>
    <row r="601" spans="2:2" x14ac:dyDescent="0.2">
      <c r="B601" s="152"/>
    </row>
    <row r="602" spans="2:2" x14ac:dyDescent="0.2">
      <c r="B602" s="152"/>
    </row>
    <row r="603" spans="2:2" x14ac:dyDescent="0.2">
      <c r="B603" s="152"/>
    </row>
    <row r="604" spans="2:2" x14ac:dyDescent="0.2">
      <c r="B604" s="152"/>
    </row>
    <row r="605" spans="2:2" x14ac:dyDescent="0.2">
      <c r="B605" s="152"/>
    </row>
    <row r="606" spans="2:2" x14ac:dyDescent="0.2">
      <c r="B606" s="152"/>
    </row>
    <row r="607" spans="2:2" x14ac:dyDescent="0.2">
      <c r="B607" s="152"/>
    </row>
    <row r="608" spans="2:2" x14ac:dyDescent="0.2">
      <c r="B608" s="152"/>
    </row>
    <row r="609" spans="2:2" x14ac:dyDescent="0.2">
      <c r="B609" s="152"/>
    </row>
    <row r="610" spans="2:2" x14ac:dyDescent="0.2">
      <c r="B610" s="152"/>
    </row>
    <row r="611" spans="2:2" x14ac:dyDescent="0.2">
      <c r="B611" s="152"/>
    </row>
    <row r="612" spans="2:2" x14ac:dyDescent="0.2">
      <c r="B612" s="152"/>
    </row>
    <row r="613" spans="2:2" x14ac:dyDescent="0.2">
      <c r="B613" s="152"/>
    </row>
    <row r="614" spans="2:2" x14ac:dyDescent="0.2">
      <c r="B614" s="152"/>
    </row>
    <row r="615" spans="2:2" x14ac:dyDescent="0.2">
      <c r="B615" s="152"/>
    </row>
    <row r="616" spans="2:2" x14ac:dyDescent="0.2">
      <c r="B616" s="152"/>
    </row>
    <row r="617" spans="2:2" x14ac:dyDescent="0.2">
      <c r="B617" s="152"/>
    </row>
    <row r="618" spans="2:2" x14ac:dyDescent="0.2">
      <c r="B618" s="152"/>
    </row>
    <row r="619" spans="2:2" x14ac:dyDescent="0.2">
      <c r="B619" s="152"/>
    </row>
    <row r="620" spans="2:2" x14ac:dyDescent="0.2">
      <c r="B620" s="152"/>
    </row>
    <row r="621" spans="2:2" x14ac:dyDescent="0.2">
      <c r="B621" s="152"/>
    </row>
    <row r="622" spans="2:2" x14ac:dyDescent="0.2">
      <c r="B622" s="152"/>
    </row>
    <row r="623" spans="2:2" x14ac:dyDescent="0.2">
      <c r="B623" s="152"/>
    </row>
    <row r="624" spans="2:2" x14ac:dyDescent="0.2">
      <c r="B624" s="152"/>
    </row>
    <row r="625" spans="2:2" x14ac:dyDescent="0.2">
      <c r="B625" s="152"/>
    </row>
    <row r="626" spans="2:2" x14ac:dyDescent="0.2">
      <c r="B626" s="152"/>
    </row>
    <row r="627" spans="2:2" x14ac:dyDescent="0.2">
      <c r="B627" s="152"/>
    </row>
    <row r="628" spans="2:2" x14ac:dyDescent="0.2">
      <c r="B628" s="152"/>
    </row>
    <row r="629" spans="2:2" x14ac:dyDescent="0.2">
      <c r="B629" s="152"/>
    </row>
    <row r="630" spans="2:2" x14ac:dyDescent="0.2">
      <c r="B630" s="152"/>
    </row>
    <row r="631" spans="2:2" x14ac:dyDescent="0.2">
      <c r="B631" s="152"/>
    </row>
    <row r="632" spans="2:2" x14ac:dyDescent="0.2">
      <c r="B632" s="152"/>
    </row>
    <row r="633" spans="2:2" x14ac:dyDescent="0.2">
      <c r="B633" s="152"/>
    </row>
    <row r="634" spans="2:2" x14ac:dyDescent="0.2">
      <c r="B634" s="152"/>
    </row>
    <row r="635" spans="2:2" x14ac:dyDescent="0.2">
      <c r="B635" s="152"/>
    </row>
    <row r="636" spans="2:2" x14ac:dyDescent="0.2">
      <c r="B636" s="152"/>
    </row>
    <row r="637" spans="2:2" x14ac:dyDescent="0.2">
      <c r="B637" s="152"/>
    </row>
    <row r="638" spans="2:2" x14ac:dyDescent="0.2">
      <c r="B638" s="152"/>
    </row>
    <row r="639" spans="2:2" x14ac:dyDescent="0.2">
      <c r="B639" s="152"/>
    </row>
    <row r="640" spans="2:2" x14ac:dyDescent="0.2">
      <c r="B640" s="152"/>
    </row>
    <row r="641" spans="2:2" x14ac:dyDescent="0.2">
      <c r="B641" s="152"/>
    </row>
    <row r="642" spans="2:2" x14ac:dyDescent="0.2">
      <c r="B642" s="152"/>
    </row>
    <row r="643" spans="2:2" x14ac:dyDescent="0.2">
      <c r="B643" s="152"/>
    </row>
    <row r="644" spans="2:2" x14ac:dyDescent="0.2">
      <c r="B644" s="152"/>
    </row>
    <row r="645" spans="2:2" x14ac:dyDescent="0.2">
      <c r="B645" s="152"/>
    </row>
    <row r="646" spans="2:2" x14ac:dyDescent="0.2">
      <c r="B646" s="152"/>
    </row>
    <row r="647" spans="2:2" x14ac:dyDescent="0.2">
      <c r="B647" s="152"/>
    </row>
    <row r="648" spans="2:2" x14ac:dyDescent="0.2">
      <c r="B648" s="152"/>
    </row>
    <row r="649" spans="2:2" x14ac:dyDescent="0.2">
      <c r="B649" s="152"/>
    </row>
    <row r="650" spans="2:2" x14ac:dyDescent="0.2">
      <c r="B650" s="152"/>
    </row>
    <row r="651" spans="2:2" x14ac:dyDescent="0.2">
      <c r="B651" s="152"/>
    </row>
    <row r="652" spans="2:2" x14ac:dyDescent="0.2">
      <c r="B652" s="152"/>
    </row>
    <row r="653" spans="2:2" x14ac:dyDescent="0.2">
      <c r="B653" s="152"/>
    </row>
    <row r="654" spans="2:2" x14ac:dyDescent="0.2">
      <c r="B654" s="152"/>
    </row>
    <row r="655" spans="2:2" x14ac:dyDescent="0.2">
      <c r="B655" s="152"/>
    </row>
    <row r="656" spans="2:2" x14ac:dyDescent="0.2">
      <c r="B656" s="152"/>
    </row>
    <row r="657" spans="2:2" x14ac:dyDescent="0.2">
      <c r="B657" s="152"/>
    </row>
    <row r="658" spans="2:2" x14ac:dyDescent="0.2">
      <c r="B658" s="152"/>
    </row>
    <row r="659" spans="2:2" x14ac:dyDescent="0.2">
      <c r="B659" s="152"/>
    </row>
    <row r="660" spans="2:2" x14ac:dyDescent="0.2">
      <c r="B660" s="152"/>
    </row>
    <row r="661" spans="2:2" x14ac:dyDescent="0.2">
      <c r="B661" s="152"/>
    </row>
    <row r="662" spans="2:2" x14ac:dyDescent="0.2">
      <c r="B662" s="152"/>
    </row>
    <row r="663" spans="2:2" x14ac:dyDescent="0.2">
      <c r="B663" s="152"/>
    </row>
    <row r="664" spans="2:2" x14ac:dyDescent="0.2">
      <c r="B664" s="152"/>
    </row>
    <row r="665" spans="2:2" x14ac:dyDescent="0.2">
      <c r="B665" s="152"/>
    </row>
    <row r="666" spans="2:2" x14ac:dyDescent="0.2">
      <c r="B666" s="152"/>
    </row>
    <row r="667" spans="2:2" x14ac:dyDescent="0.2">
      <c r="B667" s="152"/>
    </row>
    <row r="668" spans="2:2" x14ac:dyDescent="0.2">
      <c r="B668" s="152"/>
    </row>
    <row r="669" spans="2:2" x14ac:dyDescent="0.2">
      <c r="B669" s="152"/>
    </row>
    <row r="670" spans="2:2" x14ac:dyDescent="0.2">
      <c r="B670" s="152"/>
    </row>
    <row r="671" spans="2:2" x14ac:dyDescent="0.2">
      <c r="B671" s="152"/>
    </row>
    <row r="672" spans="2:2" x14ac:dyDescent="0.2">
      <c r="B672" s="152"/>
    </row>
    <row r="673" spans="2:2" x14ac:dyDescent="0.2">
      <c r="B673" s="152"/>
    </row>
    <row r="674" spans="2:2" x14ac:dyDescent="0.2">
      <c r="B674" s="152"/>
    </row>
    <row r="675" spans="2:2" x14ac:dyDescent="0.2">
      <c r="B675" s="152"/>
    </row>
    <row r="676" spans="2:2" x14ac:dyDescent="0.2">
      <c r="B676" s="152"/>
    </row>
    <row r="677" spans="2:2" x14ac:dyDescent="0.2">
      <c r="B677" s="152"/>
    </row>
    <row r="678" spans="2:2" x14ac:dyDescent="0.2">
      <c r="B678" s="152"/>
    </row>
    <row r="679" spans="2:2" x14ac:dyDescent="0.2">
      <c r="B679" s="152"/>
    </row>
    <row r="680" spans="2:2" x14ac:dyDescent="0.2">
      <c r="B680" s="152"/>
    </row>
    <row r="681" spans="2:2" x14ac:dyDescent="0.2">
      <c r="B681" s="152"/>
    </row>
    <row r="682" spans="2:2" x14ac:dyDescent="0.2">
      <c r="B682" s="152"/>
    </row>
    <row r="683" spans="2:2" x14ac:dyDescent="0.2">
      <c r="B683" s="152"/>
    </row>
    <row r="684" spans="2:2" x14ac:dyDescent="0.2">
      <c r="B684" s="152"/>
    </row>
    <row r="685" spans="2:2" x14ac:dyDescent="0.2">
      <c r="B685" s="152"/>
    </row>
    <row r="686" spans="2:2" x14ac:dyDescent="0.2">
      <c r="B686" s="152"/>
    </row>
    <row r="687" spans="2:2" x14ac:dyDescent="0.2">
      <c r="B687" s="152"/>
    </row>
    <row r="688" spans="2:2" x14ac:dyDescent="0.2">
      <c r="B688" s="152"/>
    </row>
    <row r="689" spans="2:2" x14ac:dyDescent="0.2">
      <c r="B689" s="152"/>
    </row>
    <row r="690" spans="2:2" x14ac:dyDescent="0.2">
      <c r="B690" s="152"/>
    </row>
    <row r="691" spans="2:2" x14ac:dyDescent="0.2">
      <c r="B691" s="152"/>
    </row>
    <row r="692" spans="2:2" x14ac:dyDescent="0.2">
      <c r="B692" s="152"/>
    </row>
    <row r="693" spans="2:2" x14ac:dyDescent="0.2">
      <c r="B693" s="152"/>
    </row>
    <row r="694" spans="2:2" x14ac:dyDescent="0.2">
      <c r="B694" s="152"/>
    </row>
    <row r="695" spans="2:2" x14ac:dyDescent="0.2">
      <c r="B695" s="152"/>
    </row>
    <row r="696" spans="2:2" x14ac:dyDescent="0.2">
      <c r="B696" s="152"/>
    </row>
    <row r="697" spans="2:2" x14ac:dyDescent="0.2">
      <c r="B697" s="152"/>
    </row>
    <row r="698" spans="2:2" x14ac:dyDescent="0.2">
      <c r="B698" s="152"/>
    </row>
    <row r="699" spans="2:2" x14ac:dyDescent="0.2">
      <c r="B699" s="152"/>
    </row>
    <row r="700" spans="2:2" x14ac:dyDescent="0.2">
      <c r="B700" s="152"/>
    </row>
    <row r="701" spans="2:2" x14ac:dyDescent="0.2">
      <c r="B701" s="152"/>
    </row>
    <row r="702" spans="2:2" x14ac:dyDescent="0.2">
      <c r="B702" s="152"/>
    </row>
    <row r="703" spans="2:2" x14ac:dyDescent="0.2">
      <c r="B703" s="152"/>
    </row>
    <row r="704" spans="2:2" x14ac:dyDescent="0.2">
      <c r="B704" s="152"/>
    </row>
    <row r="705" spans="2:2" x14ac:dyDescent="0.2">
      <c r="B705" s="152"/>
    </row>
    <row r="706" spans="2:2" x14ac:dyDescent="0.2">
      <c r="B706" s="152"/>
    </row>
    <row r="707" spans="2:2" x14ac:dyDescent="0.2">
      <c r="B707" s="152"/>
    </row>
    <row r="708" spans="2:2" x14ac:dyDescent="0.2">
      <c r="B708" s="152"/>
    </row>
    <row r="709" spans="2:2" x14ac:dyDescent="0.2">
      <c r="B709" s="152"/>
    </row>
    <row r="710" spans="2:2" x14ac:dyDescent="0.2">
      <c r="B710" s="152"/>
    </row>
    <row r="711" spans="2:2" x14ac:dyDescent="0.2">
      <c r="B711" s="152"/>
    </row>
    <row r="712" spans="2:2" x14ac:dyDescent="0.2">
      <c r="B712" s="152"/>
    </row>
    <row r="713" spans="2:2" x14ac:dyDescent="0.2">
      <c r="B713" s="152"/>
    </row>
    <row r="714" spans="2:2" x14ac:dyDescent="0.2">
      <c r="B714" s="152"/>
    </row>
    <row r="715" spans="2:2" x14ac:dyDescent="0.2">
      <c r="B715" s="152"/>
    </row>
    <row r="716" spans="2:2" x14ac:dyDescent="0.2">
      <c r="B716" s="152"/>
    </row>
    <row r="717" spans="2:2" x14ac:dyDescent="0.2">
      <c r="B717" s="152"/>
    </row>
    <row r="718" spans="2:2" x14ac:dyDescent="0.2">
      <c r="B718" s="152"/>
    </row>
    <row r="719" spans="2:2" x14ac:dyDescent="0.2">
      <c r="B719" s="152"/>
    </row>
    <row r="720" spans="2:2" x14ac:dyDescent="0.2">
      <c r="B720" s="152"/>
    </row>
    <row r="721" spans="2:2" x14ac:dyDescent="0.2">
      <c r="B721" s="152"/>
    </row>
    <row r="722" spans="2:2" x14ac:dyDescent="0.2">
      <c r="B722" s="152"/>
    </row>
    <row r="723" spans="2:2" x14ac:dyDescent="0.2">
      <c r="B723" s="152"/>
    </row>
    <row r="724" spans="2:2" x14ac:dyDescent="0.2">
      <c r="B724" s="152"/>
    </row>
    <row r="725" spans="2:2" x14ac:dyDescent="0.2">
      <c r="B725" s="152"/>
    </row>
    <row r="726" spans="2:2" x14ac:dyDescent="0.2">
      <c r="B726" s="152"/>
    </row>
    <row r="727" spans="2:2" x14ac:dyDescent="0.2">
      <c r="B727" s="152"/>
    </row>
    <row r="728" spans="2:2" x14ac:dyDescent="0.2">
      <c r="B728" s="152"/>
    </row>
    <row r="729" spans="2:2" x14ac:dyDescent="0.2">
      <c r="B729" s="152"/>
    </row>
    <row r="730" spans="2:2" x14ac:dyDescent="0.2">
      <c r="B730" s="152"/>
    </row>
    <row r="731" spans="2:2" x14ac:dyDescent="0.2">
      <c r="B731" s="152"/>
    </row>
    <row r="732" spans="2:2" x14ac:dyDescent="0.2">
      <c r="B732" s="152"/>
    </row>
    <row r="733" spans="2:2" x14ac:dyDescent="0.2">
      <c r="B733" s="152"/>
    </row>
    <row r="734" spans="2:2" x14ac:dyDescent="0.2">
      <c r="B734" s="152"/>
    </row>
    <row r="735" spans="2:2" x14ac:dyDescent="0.2">
      <c r="B735" s="152"/>
    </row>
    <row r="736" spans="2:2" x14ac:dyDescent="0.2">
      <c r="B736" s="152"/>
    </row>
    <row r="737" spans="2:2" x14ac:dyDescent="0.2">
      <c r="B737" s="152"/>
    </row>
    <row r="738" spans="2:2" x14ac:dyDescent="0.2">
      <c r="B738" s="152"/>
    </row>
    <row r="739" spans="2:2" x14ac:dyDescent="0.2">
      <c r="B739" s="152"/>
    </row>
    <row r="740" spans="2:2" x14ac:dyDescent="0.2">
      <c r="B740" s="152"/>
    </row>
    <row r="741" spans="2:2" x14ac:dyDescent="0.2">
      <c r="B741" s="152"/>
    </row>
    <row r="742" spans="2:2" x14ac:dyDescent="0.2">
      <c r="B742" s="152"/>
    </row>
    <row r="743" spans="2:2" x14ac:dyDescent="0.2">
      <c r="B743" s="152"/>
    </row>
    <row r="744" spans="2:2" x14ac:dyDescent="0.2">
      <c r="B744" s="152"/>
    </row>
    <row r="745" spans="2:2" x14ac:dyDescent="0.2">
      <c r="B745" s="152"/>
    </row>
    <row r="746" spans="2:2" x14ac:dyDescent="0.2">
      <c r="B746" s="152"/>
    </row>
    <row r="747" spans="2:2" x14ac:dyDescent="0.2">
      <c r="B747" s="152"/>
    </row>
    <row r="748" spans="2:2" x14ac:dyDescent="0.2">
      <c r="B748" s="152"/>
    </row>
    <row r="749" spans="2:2" x14ac:dyDescent="0.2">
      <c r="B749" s="152"/>
    </row>
    <row r="750" spans="2:2" x14ac:dyDescent="0.2">
      <c r="B750" s="152"/>
    </row>
    <row r="751" spans="2:2" x14ac:dyDescent="0.2">
      <c r="B751" s="152"/>
    </row>
    <row r="752" spans="2:2" x14ac:dyDescent="0.2">
      <c r="B752" s="152"/>
    </row>
    <row r="753" spans="2:2" x14ac:dyDescent="0.2">
      <c r="B753" s="152"/>
    </row>
    <row r="754" spans="2:2" x14ac:dyDescent="0.2">
      <c r="B754" s="152"/>
    </row>
    <row r="755" spans="2:2" x14ac:dyDescent="0.2">
      <c r="B755" s="152"/>
    </row>
    <row r="756" spans="2:2" x14ac:dyDescent="0.2">
      <c r="B756" s="152"/>
    </row>
    <row r="757" spans="2:2" x14ac:dyDescent="0.2">
      <c r="B757" s="152"/>
    </row>
    <row r="758" spans="2:2" x14ac:dyDescent="0.2">
      <c r="B758" s="152"/>
    </row>
    <row r="759" spans="2:2" x14ac:dyDescent="0.2">
      <c r="B759" s="152"/>
    </row>
    <row r="760" spans="2:2" x14ac:dyDescent="0.2">
      <c r="B760" s="152"/>
    </row>
    <row r="761" spans="2:2" x14ac:dyDescent="0.2">
      <c r="B761" s="152"/>
    </row>
    <row r="762" spans="2:2" x14ac:dyDescent="0.2">
      <c r="B762" s="152"/>
    </row>
    <row r="763" spans="2:2" x14ac:dyDescent="0.2">
      <c r="B763" s="152"/>
    </row>
    <row r="764" spans="2:2" x14ac:dyDescent="0.2">
      <c r="B764" s="152"/>
    </row>
    <row r="765" spans="2:2" x14ac:dyDescent="0.2">
      <c r="B765" s="152"/>
    </row>
    <row r="766" spans="2:2" x14ac:dyDescent="0.2">
      <c r="B766" s="152"/>
    </row>
    <row r="767" spans="2:2" x14ac:dyDescent="0.2">
      <c r="B767" s="152"/>
    </row>
    <row r="768" spans="2:2" x14ac:dyDescent="0.2">
      <c r="B768" s="152"/>
    </row>
    <row r="769" spans="2:2" x14ac:dyDescent="0.2">
      <c r="B769" s="152"/>
    </row>
    <row r="770" spans="2:2" x14ac:dyDescent="0.2">
      <c r="B770" s="152"/>
    </row>
    <row r="771" spans="2:2" x14ac:dyDescent="0.2">
      <c r="B771" s="152"/>
    </row>
    <row r="772" spans="2:2" x14ac:dyDescent="0.2">
      <c r="B772" s="152"/>
    </row>
    <row r="773" spans="2:2" x14ac:dyDescent="0.2">
      <c r="B773" s="152"/>
    </row>
    <row r="774" spans="2:2" x14ac:dyDescent="0.2">
      <c r="B774" s="152"/>
    </row>
    <row r="775" spans="2:2" x14ac:dyDescent="0.2">
      <c r="B775" s="152"/>
    </row>
    <row r="776" spans="2:2" x14ac:dyDescent="0.2">
      <c r="B776" s="152"/>
    </row>
    <row r="777" spans="2:2" x14ac:dyDescent="0.2">
      <c r="B777" s="152"/>
    </row>
    <row r="778" spans="2:2" x14ac:dyDescent="0.2">
      <c r="B778" s="152"/>
    </row>
    <row r="779" spans="2:2" x14ac:dyDescent="0.2">
      <c r="B779" s="152"/>
    </row>
    <row r="780" spans="2:2" x14ac:dyDescent="0.2">
      <c r="B780" s="152"/>
    </row>
    <row r="781" spans="2:2" x14ac:dyDescent="0.2">
      <c r="B781" s="152"/>
    </row>
    <row r="782" spans="2:2" x14ac:dyDescent="0.2">
      <c r="B782" s="152"/>
    </row>
    <row r="783" spans="2:2" x14ac:dyDescent="0.2">
      <c r="B783" s="152"/>
    </row>
    <row r="784" spans="2:2" x14ac:dyDescent="0.2">
      <c r="B784" s="152"/>
    </row>
    <row r="785" spans="2:2" x14ac:dyDescent="0.2">
      <c r="B785" s="152"/>
    </row>
    <row r="786" spans="2:2" x14ac:dyDescent="0.2">
      <c r="B786" s="152"/>
    </row>
    <row r="787" spans="2:2" x14ac:dyDescent="0.2">
      <c r="B787" s="152"/>
    </row>
    <row r="788" spans="2:2" x14ac:dyDescent="0.2">
      <c r="B788" s="152"/>
    </row>
    <row r="789" spans="2:2" x14ac:dyDescent="0.2">
      <c r="B789" s="152"/>
    </row>
    <row r="790" spans="2:2" x14ac:dyDescent="0.2">
      <c r="B790" s="152"/>
    </row>
    <row r="791" spans="2:2" x14ac:dyDescent="0.2">
      <c r="B791" s="152"/>
    </row>
    <row r="792" spans="2:2" x14ac:dyDescent="0.2">
      <c r="B792" s="152"/>
    </row>
    <row r="793" spans="2:2" x14ac:dyDescent="0.2">
      <c r="B793" s="152"/>
    </row>
    <row r="794" spans="2:2" x14ac:dyDescent="0.2">
      <c r="B794" s="152"/>
    </row>
    <row r="795" spans="2:2" x14ac:dyDescent="0.2">
      <c r="B795" s="152"/>
    </row>
    <row r="796" spans="2:2" x14ac:dyDescent="0.2">
      <c r="B796" s="152"/>
    </row>
    <row r="797" spans="2:2" x14ac:dyDescent="0.2">
      <c r="B797" s="152"/>
    </row>
    <row r="798" spans="2:2" x14ac:dyDescent="0.2">
      <c r="B798" s="152"/>
    </row>
    <row r="799" spans="2:2" x14ac:dyDescent="0.2">
      <c r="B799" s="152"/>
    </row>
    <row r="800" spans="2:2" x14ac:dyDescent="0.2">
      <c r="B800" s="152"/>
    </row>
    <row r="801" spans="2:2" x14ac:dyDescent="0.2">
      <c r="B801" s="152"/>
    </row>
    <row r="802" spans="2:2" x14ac:dyDescent="0.2">
      <c r="B802" s="152"/>
    </row>
    <row r="803" spans="2:2" x14ac:dyDescent="0.2">
      <c r="B803" s="152"/>
    </row>
    <row r="804" spans="2:2" x14ac:dyDescent="0.2">
      <c r="B804" s="152"/>
    </row>
    <row r="805" spans="2:2" x14ac:dyDescent="0.2">
      <c r="B805" s="152"/>
    </row>
    <row r="806" spans="2:2" x14ac:dyDescent="0.2">
      <c r="B806" s="152"/>
    </row>
    <row r="807" spans="2:2" x14ac:dyDescent="0.2">
      <c r="B807" s="152"/>
    </row>
    <row r="808" spans="2:2" x14ac:dyDescent="0.2">
      <c r="B808" s="152"/>
    </row>
    <row r="809" spans="2:2" x14ac:dyDescent="0.2">
      <c r="B809" s="152"/>
    </row>
    <row r="810" spans="2:2" x14ac:dyDescent="0.2">
      <c r="B810" s="152"/>
    </row>
    <row r="811" spans="2:2" x14ac:dyDescent="0.2">
      <c r="B811" s="152"/>
    </row>
    <row r="812" spans="2:2" x14ac:dyDescent="0.2">
      <c r="B812" s="152"/>
    </row>
    <row r="813" spans="2:2" x14ac:dyDescent="0.2">
      <c r="B813" s="152"/>
    </row>
    <row r="814" spans="2:2" x14ac:dyDescent="0.2">
      <c r="B814" s="152"/>
    </row>
    <row r="815" spans="2:2" x14ac:dyDescent="0.2">
      <c r="B815" s="152"/>
    </row>
    <row r="816" spans="2:2" x14ac:dyDescent="0.2">
      <c r="B816" s="152"/>
    </row>
    <row r="817" spans="2:2" x14ac:dyDescent="0.2">
      <c r="B817" s="152"/>
    </row>
    <row r="818" spans="2:2" x14ac:dyDescent="0.2">
      <c r="B818" s="152"/>
    </row>
    <row r="819" spans="2:2" x14ac:dyDescent="0.2">
      <c r="B819" s="152"/>
    </row>
    <row r="820" spans="2:2" x14ac:dyDescent="0.2">
      <c r="B820" s="152"/>
    </row>
    <row r="821" spans="2:2" x14ac:dyDescent="0.2">
      <c r="B821" s="152"/>
    </row>
    <row r="822" spans="2:2" x14ac:dyDescent="0.2">
      <c r="B822" s="152"/>
    </row>
    <row r="823" spans="2:2" x14ac:dyDescent="0.2">
      <c r="B823" s="152"/>
    </row>
    <row r="824" spans="2:2" x14ac:dyDescent="0.2">
      <c r="B824" s="152"/>
    </row>
    <row r="825" spans="2:2" x14ac:dyDescent="0.2">
      <c r="B825" s="152"/>
    </row>
    <row r="826" spans="2:2" x14ac:dyDescent="0.2">
      <c r="B826" s="152"/>
    </row>
    <row r="827" spans="2:2" x14ac:dyDescent="0.2">
      <c r="B827" s="152"/>
    </row>
    <row r="828" spans="2:2" x14ac:dyDescent="0.2">
      <c r="B828" s="152"/>
    </row>
    <row r="829" spans="2:2" x14ac:dyDescent="0.2">
      <c r="B829" s="152"/>
    </row>
    <row r="830" spans="2:2" x14ac:dyDescent="0.2">
      <c r="B830" s="152"/>
    </row>
    <row r="831" spans="2:2" x14ac:dyDescent="0.2">
      <c r="B831" s="152"/>
    </row>
    <row r="832" spans="2:2" x14ac:dyDescent="0.2">
      <c r="B832" s="152"/>
    </row>
    <row r="833" spans="2:2" x14ac:dyDescent="0.2">
      <c r="B833" s="152"/>
    </row>
    <row r="834" spans="2:2" x14ac:dyDescent="0.2">
      <c r="B834" s="152"/>
    </row>
    <row r="835" spans="2:2" x14ac:dyDescent="0.2">
      <c r="B835" s="152"/>
    </row>
    <row r="836" spans="2:2" x14ac:dyDescent="0.2">
      <c r="B836" s="152"/>
    </row>
    <row r="837" spans="2:2" x14ac:dyDescent="0.2">
      <c r="B837" s="152"/>
    </row>
    <row r="838" spans="2:2" x14ac:dyDescent="0.2">
      <c r="B838" s="152"/>
    </row>
    <row r="839" spans="2:2" x14ac:dyDescent="0.2">
      <c r="B839" s="152"/>
    </row>
    <row r="840" spans="2:2" x14ac:dyDescent="0.2">
      <c r="B840" s="152"/>
    </row>
    <row r="841" spans="2:2" x14ac:dyDescent="0.2">
      <c r="B841" s="152"/>
    </row>
    <row r="842" spans="2:2" x14ac:dyDescent="0.2">
      <c r="B842" s="152"/>
    </row>
    <row r="843" spans="2:2" x14ac:dyDescent="0.2">
      <c r="B843" s="152"/>
    </row>
    <row r="844" spans="2:2" x14ac:dyDescent="0.2">
      <c r="B844" s="152"/>
    </row>
    <row r="845" spans="2:2" x14ac:dyDescent="0.2">
      <c r="B845" s="152"/>
    </row>
    <row r="846" spans="2:2" x14ac:dyDescent="0.2">
      <c r="B846" s="152"/>
    </row>
    <row r="847" spans="2:2" x14ac:dyDescent="0.2">
      <c r="B847" s="152"/>
    </row>
    <row r="848" spans="2:2" x14ac:dyDescent="0.2">
      <c r="B848" s="152"/>
    </row>
    <row r="849" spans="2:2" x14ac:dyDescent="0.2">
      <c r="B849" s="152"/>
    </row>
    <row r="850" spans="2:2" x14ac:dyDescent="0.2">
      <c r="B850" s="152"/>
    </row>
    <row r="851" spans="2:2" x14ac:dyDescent="0.2">
      <c r="B851" s="152"/>
    </row>
    <row r="852" spans="2:2" x14ac:dyDescent="0.2">
      <c r="B852" s="152"/>
    </row>
    <row r="853" spans="2:2" x14ac:dyDescent="0.2">
      <c r="B853" s="152"/>
    </row>
    <row r="854" spans="2:2" x14ac:dyDescent="0.2">
      <c r="B854" s="152"/>
    </row>
    <row r="855" spans="2:2" x14ac:dyDescent="0.2">
      <c r="B855" s="152"/>
    </row>
    <row r="856" spans="2:2" x14ac:dyDescent="0.2">
      <c r="B856" s="152"/>
    </row>
    <row r="857" spans="2:2" x14ac:dyDescent="0.2">
      <c r="B857" s="152"/>
    </row>
    <row r="858" spans="2:2" x14ac:dyDescent="0.2">
      <c r="B858" s="152"/>
    </row>
    <row r="859" spans="2:2" x14ac:dyDescent="0.2">
      <c r="B859" s="152"/>
    </row>
    <row r="860" spans="2:2" x14ac:dyDescent="0.2">
      <c r="B860" s="152"/>
    </row>
    <row r="861" spans="2:2" x14ac:dyDescent="0.2">
      <c r="B861" s="152"/>
    </row>
    <row r="862" spans="2:2" x14ac:dyDescent="0.2">
      <c r="B862" s="152"/>
    </row>
    <row r="863" spans="2:2" x14ac:dyDescent="0.2">
      <c r="B863" s="152"/>
    </row>
    <row r="864" spans="2:2" x14ac:dyDescent="0.2">
      <c r="B864" s="152"/>
    </row>
    <row r="865" spans="2:2" x14ac:dyDescent="0.2">
      <c r="B865" s="152"/>
    </row>
    <row r="866" spans="2:2" x14ac:dyDescent="0.2">
      <c r="B866" s="152"/>
    </row>
    <row r="867" spans="2:2" x14ac:dyDescent="0.2">
      <c r="B867" s="152"/>
    </row>
    <row r="868" spans="2:2" x14ac:dyDescent="0.2">
      <c r="B868" s="152"/>
    </row>
    <row r="869" spans="2:2" x14ac:dyDescent="0.2">
      <c r="B869" s="152"/>
    </row>
    <row r="870" spans="2:2" x14ac:dyDescent="0.2">
      <c r="B870" s="152"/>
    </row>
    <row r="871" spans="2:2" x14ac:dyDescent="0.2">
      <c r="B871" s="152"/>
    </row>
    <row r="872" spans="2:2" x14ac:dyDescent="0.2">
      <c r="B872" s="152"/>
    </row>
    <row r="873" spans="2:2" x14ac:dyDescent="0.2">
      <c r="B873" s="152"/>
    </row>
    <row r="874" spans="2:2" x14ac:dyDescent="0.2">
      <c r="B874" s="152"/>
    </row>
    <row r="875" spans="2:2" x14ac:dyDescent="0.2">
      <c r="B875" s="152"/>
    </row>
    <row r="876" spans="2:2" x14ac:dyDescent="0.2">
      <c r="B876" s="152"/>
    </row>
    <row r="877" spans="2:2" x14ac:dyDescent="0.2">
      <c r="B877" s="152"/>
    </row>
    <row r="878" spans="2:2" x14ac:dyDescent="0.2">
      <c r="B878" s="152"/>
    </row>
    <row r="879" spans="2:2" x14ac:dyDescent="0.2">
      <c r="B879" s="152"/>
    </row>
    <row r="880" spans="2:2" x14ac:dyDescent="0.2">
      <c r="B880" s="152"/>
    </row>
    <row r="881" spans="2:2" x14ac:dyDescent="0.2">
      <c r="B881" s="152"/>
    </row>
    <row r="882" spans="2:2" x14ac:dyDescent="0.2">
      <c r="B882" s="152"/>
    </row>
    <row r="883" spans="2:2" x14ac:dyDescent="0.2">
      <c r="B883" s="152"/>
    </row>
    <row r="884" spans="2:2" x14ac:dyDescent="0.2">
      <c r="B884" s="152"/>
    </row>
    <row r="885" spans="2:2" x14ac:dyDescent="0.2">
      <c r="B885" s="152"/>
    </row>
    <row r="886" spans="2:2" x14ac:dyDescent="0.2">
      <c r="B886" s="152"/>
    </row>
    <row r="887" spans="2:2" x14ac:dyDescent="0.2">
      <c r="B887" s="152"/>
    </row>
    <row r="888" spans="2:2" x14ac:dyDescent="0.2">
      <c r="B888" s="152"/>
    </row>
    <row r="889" spans="2:2" x14ac:dyDescent="0.2">
      <c r="B889" s="152"/>
    </row>
    <row r="890" spans="2:2" x14ac:dyDescent="0.2">
      <c r="B890" s="152"/>
    </row>
    <row r="891" spans="2:2" x14ac:dyDescent="0.2">
      <c r="B891" s="152"/>
    </row>
    <row r="892" spans="2:2" x14ac:dyDescent="0.2">
      <c r="B892" s="152"/>
    </row>
    <row r="893" spans="2:2" x14ac:dyDescent="0.2">
      <c r="B893" s="152"/>
    </row>
    <row r="894" spans="2:2" x14ac:dyDescent="0.2">
      <c r="B894" s="152"/>
    </row>
    <row r="895" spans="2:2" x14ac:dyDescent="0.2">
      <c r="B895" s="152"/>
    </row>
    <row r="896" spans="2:2" x14ac:dyDescent="0.2">
      <c r="B896" s="152"/>
    </row>
    <row r="897" spans="2:2" x14ac:dyDescent="0.2">
      <c r="B897" s="152"/>
    </row>
    <row r="898" spans="2:2" x14ac:dyDescent="0.2">
      <c r="B898" s="152"/>
    </row>
    <row r="899" spans="2:2" x14ac:dyDescent="0.2">
      <c r="B899" s="152"/>
    </row>
    <row r="900" spans="2:2" x14ac:dyDescent="0.2">
      <c r="B900" s="152"/>
    </row>
    <row r="901" spans="2:2" x14ac:dyDescent="0.2">
      <c r="B901" s="152"/>
    </row>
    <row r="902" spans="2:2" x14ac:dyDescent="0.2">
      <c r="B902" s="152"/>
    </row>
    <row r="903" spans="2:2" x14ac:dyDescent="0.2">
      <c r="B903" s="152"/>
    </row>
    <row r="904" spans="2:2" x14ac:dyDescent="0.2">
      <c r="B904" s="152"/>
    </row>
    <row r="905" spans="2:2" x14ac:dyDescent="0.2">
      <c r="B905" s="152"/>
    </row>
    <row r="906" spans="2:2" x14ac:dyDescent="0.2">
      <c r="B906" s="152"/>
    </row>
    <row r="907" spans="2:2" x14ac:dyDescent="0.2">
      <c r="B907" s="152"/>
    </row>
    <row r="908" spans="2:2" x14ac:dyDescent="0.2">
      <c r="B908" s="152"/>
    </row>
    <row r="909" spans="2:2" x14ac:dyDescent="0.2">
      <c r="B909" s="152"/>
    </row>
    <row r="910" spans="2:2" x14ac:dyDescent="0.2">
      <c r="B910" s="152"/>
    </row>
    <row r="911" spans="2:2" x14ac:dyDescent="0.2">
      <c r="B911" s="152"/>
    </row>
    <row r="912" spans="2:2" x14ac:dyDescent="0.2">
      <c r="B912" s="152"/>
    </row>
    <row r="913" spans="2:2" x14ac:dyDescent="0.2">
      <c r="B913" s="152"/>
    </row>
    <row r="914" spans="2:2" x14ac:dyDescent="0.2">
      <c r="B914" s="152"/>
    </row>
    <row r="915" spans="2:2" x14ac:dyDescent="0.2">
      <c r="B915" s="152"/>
    </row>
    <row r="916" spans="2:2" x14ac:dyDescent="0.2">
      <c r="B916" s="152"/>
    </row>
    <row r="917" spans="2:2" x14ac:dyDescent="0.2">
      <c r="B917" s="152"/>
    </row>
    <row r="918" spans="2:2" x14ac:dyDescent="0.2">
      <c r="B918" s="152"/>
    </row>
    <row r="919" spans="2:2" x14ac:dyDescent="0.2">
      <c r="B919" s="152"/>
    </row>
    <row r="920" spans="2:2" x14ac:dyDescent="0.2">
      <c r="B920" s="152"/>
    </row>
    <row r="921" spans="2:2" x14ac:dyDescent="0.2">
      <c r="B921" s="152"/>
    </row>
    <row r="922" spans="2:2" x14ac:dyDescent="0.2">
      <c r="B922" s="152"/>
    </row>
    <row r="923" spans="2:2" x14ac:dyDescent="0.2">
      <c r="B923" s="152"/>
    </row>
    <row r="924" spans="2:2" x14ac:dyDescent="0.2">
      <c r="B924" s="152"/>
    </row>
    <row r="925" spans="2:2" x14ac:dyDescent="0.2">
      <c r="B925" s="152"/>
    </row>
    <row r="926" spans="2:2" x14ac:dyDescent="0.2">
      <c r="B926" s="152"/>
    </row>
    <row r="927" spans="2:2" x14ac:dyDescent="0.2">
      <c r="B927" s="152"/>
    </row>
    <row r="928" spans="2:2" x14ac:dyDescent="0.2">
      <c r="B928" s="152"/>
    </row>
    <row r="929" spans="2:2" x14ac:dyDescent="0.2">
      <c r="B929" s="152"/>
    </row>
    <row r="930" spans="2:2" x14ac:dyDescent="0.2">
      <c r="B930" s="152"/>
    </row>
    <row r="931" spans="2:2" x14ac:dyDescent="0.2">
      <c r="B931" s="152"/>
    </row>
    <row r="932" spans="2:2" x14ac:dyDescent="0.2">
      <c r="B932" s="152"/>
    </row>
    <row r="933" spans="2:2" x14ac:dyDescent="0.2">
      <c r="B933" s="152"/>
    </row>
    <row r="934" spans="2:2" x14ac:dyDescent="0.2">
      <c r="B934" s="152"/>
    </row>
    <row r="935" spans="2:2" x14ac:dyDescent="0.2">
      <c r="B935" s="152"/>
    </row>
    <row r="936" spans="2:2" x14ac:dyDescent="0.2">
      <c r="B936" s="152"/>
    </row>
    <row r="937" spans="2:2" x14ac:dyDescent="0.2">
      <c r="B937" s="152"/>
    </row>
    <row r="938" spans="2:2" x14ac:dyDescent="0.2">
      <c r="B938" s="152"/>
    </row>
    <row r="939" spans="2:2" x14ac:dyDescent="0.2">
      <c r="B939" s="152"/>
    </row>
    <row r="940" spans="2:2" x14ac:dyDescent="0.2">
      <c r="B940" s="152"/>
    </row>
    <row r="941" spans="2:2" x14ac:dyDescent="0.2">
      <c r="B941" s="152"/>
    </row>
    <row r="942" spans="2:2" x14ac:dyDescent="0.2">
      <c r="B942" s="152"/>
    </row>
    <row r="943" spans="2:2" x14ac:dyDescent="0.2">
      <c r="B943" s="152"/>
    </row>
    <row r="944" spans="2:2" x14ac:dyDescent="0.2">
      <c r="B944" s="152"/>
    </row>
    <row r="945" spans="2:2" x14ac:dyDescent="0.2">
      <c r="B945" s="152"/>
    </row>
    <row r="946" spans="2:2" x14ac:dyDescent="0.2">
      <c r="B946" s="152"/>
    </row>
    <row r="947" spans="2:2" x14ac:dyDescent="0.2">
      <c r="B947" s="152"/>
    </row>
    <row r="948" spans="2:2" x14ac:dyDescent="0.2">
      <c r="B948" s="152"/>
    </row>
    <row r="949" spans="2:2" x14ac:dyDescent="0.2">
      <c r="B949" s="152"/>
    </row>
    <row r="950" spans="2:2" x14ac:dyDescent="0.2">
      <c r="B950" s="152"/>
    </row>
    <row r="951" spans="2:2" x14ac:dyDescent="0.2">
      <c r="B951" s="152"/>
    </row>
    <row r="952" spans="2:2" x14ac:dyDescent="0.2">
      <c r="B952" s="152"/>
    </row>
    <row r="953" spans="2:2" x14ac:dyDescent="0.2">
      <c r="B953" s="152"/>
    </row>
    <row r="954" spans="2:2" x14ac:dyDescent="0.2">
      <c r="B954" s="152"/>
    </row>
    <row r="955" spans="2:2" x14ac:dyDescent="0.2">
      <c r="B955" s="152"/>
    </row>
    <row r="956" spans="2:2" x14ac:dyDescent="0.2">
      <c r="B956" s="152"/>
    </row>
    <row r="957" spans="2:2" x14ac:dyDescent="0.2">
      <c r="B957" s="152"/>
    </row>
    <row r="958" spans="2:2" x14ac:dyDescent="0.2">
      <c r="B958" s="152"/>
    </row>
    <row r="959" spans="2:2" x14ac:dyDescent="0.2">
      <c r="B959" s="152"/>
    </row>
    <row r="960" spans="2:2" x14ac:dyDescent="0.2">
      <c r="B960" s="152"/>
    </row>
    <row r="961" spans="2:2" x14ac:dyDescent="0.2">
      <c r="B961" s="152"/>
    </row>
    <row r="962" spans="2:2" x14ac:dyDescent="0.2">
      <c r="B962" s="152"/>
    </row>
    <row r="963" spans="2:2" x14ac:dyDescent="0.2">
      <c r="B963" s="152"/>
    </row>
    <row r="964" spans="2:2" x14ac:dyDescent="0.2">
      <c r="B964" s="152"/>
    </row>
    <row r="965" spans="2:2" x14ac:dyDescent="0.2">
      <c r="B965" s="152"/>
    </row>
    <row r="966" spans="2:2" x14ac:dyDescent="0.2">
      <c r="B966" s="152"/>
    </row>
    <row r="967" spans="2:2" x14ac:dyDescent="0.2">
      <c r="B967" s="152"/>
    </row>
    <row r="968" spans="2:2" x14ac:dyDescent="0.2">
      <c r="B968" s="152"/>
    </row>
    <row r="969" spans="2:2" x14ac:dyDescent="0.2">
      <c r="B969" s="152"/>
    </row>
    <row r="970" spans="2:2" x14ac:dyDescent="0.2">
      <c r="B970" s="152"/>
    </row>
    <row r="971" spans="2:2" x14ac:dyDescent="0.2">
      <c r="B971" s="152"/>
    </row>
    <row r="972" spans="2:2" x14ac:dyDescent="0.2">
      <c r="B972" s="152"/>
    </row>
    <row r="973" spans="2:2" x14ac:dyDescent="0.2">
      <c r="B973" s="152"/>
    </row>
    <row r="974" spans="2:2" x14ac:dyDescent="0.2">
      <c r="B974" s="152"/>
    </row>
    <row r="975" spans="2:2" x14ac:dyDescent="0.2">
      <c r="B975" s="152"/>
    </row>
    <row r="976" spans="2:2" x14ac:dyDescent="0.2">
      <c r="B976" s="152"/>
    </row>
    <row r="977" spans="2:2" x14ac:dyDescent="0.2">
      <c r="B977" s="152"/>
    </row>
    <row r="978" spans="2:2" x14ac:dyDescent="0.2">
      <c r="B978" s="152"/>
    </row>
    <row r="979" spans="2:2" x14ac:dyDescent="0.2">
      <c r="B979" s="152"/>
    </row>
    <row r="980" spans="2:2" x14ac:dyDescent="0.2">
      <c r="B980" s="152"/>
    </row>
    <row r="981" spans="2:2" x14ac:dyDescent="0.2">
      <c r="B981" s="152"/>
    </row>
    <row r="982" spans="2:2" x14ac:dyDescent="0.2">
      <c r="B982" s="152"/>
    </row>
    <row r="983" spans="2:2" x14ac:dyDescent="0.2">
      <c r="B983" s="152"/>
    </row>
    <row r="984" spans="2:2" x14ac:dyDescent="0.2">
      <c r="B984" s="152"/>
    </row>
    <row r="985" spans="2:2" x14ac:dyDescent="0.2">
      <c r="B985" s="152"/>
    </row>
    <row r="986" spans="2:2" x14ac:dyDescent="0.2">
      <c r="B986" s="152"/>
    </row>
    <row r="987" spans="2:2" x14ac:dyDescent="0.2">
      <c r="B987" s="152"/>
    </row>
    <row r="988" spans="2:2" x14ac:dyDescent="0.2">
      <c r="B988" s="152"/>
    </row>
    <row r="989" spans="2:2" x14ac:dyDescent="0.2">
      <c r="B989" s="152"/>
    </row>
    <row r="990" spans="2:2" x14ac:dyDescent="0.2">
      <c r="B990" s="152"/>
    </row>
    <row r="991" spans="2:2" x14ac:dyDescent="0.2">
      <c r="B991" s="152"/>
    </row>
    <row r="992" spans="2:2" x14ac:dyDescent="0.2">
      <c r="B992" s="152"/>
    </row>
    <row r="993" spans="2:2" x14ac:dyDescent="0.2">
      <c r="B993" s="152"/>
    </row>
    <row r="994" spans="2:2" x14ac:dyDescent="0.2">
      <c r="B994" s="152"/>
    </row>
    <row r="995" spans="2:2" x14ac:dyDescent="0.2">
      <c r="B995" s="152"/>
    </row>
    <row r="996" spans="2:2" x14ac:dyDescent="0.2">
      <c r="B996" s="152"/>
    </row>
    <row r="997" spans="2:2" x14ac:dyDescent="0.2">
      <c r="B997" s="152"/>
    </row>
    <row r="998" spans="2:2" x14ac:dyDescent="0.2">
      <c r="B998" s="152"/>
    </row>
    <row r="999" spans="2:2" x14ac:dyDescent="0.2">
      <c r="B999" s="152"/>
    </row>
    <row r="1000" spans="2:2" x14ac:dyDescent="0.2">
      <c r="B1000" s="152"/>
    </row>
    <row r="1001" spans="2:2" x14ac:dyDescent="0.2">
      <c r="B1001" s="152"/>
    </row>
    <row r="1002" spans="2:2" x14ac:dyDescent="0.2">
      <c r="B1002" s="152"/>
    </row>
    <row r="1003" spans="2:2" x14ac:dyDescent="0.2">
      <c r="B1003" s="152"/>
    </row>
  </sheetData>
  <conditionalFormatting sqref="B5:B7 B11:B12 B18:B108 B14:B16">
    <cfRule type="expression" dxfId="58" priority="7">
      <formula>IF(B5&lt;&gt;"",TRUE,FALSE)</formula>
    </cfRule>
  </conditionalFormatting>
  <conditionalFormatting sqref="B8">
    <cfRule type="expression" dxfId="57" priority="6">
      <formula>IF(B8&lt;&gt;"",TRUE,FALSE)</formula>
    </cfRule>
  </conditionalFormatting>
  <conditionalFormatting sqref="B17">
    <cfRule type="expression" dxfId="56" priority="4">
      <formula>IF(B17&lt;&gt;"",TRUE,FALSE)</formula>
    </cfRule>
  </conditionalFormatting>
  <conditionalFormatting sqref="B9">
    <cfRule type="expression" dxfId="55" priority="3">
      <formula>IF(B9&lt;&gt;"",TRUE,FALSE)</formula>
    </cfRule>
  </conditionalFormatting>
  <conditionalFormatting sqref="B10">
    <cfRule type="expression" dxfId="54" priority="2">
      <formula>IF(B10&lt;&gt;"",TRUE,FALSE)</formula>
    </cfRule>
  </conditionalFormatting>
  <conditionalFormatting sqref="B13">
    <cfRule type="expression" dxfId="53"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zoomScaleNormal="100" workbookViewId="0">
      <selection activeCell="O19" sqref="O19"/>
    </sheetView>
  </sheetViews>
  <sheetFormatPr defaultRowHeight="14.25" x14ac:dyDescent="0.2"/>
  <cols>
    <col min="57" max="57" width="0" hidden="1" customWidth="1"/>
  </cols>
  <sheetData>
    <row r="2" spans="1:9" ht="15" x14ac:dyDescent="0.25">
      <c r="A2" s="2" t="s">
        <v>879</v>
      </c>
    </row>
    <row r="3" spans="1:9" x14ac:dyDescent="0.2">
      <c r="A3" s="273" t="s">
        <v>1233</v>
      </c>
    </row>
    <row r="4" spans="1:9" x14ac:dyDescent="0.2">
      <c r="A4" s="8"/>
      <c r="B4" s="8"/>
      <c r="C4" s="8"/>
      <c r="D4" s="8"/>
      <c r="E4" s="8"/>
      <c r="F4" s="8"/>
      <c r="G4" s="8"/>
      <c r="H4" s="8"/>
      <c r="I4" s="8"/>
    </row>
    <row r="5" spans="1:9" ht="15" x14ac:dyDescent="0.25">
      <c r="A5" s="2" t="s">
        <v>27</v>
      </c>
      <c r="C5" s="407" t="s">
        <v>872</v>
      </c>
      <c r="D5" s="408"/>
      <c r="E5" s="408"/>
      <c r="F5" s="408"/>
      <c r="G5" s="409"/>
    </row>
    <row r="7" spans="1:9" ht="15" x14ac:dyDescent="0.25">
      <c r="A7" s="2" t="s">
        <v>28</v>
      </c>
      <c r="C7" s="407" t="s">
        <v>898</v>
      </c>
      <c r="D7" s="408"/>
      <c r="E7" s="408"/>
      <c r="F7" s="408"/>
      <c r="G7" s="409"/>
    </row>
    <row r="8" spans="1:9" x14ac:dyDescent="0.2">
      <c r="A8" s="8"/>
      <c r="B8" s="8"/>
      <c r="C8" s="8"/>
      <c r="D8" s="8"/>
      <c r="E8" s="8"/>
      <c r="F8" s="8"/>
      <c r="G8" s="8"/>
      <c r="H8" s="8"/>
      <c r="I8" s="8"/>
    </row>
    <row r="9" spans="1:9" x14ac:dyDescent="0.2">
      <c r="A9" s="3"/>
      <c r="B9" s="3"/>
      <c r="C9" s="3"/>
      <c r="D9" s="3"/>
      <c r="E9" s="3"/>
      <c r="F9" s="3"/>
      <c r="G9" s="3"/>
      <c r="H9" s="3"/>
      <c r="I9" s="3"/>
    </row>
    <row r="10" spans="1:9" ht="15" x14ac:dyDescent="0.25">
      <c r="A10" s="2" t="s">
        <v>51</v>
      </c>
      <c r="I10" s="4"/>
    </row>
    <row r="11" spans="1:9" x14ac:dyDescent="0.2">
      <c r="A11" s="399" t="s">
        <v>925</v>
      </c>
      <c r="B11" s="399"/>
      <c r="C11" s="399"/>
      <c r="D11" s="399"/>
      <c r="E11" s="399"/>
      <c r="F11" s="399"/>
      <c r="G11" s="399"/>
      <c r="H11" s="400"/>
      <c r="I11" s="209">
        <v>1</v>
      </c>
    </row>
    <row r="12" spans="1:9" x14ac:dyDescent="0.2">
      <c r="I12" s="4"/>
    </row>
    <row r="13" spans="1:9" ht="15" x14ac:dyDescent="0.25">
      <c r="A13" s="399" t="s">
        <v>424</v>
      </c>
      <c r="B13" s="399"/>
      <c r="C13" s="399"/>
      <c r="D13" s="399"/>
      <c r="E13" s="399"/>
      <c r="F13" s="399"/>
      <c r="G13" s="399"/>
      <c r="H13" s="400"/>
      <c r="I13" s="209" t="s">
        <v>22</v>
      </c>
    </row>
    <row r="14" spans="1:9" x14ac:dyDescent="0.2">
      <c r="I14" s="4"/>
    </row>
    <row r="15" spans="1:9" ht="15" x14ac:dyDescent="0.25">
      <c r="A15" s="399" t="s">
        <v>425</v>
      </c>
      <c r="B15" s="399"/>
      <c r="C15" s="399"/>
      <c r="D15" s="399"/>
      <c r="E15" s="399"/>
      <c r="F15" s="399"/>
      <c r="G15" s="399"/>
      <c r="H15" s="400"/>
      <c r="I15" s="209" t="s">
        <v>22</v>
      </c>
    </row>
    <row r="16" spans="1:9" x14ac:dyDescent="0.2">
      <c r="I16" s="4"/>
    </row>
    <row r="17" spans="1:9" x14ac:dyDescent="0.2">
      <c r="A17" s="399" t="s">
        <v>29</v>
      </c>
      <c r="B17" s="399"/>
      <c r="C17" s="399"/>
      <c r="D17" s="399"/>
      <c r="E17" s="399"/>
      <c r="F17" s="399"/>
      <c r="G17" s="399"/>
      <c r="H17" s="400"/>
      <c r="I17" s="209" t="s">
        <v>21</v>
      </c>
    </row>
    <row r="18" spans="1:9" x14ac:dyDescent="0.2">
      <c r="I18" s="4"/>
    </row>
    <row r="19" spans="1:9" x14ac:dyDescent="0.2">
      <c r="A19" s="399" t="s">
        <v>30</v>
      </c>
      <c r="B19" s="399"/>
      <c r="C19" s="399"/>
      <c r="D19" s="399"/>
      <c r="E19" s="399"/>
      <c r="F19" s="399"/>
      <c r="G19" s="399"/>
      <c r="H19" s="400"/>
      <c r="I19" s="209">
        <v>65</v>
      </c>
    </row>
    <row r="21" spans="1:9" x14ac:dyDescent="0.2">
      <c r="A21" t="s">
        <v>64</v>
      </c>
    </row>
    <row r="22" spans="1:9" x14ac:dyDescent="0.2">
      <c r="A22" s="141">
        <v>1</v>
      </c>
      <c r="B22" s="162" t="s">
        <v>58</v>
      </c>
    </row>
    <row r="23" spans="1:9" x14ac:dyDescent="0.2">
      <c r="A23" s="141">
        <v>2</v>
      </c>
      <c r="B23" s="162" t="s">
        <v>59</v>
      </c>
    </row>
    <row r="24" spans="1:9" x14ac:dyDescent="0.2">
      <c r="A24" s="141">
        <v>3</v>
      </c>
      <c r="B24" s="162" t="s">
        <v>60</v>
      </c>
    </row>
    <row r="26" spans="1:9" x14ac:dyDescent="0.2">
      <c r="G26" s="401" t="s">
        <v>926</v>
      </c>
      <c r="H26" s="402"/>
      <c r="I26" s="403"/>
    </row>
    <row r="27" spans="1:9" ht="19.5" customHeight="1" x14ac:dyDescent="0.2">
      <c r="A27" s="394" t="s">
        <v>31</v>
      </c>
      <c r="B27" s="395"/>
      <c r="C27" s="396" t="s">
        <v>1277</v>
      </c>
      <c r="D27" s="397"/>
      <c r="E27" s="397"/>
      <c r="F27" s="398"/>
      <c r="G27" s="404">
        <v>30</v>
      </c>
      <c r="H27" s="405"/>
      <c r="I27" s="406"/>
    </row>
    <row r="28" spans="1:9" ht="19.5" hidden="1" customHeight="1" x14ac:dyDescent="0.2">
      <c r="A28" s="394" t="s">
        <v>33</v>
      </c>
      <c r="B28" s="395"/>
      <c r="C28" s="396" t="s">
        <v>1278</v>
      </c>
      <c r="D28" s="397"/>
      <c r="E28" s="397"/>
      <c r="F28" s="398"/>
      <c r="G28" s="404">
        <v>30</v>
      </c>
      <c r="H28" s="405"/>
      <c r="I28" s="406"/>
    </row>
    <row r="29" spans="1:9" ht="19.5" hidden="1" customHeight="1" x14ac:dyDescent="0.2">
      <c r="A29" s="394" t="s">
        <v>35</v>
      </c>
      <c r="B29" s="395"/>
      <c r="C29" s="396" t="s">
        <v>1279</v>
      </c>
      <c r="D29" s="397"/>
      <c r="E29" s="397"/>
      <c r="F29" s="398"/>
      <c r="G29" s="404">
        <v>20</v>
      </c>
      <c r="H29" s="405"/>
      <c r="I29" s="406"/>
    </row>
    <row r="30" spans="1:9" ht="19.5" hidden="1" customHeight="1" x14ac:dyDescent="0.2">
      <c r="A30" s="394" t="s">
        <v>37</v>
      </c>
      <c r="B30" s="395"/>
      <c r="C30" s="396" t="s">
        <v>38</v>
      </c>
      <c r="D30" s="397"/>
      <c r="E30" s="397"/>
      <c r="F30" s="398"/>
      <c r="G30" s="404">
        <v>2</v>
      </c>
      <c r="H30" s="405"/>
      <c r="I30" s="406"/>
    </row>
    <row r="31" spans="1:9" ht="19.5" hidden="1" customHeight="1" x14ac:dyDescent="0.2">
      <c r="A31" s="394" t="s">
        <v>39</v>
      </c>
      <c r="B31" s="395"/>
      <c r="C31" s="396" t="s">
        <v>40</v>
      </c>
      <c r="D31" s="397"/>
      <c r="E31" s="397"/>
      <c r="F31" s="398"/>
      <c r="G31" s="404">
        <v>4</v>
      </c>
      <c r="H31" s="405"/>
      <c r="I31" s="406"/>
    </row>
    <row r="32" spans="1:9" ht="19.5" hidden="1" customHeight="1" x14ac:dyDescent="0.2">
      <c r="A32" s="394" t="s">
        <v>41</v>
      </c>
      <c r="B32" s="395"/>
      <c r="C32" s="396" t="s">
        <v>42</v>
      </c>
      <c r="D32" s="397"/>
      <c r="E32" s="397"/>
      <c r="F32" s="398"/>
      <c r="G32" s="404">
        <v>8</v>
      </c>
      <c r="H32" s="405"/>
      <c r="I32" s="406"/>
    </row>
    <row r="33" spans="1:9" ht="19.5" hidden="1" customHeight="1" x14ac:dyDescent="0.2">
      <c r="A33" s="394" t="s">
        <v>43</v>
      </c>
      <c r="B33" s="395"/>
      <c r="C33" s="396" t="s">
        <v>44</v>
      </c>
      <c r="D33" s="397"/>
      <c r="E33" s="397"/>
      <c r="F33" s="398"/>
      <c r="G33" s="404">
        <v>16</v>
      </c>
      <c r="H33" s="405"/>
      <c r="I33" s="406"/>
    </row>
    <row r="34" spans="1:9" ht="19.5" hidden="1" customHeight="1" x14ac:dyDescent="0.2">
      <c r="A34" s="394" t="s">
        <v>45</v>
      </c>
      <c r="B34" s="395"/>
      <c r="C34" s="396" t="s">
        <v>46</v>
      </c>
      <c r="D34" s="397"/>
      <c r="E34" s="397"/>
      <c r="F34" s="398"/>
      <c r="G34" s="404">
        <v>32</v>
      </c>
      <c r="H34" s="405"/>
      <c r="I34" s="406"/>
    </row>
    <row r="35" spans="1:9" ht="19.5" hidden="1" customHeight="1" x14ac:dyDescent="0.2">
      <c r="A35" s="394" t="s">
        <v>47</v>
      </c>
      <c r="B35" s="395"/>
      <c r="C35" s="396" t="s">
        <v>48</v>
      </c>
      <c r="D35" s="397"/>
      <c r="E35" s="397"/>
      <c r="F35" s="398"/>
      <c r="G35" s="404">
        <v>64</v>
      </c>
      <c r="H35" s="405"/>
      <c r="I35" s="406"/>
    </row>
    <row r="36" spans="1:9" ht="19.5" hidden="1" customHeight="1" x14ac:dyDescent="0.2">
      <c r="A36" s="394" t="s">
        <v>49</v>
      </c>
      <c r="B36" s="395"/>
      <c r="C36" s="396" t="s">
        <v>50</v>
      </c>
      <c r="D36" s="397"/>
      <c r="E36" s="397"/>
      <c r="F36" s="398"/>
      <c r="G36" s="404">
        <v>128</v>
      </c>
      <c r="H36" s="405"/>
      <c r="I36" s="406"/>
    </row>
  </sheetData>
  <sheetProtection algorithmName="SHA-512" hashValue="fAIPqm0vN68hV3hKcRUemrJVUrPV8ixLqYGyNQG6+2SX7Y7azvxbns3yi8g6hUpuh+4NXaODepDywD5giGhcyA==" saltValue="QCV2ak7BK0oRY2KLczD4nQ==" spinCount="100000" sheet="1" objects="1" scenarios="1"/>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400050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BC10" sqref="BC10:BC12"/>
    </sheetView>
  </sheetViews>
  <sheetFormatPr defaultRowHeight="14.25" x14ac:dyDescent="0.2"/>
  <cols>
    <col min="1" max="1" width="9" hidden="1" customWidth="1"/>
    <col min="2" max="2" width="15.5" customWidth="1"/>
    <col min="3" max="3" width="14.125" bestFit="1" customWidth="1"/>
    <col min="4" max="4" width="15.75" hidden="1" customWidth="1"/>
    <col min="5" max="7" width="10.625" customWidth="1"/>
    <col min="8" max="53" width="10.625" hidden="1" customWidth="1"/>
    <col min="54" max="54" width="9" hidden="1" customWidth="1"/>
    <col min="55" max="56" width="9.125" customWidth="1"/>
    <col min="59" max="59" width="9.75" bestFit="1" customWidth="1"/>
  </cols>
  <sheetData>
    <row r="1" spans="1:57" x14ac:dyDescent="0.2">
      <c r="A1" t="s">
        <v>53</v>
      </c>
    </row>
    <row r="2" spans="1:57" x14ac:dyDescent="0.2">
      <c r="B2" t="s">
        <v>103</v>
      </c>
    </row>
    <row r="3" spans="1:57" x14ac:dyDescent="0.2">
      <c r="A3" t="s">
        <v>55</v>
      </c>
      <c r="B3" t="s">
        <v>112</v>
      </c>
    </row>
    <row r="5" spans="1:57" x14ac:dyDescent="0.2">
      <c r="A5" t="s">
        <v>54</v>
      </c>
    </row>
    <row r="6" spans="1:57" x14ac:dyDescent="0.2">
      <c r="A6">
        <f ca="1">IF(LEFT($C$8,1)="H",MAX(A13:A272),MAX(MAX(A13:A272),52))</f>
        <v>1</v>
      </c>
      <c r="B6" t="s">
        <v>1204</v>
      </c>
      <c r="C6" s="331"/>
      <c r="K6" s="72"/>
    </row>
    <row r="7" spans="1:57" ht="14.25" hidden="1" customHeight="1" x14ac:dyDescent="0.2">
      <c r="B7" t="s">
        <v>1176</v>
      </c>
      <c r="C7" s="162">
        <v>4</v>
      </c>
    </row>
    <row r="8" spans="1:57" x14ac:dyDescent="0.2">
      <c r="B8" t="s">
        <v>1177</v>
      </c>
      <c r="C8" s="333" t="s">
        <v>1299</v>
      </c>
    </row>
    <row r="9" spans="1:57" x14ac:dyDescent="0.2">
      <c r="B9" s="339" t="str">
        <f>IF(LEFT(C8,1)="M","Note: SPC Chart is disabled when using your own forecast.","")</f>
        <v/>
      </c>
    </row>
    <row r="10" spans="1:57" ht="13.9" customHeight="1" x14ac:dyDescent="0.2">
      <c r="B10" s="413" t="s">
        <v>128</v>
      </c>
      <c r="C10" s="413" t="s">
        <v>56</v>
      </c>
      <c r="D10" s="410" t="s">
        <v>1205</v>
      </c>
      <c r="E10" s="266" t="str">
        <f ca="1">OFFSET('Control sheet (hide)'!$AA$3,QUOTIENT(COLUMN(Demand!E9)-4,5),0,1,1)</f>
        <v>Test name 1</v>
      </c>
      <c r="F10" s="266"/>
      <c r="G10" s="266"/>
      <c r="H10" s="266"/>
      <c r="I10" s="266"/>
      <c r="J10" s="266" t="str">
        <f ca="1">OFFSET('Control sheet (hide)'!$AA$3,QUOTIENT(COLUMN(Demand!J9)-4,5),0,1,1)</f>
        <v>Test name 2</v>
      </c>
      <c r="K10" s="266"/>
      <c r="L10" s="266"/>
      <c r="M10" s="266"/>
      <c r="N10" s="266"/>
      <c r="O10" s="266" t="str">
        <f ca="1">OFFSET('Control sheet (hide)'!$AA$3,QUOTIENT(COLUMN(Demand!O9)-4,5),0,1,1)</f>
        <v>Another modality</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410" t="str">
        <f>"Total"&amp;IF(Setup!$I$17&lt;&gt;"Patients","
(Patients)","")</f>
        <v>Total
(Patients)</v>
      </c>
      <c r="BD10" s="410" t="str">
        <f>"Total
("&amp;Setup!$I$17&amp;")"</f>
        <v>Total
(Minutes)</v>
      </c>
      <c r="BE10" s="410" t="s">
        <v>111</v>
      </c>
    </row>
    <row r="11" spans="1:57" ht="14.25" customHeight="1" x14ac:dyDescent="0.2">
      <c r="B11" s="413"/>
      <c r="C11" s="413"/>
      <c r="D11" s="410"/>
      <c r="E11" s="6" t="str">
        <f>IF(Setup!$I$17&lt;&gt;"Patients",Setup!$I$17&amp;":","")</f>
        <v>Minutes:</v>
      </c>
      <c r="F11" s="340">
        <v>30</v>
      </c>
      <c r="G11" s="6"/>
      <c r="H11" s="6"/>
      <c r="I11" s="6"/>
      <c r="J11" s="6" t="str">
        <f>IF(Setup!$I$17&lt;&gt;"Patients",Setup!$I$17&amp;":","")</f>
        <v>Minutes:</v>
      </c>
      <c r="K11" s="340">
        <v>40</v>
      </c>
      <c r="L11" s="6"/>
      <c r="M11" s="6"/>
      <c r="N11" s="6"/>
      <c r="O11" s="6" t="str">
        <f>IF(Setup!$I$17&lt;&gt;"Patients",Setup!$I$17&amp;":","")</f>
        <v>Minutes:</v>
      </c>
      <c r="P11" s="340">
        <v>1</v>
      </c>
      <c r="Q11" s="6"/>
      <c r="R11" s="6"/>
      <c r="S11" s="6"/>
      <c r="T11" s="6" t="str">
        <f>IF(Setup!$I$17&lt;&gt;"Patients",Setup!$I$17&amp;":","")</f>
        <v>Minutes:</v>
      </c>
      <c r="U11" s="340">
        <v>1</v>
      </c>
      <c r="V11" s="6"/>
      <c r="W11" s="6"/>
      <c r="X11" s="6"/>
      <c r="Y11" s="6" t="str">
        <f>IF(Setup!$I$17&lt;&gt;"Patients",Setup!$I$17&amp;":","")</f>
        <v>Minutes:</v>
      </c>
      <c r="Z11" s="340">
        <v>1</v>
      </c>
      <c r="AA11" s="6"/>
      <c r="AB11" s="6"/>
      <c r="AC11" s="6"/>
      <c r="AD11" s="6" t="str">
        <f>IF(Setup!$I$17&lt;&gt;"Patients",Setup!$I$17&amp;":","")</f>
        <v>Minutes:</v>
      </c>
      <c r="AE11" s="340">
        <v>1</v>
      </c>
      <c r="AF11" s="6"/>
      <c r="AG11" s="6"/>
      <c r="AH11" s="6"/>
      <c r="AI11" s="6" t="str">
        <f>IF(Setup!$I$17&lt;&gt;"Patients",Setup!$I$17&amp;":","")</f>
        <v>Minutes:</v>
      </c>
      <c r="AJ11" s="340">
        <v>1</v>
      </c>
      <c r="AK11" s="6"/>
      <c r="AL11" s="6"/>
      <c r="AM11" s="6"/>
      <c r="AN11" s="6" t="str">
        <f>IF(Setup!$I$17&lt;&gt;"Patients",Setup!$I$17&amp;":","")</f>
        <v>Minutes:</v>
      </c>
      <c r="AO11" s="340">
        <v>1</v>
      </c>
      <c r="AP11" s="6"/>
      <c r="AQ11" s="6"/>
      <c r="AR11" s="6"/>
      <c r="AS11" s="6" t="str">
        <f>IF(Setup!$I$17&lt;&gt;"Patients",Setup!$I$17&amp;":","")</f>
        <v>Minutes:</v>
      </c>
      <c r="AT11" s="340">
        <v>1</v>
      </c>
      <c r="AU11" s="6"/>
      <c r="AV11" s="6"/>
      <c r="AW11" s="6"/>
      <c r="AX11" s="6" t="str">
        <f>IF(Setup!$I$17&lt;&gt;"Patients",Setup!$I$17&amp;":","")</f>
        <v>Minutes:</v>
      </c>
      <c r="AY11" s="340">
        <v>1</v>
      </c>
      <c r="AZ11" s="6"/>
      <c r="BA11" s="6"/>
      <c r="BB11" s="6"/>
      <c r="BC11" s="410"/>
      <c r="BD11" s="410"/>
      <c r="BE11" s="410"/>
    </row>
    <row r="12" spans="1:57" ht="15" thickBot="1" x14ac:dyDescent="0.25">
      <c r="B12" s="413"/>
      <c r="C12" s="414"/>
      <c r="D12" s="412"/>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411"/>
      <c r="BD12" s="411"/>
      <c r="BE12" s="411"/>
    </row>
    <row r="13" spans="1:57" ht="15" x14ac:dyDescent="0.25">
      <c r="A13">
        <v>1</v>
      </c>
      <c r="B13" s="259">
        <f>IF(C6&lt;&gt;"",YEAR(D13),1)</f>
        <v>1</v>
      </c>
      <c r="C13" s="260">
        <f>IF(C$6&lt;&gt;"",WEEKNUM($C$6, 21),1)</f>
        <v>1</v>
      </c>
      <c r="D13" s="260" t="str">
        <f>IF($C$6&lt;&gt;"",$C$6-WEEKDAY($C$6,3),"")</f>
        <v/>
      </c>
      <c r="E13" s="179"/>
      <c r="F13" s="180"/>
      <c r="G13" s="181"/>
      <c r="H13" s="182"/>
      <c r="I13" s="247" t="str">
        <f>IF(COUNTBLANK(E13:H13)=4,"",SUM(E13:G13)+IF(Setup!$I$15="No",0,H13))</f>
        <v/>
      </c>
      <c r="J13" s="193"/>
      <c r="K13" s="194"/>
      <c r="L13" s="195"/>
      <c r="M13" s="196"/>
      <c r="N13" s="251" t="str">
        <f>IF(COUNTBLANK(J13:M13)=4,"",SUM(J13:L13)+IF(Setup!$I$15="No",0,M13))</f>
        <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t="str">
        <f ca="1">IF('Demand background (hide)'!A4=Num_Modalities,"",SUM(Demand!I13))</f>
        <v/>
      </c>
      <c r="BD13" s="255">
        <f ca="1">IF(AND(A13&lt;=MaxRows,BE13&lt;&gt;"Yes"),'Demand background (hide)'!X4+IF(Setup!$I$15="Yes",'Demand background (hide)'!AJ4,0),"")</f>
        <v>0</v>
      </c>
      <c r="BE13" s="205"/>
    </row>
    <row r="14" spans="1:57" ht="15" x14ac:dyDescent="0.25">
      <c r="A14" t="str">
        <f t="shared" ref="A14:A76" ca="1" si="0">IF(BC14&lt;&gt;"",ROW(A2),"")</f>
        <v/>
      </c>
      <c r="B14" s="259" t="str">
        <f t="shared" ref="B14:B77" ca="1" si="1">IF(A14&lt;=MaxRows,IF($C$6&lt;&gt;"",IF(YEAR(D14)&lt;&gt;YEAR(D13),YEAR(D14)," "),IF(C14&lt;&gt;1,"",OFFSET(B14,-C13,0,1,1)+1))," ")</f>
        <v xml:space="preserve"> </v>
      </c>
      <c r="C14" s="261" t="str">
        <f t="shared" ref="C14:C77" ca="1" si="2">IF(ROW(A2)&lt;=MaxRows,IF($C$6&lt;&gt;"",WEEKNUM(D14,21),IF(MOD((C13+1),52)&gt;0,MOD((C13+1),52),52)),"")</f>
        <v/>
      </c>
      <c r="D14" s="261" t="str">
        <f t="shared" ref="D14:D77" ca="1" si="3">IF(OR(AND(ROW(A2)&lt;=MaxRows,$C$6&lt;&gt;""),AND(ROW(A14)&lt;=64,LEFT($C$8,1)&lt;&gt;"H")),D13+7,"")</f>
        <v/>
      </c>
      <c r="E14" s="183"/>
      <c r="F14" s="184"/>
      <c r="G14" s="185"/>
      <c r="H14" s="186"/>
      <c r="I14" s="248" t="str">
        <f>IF(COUNTBLANK(E14:H14)=4,"",SUM(E14:G14)+IF(Setup!$I$15="No",0,H14))</f>
        <v/>
      </c>
      <c r="J14" s="197"/>
      <c r="K14" s="198"/>
      <c r="L14" s="199"/>
      <c r="M14" s="200"/>
      <c r="N14" s="252" t="str">
        <f>IF(COUNTBLANK(J14:M14)=4,"",SUM(J14:L14)+IF(Setup!$I$15="No",0,M14))</f>
        <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t="str">
        <f ca="1">IF('Demand background (hide)'!A5=Num_Modalities,"",SUM(Demand!I14))</f>
        <v/>
      </c>
      <c r="BD14" s="256" t="str">
        <f ca="1">IF(AND(A14&lt;=MaxRows,BE14&lt;&gt;"Yes"),'Demand background (hide)'!X5+IF(Setup!$I$15="Yes",'Demand background (hide)'!AJ5,0),"")</f>
        <v/>
      </c>
      <c r="BE14" s="206"/>
    </row>
    <row r="15" spans="1:57" ht="15" x14ac:dyDescent="0.25">
      <c r="A15" t="str">
        <f t="shared" ca="1" si="0"/>
        <v/>
      </c>
      <c r="B15" s="259" t="str">
        <f t="shared" ca="1" si="1"/>
        <v xml:space="preserve"> </v>
      </c>
      <c r="C15" s="261" t="str">
        <f t="shared" ca="1" si="2"/>
        <v/>
      </c>
      <c r="D15" s="261" t="str">
        <f t="shared" ca="1" si="3"/>
        <v/>
      </c>
      <c r="E15" s="183"/>
      <c r="F15" s="184"/>
      <c r="G15" s="185"/>
      <c r="H15" s="186"/>
      <c r="I15" s="248" t="str">
        <f>IF(COUNTBLANK(E15:H15)=4,"",SUM(E15:G15)+IF(Setup!$I$15="No",0,H15))</f>
        <v/>
      </c>
      <c r="J15" s="197"/>
      <c r="K15" s="198"/>
      <c r="L15" s="199"/>
      <c r="M15" s="200"/>
      <c r="N15" s="252" t="str">
        <f>IF(COUNTBLANK(J15:M15)=4,"",SUM(J15:L15)+IF(Setup!$I$15="No",0,M15))</f>
        <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t="str">
        <f ca="1">IF('Demand background (hide)'!A6=Num_Modalities,"",SUM(Demand!I15))</f>
        <v/>
      </c>
      <c r="BD15" s="256" t="str">
        <f ca="1">IF(AND(A15&lt;=MaxRows,BE15&lt;&gt;"Yes"),'Demand background (hide)'!X6+IF(Setup!$I$15="Yes",'Demand background (hide)'!AJ6,0),"")</f>
        <v/>
      </c>
      <c r="BE15" s="206"/>
    </row>
    <row r="16" spans="1:57" ht="15" x14ac:dyDescent="0.25">
      <c r="A16" t="str">
        <f t="shared" ca="1" si="0"/>
        <v/>
      </c>
      <c r="B16" s="259" t="str">
        <f t="shared" ca="1" si="1"/>
        <v xml:space="preserve"> </v>
      </c>
      <c r="C16" s="261" t="str">
        <f t="shared" ca="1" si="2"/>
        <v/>
      </c>
      <c r="D16" s="261" t="str">
        <f t="shared" ca="1" si="3"/>
        <v/>
      </c>
      <c r="E16" s="183"/>
      <c r="F16" s="184"/>
      <c r="G16" s="185"/>
      <c r="H16" s="186"/>
      <c r="I16" s="248" t="str">
        <f>IF(COUNTBLANK(E16:H16)=4,"",SUM(E16:G16)+IF(Setup!$I$15="No",0,H16))</f>
        <v/>
      </c>
      <c r="J16" s="197"/>
      <c r="K16" s="198"/>
      <c r="L16" s="199"/>
      <c r="M16" s="200"/>
      <c r="N16" s="252" t="str">
        <f>IF(COUNTBLANK(J16:M16)=4,"",SUM(J16:L16)+IF(Setup!$I$15="No",0,M16))</f>
        <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t="str">
        <f ca="1">IF('Demand background (hide)'!A7=Num_Modalities,"",SUM(Demand!I16))</f>
        <v/>
      </c>
      <c r="BD16" s="256" t="str">
        <f ca="1">IF(AND(A16&lt;=MaxRows,BE16&lt;&gt;"Yes"),'Demand background (hide)'!X7+IF(Setup!$I$15="Yes",'Demand background (hide)'!AJ7,0),"")</f>
        <v/>
      </c>
      <c r="BE16" s="206"/>
    </row>
    <row r="17" spans="1:57" ht="15" x14ac:dyDescent="0.25">
      <c r="A17" t="str">
        <f t="shared" ca="1" si="0"/>
        <v/>
      </c>
      <c r="B17" s="259" t="str">
        <f t="shared" ca="1" si="1"/>
        <v xml:space="preserve"> </v>
      </c>
      <c r="C17" s="261" t="str">
        <f t="shared" ca="1" si="2"/>
        <v/>
      </c>
      <c r="D17" s="261" t="str">
        <f t="shared" ca="1" si="3"/>
        <v/>
      </c>
      <c r="E17" s="183"/>
      <c r="F17" s="184"/>
      <c r="G17" s="185"/>
      <c r="H17" s="186"/>
      <c r="I17" s="248" t="str">
        <f>IF(COUNTBLANK(E17:H17)=4,"",SUM(E17:G17)+IF(Setup!$I$15="No",0,H17))</f>
        <v/>
      </c>
      <c r="J17" s="197"/>
      <c r="K17" s="198"/>
      <c r="L17" s="199"/>
      <c r="M17" s="200"/>
      <c r="N17" s="252" t="str">
        <f>IF(COUNTBLANK(J17:M17)=4,"",SUM(J17:L17)+IF(Setup!$I$15="No",0,M17))</f>
        <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t="str">
        <f ca="1">IF('Demand background (hide)'!A8=Num_Modalities,"",SUM(Demand!I17))</f>
        <v/>
      </c>
      <c r="BD17" s="256" t="str">
        <f ca="1">IF(AND(A17&lt;=MaxRows,BE17&lt;&gt;"Yes"),'Demand background (hide)'!X8+IF(Setup!$I$15="Yes",'Demand background (hide)'!AJ8,0),"")</f>
        <v/>
      </c>
      <c r="BE17" s="206"/>
    </row>
    <row r="18" spans="1:57" ht="15" x14ac:dyDescent="0.25">
      <c r="A18" t="str">
        <f t="shared" ca="1" si="0"/>
        <v/>
      </c>
      <c r="B18" s="259" t="str">
        <f t="shared" ca="1" si="1"/>
        <v xml:space="preserve"> </v>
      </c>
      <c r="C18" s="261" t="str">
        <f t="shared" ca="1" si="2"/>
        <v/>
      </c>
      <c r="D18" s="261" t="str">
        <f t="shared" ca="1" si="3"/>
        <v/>
      </c>
      <c r="E18" s="183"/>
      <c r="F18" s="184"/>
      <c r="G18" s="185"/>
      <c r="H18" s="186"/>
      <c r="I18" s="248" t="str">
        <f>IF(COUNTBLANK(E18:H18)=4,"",SUM(E18:G18)+IF(Setup!$I$15="No",0,H18))</f>
        <v/>
      </c>
      <c r="J18" s="197"/>
      <c r="K18" s="198"/>
      <c r="L18" s="199"/>
      <c r="M18" s="200"/>
      <c r="N18" s="252" t="str">
        <f>IF(COUNTBLANK(J18:M18)=4,"",SUM(J18:L18)+IF(Setup!$I$15="No",0,M18))</f>
        <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t="str">
        <f ca="1">IF('Demand background (hide)'!A9=Num_Modalities,"",SUM(Demand!I18))</f>
        <v/>
      </c>
      <c r="BD18" s="256" t="str">
        <f ca="1">IF(AND(A18&lt;=MaxRows,BE18&lt;&gt;"Yes"),'Demand background (hide)'!X9+IF(Setup!$I$15="Yes",'Demand background (hide)'!AJ9,0),"")</f>
        <v/>
      </c>
      <c r="BE18" s="206"/>
    </row>
    <row r="19" spans="1:57" ht="15" x14ac:dyDescent="0.25">
      <c r="A19" t="str">
        <f t="shared" ca="1" si="0"/>
        <v/>
      </c>
      <c r="B19" s="259" t="str">
        <f t="shared" ca="1" si="1"/>
        <v xml:space="preserve"> </v>
      </c>
      <c r="C19" s="261" t="str">
        <f t="shared" ca="1" si="2"/>
        <v/>
      </c>
      <c r="D19" s="261" t="str">
        <f t="shared" ca="1" si="3"/>
        <v/>
      </c>
      <c r="E19" s="183"/>
      <c r="F19" s="184"/>
      <c r="G19" s="185"/>
      <c r="H19" s="186"/>
      <c r="I19" s="248" t="str">
        <f>IF(COUNTBLANK(E19:H19)=4,"",SUM(E19:G19)+IF(Setup!$I$15="No",0,H19))</f>
        <v/>
      </c>
      <c r="J19" s="197"/>
      <c r="K19" s="198"/>
      <c r="L19" s="199"/>
      <c r="M19" s="200"/>
      <c r="N19" s="252" t="str">
        <f>IF(COUNTBLANK(J19:M19)=4,"",SUM(J19:L19)+IF(Setup!$I$15="No",0,M19))</f>
        <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t="str">
        <f ca="1">IF('Demand background (hide)'!A10=Num_Modalities,"",SUM(Demand!I19))</f>
        <v/>
      </c>
      <c r="BD19" s="256" t="str">
        <f ca="1">IF(AND(A19&lt;=MaxRows,BE19&lt;&gt;"Yes"),'Demand background (hide)'!X10+IF(Setup!$I$15="Yes",'Demand background (hide)'!AJ10,0),"")</f>
        <v/>
      </c>
      <c r="BE19" s="206"/>
    </row>
    <row r="20" spans="1:57" ht="15" x14ac:dyDescent="0.25">
      <c r="A20" t="str">
        <f t="shared" ca="1" si="0"/>
        <v/>
      </c>
      <c r="B20" s="259" t="str">
        <f t="shared" ca="1" si="1"/>
        <v xml:space="preserve"> </v>
      </c>
      <c r="C20" s="261" t="str">
        <f t="shared" ca="1" si="2"/>
        <v/>
      </c>
      <c r="D20" s="261" t="str">
        <f t="shared" ca="1" si="3"/>
        <v/>
      </c>
      <c r="E20" s="183"/>
      <c r="F20" s="184"/>
      <c r="G20" s="185"/>
      <c r="H20" s="186"/>
      <c r="I20" s="248" t="str">
        <f>IF(COUNTBLANK(E20:H20)=4,"",SUM(E20:G20)+IF(Setup!$I$15="No",0,H20))</f>
        <v/>
      </c>
      <c r="J20" s="197"/>
      <c r="K20" s="198"/>
      <c r="L20" s="199"/>
      <c r="M20" s="200"/>
      <c r="N20" s="252" t="str">
        <f>IF(COUNTBLANK(J20:M20)=4,"",SUM(J20:L20)+IF(Setup!$I$15="No",0,M20))</f>
        <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t="str">
        <f ca="1">IF('Demand background (hide)'!A11=Num_Modalities,"",SUM(Demand!I20))</f>
        <v/>
      </c>
      <c r="BD20" s="256" t="str">
        <f ca="1">IF(AND(A20&lt;=MaxRows,BE20&lt;&gt;"Yes"),'Demand background (hide)'!X11+IF(Setup!$I$15="Yes",'Demand background (hide)'!AJ11,0),"")</f>
        <v/>
      </c>
      <c r="BE20" s="206"/>
    </row>
    <row r="21" spans="1:57" ht="15" x14ac:dyDescent="0.25">
      <c r="A21" t="str">
        <f t="shared" ca="1" si="0"/>
        <v/>
      </c>
      <c r="B21" s="259" t="str">
        <f t="shared" ca="1" si="1"/>
        <v xml:space="preserve"> </v>
      </c>
      <c r="C21" s="261" t="str">
        <f t="shared" ca="1" si="2"/>
        <v/>
      </c>
      <c r="D21" s="261" t="str">
        <f t="shared" ca="1" si="3"/>
        <v/>
      </c>
      <c r="E21" s="183"/>
      <c r="F21" s="184"/>
      <c r="G21" s="185"/>
      <c r="H21" s="186"/>
      <c r="I21" s="248" t="str">
        <f>IF(COUNTBLANK(E21:H21)=4,"",SUM(E21:G21)+IF(Setup!$I$15="No",0,H21))</f>
        <v/>
      </c>
      <c r="J21" s="197"/>
      <c r="K21" s="198"/>
      <c r="L21" s="199"/>
      <c r="M21" s="200"/>
      <c r="N21" s="252" t="str">
        <f>IF(COUNTBLANK(J21:M21)=4,"",SUM(J21:L21)+IF(Setup!$I$15="No",0,M21))</f>
        <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t="str">
        <f ca="1">IF('Demand background (hide)'!A12=Num_Modalities,"",SUM(Demand!I21))</f>
        <v/>
      </c>
      <c r="BD21" s="256" t="str">
        <f ca="1">IF(AND(A21&lt;=MaxRows,BE21&lt;&gt;"Yes"),'Demand background (hide)'!X12+IF(Setup!$I$15="Yes",'Demand background (hide)'!AJ12,0),"")</f>
        <v/>
      </c>
      <c r="BE21" s="206"/>
    </row>
    <row r="22" spans="1:57" ht="15" x14ac:dyDescent="0.25">
      <c r="A22" t="str">
        <f t="shared" ca="1" si="0"/>
        <v/>
      </c>
      <c r="B22" s="259" t="str">
        <f t="shared" ca="1" si="1"/>
        <v xml:space="preserve"> </v>
      </c>
      <c r="C22" s="261" t="str">
        <f t="shared" ca="1" si="2"/>
        <v/>
      </c>
      <c r="D22" s="261" t="str">
        <f t="shared" ca="1" si="3"/>
        <v/>
      </c>
      <c r="E22" s="183"/>
      <c r="F22" s="184"/>
      <c r="G22" s="185"/>
      <c r="H22" s="186"/>
      <c r="I22" s="248" t="str">
        <f>IF(COUNTBLANK(E22:H22)=4,"",SUM(E22:G22)+IF(Setup!$I$15="No",0,H22))</f>
        <v/>
      </c>
      <c r="J22" s="197"/>
      <c r="K22" s="198"/>
      <c r="L22" s="199"/>
      <c r="M22" s="200"/>
      <c r="N22" s="252" t="str">
        <f>IF(COUNTBLANK(J22:M22)=4,"",SUM(J22:L22)+IF(Setup!$I$15="No",0,M22))</f>
        <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t="str">
        <f ca="1">IF('Demand background (hide)'!A13=Num_Modalities,"",SUM(Demand!I22))</f>
        <v/>
      </c>
      <c r="BD22" s="256" t="str">
        <f ca="1">IF(AND(A22&lt;=MaxRows,BE22&lt;&gt;"Yes"),'Demand background (hide)'!X13+IF(Setup!$I$15="Yes",'Demand background (hide)'!AJ13,0),"")</f>
        <v/>
      </c>
      <c r="BE22" s="206"/>
    </row>
    <row r="23" spans="1:57" ht="15" x14ac:dyDescent="0.25">
      <c r="A23" t="str">
        <f t="shared" ca="1" si="0"/>
        <v/>
      </c>
      <c r="B23" s="259" t="str">
        <f t="shared" ca="1" si="1"/>
        <v xml:space="preserve"> </v>
      </c>
      <c r="C23" s="261" t="str">
        <f t="shared" ca="1" si="2"/>
        <v/>
      </c>
      <c r="D23" s="261" t="str">
        <f t="shared" ca="1" si="3"/>
        <v/>
      </c>
      <c r="E23" s="183"/>
      <c r="F23" s="184"/>
      <c r="G23" s="185"/>
      <c r="H23" s="186"/>
      <c r="I23" s="248" t="str">
        <f>IF(COUNTBLANK(E23:H23)=4,"",SUM(E23:G23)+IF(Setup!$I$15="No",0,H23))</f>
        <v/>
      </c>
      <c r="J23" s="197"/>
      <c r="K23" s="198"/>
      <c r="L23" s="199"/>
      <c r="M23" s="200"/>
      <c r="N23" s="252" t="str">
        <f>IF(COUNTBLANK(J23:M23)=4,"",SUM(J23:L23)+IF(Setup!$I$15="No",0,M23))</f>
        <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t="str">
        <f ca="1">IF('Demand background (hide)'!A14=Num_Modalities,"",SUM(Demand!I23))</f>
        <v/>
      </c>
      <c r="BD23" s="256" t="str">
        <f ca="1">IF(AND(A23&lt;=MaxRows,BE23&lt;&gt;"Yes"),'Demand background (hide)'!X14+IF(Setup!$I$15="Yes",'Demand background (hide)'!AJ14,0),"")</f>
        <v/>
      </c>
      <c r="BE23" s="206"/>
    </row>
    <row r="24" spans="1:57" ht="15" x14ac:dyDescent="0.25">
      <c r="A24" t="str">
        <f t="shared" ca="1" si="0"/>
        <v/>
      </c>
      <c r="B24" s="259" t="str">
        <f t="shared" ca="1" si="1"/>
        <v xml:space="preserve"> </v>
      </c>
      <c r="C24" s="261" t="str">
        <f t="shared" ca="1" si="2"/>
        <v/>
      </c>
      <c r="D24" s="261" t="str">
        <f t="shared" ca="1" si="3"/>
        <v/>
      </c>
      <c r="E24" s="183"/>
      <c r="F24" s="184"/>
      <c r="G24" s="185"/>
      <c r="H24" s="186"/>
      <c r="I24" s="248" t="str">
        <f>IF(COUNTBLANK(E24:H24)=4,"",SUM(E24:G24)+IF(Setup!$I$15="No",0,H24))</f>
        <v/>
      </c>
      <c r="J24" s="197"/>
      <c r="K24" s="198"/>
      <c r="L24" s="199"/>
      <c r="M24" s="200"/>
      <c r="N24" s="252" t="str">
        <f>IF(COUNTBLANK(J24:M24)=4,"",SUM(J24:L24)+IF(Setup!$I$15="No",0,M24))</f>
        <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t="str">
        <f ca="1">IF('Demand background (hide)'!A15=Num_Modalities,"",SUM(Demand!I24))</f>
        <v/>
      </c>
      <c r="BD24" s="256" t="str">
        <f ca="1">IF(AND(A24&lt;=MaxRows,BE24&lt;&gt;"Yes"),'Demand background (hide)'!X15+IF(Setup!$I$15="Yes",'Demand background (hide)'!AJ15,0),"")</f>
        <v/>
      </c>
      <c r="BE24" s="206"/>
    </row>
    <row r="25" spans="1:57" ht="15" x14ac:dyDescent="0.25">
      <c r="A25" t="str">
        <f t="shared" ca="1" si="0"/>
        <v/>
      </c>
      <c r="B25" s="259" t="str">
        <f t="shared" ca="1" si="1"/>
        <v xml:space="preserve"> </v>
      </c>
      <c r="C25" s="261" t="str">
        <f t="shared" ca="1" si="2"/>
        <v/>
      </c>
      <c r="D25" s="261" t="str">
        <f t="shared" ca="1" si="3"/>
        <v/>
      </c>
      <c r="E25" s="183"/>
      <c r="F25" s="184"/>
      <c r="G25" s="185"/>
      <c r="H25" s="186"/>
      <c r="I25" s="248" t="str">
        <f>IF(COUNTBLANK(E25:H25)=4,"",SUM(E25:G25)+IF(Setup!$I$15="No",0,H25))</f>
        <v/>
      </c>
      <c r="J25" s="197"/>
      <c r="K25" s="198"/>
      <c r="L25" s="199"/>
      <c r="M25" s="200"/>
      <c r="N25" s="252" t="str">
        <f>IF(COUNTBLANK(J25:M25)=4,"",SUM(J25:L25)+IF(Setup!$I$15="No",0,M25))</f>
        <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t="str">
        <f ca="1">IF('Demand background (hide)'!A16=Num_Modalities,"",SUM(Demand!I25))</f>
        <v/>
      </c>
      <c r="BD25" s="256" t="str">
        <f ca="1">IF(AND(A25&lt;=MaxRows,BE25&lt;&gt;"Yes"),'Demand background (hide)'!X16+IF(Setup!$I$15="Yes",'Demand background (hide)'!AJ16,0),"")</f>
        <v/>
      </c>
      <c r="BE25" s="206"/>
    </row>
    <row r="26" spans="1:57" ht="15" x14ac:dyDescent="0.25">
      <c r="A26" t="str">
        <f t="shared" ca="1" si="0"/>
        <v/>
      </c>
      <c r="B26" s="259" t="str">
        <f t="shared" ca="1" si="1"/>
        <v xml:space="preserve"> </v>
      </c>
      <c r="C26" s="261" t="str">
        <f t="shared" ca="1" si="2"/>
        <v/>
      </c>
      <c r="D26" s="261" t="str">
        <f t="shared" ca="1" si="3"/>
        <v/>
      </c>
      <c r="E26" s="183"/>
      <c r="F26" s="184"/>
      <c r="G26" s="185"/>
      <c r="H26" s="186"/>
      <c r="I26" s="248" t="str">
        <f>IF(COUNTBLANK(E26:H26)=4,"",SUM(E26:G26)+IF(Setup!$I$15="No",0,H26))</f>
        <v/>
      </c>
      <c r="J26" s="197"/>
      <c r="K26" s="198"/>
      <c r="L26" s="199"/>
      <c r="M26" s="200"/>
      <c r="N26" s="252" t="str">
        <f>IF(COUNTBLANK(J26:M26)=4,"",SUM(J26:L26)+IF(Setup!$I$15="No",0,M26))</f>
        <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t="str">
        <f ca="1">IF('Demand background (hide)'!A17=Num_Modalities,"",SUM(Demand!I26))</f>
        <v/>
      </c>
      <c r="BD26" s="256" t="str">
        <f ca="1">IF(AND(A26&lt;=MaxRows,BE26&lt;&gt;"Yes"),'Demand background (hide)'!X17+IF(Setup!$I$15="Yes",'Demand background (hide)'!AJ17,0),"")</f>
        <v/>
      </c>
      <c r="BE26" s="206"/>
    </row>
    <row r="27" spans="1:57" ht="15" x14ac:dyDescent="0.25">
      <c r="A27" t="str">
        <f t="shared" ca="1" si="0"/>
        <v/>
      </c>
      <c r="B27" s="259" t="str">
        <f t="shared" ca="1" si="1"/>
        <v xml:space="preserve"> </v>
      </c>
      <c r="C27" s="261" t="str">
        <f t="shared" ca="1" si="2"/>
        <v/>
      </c>
      <c r="D27" s="261" t="str">
        <f t="shared" ca="1" si="3"/>
        <v/>
      </c>
      <c r="E27" s="183"/>
      <c r="F27" s="184"/>
      <c r="G27" s="185"/>
      <c r="H27" s="186"/>
      <c r="I27" s="248" t="str">
        <f>IF(COUNTBLANK(E27:H27)=4,"",SUM(E27:G27)+IF(Setup!$I$15="No",0,H27))</f>
        <v/>
      </c>
      <c r="J27" s="197"/>
      <c r="K27" s="198"/>
      <c r="L27" s="199"/>
      <c r="M27" s="200"/>
      <c r="N27" s="252" t="str">
        <f>IF(COUNTBLANK(J27:M27)=4,"",SUM(J27:L27)+IF(Setup!$I$15="No",0,M27))</f>
        <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t="str">
        <f ca="1">IF('Demand background (hide)'!A18=Num_Modalities,"",SUM(Demand!I27))</f>
        <v/>
      </c>
      <c r="BD27" s="256" t="str">
        <f ca="1">IF(AND(A27&lt;=MaxRows,BE27&lt;&gt;"Yes"),'Demand background (hide)'!X18+IF(Setup!$I$15="Yes",'Demand background (hide)'!AJ18,0),"")</f>
        <v/>
      </c>
      <c r="BE27" s="206"/>
    </row>
    <row r="28" spans="1:57" ht="15" x14ac:dyDescent="0.25">
      <c r="A28" t="str">
        <f t="shared" ca="1" si="0"/>
        <v/>
      </c>
      <c r="B28" s="259" t="str">
        <f t="shared" ca="1" si="1"/>
        <v xml:space="preserve"> </v>
      </c>
      <c r="C28" s="261" t="str">
        <f t="shared" ca="1" si="2"/>
        <v/>
      </c>
      <c r="D28" s="261" t="str">
        <f t="shared" ca="1" si="3"/>
        <v/>
      </c>
      <c r="E28" s="183"/>
      <c r="F28" s="184"/>
      <c r="G28" s="185"/>
      <c r="H28" s="186"/>
      <c r="I28" s="248" t="str">
        <f>IF(COUNTBLANK(E28:H28)=4,"",SUM(E28:G28)+IF(Setup!$I$15="No",0,H28))</f>
        <v/>
      </c>
      <c r="J28" s="197"/>
      <c r="K28" s="198"/>
      <c r="L28" s="199"/>
      <c r="M28" s="200"/>
      <c r="N28" s="252" t="str">
        <f>IF(COUNTBLANK(J28:M28)=4,"",SUM(J28:L28)+IF(Setup!$I$15="No",0,M28))</f>
        <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t="str">
        <f ca="1">IF('Demand background (hide)'!A19=Num_Modalities,"",SUM(Demand!I28))</f>
        <v/>
      </c>
      <c r="BD28" s="256" t="str">
        <f ca="1">IF(AND(A28&lt;=MaxRows,BE28&lt;&gt;"Yes"),'Demand background (hide)'!X19+IF(Setup!$I$15="Yes",'Demand background (hide)'!AJ19,0),"")</f>
        <v/>
      </c>
      <c r="BE28" s="206"/>
    </row>
    <row r="29" spans="1:57" ht="15" x14ac:dyDescent="0.25">
      <c r="A29" t="str">
        <f t="shared" ca="1" si="0"/>
        <v/>
      </c>
      <c r="B29" s="259" t="str">
        <f t="shared" ca="1" si="1"/>
        <v xml:space="preserve"> </v>
      </c>
      <c r="C29" s="261" t="str">
        <f t="shared" ca="1" si="2"/>
        <v/>
      </c>
      <c r="D29" s="261" t="str">
        <f t="shared" ca="1" si="3"/>
        <v/>
      </c>
      <c r="E29" s="183"/>
      <c r="F29" s="184"/>
      <c r="G29" s="185"/>
      <c r="H29" s="186"/>
      <c r="I29" s="248" t="str">
        <f>IF(COUNTBLANK(E29:H29)=4,"",SUM(E29:G29)+IF(Setup!$I$15="No",0,H29))</f>
        <v/>
      </c>
      <c r="J29" s="197"/>
      <c r="K29" s="198"/>
      <c r="L29" s="199"/>
      <c r="M29" s="200"/>
      <c r="N29" s="252" t="str">
        <f>IF(COUNTBLANK(J29:M29)=4,"",SUM(J29:L29)+IF(Setup!$I$15="No",0,M29))</f>
        <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t="str">
        <f ca="1">IF('Demand background (hide)'!A20=Num_Modalities,"",SUM(Demand!I29))</f>
        <v/>
      </c>
      <c r="BD29" s="256" t="str">
        <f ca="1">IF(AND(A29&lt;=MaxRows,BE29&lt;&gt;"Yes"),'Demand background (hide)'!X20+IF(Setup!$I$15="Yes",'Demand background (hide)'!AJ20,0),"")</f>
        <v/>
      </c>
      <c r="BE29" s="206"/>
    </row>
    <row r="30" spans="1:57" ht="15" x14ac:dyDescent="0.25">
      <c r="A30" t="str">
        <f t="shared" ca="1" si="0"/>
        <v/>
      </c>
      <c r="B30" s="259" t="str">
        <f t="shared" ca="1" si="1"/>
        <v xml:space="preserve"> </v>
      </c>
      <c r="C30" s="261" t="str">
        <f t="shared" ca="1" si="2"/>
        <v/>
      </c>
      <c r="D30" s="261" t="str">
        <f t="shared" ca="1" si="3"/>
        <v/>
      </c>
      <c r="E30" s="183"/>
      <c r="F30" s="184"/>
      <c r="G30" s="185"/>
      <c r="H30" s="186"/>
      <c r="I30" s="248" t="str">
        <f>IF(COUNTBLANK(E30:H30)=4,"",SUM(E30:G30)+IF(Setup!$I$15="No",0,H30))</f>
        <v/>
      </c>
      <c r="J30" s="197"/>
      <c r="K30" s="198"/>
      <c r="L30" s="199"/>
      <c r="M30" s="200"/>
      <c r="N30" s="252" t="str">
        <f>IF(COUNTBLANK(J30:M30)=4,"",SUM(J30:L30)+IF(Setup!$I$15="No",0,M30))</f>
        <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t="str">
        <f ca="1">IF('Demand background (hide)'!A21=Num_Modalities,"",SUM(Demand!I30))</f>
        <v/>
      </c>
      <c r="BD30" s="256" t="str">
        <f ca="1">IF(AND(A30&lt;=MaxRows,BE30&lt;&gt;"Yes"),'Demand background (hide)'!X21+IF(Setup!$I$15="Yes",'Demand background (hide)'!AJ21,0),"")</f>
        <v/>
      </c>
      <c r="BE30" s="206"/>
    </row>
    <row r="31" spans="1:57" ht="15" x14ac:dyDescent="0.25">
      <c r="A31" t="str">
        <f t="shared" ca="1" si="0"/>
        <v/>
      </c>
      <c r="B31" s="259" t="str">
        <f t="shared" ca="1" si="1"/>
        <v xml:space="preserve"> </v>
      </c>
      <c r="C31" s="261" t="str">
        <f t="shared" ca="1" si="2"/>
        <v/>
      </c>
      <c r="D31" s="261" t="str">
        <f t="shared" ca="1" si="3"/>
        <v/>
      </c>
      <c r="E31" s="183"/>
      <c r="F31" s="184"/>
      <c r="G31" s="185"/>
      <c r="H31" s="186"/>
      <c r="I31" s="248" t="str">
        <f>IF(COUNTBLANK(E31:H31)=4,"",SUM(E31:G31)+IF(Setup!$I$15="No",0,H31))</f>
        <v/>
      </c>
      <c r="J31" s="197"/>
      <c r="K31" s="198"/>
      <c r="L31" s="199"/>
      <c r="M31" s="200"/>
      <c r="N31" s="252" t="str">
        <f>IF(COUNTBLANK(J31:M31)=4,"",SUM(J31:L31)+IF(Setup!$I$15="No",0,M31))</f>
        <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t="str">
        <f ca="1">IF('Demand background (hide)'!A22=Num_Modalities,"",SUM(Demand!I31))</f>
        <v/>
      </c>
      <c r="BD31" s="256" t="str">
        <f ca="1">IF(AND(A31&lt;=MaxRows,BE31&lt;&gt;"Yes"),'Demand background (hide)'!X22+IF(Setup!$I$15="Yes",'Demand background (hide)'!AJ22,0),"")</f>
        <v/>
      </c>
      <c r="BE31" s="206"/>
    </row>
    <row r="32" spans="1:57" ht="15" x14ac:dyDescent="0.25">
      <c r="A32" t="str">
        <f t="shared" ca="1" si="0"/>
        <v/>
      </c>
      <c r="B32" s="259" t="str">
        <f t="shared" ca="1" si="1"/>
        <v xml:space="preserve"> </v>
      </c>
      <c r="C32" s="261" t="str">
        <f t="shared" ca="1" si="2"/>
        <v/>
      </c>
      <c r="D32" s="261" t="str">
        <f t="shared" ca="1" si="3"/>
        <v/>
      </c>
      <c r="E32" s="183"/>
      <c r="F32" s="184"/>
      <c r="G32" s="185"/>
      <c r="H32" s="186"/>
      <c r="I32" s="248" t="str">
        <f>IF(COUNTBLANK(E32:H32)=4,"",SUM(E32:G32)+IF(Setup!$I$15="No",0,H32))</f>
        <v/>
      </c>
      <c r="J32" s="197"/>
      <c r="K32" s="198"/>
      <c r="L32" s="199"/>
      <c r="M32" s="200"/>
      <c r="N32" s="252" t="str">
        <f>IF(COUNTBLANK(J32:M32)=4,"",SUM(J32:L32)+IF(Setup!$I$15="No",0,M32))</f>
        <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t="str">
        <f ca="1">IF('Demand background (hide)'!A23=Num_Modalities,"",SUM(Demand!I32))</f>
        <v/>
      </c>
      <c r="BD32" s="256" t="str">
        <f ca="1">IF(AND(A32&lt;=MaxRows,BE32&lt;&gt;"Yes"),'Demand background (hide)'!X23+IF(Setup!$I$15="Yes",'Demand background (hide)'!AJ23,0),"")</f>
        <v/>
      </c>
      <c r="BE32" s="206"/>
    </row>
    <row r="33" spans="1:57" ht="15" x14ac:dyDescent="0.25">
      <c r="A33" t="str">
        <f t="shared" ca="1" si="0"/>
        <v/>
      </c>
      <c r="B33" s="259" t="str">
        <f t="shared" ca="1" si="1"/>
        <v xml:space="preserve"> </v>
      </c>
      <c r="C33" s="261" t="str">
        <f t="shared" ca="1" si="2"/>
        <v/>
      </c>
      <c r="D33" s="261" t="str">
        <f t="shared" ca="1" si="3"/>
        <v/>
      </c>
      <c r="E33" s="183"/>
      <c r="F33" s="184"/>
      <c r="G33" s="185"/>
      <c r="H33" s="186"/>
      <c r="I33" s="248" t="str">
        <f>IF(COUNTBLANK(E33:H33)=4,"",SUM(E33:G33)+IF(Setup!$I$15="No",0,H33))</f>
        <v/>
      </c>
      <c r="J33" s="197"/>
      <c r="K33" s="198"/>
      <c r="L33" s="199"/>
      <c r="M33" s="200"/>
      <c r="N33" s="252" t="str">
        <f>IF(COUNTBLANK(J33:M33)=4,"",SUM(J33:L33)+IF(Setup!$I$15="No",0,M33))</f>
        <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t="str">
        <f ca="1">IF('Demand background (hide)'!A24=Num_Modalities,"",SUM(Demand!I33))</f>
        <v/>
      </c>
      <c r="BD33" s="256" t="str">
        <f ca="1">IF(AND(A33&lt;=MaxRows,BE33&lt;&gt;"Yes"),'Demand background (hide)'!X24+IF(Setup!$I$15="Yes",'Demand background (hide)'!AJ24,0),"")</f>
        <v/>
      </c>
      <c r="BE33" s="206"/>
    </row>
    <row r="34" spans="1:57" ht="15" x14ac:dyDescent="0.25">
      <c r="A34" t="str">
        <f t="shared" ca="1" si="0"/>
        <v/>
      </c>
      <c r="B34" s="259" t="str">
        <f t="shared" ca="1" si="1"/>
        <v xml:space="preserve"> </v>
      </c>
      <c r="C34" s="261" t="str">
        <f t="shared" ca="1" si="2"/>
        <v/>
      </c>
      <c r="D34" s="261" t="str">
        <f t="shared" ca="1" si="3"/>
        <v/>
      </c>
      <c r="E34" s="183"/>
      <c r="F34" s="184"/>
      <c r="G34" s="185"/>
      <c r="H34" s="186"/>
      <c r="I34" s="248" t="str">
        <f>IF(COUNTBLANK(E34:H34)=4,"",SUM(E34:G34)+IF(Setup!$I$15="No",0,H34))</f>
        <v/>
      </c>
      <c r="J34" s="197"/>
      <c r="K34" s="198"/>
      <c r="L34" s="199"/>
      <c r="M34" s="200"/>
      <c r="N34" s="252" t="str">
        <f>IF(COUNTBLANK(J34:M34)=4,"",SUM(J34:L34)+IF(Setup!$I$15="No",0,M34))</f>
        <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t="str">
        <f ca="1">IF('Demand background (hide)'!A25=Num_Modalities,"",SUM(Demand!I34))</f>
        <v/>
      </c>
      <c r="BD34" s="256" t="str">
        <f ca="1">IF(AND(A34&lt;=MaxRows,BE34&lt;&gt;"Yes"),'Demand background (hide)'!X25+IF(Setup!$I$15="Yes",'Demand background (hide)'!AJ25,0),"")</f>
        <v/>
      </c>
      <c r="BE34" s="206"/>
    </row>
    <row r="35" spans="1:57" ht="15" x14ac:dyDescent="0.25">
      <c r="A35" t="str">
        <f t="shared" ca="1" si="0"/>
        <v/>
      </c>
      <c r="B35" s="259" t="str">
        <f t="shared" ca="1" si="1"/>
        <v xml:space="preserve"> </v>
      </c>
      <c r="C35" s="261" t="str">
        <f t="shared" ca="1" si="2"/>
        <v/>
      </c>
      <c r="D35" s="261" t="str">
        <f t="shared" ca="1" si="3"/>
        <v/>
      </c>
      <c r="E35" s="183"/>
      <c r="F35" s="184"/>
      <c r="G35" s="185"/>
      <c r="H35" s="186"/>
      <c r="I35" s="248" t="str">
        <f>IF(COUNTBLANK(E35:H35)=4,"",SUM(E35:G35)+IF(Setup!$I$15="No",0,H35))</f>
        <v/>
      </c>
      <c r="J35" s="197"/>
      <c r="K35" s="198"/>
      <c r="L35" s="199"/>
      <c r="M35" s="200"/>
      <c r="N35" s="252" t="str">
        <f>IF(COUNTBLANK(J35:M35)=4,"",SUM(J35:L35)+IF(Setup!$I$15="No",0,M35))</f>
        <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t="str">
        <f ca="1">IF('Demand background (hide)'!A26=Num_Modalities,"",SUM(Demand!I35))</f>
        <v/>
      </c>
      <c r="BD35" s="256" t="str">
        <f ca="1">IF(AND(A35&lt;=MaxRows,BE35&lt;&gt;"Yes"),'Demand background (hide)'!X26+IF(Setup!$I$15="Yes",'Demand background (hide)'!AJ26,0),"")</f>
        <v/>
      </c>
      <c r="BE35" s="206"/>
    </row>
    <row r="36" spans="1:57" ht="15" x14ac:dyDescent="0.25">
      <c r="A36" t="str">
        <f t="shared" ca="1" si="0"/>
        <v/>
      </c>
      <c r="B36" s="259" t="str">
        <f t="shared" ca="1" si="1"/>
        <v xml:space="preserve"> </v>
      </c>
      <c r="C36" s="261" t="str">
        <f t="shared" ca="1" si="2"/>
        <v/>
      </c>
      <c r="D36" s="261" t="str">
        <f t="shared" ca="1" si="3"/>
        <v/>
      </c>
      <c r="E36" s="183"/>
      <c r="F36" s="184"/>
      <c r="G36" s="185"/>
      <c r="H36" s="186"/>
      <c r="I36" s="248" t="str">
        <f>IF(COUNTBLANK(E36:H36)=4,"",SUM(E36:G36)+IF(Setup!$I$15="No",0,H36))</f>
        <v/>
      </c>
      <c r="J36" s="197"/>
      <c r="K36" s="198"/>
      <c r="L36" s="199"/>
      <c r="M36" s="200"/>
      <c r="N36" s="252" t="str">
        <f>IF(COUNTBLANK(J36:M36)=4,"",SUM(J36:L36)+IF(Setup!$I$15="No",0,M36))</f>
        <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t="str">
        <f ca="1">IF('Demand background (hide)'!A27=Num_Modalities,"",SUM(Demand!I36))</f>
        <v/>
      </c>
      <c r="BD36" s="256" t="str">
        <f ca="1">IF(AND(A36&lt;=MaxRows,BE36&lt;&gt;"Yes"),'Demand background (hide)'!X27+IF(Setup!$I$15="Yes",'Demand background (hide)'!AJ27,0),"")</f>
        <v/>
      </c>
      <c r="BE36" s="206"/>
    </row>
    <row r="37" spans="1:57" ht="15" x14ac:dyDescent="0.25">
      <c r="A37" t="str">
        <f t="shared" ca="1" si="0"/>
        <v/>
      </c>
      <c r="B37" s="259" t="str">
        <f t="shared" ca="1" si="1"/>
        <v xml:space="preserve"> </v>
      </c>
      <c r="C37" s="261" t="str">
        <f t="shared" ca="1" si="2"/>
        <v/>
      </c>
      <c r="D37" s="261" t="str">
        <f t="shared" ca="1" si="3"/>
        <v/>
      </c>
      <c r="E37" s="183"/>
      <c r="F37" s="184"/>
      <c r="G37" s="185"/>
      <c r="H37" s="186"/>
      <c r="I37" s="248" t="str">
        <f>IF(COUNTBLANK(E37:H37)=4,"",SUM(E37:G37)+IF(Setup!$I$15="No",0,H37))</f>
        <v/>
      </c>
      <c r="J37" s="197"/>
      <c r="K37" s="198"/>
      <c r="L37" s="199"/>
      <c r="M37" s="200"/>
      <c r="N37" s="252" t="str">
        <f>IF(COUNTBLANK(J37:M37)=4,"",SUM(J37:L37)+IF(Setup!$I$15="No",0,M37))</f>
        <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t="str">
        <f ca="1">IF('Demand background (hide)'!A28=Num_Modalities,"",SUM(Demand!I37))</f>
        <v/>
      </c>
      <c r="BD37" s="256" t="str">
        <f ca="1">IF(AND(A37&lt;=MaxRows,BE37&lt;&gt;"Yes"),'Demand background (hide)'!X28+IF(Setup!$I$15="Yes",'Demand background (hide)'!AJ28,0),"")</f>
        <v/>
      </c>
      <c r="BE37" s="206"/>
    </row>
    <row r="38" spans="1:57" ht="15" x14ac:dyDescent="0.25">
      <c r="A38" t="str">
        <f t="shared" ca="1" si="0"/>
        <v/>
      </c>
      <c r="B38" s="259" t="str">
        <f t="shared" ca="1" si="1"/>
        <v xml:space="preserve"> </v>
      </c>
      <c r="C38" s="261" t="str">
        <f t="shared" ca="1" si="2"/>
        <v/>
      </c>
      <c r="D38" s="261" t="str">
        <f t="shared" ca="1" si="3"/>
        <v/>
      </c>
      <c r="E38" s="183"/>
      <c r="F38" s="184"/>
      <c r="G38" s="185"/>
      <c r="H38" s="186"/>
      <c r="I38" s="248" t="str">
        <f>IF(COUNTBLANK(E38:H38)=4,"",SUM(E38:G38)+IF(Setup!$I$15="No",0,H38))</f>
        <v/>
      </c>
      <c r="J38" s="197"/>
      <c r="K38" s="198"/>
      <c r="L38" s="199"/>
      <c r="M38" s="200"/>
      <c r="N38" s="252" t="str">
        <f>IF(COUNTBLANK(J38:M38)=4,"",SUM(J38:L38)+IF(Setup!$I$15="No",0,M38))</f>
        <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t="str">
        <f ca="1">IF('Demand background (hide)'!A29=Num_Modalities,"",SUM(Demand!I38))</f>
        <v/>
      </c>
      <c r="BD38" s="256" t="str">
        <f ca="1">IF(AND(A38&lt;=MaxRows,BE38&lt;&gt;"Yes"),'Demand background (hide)'!X29+IF(Setup!$I$15="Yes",'Demand background (hide)'!AJ29,0),"")</f>
        <v/>
      </c>
      <c r="BE38" s="206"/>
    </row>
    <row r="39" spans="1:57" ht="15" x14ac:dyDescent="0.25">
      <c r="A39" t="str">
        <f t="shared" ca="1" si="0"/>
        <v/>
      </c>
      <c r="B39" s="259" t="str">
        <f t="shared" ca="1" si="1"/>
        <v xml:space="preserve"> </v>
      </c>
      <c r="C39" s="261" t="str">
        <f t="shared" ca="1" si="2"/>
        <v/>
      </c>
      <c r="D39" s="261" t="str">
        <f t="shared" ca="1" si="3"/>
        <v/>
      </c>
      <c r="E39" s="183"/>
      <c r="F39" s="184"/>
      <c r="G39" s="185"/>
      <c r="H39" s="186"/>
      <c r="I39" s="248" t="str">
        <f>IF(COUNTBLANK(E39:H39)=4,"",SUM(E39:G39)+IF(Setup!$I$15="No",0,H39))</f>
        <v/>
      </c>
      <c r="J39" s="197"/>
      <c r="K39" s="198"/>
      <c r="L39" s="199"/>
      <c r="M39" s="200"/>
      <c r="N39" s="252" t="str">
        <f>IF(COUNTBLANK(J39:M39)=4,"",SUM(J39:L39)+IF(Setup!$I$15="No",0,M39))</f>
        <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t="str">
        <f ca="1">IF('Demand background (hide)'!A30=Num_Modalities,"",SUM(Demand!I39))</f>
        <v/>
      </c>
      <c r="BD39" s="256" t="str">
        <f ca="1">IF(AND(A39&lt;=MaxRows,BE39&lt;&gt;"Yes"),'Demand background (hide)'!X30+IF(Setup!$I$15="Yes",'Demand background (hide)'!AJ30,0),"")</f>
        <v/>
      </c>
      <c r="BE39" s="206"/>
    </row>
    <row r="40" spans="1:57" ht="15" x14ac:dyDescent="0.25">
      <c r="A40" t="str">
        <f t="shared" ca="1" si="0"/>
        <v/>
      </c>
      <c r="B40" s="259" t="str">
        <f t="shared" ca="1" si="1"/>
        <v xml:space="preserve"> </v>
      </c>
      <c r="C40" s="261" t="str">
        <f t="shared" ca="1" si="2"/>
        <v/>
      </c>
      <c r="D40" s="261" t="str">
        <f t="shared" ca="1" si="3"/>
        <v/>
      </c>
      <c r="E40" s="183"/>
      <c r="F40" s="184"/>
      <c r="G40" s="185"/>
      <c r="H40" s="186"/>
      <c r="I40" s="248" t="str">
        <f>IF(COUNTBLANK(E40:H40)=4,"",SUM(E40:G40)+IF(Setup!$I$15="No",0,H40))</f>
        <v/>
      </c>
      <c r="J40" s="197"/>
      <c r="K40" s="198"/>
      <c r="L40" s="199"/>
      <c r="M40" s="200"/>
      <c r="N40" s="252" t="str">
        <f>IF(COUNTBLANK(J40:M40)=4,"",SUM(J40:L40)+IF(Setup!$I$15="No",0,M40))</f>
        <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t="str">
        <f ca="1">IF('Demand background (hide)'!A31=Num_Modalities,"",SUM(Demand!I40))</f>
        <v/>
      </c>
      <c r="BD40" s="256" t="str">
        <f ca="1">IF(AND(A40&lt;=MaxRows,BE40&lt;&gt;"Yes"),'Demand background (hide)'!X31+IF(Setup!$I$15="Yes",'Demand background (hide)'!AJ31,0),"")</f>
        <v/>
      </c>
      <c r="BE40" s="206"/>
    </row>
    <row r="41" spans="1:57" ht="15" x14ac:dyDescent="0.25">
      <c r="A41" t="str">
        <f t="shared" ca="1" si="0"/>
        <v/>
      </c>
      <c r="B41" s="259" t="str">
        <f t="shared" ca="1" si="1"/>
        <v xml:space="preserve"> </v>
      </c>
      <c r="C41" s="261" t="str">
        <f t="shared" ca="1" si="2"/>
        <v/>
      </c>
      <c r="D41" s="261" t="str">
        <f t="shared" ca="1" si="3"/>
        <v/>
      </c>
      <c r="E41" s="183"/>
      <c r="F41" s="184"/>
      <c r="G41" s="185"/>
      <c r="H41" s="186"/>
      <c r="I41" s="248" t="str">
        <f>IF(COUNTBLANK(E41:H41)=4,"",SUM(E41:G41)+IF(Setup!$I$15="No",0,H41))</f>
        <v/>
      </c>
      <c r="J41" s="197"/>
      <c r="K41" s="198"/>
      <c r="L41" s="199"/>
      <c r="M41" s="200"/>
      <c r="N41" s="252" t="str">
        <f>IF(COUNTBLANK(J41:M41)=4,"",SUM(J41:L41)+IF(Setup!$I$15="No",0,M41))</f>
        <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t="str">
        <f ca="1">IF('Demand background (hide)'!A32=Num_Modalities,"",SUM(Demand!I41))</f>
        <v/>
      </c>
      <c r="BD41" s="256" t="str">
        <f ca="1">IF(AND(A41&lt;=MaxRows,BE41&lt;&gt;"Yes"),'Demand background (hide)'!X32+IF(Setup!$I$15="Yes",'Demand background (hide)'!AJ32,0),"")</f>
        <v/>
      </c>
      <c r="BE41" s="206"/>
    </row>
    <row r="42" spans="1:57" ht="15" x14ac:dyDescent="0.25">
      <c r="A42" t="str">
        <f t="shared" ca="1" si="0"/>
        <v/>
      </c>
      <c r="B42" s="259" t="str">
        <f t="shared" ca="1" si="1"/>
        <v xml:space="preserve"> </v>
      </c>
      <c r="C42" s="261" t="str">
        <f t="shared" ca="1" si="2"/>
        <v/>
      </c>
      <c r="D42" s="261" t="str">
        <f t="shared" ca="1" si="3"/>
        <v/>
      </c>
      <c r="E42" s="183"/>
      <c r="F42" s="184"/>
      <c r="G42" s="185"/>
      <c r="H42" s="186"/>
      <c r="I42" s="248" t="str">
        <f>IF(COUNTBLANK(E42:H42)=4,"",SUM(E42:G42)+IF(Setup!$I$15="No",0,H42))</f>
        <v/>
      </c>
      <c r="J42" s="197"/>
      <c r="K42" s="198"/>
      <c r="L42" s="199"/>
      <c r="M42" s="200"/>
      <c r="N42" s="252" t="str">
        <f>IF(COUNTBLANK(J42:M42)=4,"",SUM(J42:L42)+IF(Setup!$I$15="No",0,M42))</f>
        <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t="str">
        <f ca="1">IF('Demand background (hide)'!A33=Num_Modalities,"",SUM(Demand!I42))</f>
        <v/>
      </c>
      <c r="BD42" s="256" t="str">
        <f ca="1">IF(AND(A42&lt;=MaxRows,BE42&lt;&gt;"Yes"),'Demand background (hide)'!X33+IF(Setup!$I$15="Yes",'Demand background (hide)'!AJ33,0),"")</f>
        <v/>
      </c>
      <c r="BE42" s="206"/>
    </row>
    <row r="43" spans="1:57" ht="15" x14ac:dyDescent="0.25">
      <c r="A43" t="str">
        <f t="shared" ca="1" si="0"/>
        <v/>
      </c>
      <c r="B43" s="259" t="str">
        <f t="shared" ca="1" si="1"/>
        <v xml:space="preserve"> </v>
      </c>
      <c r="C43" s="261" t="str">
        <f t="shared" ca="1" si="2"/>
        <v/>
      </c>
      <c r="D43" s="261" t="str">
        <f t="shared" ca="1" si="3"/>
        <v/>
      </c>
      <c r="E43" s="183"/>
      <c r="F43" s="184"/>
      <c r="G43" s="185"/>
      <c r="H43" s="186"/>
      <c r="I43" s="248" t="str">
        <f>IF(COUNTBLANK(E43:H43)=4,"",SUM(E43:G43)+IF(Setup!$I$15="No",0,H43))</f>
        <v/>
      </c>
      <c r="J43" s="197"/>
      <c r="K43" s="198"/>
      <c r="L43" s="199"/>
      <c r="M43" s="200"/>
      <c r="N43" s="252" t="str">
        <f>IF(COUNTBLANK(J43:M43)=4,"",SUM(J43:L43)+IF(Setup!$I$15="No",0,M43))</f>
        <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t="str">
        <f ca="1">IF('Demand background (hide)'!A34=Num_Modalities,"",SUM(Demand!I43))</f>
        <v/>
      </c>
      <c r="BD43" s="256" t="str">
        <f ca="1">IF(AND(A43&lt;=MaxRows,BE43&lt;&gt;"Yes"),'Demand background (hide)'!X34+IF(Setup!$I$15="Yes",'Demand background (hide)'!AJ34,0),"")</f>
        <v/>
      </c>
      <c r="BE43" s="206"/>
    </row>
    <row r="44" spans="1:57" ht="15" x14ac:dyDescent="0.25">
      <c r="A44" t="str">
        <f t="shared" ca="1" si="0"/>
        <v/>
      </c>
      <c r="B44" s="259" t="str">
        <f t="shared" ca="1" si="1"/>
        <v xml:space="preserve"> </v>
      </c>
      <c r="C44" s="261" t="str">
        <f t="shared" ca="1" si="2"/>
        <v/>
      </c>
      <c r="D44" s="261" t="str">
        <f t="shared" ca="1" si="3"/>
        <v/>
      </c>
      <c r="E44" s="183"/>
      <c r="F44" s="184"/>
      <c r="G44" s="185"/>
      <c r="H44" s="186"/>
      <c r="I44" s="248" t="str">
        <f>IF(COUNTBLANK(E44:H44)=4,"",SUM(E44:G44)+IF(Setup!$I$15="No",0,H44))</f>
        <v/>
      </c>
      <c r="J44" s="197"/>
      <c r="K44" s="198"/>
      <c r="L44" s="199"/>
      <c r="M44" s="200"/>
      <c r="N44" s="252" t="str">
        <f>IF(COUNTBLANK(J44:M44)=4,"",SUM(J44:L44)+IF(Setup!$I$15="No",0,M44))</f>
        <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t="str">
        <f ca="1">IF('Demand background (hide)'!A35=Num_Modalities,"",SUM(Demand!I44))</f>
        <v/>
      </c>
      <c r="BD44" s="256" t="str">
        <f ca="1">IF(AND(A44&lt;=MaxRows,BE44&lt;&gt;"Yes"),'Demand background (hide)'!X35+IF(Setup!$I$15="Yes",'Demand background (hide)'!AJ35,0),"")</f>
        <v/>
      </c>
      <c r="BE44" s="206"/>
    </row>
    <row r="45" spans="1:57" ht="15" x14ac:dyDescent="0.25">
      <c r="A45" t="str">
        <f t="shared" ca="1" si="0"/>
        <v/>
      </c>
      <c r="B45" s="259" t="str">
        <f t="shared" ca="1" si="1"/>
        <v xml:space="preserve"> </v>
      </c>
      <c r="C45" s="261" t="str">
        <f t="shared" ca="1" si="2"/>
        <v/>
      </c>
      <c r="D45" s="261" t="str">
        <f t="shared" ca="1" si="3"/>
        <v/>
      </c>
      <c r="E45" s="183"/>
      <c r="F45" s="184"/>
      <c r="G45" s="185"/>
      <c r="H45" s="186"/>
      <c r="I45" s="248" t="str">
        <f>IF(COUNTBLANK(E45:H45)=4,"",SUM(E45:G45)+IF(Setup!$I$15="No",0,H45))</f>
        <v/>
      </c>
      <c r="J45" s="197"/>
      <c r="K45" s="198"/>
      <c r="L45" s="199"/>
      <c r="M45" s="200"/>
      <c r="N45" s="252" t="str">
        <f>IF(COUNTBLANK(J45:M45)=4,"",SUM(J45:L45)+IF(Setup!$I$15="No",0,M45))</f>
        <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t="str">
        <f ca="1">IF('Demand background (hide)'!A36=Num_Modalities,"",SUM(Demand!I45))</f>
        <v/>
      </c>
      <c r="BD45" s="256" t="str">
        <f ca="1">IF(AND(A45&lt;=MaxRows,BE45&lt;&gt;"Yes"),'Demand background (hide)'!X36+IF(Setup!$I$15="Yes",'Demand background (hide)'!AJ36,0),"")</f>
        <v/>
      </c>
      <c r="BE45" s="206"/>
    </row>
    <row r="46" spans="1:57" ht="15" x14ac:dyDescent="0.25">
      <c r="A46" t="str">
        <f t="shared" ca="1" si="0"/>
        <v/>
      </c>
      <c r="B46" s="259" t="str">
        <f t="shared" ca="1" si="1"/>
        <v xml:space="preserve"> </v>
      </c>
      <c r="C46" s="261" t="str">
        <f t="shared" ca="1" si="2"/>
        <v/>
      </c>
      <c r="D46" s="261" t="str">
        <f t="shared" ca="1" si="3"/>
        <v/>
      </c>
      <c r="E46" s="183"/>
      <c r="F46" s="184"/>
      <c r="G46" s="185"/>
      <c r="H46" s="186"/>
      <c r="I46" s="248" t="str">
        <f>IF(COUNTBLANK(E46:H46)=4,"",SUM(E46:G46)+IF(Setup!$I$15="No",0,H46))</f>
        <v/>
      </c>
      <c r="J46" s="197"/>
      <c r="K46" s="198"/>
      <c r="L46" s="199"/>
      <c r="M46" s="200"/>
      <c r="N46" s="252" t="str">
        <f>IF(COUNTBLANK(J46:M46)=4,"",SUM(J46:L46)+IF(Setup!$I$15="No",0,M46))</f>
        <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t="str">
        <f ca="1">IF('Demand background (hide)'!A37=Num_Modalities,"",SUM(Demand!I46))</f>
        <v/>
      </c>
      <c r="BD46" s="256" t="str">
        <f ca="1">IF(AND(A46&lt;=MaxRows,BE46&lt;&gt;"Yes"),'Demand background (hide)'!X37+IF(Setup!$I$15="Yes",'Demand background (hide)'!AJ37,0),"")</f>
        <v/>
      </c>
      <c r="BE46" s="206"/>
    </row>
    <row r="47" spans="1:57" ht="15" x14ac:dyDescent="0.25">
      <c r="A47" t="str">
        <f t="shared" ca="1" si="0"/>
        <v/>
      </c>
      <c r="B47" s="259" t="str">
        <f t="shared" ca="1" si="1"/>
        <v xml:space="preserve"> </v>
      </c>
      <c r="C47" s="261" t="str">
        <f t="shared" ca="1" si="2"/>
        <v/>
      </c>
      <c r="D47" s="261" t="str">
        <f t="shared" ca="1" si="3"/>
        <v/>
      </c>
      <c r="E47" s="183"/>
      <c r="F47" s="184"/>
      <c r="G47" s="185"/>
      <c r="H47" s="186"/>
      <c r="I47" s="248" t="str">
        <f>IF(COUNTBLANK(E47:H47)=4,"",SUM(E47:G47)+IF(Setup!$I$15="No",0,H47))</f>
        <v/>
      </c>
      <c r="J47" s="197"/>
      <c r="K47" s="198"/>
      <c r="L47" s="199"/>
      <c r="M47" s="200"/>
      <c r="N47" s="252" t="str">
        <f>IF(COUNTBLANK(J47:M47)=4,"",SUM(J47:L47)+IF(Setup!$I$15="No",0,M47))</f>
        <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t="str">
        <f ca="1">IF('Demand background (hide)'!A38=Num_Modalities,"",SUM(Demand!I47))</f>
        <v/>
      </c>
      <c r="BD47" s="256" t="str">
        <f ca="1">IF(AND(A47&lt;=MaxRows,BE47&lt;&gt;"Yes"),'Demand background (hide)'!X38+IF(Setup!$I$15="Yes",'Demand background (hide)'!AJ38,0),"")</f>
        <v/>
      </c>
      <c r="BE47" s="206"/>
    </row>
    <row r="48" spans="1:57" ht="15" x14ac:dyDescent="0.25">
      <c r="A48" t="str">
        <f t="shared" ca="1" si="0"/>
        <v/>
      </c>
      <c r="B48" s="259" t="str">
        <f t="shared" ca="1" si="1"/>
        <v xml:space="preserve"> </v>
      </c>
      <c r="C48" s="261" t="str">
        <f t="shared" ca="1" si="2"/>
        <v/>
      </c>
      <c r="D48" s="261" t="str">
        <f t="shared" ca="1" si="3"/>
        <v/>
      </c>
      <c r="E48" s="183"/>
      <c r="F48" s="184"/>
      <c r="G48" s="185"/>
      <c r="H48" s="186"/>
      <c r="I48" s="248" t="str">
        <f>IF(COUNTBLANK(E48:H48)=4,"",SUM(E48:G48)+IF(Setup!$I$15="No",0,H48))</f>
        <v/>
      </c>
      <c r="J48" s="197"/>
      <c r="K48" s="198"/>
      <c r="L48" s="199"/>
      <c r="M48" s="200"/>
      <c r="N48" s="252" t="str">
        <f>IF(COUNTBLANK(J48:M48)=4,"",SUM(J48:L48)+IF(Setup!$I$15="No",0,M48))</f>
        <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t="str">
        <f ca="1">IF('Demand background (hide)'!A39=Num_Modalities,"",SUM(Demand!I48))</f>
        <v/>
      </c>
      <c r="BD48" s="256" t="str">
        <f ca="1">IF(AND(A48&lt;=MaxRows,BE48&lt;&gt;"Yes"),'Demand background (hide)'!X39+IF(Setup!$I$15="Yes",'Demand background (hide)'!AJ39,0),"")</f>
        <v/>
      </c>
      <c r="BE48" s="206"/>
    </row>
    <row r="49" spans="1:57" ht="15" x14ac:dyDescent="0.25">
      <c r="A49" t="str">
        <f t="shared" ca="1" si="0"/>
        <v/>
      </c>
      <c r="B49" s="259" t="str">
        <f t="shared" ca="1" si="1"/>
        <v xml:space="preserve"> </v>
      </c>
      <c r="C49" s="261" t="str">
        <f t="shared" ca="1" si="2"/>
        <v/>
      </c>
      <c r="D49" s="261" t="str">
        <f t="shared" ca="1" si="3"/>
        <v/>
      </c>
      <c r="E49" s="183"/>
      <c r="F49" s="184"/>
      <c r="G49" s="185"/>
      <c r="H49" s="186"/>
      <c r="I49" s="248" t="str">
        <f>IF(COUNTBLANK(E49:H49)=4,"",SUM(E49:G49)+IF(Setup!$I$15="No",0,H49))</f>
        <v/>
      </c>
      <c r="J49" s="197"/>
      <c r="K49" s="198"/>
      <c r="L49" s="199"/>
      <c r="M49" s="200"/>
      <c r="N49" s="252" t="str">
        <f>IF(COUNTBLANK(J49:M49)=4,"",SUM(J49:L49)+IF(Setup!$I$15="No",0,M49))</f>
        <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t="str">
        <f ca="1">IF('Demand background (hide)'!A40=Num_Modalities,"",SUM(Demand!I49))</f>
        <v/>
      </c>
      <c r="BD49" s="256" t="str">
        <f ca="1">IF(AND(A49&lt;=MaxRows,BE49&lt;&gt;"Yes"),'Demand background (hide)'!X40+IF(Setup!$I$15="Yes",'Demand background (hide)'!AJ40,0),"")</f>
        <v/>
      </c>
      <c r="BE49" s="206"/>
    </row>
    <row r="50" spans="1:57" ht="15" x14ac:dyDescent="0.25">
      <c r="A50" t="str">
        <f t="shared" ca="1" si="0"/>
        <v/>
      </c>
      <c r="B50" s="259" t="str">
        <f t="shared" ca="1" si="1"/>
        <v xml:space="preserve"> </v>
      </c>
      <c r="C50" s="261" t="str">
        <f t="shared" ca="1" si="2"/>
        <v/>
      </c>
      <c r="D50" s="261" t="str">
        <f t="shared" ca="1" si="3"/>
        <v/>
      </c>
      <c r="E50" s="183"/>
      <c r="F50" s="184"/>
      <c r="G50" s="185"/>
      <c r="H50" s="186"/>
      <c r="I50" s="248" t="str">
        <f>IF(COUNTBLANK(E50:H50)=4,"",SUM(E50:G50)+IF(Setup!$I$15="No",0,H50))</f>
        <v/>
      </c>
      <c r="J50" s="197"/>
      <c r="K50" s="198"/>
      <c r="L50" s="199"/>
      <c r="M50" s="200"/>
      <c r="N50" s="252" t="str">
        <f>IF(COUNTBLANK(J50:M50)=4,"",SUM(J50:L50)+IF(Setup!$I$15="No",0,M50))</f>
        <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t="str">
        <f ca="1">IF('Demand background (hide)'!A41=Num_Modalities,"",SUM(Demand!I50))</f>
        <v/>
      </c>
      <c r="BD50" s="256" t="str">
        <f ca="1">IF(AND(A50&lt;=MaxRows,BE50&lt;&gt;"Yes"),'Demand background (hide)'!X41+IF(Setup!$I$15="Yes",'Demand background (hide)'!AJ41,0),"")</f>
        <v/>
      </c>
      <c r="BE50" s="206"/>
    </row>
    <row r="51" spans="1:57" ht="15" x14ac:dyDescent="0.25">
      <c r="A51" t="str">
        <f t="shared" ca="1" si="0"/>
        <v/>
      </c>
      <c r="B51" s="259" t="str">
        <f t="shared" ca="1" si="1"/>
        <v xml:space="preserve"> </v>
      </c>
      <c r="C51" s="261" t="str">
        <f t="shared" ca="1" si="2"/>
        <v/>
      </c>
      <c r="D51" s="261" t="str">
        <f t="shared" ca="1" si="3"/>
        <v/>
      </c>
      <c r="E51" s="183"/>
      <c r="F51" s="184"/>
      <c r="G51" s="185"/>
      <c r="H51" s="186"/>
      <c r="I51" s="248" t="str">
        <f>IF(COUNTBLANK(E51:H51)=4,"",SUM(E51:G51)+IF(Setup!$I$15="No",0,H51))</f>
        <v/>
      </c>
      <c r="J51" s="197"/>
      <c r="K51" s="198"/>
      <c r="L51" s="199"/>
      <c r="M51" s="200"/>
      <c r="N51" s="252" t="str">
        <f>IF(COUNTBLANK(J51:M51)=4,"",SUM(J51:L51)+IF(Setup!$I$15="No",0,M51))</f>
        <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t="str">
        <f ca="1">IF('Demand background (hide)'!A42=Num_Modalities,"",SUM(Demand!I51))</f>
        <v/>
      </c>
      <c r="BD51" s="256" t="str">
        <f ca="1">IF(AND(A51&lt;=MaxRows,BE51&lt;&gt;"Yes"),'Demand background (hide)'!X42+IF(Setup!$I$15="Yes",'Demand background (hide)'!AJ42,0),"")</f>
        <v/>
      </c>
      <c r="BE51" s="206"/>
    </row>
    <row r="52" spans="1:57" ht="15" x14ac:dyDescent="0.25">
      <c r="A52" t="str">
        <f t="shared" ca="1" si="0"/>
        <v/>
      </c>
      <c r="B52" s="259" t="str">
        <f t="shared" ca="1" si="1"/>
        <v xml:space="preserve"> </v>
      </c>
      <c r="C52" s="261" t="str">
        <f t="shared" ca="1" si="2"/>
        <v/>
      </c>
      <c r="D52" s="261" t="str">
        <f t="shared" ca="1" si="3"/>
        <v/>
      </c>
      <c r="E52" s="183"/>
      <c r="F52" s="184"/>
      <c r="G52" s="185"/>
      <c r="H52" s="186"/>
      <c r="I52" s="248" t="str">
        <f>IF(COUNTBLANK(E52:H52)=4,"",SUM(E52:G52)+IF(Setup!$I$15="No",0,H52))</f>
        <v/>
      </c>
      <c r="J52" s="197"/>
      <c r="K52" s="198"/>
      <c r="L52" s="199"/>
      <c r="M52" s="200"/>
      <c r="N52" s="252" t="str">
        <f>IF(COUNTBLANK(J52:M52)=4,"",SUM(J52:L52)+IF(Setup!$I$15="No",0,M52))</f>
        <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t="str">
        <f ca="1">IF('Demand background (hide)'!A43=Num_Modalities,"",SUM(Demand!I52))</f>
        <v/>
      </c>
      <c r="BD52" s="256" t="str">
        <f ca="1">IF(AND(A52&lt;=MaxRows,BE52&lt;&gt;"Yes"),'Demand background (hide)'!X43+IF(Setup!$I$15="Yes",'Demand background (hide)'!AJ43,0),"")</f>
        <v/>
      </c>
      <c r="BE52" s="206"/>
    </row>
    <row r="53" spans="1:57" ht="15" x14ac:dyDescent="0.25">
      <c r="A53" t="str">
        <f t="shared" ca="1" si="0"/>
        <v/>
      </c>
      <c r="B53" s="259" t="str">
        <f t="shared" ca="1" si="1"/>
        <v xml:space="preserve"> </v>
      </c>
      <c r="C53" s="261" t="str">
        <f t="shared" ca="1" si="2"/>
        <v/>
      </c>
      <c r="D53" s="261" t="str">
        <f t="shared" ca="1" si="3"/>
        <v/>
      </c>
      <c r="E53" s="183"/>
      <c r="F53" s="184"/>
      <c r="G53" s="185"/>
      <c r="H53" s="186"/>
      <c r="I53" s="248" t="str">
        <f>IF(COUNTBLANK(E53:H53)=4,"",SUM(E53:G53)+IF(Setup!$I$15="No",0,H53))</f>
        <v/>
      </c>
      <c r="J53" s="197"/>
      <c r="K53" s="198"/>
      <c r="L53" s="199"/>
      <c r="M53" s="200"/>
      <c r="N53" s="252" t="str">
        <f>IF(COUNTBLANK(J53:M53)=4,"",SUM(J53:L53)+IF(Setup!$I$15="No",0,M53))</f>
        <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t="str">
        <f ca="1">IF('Demand background (hide)'!A44=Num_Modalities,"",SUM(Demand!I53))</f>
        <v/>
      </c>
      <c r="BD53" s="256" t="str">
        <f ca="1">IF(AND(A53&lt;=MaxRows,BE53&lt;&gt;"Yes"),'Demand background (hide)'!X44+IF(Setup!$I$15="Yes",'Demand background (hide)'!AJ44,0),"")</f>
        <v/>
      </c>
      <c r="BE53" s="206"/>
    </row>
    <row r="54" spans="1:57" ht="15" x14ac:dyDescent="0.25">
      <c r="A54" t="str">
        <f t="shared" ca="1" si="0"/>
        <v/>
      </c>
      <c r="B54" s="259" t="str">
        <f t="shared" ca="1" si="1"/>
        <v xml:space="preserve"> </v>
      </c>
      <c r="C54" s="261" t="str">
        <f t="shared" ca="1" si="2"/>
        <v/>
      </c>
      <c r="D54" s="261" t="str">
        <f t="shared" ca="1" si="3"/>
        <v/>
      </c>
      <c r="E54" s="183"/>
      <c r="F54" s="184"/>
      <c r="G54" s="185"/>
      <c r="H54" s="186"/>
      <c r="I54" s="248" t="str">
        <f>IF(COUNTBLANK(E54:H54)=4,"",SUM(E54:G54)+IF(Setup!$I$15="No",0,H54))</f>
        <v/>
      </c>
      <c r="J54" s="197"/>
      <c r="K54" s="198"/>
      <c r="L54" s="199"/>
      <c r="M54" s="200"/>
      <c r="N54" s="252" t="str">
        <f>IF(COUNTBLANK(J54:M54)=4,"",SUM(J54:L54)+IF(Setup!$I$15="No",0,M54))</f>
        <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t="str">
        <f ca="1">IF('Demand background (hide)'!A45=Num_Modalities,"",SUM(Demand!I54))</f>
        <v/>
      </c>
      <c r="BD54" s="256" t="str">
        <f ca="1">IF(AND(A54&lt;=MaxRows,BE54&lt;&gt;"Yes"),'Demand background (hide)'!X45+IF(Setup!$I$15="Yes",'Demand background (hide)'!AJ45,0),"")</f>
        <v/>
      </c>
      <c r="BE54" s="206"/>
    </row>
    <row r="55" spans="1:57" ht="15" x14ac:dyDescent="0.25">
      <c r="A55" t="str">
        <f t="shared" ca="1" si="0"/>
        <v/>
      </c>
      <c r="B55" s="259" t="str">
        <f t="shared" ca="1" si="1"/>
        <v xml:space="preserve"> </v>
      </c>
      <c r="C55" s="261" t="str">
        <f t="shared" ca="1" si="2"/>
        <v/>
      </c>
      <c r="D55" s="261" t="str">
        <f t="shared" ca="1" si="3"/>
        <v/>
      </c>
      <c r="E55" s="183"/>
      <c r="F55" s="184"/>
      <c r="G55" s="185"/>
      <c r="H55" s="186"/>
      <c r="I55" s="248" t="str">
        <f>IF(COUNTBLANK(E55:H55)=4,"",SUM(E55:G55)+IF(Setup!$I$15="No",0,H55))</f>
        <v/>
      </c>
      <c r="J55" s="197"/>
      <c r="K55" s="198"/>
      <c r="L55" s="199"/>
      <c r="M55" s="200"/>
      <c r="N55" s="252" t="str">
        <f>IF(COUNTBLANK(J55:M55)=4,"",SUM(J55:L55)+IF(Setup!$I$15="No",0,M55))</f>
        <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t="str">
        <f ca="1">IF('Demand background (hide)'!A46=Num_Modalities,"",SUM(Demand!I55))</f>
        <v/>
      </c>
      <c r="BD55" s="256" t="str">
        <f ca="1">IF(AND(A55&lt;=MaxRows,BE55&lt;&gt;"Yes"),'Demand background (hide)'!X46+IF(Setup!$I$15="Yes",'Demand background (hide)'!AJ46,0),"")</f>
        <v/>
      </c>
      <c r="BE55" s="206"/>
    </row>
    <row r="56" spans="1:57" ht="15" x14ac:dyDescent="0.25">
      <c r="A56" t="str">
        <f t="shared" ca="1" si="0"/>
        <v/>
      </c>
      <c r="B56" s="259" t="str">
        <f t="shared" ca="1" si="1"/>
        <v xml:space="preserve"> </v>
      </c>
      <c r="C56" s="261" t="str">
        <f t="shared" ca="1" si="2"/>
        <v/>
      </c>
      <c r="D56" s="261" t="str">
        <f t="shared" ca="1" si="3"/>
        <v/>
      </c>
      <c r="E56" s="183"/>
      <c r="F56" s="184"/>
      <c r="G56" s="185"/>
      <c r="H56" s="186"/>
      <c r="I56" s="248" t="str">
        <f>IF(COUNTBLANK(E56:H56)=4,"",SUM(E56:G56)+IF(Setup!$I$15="No",0,H56))</f>
        <v/>
      </c>
      <c r="J56" s="197"/>
      <c r="K56" s="198"/>
      <c r="L56" s="199"/>
      <c r="M56" s="200"/>
      <c r="N56" s="252" t="str">
        <f>IF(COUNTBLANK(J56:M56)=4,"",SUM(J56:L56)+IF(Setup!$I$15="No",0,M56))</f>
        <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t="str">
        <f ca="1">IF('Demand background (hide)'!A47=Num_Modalities,"",SUM(Demand!I56))</f>
        <v/>
      </c>
      <c r="BD56" s="256" t="str">
        <f ca="1">IF(AND(A56&lt;=MaxRows,BE56&lt;&gt;"Yes"),'Demand background (hide)'!X47+IF(Setup!$I$15="Yes",'Demand background (hide)'!AJ47,0),"")</f>
        <v/>
      </c>
      <c r="BE56" s="206"/>
    </row>
    <row r="57" spans="1:57" ht="15" x14ac:dyDescent="0.25">
      <c r="A57" t="str">
        <f t="shared" ca="1" si="0"/>
        <v/>
      </c>
      <c r="B57" s="259" t="str">
        <f t="shared" ca="1" si="1"/>
        <v xml:space="preserve"> </v>
      </c>
      <c r="C57" s="261" t="str">
        <f t="shared" ca="1" si="2"/>
        <v/>
      </c>
      <c r="D57" s="261" t="str">
        <f t="shared" ca="1" si="3"/>
        <v/>
      </c>
      <c r="E57" s="183"/>
      <c r="F57" s="184"/>
      <c r="G57" s="185"/>
      <c r="H57" s="186"/>
      <c r="I57" s="248" t="str">
        <f>IF(COUNTBLANK(E57:H57)=4,"",SUM(E57:G57)+IF(Setup!$I$15="No",0,H57))</f>
        <v/>
      </c>
      <c r="J57" s="197"/>
      <c r="K57" s="198"/>
      <c r="L57" s="199"/>
      <c r="M57" s="200"/>
      <c r="N57" s="252" t="str">
        <f>IF(COUNTBLANK(J57:M57)=4,"",SUM(J57:L57)+IF(Setup!$I$15="No",0,M57))</f>
        <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t="str">
        <f ca="1">IF('Demand background (hide)'!A48=Num_Modalities,"",SUM(Demand!I57))</f>
        <v/>
      </c>
      <c r="BD57" s="256" t="str">
        <f ca="1">IF(AND(A57&lt;=MaxRows,BE57&lt;&gt;"Yes"),'Demand background (hide)'!X48+IF(Setup!$I$15="Yes",'Demand background (hide)'!AJ48,0),"")</f>
        <v/>
      </c>
      <c r="BE57" s="206"/>
    </row>
    <row r="58" spans="1:57" ht="15" x14ac:dyDescent="0.25">
      <c r="A58" t="str">
        <f t="shared" ca="1" si="0"/>
        <v/>
      </c>
      <c r="B58" s="259" t="str">
        <f t="shared" ca="1" si="1"/>
        <v xml:space="preserve"> </v>
      </c>
      <c r="C58" s="261" t="str">
        <f t="shared" ca="1" si="2"/>
        <v/>
      </c>
      <c r="D58" s="261" t="str">
        <f t="shared" ca="1" si="3"/>
        <v/>
      </c>
      <c r="E58" s="183"/>
      <c r="F58" s="184"/>
      <c r="G58" s="185"/>
      <c r="H58" s="186"/>
      <c r="I58" s="248" t="str">
        <f>IF(COUNTBLANK(E58:H58)=4,"",SUM(E58:G58)+IF(Setup!$I$15="No",0,H58))</f>
        <v/>
      </c>
      <c r="J58" s="197"/>
      <c r="K58" s="198"/>
      <c r="L58" s="199"/>
      <c r="M58" s="200"/>
      <c r="N58" s="252" t="str">
        <f>IF(COUNTBLANK(J58:M58)=4,"",SUM(J58:L58)+IF(Setup!$I$15="No",0,M58))</f>
        <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t="str">
        <f ca="1">IF('Demand background (hide)'!A49=Num_Modalities,"",SUM(Demand!I58))</f>
        <v/>
      </c>
      <c r="BD58" s="256" t="str">
        <f ca="1">IF(AND(A58&lt;=MaxRows,BE58&lt;&gt;"Yes"),'Demand background (hide)'!X49+IF(Setup!$I$15="Yes",'Demand background (hide)'!AJ49,0),"")</f>
        <v/>
      </c>
      <c r="BE58" s="206"/>
    </row>
    <row r="59" spans="1:57" ht="15" x14ac:dyDescent="0.25">
      <c r="A59" t="str">
        <f t="shared" ca="1" si="0"/>
        <v/>
      </c>
      <c r="B59" s="259" t="str">
        <f t="shared" ca="1" si="1"/>
        <v xml:space="preserve"> </v>
      </c>
      <c r="C59" s="261" t="str">
        <f t="shared" ca="1" si="2"/>
        <v/>
      </c>
      <c r="D59" s="261" t="str">
        <f t="shared" ca="1" si="3"/>
        <v/>
      </c>
      <c r="E59" s="183"/>
      <c r="F59" s="184"/>
      <c r="G59" s="185"/>
      <c r="H59" s="186"/>
      <c r="I59" s="248" t="str">
        <f>IF(COUNTBLANK(E59:H59)=4,"",SUM(E59:G59)+IF(Setup!$I$15="No",0,H59))</f>
        <v/>
      </c>
      <c r="J59" s="197"/>
      <c r="K59" s="198"/>
      <c r="L59" s="199"/>
      <c r="M59" s="200"/>
      <c r="N59" s="252" t="str">
        <f>IF(COUNTBLANK(J59:M59)=4,"",SUM(J59:L59)+IF(Setup!$I$15="No",0,M59))</f>
        <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t="str">
        <f ca="1">IF('Demand background (hide)'!A50=Num_Modalities,"",SUM(Demand!I59))</f>
        <v/>
      </c>
      <c r="BD59" s="256" t="str">
        <f ca="1">IF(AND(A59&lt;=MaxRows,BE59&lt;&gt;"Yes"),'Demand background (hide)'!X50+IF(Setup!$I$15="Yes",'Demand background (hide)'!AJ50,0),"")</f>
        <v/>
      </c>
      <c r="BE59" s="206"/>
    </row>
    <row r="60" spans="1:57" ht="15" x14ac:dyDescent="0.25">
      <c r="A60" t="str">
        <f t="shared" ca="1" si="0"/>
        <v/>
      </c>
      <c r="B60" s="259" t="str">
        <f t="shared" ca="1" si="1"/>
        <v xml:space="preserve"> </v>
      </c>
      <c r="C60" s="261" t="str">
        <f t="shared" ca="1" si="2"/>
        <v/>
      </c>
      <c r="D60" s="261" t="str">
        <f t="shared" ca="1" si="3"/>
        <v/>
      </c>
      <c r="E60" s="183"/>
      <c r="F60" s="184"/>
      <c r="G60" s="185"/>
      <c r="H60" s="186"/>
      <c r="I60" s="248" t="str">
        <f>IF(COUNTBLANK(E60:H60)=4,"",SUM(E60:G60)+IF(Setup!$I$15="No",0,H60))</f>
        <v/>
      </c>
      <c r="J60" s="197"/>
      <c r="K60" s="198"/>
      <c r="L60" s="199"/>
      <c r="M60" s="200"/>
      <c r="N60" s="252" t="str">
        <f>IF(COUNTBLANK(J60:M60)=4,"",SUM(J60:L60)+IF(Setup!$I$15="No",0,M60))</f>
        <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t="str">
        <f ca="1">IF('Demand background (hide)'!A51=Num_Modalities,"",SUM(Demand!I60))</f>
        <v/>
      </c>
      <c r="BD60" s="256" t="str">
        <f ca="1">IF(AND(A60&lt;=MaxRows,BE60&lt;&gt;"Yes"),'Demand background (hide)'!X51+IF(Setup!$I$15="Yes",'Demand background (hide)'!AJ51,0),"")</f>
        <v/>
      </c>
      <c r="BE60" s="206"/>
    </row>
    <row r="61" spans="1:57" ht="15" x14ac:dyDescent="0.25">
      <c r="A61" t="str">
        <f t="shared" ca="1" si="0"/>
        <v/>
      </c>
      <c r="B61" s="259" t="str">
        <f t="shared" ca="1" si="1"/>
        <v xml:space="preserve"> </v>
      </c>
      <c r="C61" s="261" t="str">
        <f t="shared" ca="1" si="2"/>
        <v/>
      </c>
      <c r="D61" s="261" t="str">
        <f t="shared" ca="1" si="3"/>
        <v/>
      </c>
      <c r="E61" s="183"/>
      <c r="F61" s="184"/>
      <c r="G61" s="185"/>
      <c r="H61" s="186"/>
      <c r="I61" s="248" t="str">
        <f>IF(COUNTBLANK(E61:H61)=4,"",SUM(E61:G61)+IF(Setup!$I$15="No",0,H61))</f>
        <v/>
      </c>
      <c r="J61" s="197"/>
      <c r="K61" s="198"/>
      <c r="L61" s="199"/>
      <c r="M61" s="200"/>
      <c r="N61" s="252" t="str">
        <f>IF(COUNTBLANK(J61:M61)=4,"",SUM(J61:L61)+IF(Setup!$I$15="No",0,M61))</f>
        <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t="str">
        <f ca="1">IF('Demand background (hide)'!A52=Num_Modalities,"",SUM(Demand!I61))</f>
        <v/>
      </c>
      <c r="BD61" s="256" t="str">
        <f ca="1">IF(AND(A61&lt;=MaxRows,BE61&lt;&gt;"Yes"),'Demand background (hide)'!X52+IF(Setup!$I$15="Yes",'Demand background (hide)'!AJ52,0),"")</f>
        <v/>
      </c>
      <c r="BE61" s="206"/>
    </row>
    <row r="62" spans="1:57" ht="15" x14ac:dyDescent="0.25">
      <c r="A62" t="str">
        <f t="shared" ca="1" si="0"/>
        <v/>
      </c>
      <c r="B62" s="259" t="str">
        <f t="shared" ca="1" si="1"/>
        <v xml:space="preserve"> </v>
      </c>
      <c r="C62" s="261" t="str">
        <f t="shared" ca="1" si="2"/>
        <v/>
      </c>
      <c r="D62" s="261" t="str">
        <f t="shared" ca="1" si="3"/>
        <v/>
      </c>
      <c r="E62" s="183"/>
      <c r="F62" s="184"/>
      <c r="G62" s="185"/>
      <c r="H62" s="186"/>
      <c r="I62" s="248" t="str">
        <f>IF(COUNTBLANK(E62:H62)=4,"",SUM(E62:G62)+IF(Setup!$I$15="No",0,H62))</f>
        <v/>
      </c>
      <c r="J62" s="197"/>
      <c r="K62" s="198"/>
      <c r="L62" s="199"/>
      <c r="M62" s="200"/>
      <c r="N62" s="252" t="str">
        <f>IF(COUNTBLANK(J62:M62)=4,"",SUM(J62:L62)+IF(Setup!$I$15="No",0,M62))</f>
        <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t="str">
        <f ca="1">IF('Demand background (hide)'!A53=Num_Modalities,"",SUM(Demand!I62))</f>
        <v/>
      </c>
      <c r="BD62" s="256" t="str">
        <f ca="1">IF(AND(A62&lt;=MaxRows,BE62&lt;&gt;"Yes"),'Demand background (hide)'!X53+IF(Setup!$I$15="Yes",'Demand background (hide)'!AJ53,0),"")</f>
        <v/>
      </c>
      <c r="BE62" s="206"/>
    </row>
    <row r="63" spans="1:57" ht="15" x14ac:dyDescent="0.25">
      <c r="A63" t="str">
        <f t="shared" ca="1" si="0"/>
        <v/>
      </c>
      <c r="B63" s="259" t="str">
        <f t="shared" ca="1" si="1"/>
        <v xml:space="preserve"> </v>
      </c>
      <c r="C63" s="261" t="str">
        <f t="shared" ca="1" si="2"/>
        <v/>
      </c>
      <c r="D63" s="261" t="str">
        <f t="shared" ca="1" si="3"/>
        <v/>
      </c>
      <c r="E63" s="183"/>
      <c r="F63" s="184"/>
      <c r="G63" s="185"/>
      <c r="H63" s="186"/>
      <c r="I63" s="248" t="str">
        <f>IF(COUNTBLANK(E63:H63)=4,"",SUM(E63:G63)+IF(Setup!$I$15="No",0,H63))</f>
        <v/>
      </c>
      <c r="J63" s="197"/>
      <c r="K63" s="198"/>
      <c r="L63" s="199"/>
      <c r="M63" s="200"/>
      <c r="N63" s="252" t="str">
        <f>IF(COUNTBLANK(J63:M63)=4,"",SUM(J63:L63)+IF(Setup!$I$15="No",0,M63))</f>
        <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t="str">
        <f ca="1">IF('Demand background (hide)'!A54=Num_Modalities,"",SUM(Demand!I63))</f>
        <v/>
      </c>
      <c r="BD63" s="256" t="str">
        <f ca="1">IF(AND(A63&lt;=MaxRows,BE63&lt;&gt;"Yes"),'Demand background (hide)'!X54+IF(Setup!$I$15="Yes",'Demand background (hide)'!AJ54,0),"")</f>
        <v/>
      </c>
      <c r="BE63" s="206"/>
    </row>
    <row r="64" spans="1:57" ht="15.75" thickBot="1" x14ac:dyDescent="0.3">
      <c r="A64" t="str">
        <f t="shared" ca="1" si="0"/>
        <v/>
      </c>
      <c r="B64" s="259" t="str">
        <f t="shared" ca="1" si="1"/>
        <v xml:space="preserve"> </v>
      </c>
      <c r="C64" s="262" t="str">
        <f t="shared" ca="1" si="2"/>
        <v/>
      </c>
      <c r="D64" s="262" t="str">
        <f t="shared" ca="1" si="3"/>
        <v/>
      </c>
      <c r="E64" s="187"/>
      <c r="F64" s="188"/>
      <c r="G64" s="189"/>
      <c r="H64" s="190"/>
      <c r="I64" s="249" t="str">
        <f>IF(COUNTBLANK(E64:H64)=4,"",SUM(E64:G64)+IF(Setup!$I$15="No",0,H64))</f>
        <v/>
      </c>
      <c r="J64" s="201"/>
      <c r="K64" s="202"/>
      <c r="L64" s="203"/>
      <c r="M64" s="204"/>
      <c r="N64" s="253" t="str">
        <f>IF(COUNTBLANK(J64:M64)=4,"",SUM(J64:L64)+IF(Setup!$I$15="No",0,M64))</f>
        <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t="str">
        <f ca="1">IF('Demand background (hide)'!A55=Num_Modalities,"",SUM(Demand!I64))</f>
        <v/>
      </c>
      <c r="BD64" s="257" t="str">
        <f ca="1">IF(AND(A64&lt;=MaxRows,BE64&lt;&gt;"Yes"),'Demand background (hide)'!X55+IF(Setup!$I$15="Yes",'Demand background (hide)'!AJ55,0),"")</f>
        <v/>
      </c>
      <c r="BE64" s="207"/>
    </row>
    <row r="65" spans="1:57" ht="15" x14ac:dyDescent="0.25">
      <c r="A65" t="str">
        <f t="shared" ca="1" si="0"/>
        <v/>
      </c>
      <c r="B65" s="263" t="str">
        <f t="shared" ca="1" si="1"/>
        <v xml:space="preserve"> </v>
      </c>
      <c r="C65" s="264" t="str">
        <f t="shared" ca="1" si="2"/>
        <v/>
      </c>
      <c r="D65" s="264" t="str">
        <f t="shared" ca="1" si="3"/>
        <v/>
      </c>
      <c r="E65" s="191"/>
      <c r="F65" s="191"/>
      <c r="G65" s="192"/>
      <c r="H65" s="191"/>
      <c r="I65" s="250" t="str">
        <f>IF(COUNTBLANK(E65:H65)=4,"",SUM(E65:G65)+IF(Setup!$I$15="No",0,H65))</f>
        <v/>
      </c>
      <c r="J65" s="191"/>
      <c r="K65" s="191"/>
      <c r="L65" s="191"/>
      <c r="M65" s="191"/>
      <c r="N65" s="254" t="str">
        <f>IF(COUNTBLANK(J65:M65)=4,"",SUM(J65:L65)+IF(Setup!$I$15="No",0,M65))</f>
        <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t="str">
        <f ca="1">IF('Demand background (hide)'!A56=Num_Modalities,"",SUM(Demand!I65))</f>
        <v/>
      </c>
      <c r="BD65" s="258" t="str">
        <f ca="1">IF(AND(A65&lt;=MaxRows,BE65&lt;&gt;"Yes"),'Demand background (hide)'!X56+IF(Setup!$I$15="Yes",'Demand background (hide)'!AJ56,0),"")</f>
        <v/>
      </c>
      <c r="BE65" s="208"/>
    </row>
    <row r="66" spans="1:57" ht="15" x14ac:dyDescent="0.25">
      <c r="A66" t="str">
        <f t="shared" ca="1" si="0"/>
        <v/>
      </c>
      <c r="B66" s="263" t="str">
        <f t="shared" ca="1" si="1"/>
        <v xml:space="preserve"> </v>
      </c>
      <c r="C66" s="264" t="str">
        <f t="shared" ca="1" si="2"/>
        <v/>
      </c>
      <c r="D66" s="264" t="str">
        <f t="shared" ca="1" si="3"/>
        <v/>
      </c>
      <c r="E66" s="191"/>
      <c r="F66" s="191"/>
      <c r="G66" s="192"/>
      <c r="H66" s="191"/>
      <c r="I66" s="250" t="str">
        <f>IF(COUNTBLANK(E66:H66)=4,"",SUM(E66:G66)+IF(Setup!$I$15="No",0,H66))</f>
        <v/>
      </c>
      <c r="J66" s="191"/>
      <c r="K66" s="191"/>
      <c r="L66" s="191"/>
      <c r="M66" s="191"/>
      <c r="N66" s="254" t="str">
        <f>IF(COUNTBLANK(J66:M66)=4,"",SUM(J66:L66)+IF(Setup!$I$15="No",0,M66))</f>
        <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t="str">
        <f ca="1">IF('Demand background (hide)'!A57=Num_Modalities,"",SUM(Demand!I66))</f>
        <v/>
      </c>
      <c r="BD66" s="258" t="str">
        <f ca="1">IF(AND(A66&lt;=MaxRows,BE66&lt;&gt;"Yes"),'Demand background (hide)'!X57+IF(Setup!$I$15="Yes",'Demand background (hide)'!AJ57,0),"")</f>
        <v/>
      </c>
      <c r="BE66" s="208"/>
    </row>
    <row r="67" spans="1:57" ht="15" x14ac:dyDescent="0.25">
      <c r="A67" t="str">
        <f t="shared" ca="1" si="0"/>
        <v/>
      </c>
      <c r="B67" s="263" t="str">
        <f t="shared" ca="1" si="1"/>
        <v xml:space="preserve"> </v>
      </c>
      <c r="C67" s="264" t="str">
        <f t="shared" ca="1" si="2"/>
        <v/>
      </c>
      <c r="D67" s="264" t="str">
        <f t="shared" ca="1" si="3"/>
        <v/>
      </c>
      <c r="E67" s="191"/>
      <c r="F67" s="191"/>
      <c r="G67" s="192"/>
      <c r="H67" s="191"/>
      <c r="I67" s="250" t="str">
        <f>IF(COUNTBLANK(E67:H67)=4,"",SUM(E67:G67)+IF(Setup!$I$15="No",0,H67))</f>
        <v/>
      </c>
      <c r="J67" s="191"/>
      <c r="K67" s="191"/>
      <c r="L67" s="191"/>
      <c r="M67" s="191"/>
      <c r="N67" s="254" t="str">
        <f>IF(COUNTBLANK(J67:M67)=4,"",SUM(J67:L67)+IF(Setup!$I$15="No",0,M67))</f>
        <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t="str">
        <f ca="1">IF('Demand background (hide)'!A58=Num_Modalities,"",SUM(Demand!I67))</f>
        <v/>
      </c>
      <c r="BD67" s="258" t="str">
        <f ca="1">IF(AND(A67&lt;=MaxRows,BE67&lt;&gt;"Yes"),'Demand background (hide)'!X58+IF(Setup!$I$15="Yes",'Demand background (hide)'!AJ58,0),"")</f>
        <v/>
      </c>
      <c r="BE67" s="208"/>
    </row>
    <row r="68" spans="1:57" ht="15" x14ac:dyDescent="0.25">
      <c r="A68" t="str">
        <f t="shared" ca="1" si="0"/>
        <v/>
      </c>
      <c r="B68" s="263" t="str">
        <f t="shared" ca="1" si="1"/>
        <v xml:space="preserve"> </v>
      </c>
      <c r="C68" s="264" t="str">
        <f t="shared" ca="1" si="2"/>
        <v/>
      </c>
      <c r="D68" s="264" t="str">
        <f t="shared" ca="1" si="3"/>
        <v/>
      </c>
      <c r="E68" s="191"/>
      <c r="F68" s="191"/>
      <c r="G68" s="192"/>
      <c r="H68" s="191"/>
      <c r="I68" s="250" t="str">
        <f>IF(COUNTBLANK(E68:H68)=4,"",SUM(E68:G68)+IF(Setup!$I$15="No",0,H68))</f>
        <v/>
      </c>
      <c r="J68" s="191"/>
      <c r="K68" s="191"/>
      <c r="L68" s="191"/>
      <c r="M68" s="191"/>
      <c r="N68" s="254" t="str">
        <f>IF(COUNTBLANK(J68:M68)=4,"",SUM(J68:L68)+IF(Setup!$I$15="No",0,M68))</f>
        <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t="str">
        <f ca="1">IF('Demand background (hide)'!A59=Num_Modalities,"",SUM(Demand!I68))</f>
        <v/>
      </c>
      <c r="BD68" s="258" t="str">
        <f ca="1">IF(AND(A68&lt;=MaxRows,BE68&lt;&gt;"Yes"),'Demand background (hide)'!X59+IF(Setup!$I$15="Yes",'Demand background (hide)'!AJ59,0),"")</f>
        <v/>
      </c>
      <c r="BE68" s="208"/>
    </row>
    <row r="69" spans="1:57" ht="15" x14ac:dyDescent="0.25">
      <c r="A69" t="str">
        <f t="shared" ca="1" si="0"/>
        <v/>
      </c>
      <c r="B69" s="263" t="str">
        <f t="shared" ca="1" si="1"/>
        <v xml:space="preserve"> </v>
      </c>
      <c r="C69" s="264" t="str">
        <f t="shared" ca="1" si="2"/>
        <v/>
      </c>
      <c r="D69" s="264" t="str">
        <f t="shared" ca="1" si="3"/>
        <v/>
      </c>
      <c r="E69" s="191"/>
      <c r="F69" s="191"/>
      <c r="G69" s="192"/>
      <c r="H69" s="191"/>
      <c r="I69" s="250" t="str">
        <f>IF(COUNTBLANK(E69:H69)=4,"",SUM(E69:G69)+IF(Setup!$I$15="No",0,H69))</f>
        <v/>
      </c>
      <c r="J69" s="191"/>
      <c r="K69" s="191"/>
      <c r="L69" s="191"/>
      <c r="M69" s="191"/>
      <c r="N69" s="254" t="str">
        <f>IF(COUNTBLANK(J69:M69)=4,"",SUM(J69:L69)+IF(Setup!$I$15="No",0,M69))</f>
        <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t="str">
        <f ca="1">IF('Demand background (hide)'!A60=Num_Modalities,"",SUM(Demand!I69))</f>
        <v/>
      </c>
      <c r="BD69" s="258" t="str">
        <f ca="1">IF(AND(A69&lt;=MaxRows,BE69&lt;&gt;"Yes"),'Demand background (hide)'!X60+IF(Setup!$I$15="Yes",'Demand background (hide)'!AJ60,0),"")</f>
        <v/>
      </c>
      <c r="BE69" s="208"/>
    </row>
    <row r="70" spans="1:57" ht="15" x14ac:dyDescent="0.25">
      <c r="A70" t="str">
        <f t="shared" ca="1" si="0"/>
        <v/>
      </c>
      <c r="B70" s="263" t="str">
        <f t="shared" ca="1" si="1"/>
        <v xml:space="preserve"> </v>
      </c>
      <c r="C70" s="264" t="str">
        <f t="shared" ca="1" si="2"/>
        <v/>
      </c>
      <c r="D70" s="264" t="str">
        <f t="shared" ca="1" si="3"/>
        <v/>
      </c>
      <c r="E70" s="191"/>
      <c r="F70" s="191"/>
      <c r="G70" s="192"/>
      <c r="H70" s="191"/>
      <c r="I70" s="250" t="str">
        <f>IF(COUNTBLANK(E70:H70)=4,"",SUM(E70:G70)+IF(Setup!$I$15="No",0,H70))</f>
        <v/>
      </c>
      <c r="J70" s="191"/>
      <c r="K70" s="191"/>
      <c r="L70" s="191"/>
      <c r="M70" s="191"/>
      <c r="N70" s="254" t="str">
        <f>IF(COUNTBLANK(J70:M70)=4,"",SUM(J70:L70)+IF(Setup!$I$15="No",0,M70))</f>
        <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t="str">
        <f ca="1">IF('Demand background (hide)'!A61=Num_Modalities,"",SUM(Demand!I70))</f>
        <v/>
      </c>
      <c r="BD70" s="258" t="str">
        <f ca="1">IF(AND(A70&lt;=MaxRows,BE70&lt;&gt;"Yes"),'Demand background (hide)'!X61+IF(Setup!$I$15="Yes",'Demand background (hide)'!AJ61,0),"")</f>
        <v/>
      </c>
      <c r="BE70" s="208"/>
    </row>
    <row r="71" spans="1:57" ht="15" x14ac:dyDescent="0.25">
      <c r="A71" t="str">
        <f t="shared" ca="1" si="0"/>
        <v/>
      </c>
      <c r="B71" s="263" t="str">
        <f t="shared" ca="1" si="1"/>
        <v xml:space="preserve"> </v>
      </c>
      <c r="C71" s="264" t="str">
        <f t="shared" ca="1" si="2"/>
        <v/>
      </c>
      <c r="D71" s="264" t="str">
        <f t="shared" ca="1" si="3"/>
        <v/>
      </c>
      <c r="E71" s="191"/>
      <c r="F71" s="191"/>
      <c r="G71" s="192"/>
      <c r="H71" s="191"/>
      <c r="I71" s="250" t="str">
        <f>IF(COUNTBLANK(E71:H71)=4,"",SUM(E71:G71)+IF(Setup!$I$15="No",0,H71))</f>
        <v/>
      </c>
      <c r="J71" s="191"/>
      <c r="K71" s="191"/>
      <c r="L71" s="191"/>
      <c r="M71" s="191"/>
      <c r="N71" s="254" t="str">
        <f>IF(COUNTBLANK(J71:M71)=4,"",SUM(J71:L71)+IF(Setup!$I$15="No",0,M71))</f>
        <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t="str">
        <f ca="1">IF('Demand background (hide)'!A62=Num_Modalities,"",SUM(Demand!I71))</f>
        <v/>
      </c>
      <c r="BD71" s="258" t="str">
        <f ca="1">IF(AND(A71&lt;=MaxRows,BE71&lt;&gt;"Yes"),'Demand background (hide)'!X62+IF(Setup!$I$15="Yes",'Demand background (hide)'!AJ62,0),"")</f>
        <v/>
      </c>
      <c r="BE71" s="208"/>
    </row>
    <row r="72" spans="1:57" ht="15" x14ac:dyDescent="0.25">
      <c r="A72" t="str">
        <f t="shared" ca="1" si="0"/>
        <v/>
      </c>
      <c r="B72" s="263" t="str">
        <f t="shared" ca="1" si="1"/>
        <v xml:space="preserve"> </v>
      </c>
      <c r="C72" s="264" t="str">
        <f t="shared" ca="1" si="2"/>
        <v/>
      </c>
      <c r="D72" s="264" t="str">
        <f t="shared" ca="1" si="3"/>
        <v/>
      </c>
      <c r="E72" s="191"/>
      <c r="F72" s="191"/>
      <c r="G72" s="192"/>
      <c r="H72" s="191"/>
      <c r="I72" s="250" t="str">
        <f>IF(COUNTBLANK(E72:H72)=4,"",SUM(E72:G72)+IF(Setup!$I$15="No",0,H72))</f>
        <v/>
      </c>
      <c r="J72" s="191"/>
      <c r="K72" s="191"/>
      <c r="L72" s="191"/>
      <c r="M72" s="191"/>
      <c r="N72" s="254" t="str">
        <f>IF(COUNTBLANK(J72:M72)=4,"",SUM(J72:L72)+IF(Setup!$I$15="No",0,M72))</f>
        <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t="str">
        <f ca="1">IF('Demand background (hide)'!A63=Num_Modalities,"",SUM(Demand!I72))</f>
        <v/>
      </c>
      <c r="BD72" s="258" t="str">
        <f ca="1">IF(AND(A72&lt;=MaxRows,BE72&lt;&gt;"Yes"),'Demand background (hide)'!X63+IF(Setup!$I$15="Yes",'Demand background (hide)'!AJ63,0),"")</f>
        <v/>
      </c>
      <c r="BE72" s="208"/>
    </row>
    <row r="73" spans="1:57" ht="15" x14ac:dyDescent="0.25">
      <c r="A73" t="str">
        <f t="shared" ca="1" si="0"/>
        <v/>
      </c>
      <c r="B73" s="263" t="str">
        <f t="shared" ca="1" si="1"/>
        <v xml:space="preserve"> </v>
      </c>
      <c r="C73" s="264" t="str">
        <f t="shared" ca="1" si="2"/>
        <v/>
      </c>
      <c r="D73" s="264" t="str">
        <f t="shared" ca="1" si="3"/>
        <v/>
      </c>
      <c r="E73" s="191"/>
      <c r="F73" s="191"/>
      <c r="G73" s="192"/>
      <c r="H73" s="191"/>
      <c r="I73" s="250" t="str">
        <f>IF(COUNTBLANK(E73:H73)=4,"",SUM(E73:G73)+IF(Setup!$I$15="No",0,H73))</f>
        <v/>
      </c>
      <c r="J73" s="191"/>
      <c r="K73" s="191"/>
      <c r="L73" s="191"/>
      <c r="M73" s="191"/>
      <c r="N73" s="254" t="str">
        <f>IF(COUNTBLANK(J73:M73)=4,"",SUM(J73:L73)+IF(Setup!$I$15="No",0,M73))</f>
        <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t="str">
        <f ca="1">IF('Demand background (hide)'!A64=Num_Modalities,"",SUM(Demand!I73))</f>
        <v/>
      </c>
      <c r="BD73" s="258" t="str">
        <f ca="1">IF(AND(A73&lt;=MaxRows,BE73&lt;&gt;"Yes"),'Demand background (hide)'!X64+IF(Setup!$I$15="Yes",'Demand background (hide)'!AJ64,0),"")</f>
        <v/>
      </c>
      <c r="BE73" s="208"/>
    </row>
    <row r="74" spans="1:57" ht="15" x14ac:dyDescent="0.25">
      <c r="A74" t="str">
        <f t="shared" ca="1" si="0"/>
        <v/>
      </c>
      <c r="B74" s="263" t="str">
        <f t="shared" ca="1" si="1"/>
        <v xml:space="preserve"> </v>
      </c>
      <c r="C74" s="264" t="str">
        <f t="shared" ca="1" si="2"/>
        <v/>
      </c>
      <c r="D74" s="264" t="str">
        <f t="shared" ca="1" si="3"/>
        <v/>
      </c>
      <c r="E74" s="191"/>
      <c r="F74" s="191"/>
      <c r="G74" s="192"/>
      <c r="H74" s="191"/>
      <c r="I74" s="250" t="str">
        <f>IF(COUNTBLANK(E74:H74)=4,"",SUM(E74:G74)+IF(Setup!$I$15="No",0,H74))</f>
        <v/>
      </c>
      <c r="J74" s="191"/>
      <c r="K74" s="191"/>
      <c r="L74" s="191"/>
      <c r="M74" s="191"/>
      <c r="N74" s="254" t="str">
        <f>IF(COUNTBLANK(J74:M74)=4,"",SUM(J74:L74)+IF(Setup!$I$15="No",0,M74))</f>
        <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t="str">
        <f ca="1">IF('Demand background (hide)'!A65=Num_Modalities,"",SUM(Demand!I74))</f>
        <v/>
      </c>
      <c r="BD74" s="258" t="str">
        <f ca="1">IF(AND(A74&lt;=MaxRows,BE74&lt;&gt;"Yes"),'Demand background (hide)'!X65+IF(Setup!$I$15="Yes",'Demand background (hide)'!AJ65,0),"")</f>
        <v/>
      </c>
      <c r="BE74" s="208"/>
    </row>
    <row r="75" spans="1:57" ht="15" x14ac:dyDescent="0.25">
      <c r="A75" t="str">
        <f t="shared" ca="1" si="0"/>
        <v/>
      </c>
      <c r="B75" s="263" t="str">
        <f t="shared" ca="1" si="1"/>
        <v xml:space="preserve"> </v>
      </c>
      <c r="C75" s="264" t="str">
        <f t="shared" ca="1" si="2"/>
        <v/>
      </c>
      <c r="D75" s="264" t="str">
        <f t="shared" ca="1" si="3"/>
        <v/>
      </c>
      <c r="E75" s="191"/>
      <c r="F75" s="191"/>
      <c r="G75" s="192"/>
      <c r="H75" s="191"/>
      <c r="I75" s="250" t="str">
        <f>IF(COUNTBLANK(E75:H75)=4,"",SUM(E75:G75)+IF(Setup!$I$15="No",0,H75))</f>
        <v/>
      </c>
      <c r="J75" s="191"/>
      <c r="K75" s="191"/>
      <c r="L75" s="191"/>
      <c r="M75" s="191"/>
      <c r="N75" s="254" t="str">
        <f>IF(COUNTBLANK(J75:M75)=4,"",SUM(J75:L75)+IF(Setup!$I$15="No",0,M75))</f>
        <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t="str">
        <f ca="1">IF('Demand background (hide)'!A66=Num_Modalities,"",SUM(Demand!I75))</f>
        <v/>
      </c>
      <c r="BD75" s="258" t="str">
        <f ca="1">IF(AND(A75&lt;=MaxRows,BE75&lt;&gt;"Yes"),'Demand background (hide)'!X66+IF(Setup!$I$15="Yes",'Demand background (hide)'!AJ66,0),"")</f>
        <v/>
      </c>
      <c r="BE75" s="208"/>
    </row>
    <row r="76" spans="1:57" ht="15" x14ac:dyDescent="0.25">
      <c r="A76" t="str">
        <f t="shared" ca="1" si="0"/>
        <v/>
      </c>
      <c r="B76" s="263" t="str">
        <f t="shared" ca="1" si="1"/>
        <v xml:space="preserve"> </v>
      </c>
      <c r="C76" s="264" t="str">
        <f t="shared" ca="1" si="2"/>
        <v/>
      </c>
      <c r="D76" s="264" t="str">
        <f t="shared" ca="1" si="3"/>
        <v/>
      </c>
      <c r="E76" s="191"/>
      <c r="F76" s="191"/>
      <c r="G76" s="192"/>
      <c r="H76" s="191"/>
      <c r="I76" s="250" t="str">
        <f>IF(COUNTBLANK(E76:H76)=4,"",SUM(E76:G76)+IF(Setup!$I$15="No",0,H76))</f>
        <v/>
      </c>
      <c r="J76" s="191"/>
      <c r="K76" s="191"/>
      <c r="L76" s="191"/>
      <c r="M76" s="191"/>
      <c r="N76" s="254" t="str">
        <f>IF(COUNTBLANK(J76:M76)=4,"",SUM(J76:L76)+IF(Setup!$I$15="No",0,M76))</f>
        <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t="str">
        <f ca="1">IF('Demand background (hide)'!A67=Num_Modalities,"",SUM(Demand!I76))</f>
        <v/>
      </c>
      <c r="BD76" s="258" t="str">
        <f ca="1">IF(AND(A76&lt;=MaxRows,BE76&lt;&gt;"Yes"),'Demand background (hide)'!X67+IF(Setup!$I$15="Yes",'Demand background (hide)'!AJ67,0),"")</f>
        <v/>
      </c>
      <c r="BE76" s="208"/>
    </row>
    <row r="77" spans="1:57" ht="15" x14ac:dyDescent="0.25">
      <c r="A77" t="str">
        <f t="shared" ref="A77:A140" ca="1" si="4">IF(BC77&lt;&gt;"",ROW(A65),"")</f>
        <v/>
      </c>
      <c r="B77" s="263" t="str">
        <f t="shared" ca="1" si="1"/>
        <v xml:space="preserve"> </v>
      </c>
      <c r="C77" s="264" t="str">
        <f t="shared" ca="1" si="2"/>
        <v/>
      </c>
      <c r="D77" s="264" t="str">
        <f t="shared" ca="1" si="3"/>
        <v/>
      </c>
      <c r="E77" s="191"/>
      <c r="F77" s="191"/>
      <c r="G77" s="192"/>
      <c r="H77" s="191"/>
      <c r="I77" s="250" t="str">
        <f>IF(COUNTBLANK(E77:H77)=4,"",SUM(E77:G77)+IF(Setup!$I$15="No",0,H77))</f>
        <v/>
      </c>
      <c r="J77" s="191"/>
      <c r="K77" s="191"/>
      <c r="L77" s="191"/>
      <c r="M77" s="191"/>
      <c r="N77" s="254" t="str">
        <f>IF(COUNTBLANK(J77:M77)=4,"",SUM(J77:L77)+IF(Setup!$I$15="No",0,M77))</f>
        <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t="str">
        <f ca="1">IF('Demand background (hide)'!A68=Num_Modalities,"",SUM(Demand!I77))</f>
        <v/>
      </c>
      <c r="BD77" s="258" t="str">
        <f ca="1">IF(AND(A77&lt;=MaxRows,BE77&lt;&gt;"Yes"),'Demand background (hide)'!X68+IF(Setup!$I$15="Yes",'Demand background (hide)'!AJ68,0),"")</f>
        <v/>
      </c>
      <c r="BE77" s="208"/>
    </row>
    <row r="78" spans="1:57" ht="15" x14ac:dyDescent="0.25">
      <c r="A78" t="str">
        <f t="shared" ca="1" si="4"/>
        <v/>
      </c>
      <c r="B78" s="263" t="str">
        <f t="shared" ref="B78:B141" ca="1" si="5">IF(A78&lt;=MaxRows,IF($C$6&lt;&gt;"",IF(YEAR(D78)&lt;&gt;YEAR(D77),YEAR(D78)," "),IF(C78&lt;&gt;1,"",OFFSET(B78,-C77,0,1,1)+1))," ")</f>
        <v xml:space="preserve"> </v>
      </c>
      <c r="C78" s="264" t="str">
        <f t="shared" ref="C78:C141" ca="1" si="6">IF(ROW(A66)&lt;=MaxRows,IF($C$6&lt;&gt;"",WEEKNUM(D78,21),IF(MOD((C77+1),52)&gt;0,MOD((C77+1),52),52)),"")</f>
        <v/>
      </c>
      <c r="D78" s="264" t="str">
        <f t="shared" ref="D78:D141" ca="1" si="7">IF(OR(AND(ROW(A66)&lt;=MaxRows,$C$6&lt;&gt;""),AND(ROW(A78)&lt;=64,LEFT($C$8,1)&lt;&gt;"H")),D77+7,"")</f>
        <v/>
      </c>
      <c r="E78" s="191"/>
      <c r="F78" s="191"/>
      <c r="G78" s="192"/>
      <c r="H78" s="191"/>
      <c r="I78" s="250" t="str">
        <f>IF(COUNTBLANK(E78:H78)=4,"",SUM(E78:G78)+IF(Setup!$I$15="No",0,H78))</f>
        <v/>
      </c>
      <c r="J78" s="191"/>
      <c r="K78" s="191"/>
      <c r="L78" s="191"/>
      <c r="M78" s="191"/>
      <c r="N78" s="254" t="str">
        <f>IF(COUNTBLANK(J78:M78)=4,"",SUM(J78:L78)+IF(Setup!$I$15="No",0,M78))</f>
        <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t="str">
        <f ca="1">IF('Demand background (hide)'!A69=Num_Modalities,"",SUM(Demand!I78))</f>
        <v/>
      </c>
      <c r="BD78" s="258" t="str">
        <f ca="1">IF(AND(A78&lt;=MaxRows,BE78&lt;&gt;"Yes"),'Demand background (hide)'!X69+IF(Setup!$I$15="Yes",'Demand background (hide)'!AJ69,0),"")</f>
        <v/>
      </c>
      <c r="BE78" s="208"/>
    </row>
    <row r="79" spans="1:57" ht="15" x14ac:dyDescent="0.25">
      <c r="A79" t="str">
        <f t="shared" ca="1" si="4"/>
        <v/>
      </c>
      <c r="B79" s="263" t="str">
        <f t="shared" ca="1" si="5"/>
        <v xml:space="preserve"> </v>
      </c>
      <c r="C79" s="264" t="str">
        <f t="shared" ca="1" si="6"/>
        <v/>
      </c>
      <c r="D79" s="264" t="str">
        <f t="shared" ca="1" si="7"/>
        <v/>
      </c>
      <c r="E79" s="191"/>
      <c r="F79" s="191"/>
      <c r="G79" s="192"/>
      <c r="H79" s="191"/>
      <c r="I79" s="250" t="str">
        <f>IF(COUNTBLANK(E79:H79)=4,"",SUM(E79:G79)+IF(Setup!$I$15="No",0,H79))</f>
        <v/>
      </c>
      <c r="J79" s="191"/>
      <c r="K79" s="191"/>
      <c r="L79" s="191"/>
      <c r="M79" s="191"/>
      <c r="N79" s="254" t="str">
        <f>IF(COUNTBLANK(J79:M79)=4,"",SUM(J79:L79)+IF(Setup!$I$15="No",0,M79))</f>
        <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t="str">
        <f ca="1">IF('Demand background (hide)'!A70=Num_Modalities,"",SUM(Demand!I79))</f>
        <v/>
      </c>
      <c r="BD79" s="258" t="str">
        <f ca="1">IF(AND(A79&lt;=MaxRows,BE79&lt;&gt;"Yes"),'Demand background (hide)'!X70+IF(Setup!$I$15="Yes",'Demand background (hide)'!AJ70,0),"")</f>
        <v/>
      </c>
      <c r="BE79" s="208"/>
    </row>
    <row r="80" spans="1:57" ht="15" x14ac:dyDescent="0.25">
      <c r="A80" t="str">
        <f t="shared" ca="1" si="4"/>
        <v/>
      </c>
      <c r="B80" s="263" t="str">
        <f t="shared" ca="1" si="5"/>
        <v xml:space="preserve"> </v>
      </c>
      <c r="C80" s="264" t="str">
        <f t="shared" ca="1" si="6"/>
        <v/>
      </c>
      <c r="D80" s="264" t="str">
        <f t="shared" ca="1" si="7"/>
        <v/>
      </c>
      <c r="E80" s="191"/>
      <c r="F80" s="191"/>
      <c r="G80" s="192"/>
      <c r="H80" s="191"/>
      <c r="I80" s="250" t="str">
        <f>IF(COUNTBLANK(E80:H80)=4,"",SUM(E80:G80)+IF(Setup!$I$15="No",0,H80))</f>
        <v/>
      </c>
      <c r="J80" s="191"/>
      <c r="K80" s="191"/>
      <c r="L80" s="191"/>
      <c r="M80" s="191"/>
      <c r="N80" s="254" t="str">
        <f>IF(COUNTBLANK(J80:M80)=4,"",SUM(J80:L80)+IF(Setup!$I$15="No",0,M80))</f>
        <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t="str">
        <f ca="1">IF('Demand background (hide)'!A71=Num_Modalities,"",SUM(Demand!I80))</f>
        <v/>
      </c>
      <c r="BD80" s="258" t="str">
        <f ca="1">IF(AND(A80&lt;=MaxRows,BE80&lt;&gt;"Yes"),'Demand background (hide)'!X71+IF(Setup!$I$15="Yes",'Demand background (hide)'!AJ71,0),"")</f>
        <v/>
      </c>
      <c r="BE80" s="208"/>
    </row>
    <row r="81" spans="1:57" ht="15" x14ac:dyDescent="0.25">
      <c r="A81" t="str">
        <f t="shared" ca="1" si="4"/>
        <v/>
      </c>
      <c r="B81" s="263" t="str">
        <f t="shared" ca="1" si="5"/>
        <v xml:space="preserve"> </v>
      </c>
      <c r="C81" s="264" t="str">
        <f t="shared" ca="1" si="6"/>
        <v/>
      </c>
      <c r="D81" s="264" t="str">
        <f t="shared" ca="1" si="7"/>
        <v/>
      </c>
      <c r="E81" s="191"/>
      <c r="F81" s="191"/>
      <c r="G81" s="192"/>
      <c r="H81" s="191"/>
      <c r="I81" s="250" t="str">
        <f>IF(COUNTBLANK(E81:H81)=4,"",SUM(E81:G81)+IF(Setup!$I$15="No",0,H81))</f>
        <v/>
      </c>
      <c r="J81" s="191"/>
      <c r="K81" s="191"/>
      <c r="L81" s="191"/>
      <c r="M81" s="191"/>
      <c r="N81" s="254" t="str">
        <f>IF(COUNTBLANK(J81:M81)=4,"",SUM(J81:L81)+IF(Setup!$I$15="No",0,M81))</f>
        <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t="str">
        <f ca="1">IF('Demand background (hide)'!A72=Num_Modalities,"",SUM(Demand!I81))</f>
        <v/>
      </c>
      <c r="BD81" s="258" t="str">
        <f ca="1">IF(AND(A81&lt;=MaxRows,BE81&lt;&gt;"Yes"),'Demand background (hide)'!X72+IF(Setup!$I$15="Yes",'Demand background (hide)'!AJ72,0),"")</f>
        <v/>
      </c>
      <c r="BE81" s="208"/>
    </row>
    <row r="82" spans="1:57" ht="15" x14ac:dyDescent="0.25">
      <c r="A82" t="str">
        <f t="shared" ca="1" si="4"/>
        <v/>
      </c>
      <c r="B82" s="263" t="str">
        <f t="shared" ca="1" si="5"/>
        <v xml:space="preserve"> </v>
      </c>
      <c r="C82" s="264" t="str">
        <f t="shared" ca="1" si="6"/>
        <v/>
      </c>
      <c r="D82" s="264" t="str">
        <f t="shared" ca="1" si="7"/>
        <v/>
      </c>
      <c r="E82" s="191"/>
      <c r="F82" s="191"/>
      <c r="G82" s="192"/>
      <c r="H82" s="191"/>
      <c r="I82" s="250" t="str">
        <f>IF(COUNTBLANK(E82:H82)=4,"",SUM(E82:G82)+IF(Setup!$I$15="No",0,H82))</f>
        <v/>
      </c>
      <c r="J82" s="191"/>
      <c r="K82" s="191"/>
      <c r="L82" s="191"/>
      <c r="M82" s="191"/>
      <c r="N82" s="254" t="str">
        <f>IF(COUNTBLANK(J82:M82)=4,"",SUM(J82:L82)+IF(Setup!$I$15="No",0,M82))</f>
        <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t="str">
        <f ca="1">IF('Demand background (hide)'!A73=Num_Modalities,"",SUM(Demand!I82))</f>
        <v/>
      </c>
      <c r="BD82" s="258" t="str">
        <f ca="1">IF(AND(A82&lt;=MaxRows,BE82&lt;&gt;"Yes"),'Demand background (hide)'!X73+IF(Setup!$I$15="Yes",'Demand background (hide)'!AJ73,0),"")</f>
        <v/>
      </c>
      <c r="BE82" s="208"/>
    </row>
    <row r="83" spans="1:57" ht="15" x14ac:dyDescent="0.25">
      <c r="A83" t="str">
        <f t="shared" ca="1" si="4"/>
        <v/>
      </c>
      <c r="B83" s="263" t="str">
        <f t="shared" ca="1" si="5"/>
        <v xml:space="preserve"> </v>
      </c>
      <c r="C83" s="264" t="str">
        <f t="shared" ca="1" si="6"/>
        <v/>
      </c>
      <c r="D83" s="264" t="str">
        <f t="shared" ca="1" si="7"/>
        <v/>
      </c>
      <c r="E83" s="191"/>
      <c r="F83" s="191"/>
      <c r="G83" s="192"/>
      <c r="H83" s="191"/>
      <c r="I83" s="250" t="str">
        <f>IF(COUNTBLANK(E83:H83)=4,"",SUM(E83:G83)+IF(Setup!$I$15="No",0,H83))</f>
        <v/>
      </c>
      <c r="J83" s="191"/>
      <c r="K83" s="191"/>
      <c r="L83" s="191"/>
      <c r="M83" s="191"/>
      <c r="N83" s="254" t="str">
        <f>IF(COUNTBLANK(J83:M83)=4,"",SUM(J83:L83)+IF(Setup!$I$15="No",0,M83))</f>
        <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t="str">
        <f ca="1">IF('Demand background (hide)'!A74=Num_Modalities,"",SUM(Demand!I83))</f>
        <v/>
      </c>
      <c r="BD83" s="258" t="str">
        <f ca="1">IF(AND(A83&lt;=MaxRows,BE83&lt;&gt;"Yes"),'Demand background (hide)'!X74+IF(Setup!$I$15="Yes",'Demand background (hide)'!AJ74,0),"")</f>
        <v/>
      </c>
      <c r="BE83" s="208"/>
    </row>
    <row r="84" spans="1:57" ht="15" x14ac:dyDescent="0.25">
      <c r="A84" t="str">
        <f t="shared" ca="1" si="4"/>
        <v/>
      </c>
      <c r="B84" s="263" t="str">
        <f t="shared" ca="1" si="5"/>
        <v xml:space="preserve"> </v>
      </c>
      <c r="C84" s="264" t="str">
        <f t="shared" ca="1" si="6"/>
        <v/>
      </c>
      <c r="D84" s="264" t="str">
        <f t="shared" ca="1" si="7"/>
        <v/>
      </c>
      <c r="E84" s="191"/>
      <c r="F84" s="191"/>
      <c r="G84" s="192"/>
      <c r="H84" s="191"/>
      <c r="I84" s="250" t="str">
        <f>IF(COUNTBLANK(E84:H84)=4,"",SUM(E84:G84)+IF(Setup!$I$15="No",0,H84))</f>
        <v/>
      </c>
      <c r="J84" s="191"/>
      <c r="K84" s="191"/>
      <c r="L84" s="191"/>
      <c r="M84" s="191"/>
      <c r="N84" s="254" t="str">
        <f>IF(COUNTBLANK(J84:M84)=4,"",SUM(J84:L84)+IF(Setup!$I$15="No",0,M84))</f>
        <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t="str">
        <f ca="1">IF('Demand background (hide)'!A75=Num_Modalities,"",SUM(Demand!I84))</f>
        <v/>
      </c>
      <c r="BD84" s="258" t="str">
        <f ca="1">IF(AND(A84&lt;=MaxRows,BE84&lt;&gt;"Yes"),'Demand background (hide)'!X75+IF(Setup!$I$15="Yes",'Demand background (hide)'!AJ75,0),"")</f>
        <v/>
      </c>
      <c r="BE84" s="208"/>
    </row>
    <row r="85" spans="1:57" ht="15" x14ac:dyDescent="0.25">
      <c r="A85" t="str">
        <f t="shared" ca="1" si="4"/>
        <v/>
      </c>
      <c r="B85" s="263" t="str">
        <f t="shared" ca="1" si="5"/>
        <v xml:space="preserve"> </v>
      </c>
      <c r="C85" s="264" t="str">
        <f t="shared" ca="1" si="6"/>
        <v/>
      </c>
      <c r="D85" s="264" t="str">
        <f t="shared" ca="1" si="7"/>
        <v/>
      </c>
      <c r="E85" s="191"/>
      <c r="F85" s="191"/>
      <c r="G85" s="192"/>
      <c r="H85" s="191"/>
      <c r="I85" s="250" t="str">
        <f>IF(COUNTBLANK(E85:H85)=4,"",SUM(E85:G85)+IF(Setup!$I$15="No",0,H85))</f>
        <v/>
      </c>
      <c r="J85" s="191"/>
      <c r="K85" s="191"/>
      <c r="L85" s="191"/>
      <c r="M85" s="191"/>
      <c r="N85" s="254" t="str">
        <f>IF(COUNTBLANK(J85:M85)=4,"",SUM(J85:L85)+IF(Setup!$I$15="No",0,M85))</f>
        <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t="str">
        <f ca="1">IF('Demand background (hide)'!A76=Num_Modalities,"",SUM(Demand!I85))</f>
        <v/>
      </c>
      <c r="BD85" s="258" t="str">
        <f ca="1">IF(AND(A85&lt;=MaxRows,BE85&lt;&gt;"Yes"),'Demand background (hide)'!X76+IF(Setup!$I$15="Yes",'Demand background (hide)'!AJ76,0),"")</f>
        <v/>
      </c>
      <c r="BE85" s="208"/>
    </row>
    <row r="86" spans="1:57" ht="15" x14ac:dyDescent="0.25">
      <c r="A86" t="str">
        <f t="shared" ca="1" si="4"/>
        <v/>
      </c>
      <c r="B86" s="263" t="str">
        <f t="shared" ca="1" si="5"/>
        <v xml:space="preserve"> </v>
      </c>
      <c r="C86" s="264" t="str">
        <f t="shared" ca="1" si="6"/>
        <v/>
      </c>
      <c r="D86" s="264" t="str">
        <f t="shared" ca="1" si="7"/>
        <v/>
      </c>
      <c r="E86" s="191"/>
      <c r="F86" s="191"/>
      <c r="G86" s="192"/>
      <c r="H86" s="191"/>
      <c r="I86" s="250" t="str">
        <f>IF(COUNTBLANK(E86:H86)=4,"",SUM(E86:G86)+IF(Setup!$I$15="No",0,H86))</f>
        <v/>
      </c>
      <c r="J86" s="191"/>
      <c r="K86" s="191"/>
      <c r="L86" s="191"/>
      <c r="M86" s="191"/>
      <c r="N86" s="254" t="str">
        <f>IF(COUNTBLANK(J86:M86)=4,"",SUM(J86:L86)+IF(Setup!$I$15="No",0,M86))</f>
        <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t="str">
        <f ca="1">IF('Demand background (hide)'!A77=Num_Modalities,"",SUM(Demand!I86))</f>
        <v/>
      </c>
      <c r="BD86" s="258" t="str">
        <f ca="1">IF(AND(A86&lt;=MaxRows,BE86&lt;&gt;"Yes"),'Demand background (hide)'!X77+IF(Setup!$I$15="Yes",'Demand background (hide)'!AJ77,0),"")</f>
        <v/>
      </c>
      <c r="BE86" s="208"/>
    </row>
    <row r="87" spans="1:57" ht="15" x14ac:dyDescent="0.25">
      <c r="A87" t="str">
        <f t="shared" ca="1" si="4"/>
        <v/>
      </c>
      <c r="B87" s="263" t="str">
        <f t="shared" ca="1" si="5"/>
        <v xml:space="preserve"> </v>
      </c>
      <c r="C87" s="264" t="str">
        <f t="shared" ca="1" si="6"/>
        <v/>
      </c>
      <c r="D87" s="264" t="str">
        <f t="shared" ca="1" si="7"/>
        <v/>
      </c>
      <c r="E87" s="191"/>
      <c r="F87" s="191"/>
      <c r="G87" s="192"/>
      <c r="H87" s="191"/>
      <c r="I87" s="250" t="str">
        <f>IF(COUNTBLANK(E87:H87)=4,"",SUM(E87:G87)+IF(Setup!$I$15="No",0,H87))</f>
        <v/>
      </c>
      <c r="J87" s="191"/>
      <c r="K87" s="191"/>
      <c r="L87" s="191"/>
      <c r="M87" s="191"/>
      <c r="N87" s="254" t="str">
        <f>IF(COUNTBLANK(J87:M87)=4,"",SUM(J87:L87)+IF(Setup!$I$15="No",0,M87))</f>
        <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t="str">
        <f ca="1">IF('Demand background (hide)'!A78=Num_Modalities,"",SUM(Demand!I87))</f>
        <v/>
      </c>
      <c r="BD87" s="258" t="str">
        <f ca="1">IF(AND(A87&lt;=MaxRows,BE87&lt;&gt;"Yes"),'Demand background (hide)'!X78+IF(Setup!$I$15="Yes",'Demand background (hide)'!AJ78,0),"")</f>
        <v/>
      </c>
      <c r="BE87" s="208"/>
    </row>
    <row r="88" spans="1:57" ht="15" x14ac:dyDescent="0.25">
      <c r="A88" t="str">
        <f t="shared" ca="1" si="4"/>
        <v/>
      </c>
      <c r="B88" s="263" t="str">
        <f t="shared" ca="1" si="5"/>
        <v xml:space="preserve"> </v>
      </c>
      <c r="C88" s="264" t="str">
        <f t="shared" ca="1" si="6"/>
        <v/>
      </c>
      <c r="D88" s="264" t="str">
        <f t="shared" ca="1" si="7"/>
        <v/>
      </c>
      <c r="E88" s="191"/>
      <c r="F88" s="191"/>
      <c r="G88" s="192"/>
      <c r="H88" s="191"/>
      <c r="I88" s="250" t="str">
        <f>IF(COUNTBLANK(E88:H88)=4,"",SUM(E88:G88)+IF(Setup!$I$15="No",0,H88))</f>
        <v/>
      </c>
      <c r="J88" s="191"/>
      <c r="K88" s="191"/>
      <c r="L88" s="191"/>
      <c r="M88" s="191"/>
      <c r="N88" s="254" t="str">
        <f>IF(COUNTBLANK(J88:M88)=4,"",SUM(J88:L88)+IF(Setup!$I$15="No",0,M88))</f>
        <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t="str">
        <f ca="1">IF('Demand background (hide)'!A79=Num_Modalities,"",SUM(Demand!I88))</f>
        <v/>
      </c>
      <c r="BD88" s="258" t="str">
        <f ca="1">IF(AND(A88&lt;=MaxRows,BE88&lt;&gt;"Yes"),'Demand background (hide)'!X79+IF(Setup!$I$15="Yes",'Demand background (hide)'!AJ79,0),"")</f>
        <v/>
      </c>
      <c r="BE88" s="208"/>
    </row>
    <row r="89" spans="1:57" ht="15" x14ac:dyDescent="0.25">
      <c r="A89" t="str">
        <f t="shared" ca="1" si="4"/>
        <v/>
      </c>
      <c r="B89" s="263" t="str">
        <f t="shared" ca="1" si="5"/>
        <v xml:space="preserve"> </v>
      </c>
      <c r="C89" s="264" t="str">
        <f t="shared" ca="1" si="6"/>
        <v/>
      </c>
      <c r="D89" s="264" t="str">
        <f t="shared" ca="1" si="7"/>
        <v/>
      </c>
      <c r="E89" s="191"/>
      <c r="F89" s="191"/>
      <c r="G89" s="192"/>
      <c r="H89" s="191"/>
      <c r="I89" s="250" t="str">
        <f>IF(COUNTBLANK(E89:H89)=4,"",SUM(E89:G89)+IF(Setup!$I$15="No",0,H89))</f>
        <v/>
      </c>
      <c r="J89" s="191"/>
      <c r="K89" s="191"/>
      <c r="L89" s="191"/>
      <c r="M89" s="191"/>
      <c r="N89" s="254" t="str">
        <f>IF(COUNTBLANK(J89:M89)=4,"",SUM(J89:L89)+IF(Setup!$I$15="No",0,M89))</f>
        <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t="str">
        <f ca="1">IF('Demand background (hide)'!A80=Num_Modalities,"",SUM(Demand!I89))</f>
        <v/>
      </c>
      <c r="BD89" s="258" t="str">
        <f ca="1">IF(AND(A89&lt;=MaxRows,BE89&lt;&gt;"Yes"),'Demand background (hide)'!X80+IF(Setup!$I$15="Yes",'Demand background (hide)'!AJ80,0),"")</f>
        <v/>
      </c>
      <c r="BE89" s="208"/>
    </row>
    <row r="90" spans="1:57" ht="15" x14ac:dyDescent="0.25">
      <c r="A90" t="str">
        <f t="shared" ca="1" si="4"/>
        <v/>
      </c>
      <c r="B90" s="263" t="str">
        <f t="shared" ca="1" si="5"/>
        <v xml:space="preserve"> </v>
      </c>
      <c r="C90" s="264" t="str">
        <f t="shared" ca="1" si="6"/>
        <v/>
      </c>
      <c r="D90" s="264" t="str">
        <f t="shared" ca="1" si="7"/>
        <v/>
      </c>
      <c r="E90" s="191"/>
      <c r="F90" s="191"/>
      <c r="G90" s="192"/>
      <c r="H90" s="191"/>
      <c r="I90" s="250" t="str">
        <f>IF(COUNTBLANK(E90:H90)=4,"",SUM(E90:G90)+IF(Setup!$I$15="No",0,H90))</f>
        <v/>
      </c>
      <c r="J90" s="191"/>
      <c r="K90" s="191"/>
      <c r="L90" s="191"/>
      <c r="M90" s="191"/>
      <c r="N90" s="254" t="str">
        <f>IF(COUNTBLANK(J90:M90)=4,"",SUM(J90:L90)+IF(Setup!$I$15="No",0,M90))</f>
        <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t="str">
        <f ca="1">IF('Demand background (hide)'!A81=Num_Modalities,"",SUM(Demand!I90))</f>
        <v/>
      </c>
      <c r="BD90" s="258" t="str">
        <f ca="1">IF(AND(A90&lt;=MaxRows,BE90&lt;&gt;"Yes"),'Demand background (hide)'!X81+IF(Setup!$I$15="Yes",'Demand background (hide)'!AJ81,0),"")</f>
        <v/>
      </c>
      <c r="BE90" s="208"/>
    </row>
    <row r="91" spans="1:57" ht="15" x14ac:dyDescent="0.25">
      <c r="A91" t="str">
        <f t="shared" ca="1" si="4"/>
        <v/>
      </c>
      <c r="B91" s="263" t="str">
        <f t="shared" ca="1" si="5"/>
        <v xml:space="preserve"> </v>
      </c>
      <c r="C91" s="264" t="str">
        <f t="shared" ca="1" si="6"/>
        <v/>
      </c>
      <c r="D91" s="264" t="str">
        <f t="shared" ca="1" si="7"/>
        <v/>
      </c>
      <c r="E91" s="191"/>
      <c r="F91" s="191"/>
      <c r="G91" s="192"/>
      <c r="H91" s="191"/>
      <c r="I91" s="250" t="str">
        <f>IF(COUNTBLANK(E91:H91)=4,"",SUM(E91:G91)+IF(Setup!$I$15="No",0,H91))</f>
        <v/>
      </c>
      <c r="J91" s="191"/>
      <c r="K91" s="191"/>
      <c r="L91" s="191"/>
      <c r="M91" s="191"/>
      <c r="N91" s="254" t="str">
        <f>IF(COUNTBLANK(J91:M91)=4,"",SUM(J91:L91)+IF(Setup!$I$15="No",0,M91))</f>
        <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t="str">
        <f ca="1">IF('Demand background (hide)'!A82=Num_Modalities,"",SUM(Demand!I91))</f>
        <v/>
      </c>
      <c r="BD91" s="258" t="str">
        <f ca="1">IF(AND(A91&lt;=MaxRows,BE91&lt;&gt;"Yes"),'Demand background (hide)'!X82+IF(Setup!$I$15="Yes",'Demand background (hide)'!AJ82,0),"")</f>
        <v/>
      </c>
      <c r="BE91" s="208"/>
    </row>
    <row r="92" spans="1:57" ht="15" x14ac:dyDescent="0.25">
      <c r="A92" t="str">
        <f t="shared" ca="1" si="4"/>
        <v/>
      </c>
      <c r="B92" s="263" t="str">
        <f t="shared" ca="1" si="5"/>
        <v xml:space="preserve"> </v>
      </c>
      <c r="C92" s="264" t="str">
        <f t="shared" ca="1" si="6"/>
        <v/>
      </c>
      <c r="D92" s="264" t="str">
        <f t="shared" ca="1" si="7"/>
        <v/>
      </c>
      <c r="E92" s="191"/>
      <c r="F92" s="191"/>
      <c r="G92" s="192"/>
      <c r="H92" s="191"/>
      <c r="I92" s="250" t="str">
        <f>IF(COUNTBLANK(E92:H92)=4,"",SUM(E92:G92)+IF(Setup!$I$15="No",0,H92))</f>
        <v/>
      </c>
      <c r="J92" s="191"/>
      <c r="K92" s="191"/>
      <c r="L92" s="191"/>
      <c r="M92" s="191"/>
      <c r="N92" s="254" t="str">
        <f>IF(COUNTBLANK(J92:M92)=4,"",SUM(J92:L92)+IF(Setup!$I$15="No",0,M92))</f>
        <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t="str">
        <f ca="1">IF('Demand background (hide)'!A83=Num_Modalities,"",SUM(Demand!I92))</f>
        <v/>
      </c>
      <c r="BD92" s="258" t="str">
        <f ca="1">IF(AND(A92&lt;=MaxRows,BE92&lt;&gt;"Yes"),'Demand background (hide)'!X83+IF(Setup!$I$15="Yes",'Demand background (hide)'!AJ83,0),"")</f>
        <v/>
      </c>
      <c r="BE92" s="208"/>
    </row>
    <row r="93" spans="1:57" ht="15" x14ac:dyDescent="0.25">
      <c r="A93" t="str">
        <f t="shared" ca="1" si="4"/>
        <v/>
      </c>
      <c r="B93" s="263" t="str">
        <f t="shared" ca="1" si="5"/>
        <v xml:space="preserve"> </v>
      </c>
      <c r="C93" s="264" t="str">
        <f t="shared" ca="1" si="6"/>
        <v/>
      </c>
      <c r="D93" s="264" t="str">
        <f t="shared" ca="1" si="7"/>
        <v/>
      </c>
      <c r="E93" s="191"/>
      <c r="F93" s="191"/>
      <c r="G93" s="192"/>
      <c r="H93" s="191"/>
      <c r="I93" s="250" t="str">
        <f>IF(COUNTBLANK(E93:H93)=4,"",SUM(E93:G93)+IF(Setup!$I$15="No",0,H93))</f>
        <v/>
      </c>
      <c r="J93" s="191"/>
      <c r="K93" s="191"/>
      <c r="L93" s="191"/>
      <c r="M93" s="191"/>
      <c r="N93" s="254" t="str">
        <f>IF(COUNTBLANK(J93:M93)=4,"",SUM(J93:L93)+IF(Setup!$I$15="No",0,M93))</f>
        <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t="str">
        <f ca="1">IF('Demand background (hide)'!A84=Num_Modalities,"",SUM(Demand!I93))</f>
        <v/>
      </c>
      <c r="BD93" s="258" t="str">
        <f ca="1">IF(AND(A93&lt;=MaxRows,BE93&lt;&gt;"Yes"),'Demand background (hide)'!X84+IF(Setup!$I$15="Yes",'Demand background (hide)'!AJ84,0),"")</f>
        <v/>
      </c>
      <c r="BE93" s="208"/>
    </row>
    <row r="94" spans="1:57" ht="15" x14ac:dyDescent="0.25">
      <c r="A94" t="str">
        <f t="shared" ca="1" si="4"/>
        <v/>
      </c>
      <c r="B94" s="263" t="str">
        <f t="shared" ca="1" si="5"/>
        <v xml:space="preserve"> </v>
      </c>
      <c r="C94" s="264" t="str">
        <f t="shared" ca="1" si="6"/>
        <v/>
      </c>
      <c r="D94" s="264" t="str">
        <f t="shared" ca="1" si="7"/>
        <v/>
      </c>
      <c r="E94" s="191"/>
      <c r="F94" s="191"/>
      <c r="G94" s="192"/>
      <c r="H94" s="191"/>
      <c r="I94" s="250" t="str">
        <f>IF(COUNTBLANK(E94:H94)=4,"",SUM(E94:G94)+IF(Setup!$I$15="No",0,H94))</f>
        <v/>
      </c>
      <c r="J94" s="191"/>
      <c r="K94" s="191"/>
      <c r="L94" s="191"/>
      <c r="M94" s="191"/>
      <c r="N94" s="254" t="str">
        <f>IF(COUNTBLANK(J94:M94)=4,"",SUM(J94:L94)+IF(Setup!$I$15="No",0,M94))</f>
        <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t="str">
        <f ca="1">IF('Demand background (hide)'!A85=Num_Modalities,"",SUM(Demand!I94))</f>
        <v/>
      </c>
      <c r="BD94" s="258" t="str">
        <f ca="1">IF(AND(A94&lt;=MaxRows,BE94&lt;&gt;"Yes"),'Demand background (hide)'!X85+IF(Setup!$I$15="Yes",'Demand background (hide)'!AJ85,0),"")</f>
        <v/>
      </c>
      <c r="BE94" s="208"/>
    </row>
    <row r="95" spans="1:57" ht="15" x14ac:dyDescent="0.25">
      <c r="A95" t="str">
        <f t="shared" ca="1" si="4"/>
        <v/>
      </c>
      <c r="B95" s="263" t="str">
        <f t="shared" ca="1" si="5"/>
        <v xml:space="preserve"> </v>
      </c>
      <c r="C95" s="264" t="str">
        <f t="shared" ca="1" si="6"/>
        <v/>
      </c>
      <c r="D95" s="264" t="str">
        <f t="shared" ca="1" si="7"/>
        <v/>
      </c>
      <c r="E95" s="191"/>
      <c r="F95" s="191"/>
      <c r="G95" s="192"/>
      <c r="H95" s="191"/>
      <c r="I95" s="250" t="str">
        <f>IF(COUNTBLANK(E95:H95)=4,"",SUM(E95:G95)+IF(Setup!$I$15="No",0,H95))</f>
        <v/>
      </c>
      <c r="J95" s="191"/>
      <c r="K95" s="191"/>
      <c r="L95" s="191"/>
      <c r="M95" s="191"/>
      <c r="N95" s="254" t="str">
        <f>IF(COUNTBLANK(J95:M95)=4,"",SUM(J95:L95)+IF(Setup!$I$15="No",0,M95))</f>
        <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t="str">
        <f ca="1">IF('Demand background (hide)'!A86=Num_Modalities,"",SUM(Demand!I95))</f>
        <v/>
      </c>
      <c r="BD95" s="258" t="str">
        <f ca="1">IF(AND(A95&lt;=MaxRows,BE95&lt;&gt;"Yes"),'Demand background (hide)'!X86+IF(Setup!$I$15="Yes",'Demand background (hide)'!AJ86,0),"")</f>
        <v/>
      </c>
      <c r="BE95" s="208"/>
    </row>
    <row r="96" spans="1:57" ht="15" x14ac:dyDescent="0.25">
      <c r="A96" t="str">
        <f t="shared" ca="1" si="4"/>
        <v/>
      </c>
      <c r="B96" s="263" t="str">
        <f t="shared" ca="1" si="5"/>
        <v xml:space="preserve"> </v>
      </c>
      <c r="C96" s="264" t="str">
        <f t="shared" ca="1" si="6"/>
        <v/>
      </c>
      <c r="D96" s="264" t="str">
        <f t="shared" ca="1" si="7"/>
        <v/>
      </c>
      <c r="E96" s="191"/>
      <c r="F96" s="191"/>
      <c r="G96" s="192"/>
      <c r="H96" s="191"/>
      <c r="I96" s="250" t="str">
        <f>IF(COUNTBLANK(E96:H96)=4,"",SUM(E96:G96)+IF(Setup!$I$15="No",0,H96))</f>
        <v/>
      </c>
      <c r="J96" s="191"/>
      <c r="K96" s="191"/>
      <c r="L96" s="191"/>
      <c r="M96" s="191"/>
      <c r="N96" s="254" t="str">
        <f>IF(COUNTBLANK(J96:M96)=4,"",SUM(J96:L96)+IF(Setup!$I$15="No",0,M96))</f>
        <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t="str">
        <f ca="1">IF('Demand background (hide)'!A87=Num_Modalities,"",SUM(Demand!I96))</f>
        <v/>
      </c>
      <c r="BD96" s="258" t="str">
        <f ca="1">IF(AND(A96&lt;=MaxRows,BE96&lt;&gt;"Yes"),'Demand background (hide)'!X87+IF(Setup!$I$15="Yes",'Demand background (hide)'!AJ87,0),"")</f>
        <v/>
      </c>
      <c r="BE96" s="208"/>
    </row>
    <row r="97" spans="1:57" ht="15" x14ac:dyDescent="0.25">
      <c r="A97" t="str">
        <f t="shared" ca="1" si="4"/>
        <v/>
      </c>
      <c r="B97" s="263" t="str">
        <f t="shared" ca="1" si="5"/>
        <v xml:space="preserve"> </v>
      </c>
      <c r="C97" s="264" t="str">
        <f t="shared" ca="1" si="6"/>
        <v/>
      </c>
      <c r="D97" s="264" t="str">
        <f t="shared" ca="1" si="7"/>
        <v/>
      </c>
      <c r="E97" s="191"/>
      <c r="F97" s="191"/>
      <c r="G97" s="192"/>
      <c r="H97" s="191"/>
      <c r="I97" s="250" t="str">
        <f>IF(COUNTBLANK(E97:H97)=4,"",SUM(E97:G97)+IF(Setup!$I$15="No",0,H97))</f>
        <v/>
      </c>
      <c r="J97" s="191"/>
      <c r="K97" s="191"/>
      <c r="L97" s="191"/>
      <c r="M97" s="191"/>
      <c r="N97" s="254" t="str">
        <f>IF(COUNTBLANK(J97:M97)=4,"",SUM(J97:L97)+IF(Setup!$I$15="No",0,M97))</f>
        <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t="str">
        <f ca="1">IF('Demand background (hide)'!A88=Num_Modalities,"",SUM(Demand!I97))</f>
        <v/>
      </c>
      <c r="BD97" s="258" t="str">
        <f ca="1">IF(AND(A97&lt;=MaxRows,BE97&lt;&gt;"Yes"),'Demand background (hide)'!X88+IF(Setup!$I$15="Yes",'Demand background (hide)'!AJ88,0),"")</f>
        <v/>
      </c>
      <c r="BE97" s="208"/>
    </row>
    <row r="98" spans="1:57" ht="15" x14ac:dyDescent="0.25">
      <c r="A98" t="str">
        <f t="shared" ca="1" si="4"/>
        <v/>
      </c>
      <c r="B98" s="263" t="str">
        <f t="shared" ca="1" si="5"/>
        <v xml:space="preserve"> </v>
      </c>
      <c r="C98" s="264" t="str">
        <f t="shared" ca="1" si="6"/>
        <v/>
      </c>
      <c r="D98" s="264" t="str">
        <f t="shared" ca="1" si="7"/>
        <v/>
      </c>
      <c r="E98" s="191"/>
      <c r="F98" s="191"/>
      <c r="G98" s="192"/>
      <c r="H98" s="191"/>
      <c r="I98" s="250" t="str">
        <f>IF(COUNTBLANK(E98:H98)=4,"",SUM(E98:G98)+IF(Setup!$I$15="No",0,H98))</f>
        <v/>
      </c>
      <c r="J98" s="191"/>
      <c r="K98" s="191"/>
      <c r="L98" s="191"/>
      <c r="M98" s="191"/>
      <c r="N98" s="254" t="str">
        <f>IF(COUNTBLANK(J98:M98)=4,"",SUM(J98:L98)+IF(Setup!$I$15="No",0,M98))</f>
        <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t="str">
        <f ca="1">IF('Demand background (hide)'!A89=Num_Modalities,"",SUM(Demand!I98))</f>
        <v/>
      </c>
      <c r="BD98" s="258" t="str">
        <f ca="1">IF(AND(A98&lt;=MaxRows,BE98&lt;&gt;"Yes"),'Demand background (hide)'!X89+IF(Setup!$I$15="Yes",'Demand background (hide)'!AJ89,0),"")</f>
        <v/>
      </c>
      <c r="BE98" s="208"/>
    </row>
    <row r="99" spans="1:57" ht="15" x14ac:dyDescent="0.25">
      <c r="A99" t="str">
        <f t="shared" ca="1" si="4"/>
        <v/>
      </c>
      <c r="B99" s="263" t="str">
        <f t="shared" ca="1" si="5"/>
        <v xml:space="preserve"> </v>
      </c>
      <c r="C99" s="264" t="str">
        <f t="shared" ca="1" si="6"/>
        <v/>
      </c>
      <c r="D99" s="264" t="str">
        <f t="shared" ca="1" si="7"/>
        <v/>
      </c>
      <c r="E99" s="191"/>
      <c r="F99" s="191"/>
      <c r="G99" s="192"/>
      <c r="H99" s="191"/>
      <c r="I99" s="250" t="str">
        <f>IF(COUNTBLANK(E99:H99)=4,"",SUM(E99:G99)+IF(Setup!$I$15="No",0,H99))</f>
        <v/>
      </c>
      <c r="J99" s="191"/>
      <c r="K99" s="191"/>
      <c r="L99" s="191"/>
      <c r="M99" s="191"/>
      <c r="N99" s="254" t="str">
        <f>IF(COUNTBLANK(J99:M99)=4,"",SUM(J99:L99)+IF(Setup!$I$15="No",0,M99))</f>
        <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t="str">
        <f ca="1">IF('Demand background (hide)'!A90=Num_Modalities,"",SUM(Demand!I99))</f>
        <v/>
      </c>
      <c r="BD99" s="258" t="str">
        <f ca="1">IF(AND(A99&lt;=MaxRows,BE99&lt;&gt;"Yes"),'Demand background (hide)'!X90+IF(Setup!$I$15="Yes",'Demand background (hide)'!AJ90,0),"")</f>
        <v/>
      </c>
      <c r="BE99" s="208"/>
    </row>
    <row r="100" spans="1:57" ht="15" x14ac:dyDescent="0.25">
      <c r="A100" t="str">
        <f t="shared" ca="1" si="4"/>
        <v/>
      </c>
      <c r="B100" s="263" t="str">
        <f t="shared" ca="1" si="5"/>
        <v xml:space="preserve"> </v>
      </c>
      <c r="C100" s="264" t="str">
        <f t="shared" ca="1" si="6"/>
        <v/>
      </c>
      <c r="D100" s="264" t="str">
        <f t="shared" ca="1" si="7"/>
        <v/>
      </c>
      <c r="E100" s="191"/>
      <c r="F100" s="191"/>
      <c r="G100" s="192"/>
      <c r="H100" s="191"/>
      <c r="I100" s="250" t="str">
        <f>IF(COUNTBLANK(E100:H100)=4,"",SUM(E100:G100)+IF(Setup!$I$15="No",0,H100))</f>
        <v/>
      </c>
      <c r="J100" s="191"/>
      <c r="K100" s="191"/>
      <c r="L100" s="191"/>
      <c r="M100" s="191"/>
      <c r="N100" s="254" t="str">
        <f>IF(COUNTBLANK(J100:M100)=4,"",SUM(J100:L100)+IF(Setup!$I$15="No",0,M100))</f>
        <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t="str">
        <f ca="1">IF('Demand background (hide)'!A91=Num_Modalities,"",SUM(Demand!I100))</f>
        <v/>
      </c>
      <c r="BD100" s="258" t="str">
        <f ca="1">IF(AND(A100&lt;=MaxRows,BE100&lt;&gt;"Yes"),'Demand background (hide)'!X91+IF(Setup!$I$15="Yes",'Demand background (hide)'!AJ91,0),"")</f>
        <v/>
      </c>
      <c r="BE100" s="208"/>
    </row>
    <row r="101" spans="1:57" ht="15" x14ac:dyDescent="0.25">
      <c r="A101" t="str">
        <f t="shared" ca="1" si="4"/>
        <v/>
      </c>
      <c r="B101" s="263" t="str">
        <f t="shared" ca="1" si="5"/>
        <v xml:space="preserve"> </v>
      </c>
      <c r="C101" s="264" t="str">
        <f t="shared" ca="1" si="6"/>
        <v/>
      </c>
      <c r="D101" s="264" t="str">
        <f t="shared" ca="1" si="7"/>
        <v/>
      </c>
      <c r="E101" s="191"/>
      <c r="F101" s="191"/>
      <c r="G101" s="192"/>
      <c r="H101" s="191"/>
      <c r="I101" s="250" t="str">
        <f>IF(COUNTBLANK(E101:H101)=4,"",SUM(E101:G101)+IF(Setup!$I$15="No",0,H101))</f>
        <v/>
      </c>
      <c r="J101" s="191"/>
      <c r="K101" s="191"/>
      <c r="L101" s="191"/>
      <c r="M101" s="191"/>
      <c r="N101" s="254" t="str">
        <f>IF(COUNTBLANK(J101:M101)=4,"",SUM(J101:L101)+IF(Setup!$I$15="No",0,M101))</f>
        <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t="str">
        <f ca="1">IF('Demand background (hide)'!A92=Num_Modalities,"",SUM(Demand!I101))</f>
        <v/>
      </c>
      <c r="BD101" s="258" t="str">
        <f ca="1">IF(AND(A101&lt;=MaxRows,BE101&lt;&gt;"Yes"),'Demand background (hide)'!X92+IF(Setup!$I$15="Yes",'Demand background (hide)'!AJ92,0),"")</f>
        <v/>
      </c>
      <c r="BE101" s="208"/>
    </row>
    <row r="102" spans="1:57" ht="15" x14ac:dyDescent="0.25">
      <c r="A102" t="str">
        <f t="shared" ca="1" si="4"/>
        <v/>
      </c>
      <c r="B102" s="263" t="str">
        <f t="shared" ca="1" si="5"/>
        <v xml:space="preserve"> </v>
      </c>
      <c r="C102" s="264" t="str">
        <f t="shared" ca="1" si="6"/>
        <v/>
      </c>
      <c r="D102" s="264" t="str">
        <f t="shared" ca="1" si="7"/>
        <v/>
      </c>
      <c r="E102" s="191"/>
      <c r="F102" s="191"/>
      <c r="G102" s="192"/>
      <c r="H102" s="191"/>
      <c r="I102" s="250" t="str">
        <f>IF(COUNTBLANK(E102:H102)=4,"",SUM(E102:G102)+IF(Setup!$I$15="No",0,H102))</f>
        <v/>
      </c>
      <c r="J102" s="191"/>
      <c r="K102" s="191"/>
      <c r="L102" s="191"/>
      <c r="M102" s="191"/>
      <c r="N102" s="254" t="str">
        <f>IF(COUNTBLANK(J102:M102)=4,"",SUM(J102:L102)+IF(Setup!$I$15="No",0,M102))</f>
        <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t="str">
        <f ca="1">IF('Demand background (hide)'!A93=Num_Modalities,"",SUM(Demand!I102))</f>
        <v/>
      </c>
      <c r="BD102" s="258" t="str">
        <f ca="1">IF(AND(A102&lt;=MaxRows,BE102&lt;&gt;"Yes"),'Demand background (hide)'!X93+IF(Setup!$I$15="Yes",'Demand background (hide)'!AJ93,0),"")</f>
        <v/>
      </c>
      <c r="BE102" s="208"/>
    </row>
    <row r="103" spans="1:57" ht="15" x14ac:dyDescent="0.25">
      <c r="A103" t="str">
        <f t="shared" ca="1" si="4"/>
        <v/>
      </c>
      <c r="B103" s="263" t="str">
        <f t="shared" ca="1" si="5"/>
        <v xml:space="preserve"> </v>
      </c>
      <c r="C103" s="264" t="str">
        <f t="shared" ca="1" si="6"/>
        <v/>
      </c>
      <c r="D103" s="264" t="str">
        <f t="shared" ca="1" si="7"/>
        <v/>
      </c>
      <c r="E103" s="191"/>
      <c r="F103" s="191"/>
      <c r="G103" s="192"/>
      <c r="H103" s="191"/>
      <c r="I103" s="250" t="str">
        <f>IF(COUNTBLANK(E103:H103)=4,"",SUM(E103:G103)+IF(Setup!$I$15="No",0,H103))</f>
        <v/>
      </c>
      <c r="J103" s="191"/>
      <c r="K103" s="191"/>
      <c r="L103" s="191"/>
      <c r="M103" s="191"/>
      <c r="N103" s="254" t="str">
        <f>IF(COUNTBLANK(J103:M103)=4,"",SUM(J103:L103)+IF(Setup!$I$15="No",0,M103))</f>
        <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t="str">
        <f ca="1">IF('Demand background (hide)'!A94=Num_Modalities,"",SUM(Demand!I103))</f>
        <v/>
      </c>
      <c r="BD103" s="258" t="str">
        <f ca="1">IF(AND(A103&lt;=MaxRows,BE103&lt;&gt;"Yes"),'Demand background (hide)'!X94+IF(Setup!$I$15="Yes",'Demand background (hide)'!AJ94,0),"")</f>
        <v/>
      </c>
      <c r="BE103" s="208"/>
    </row>
    <row r="104" spans="1:57" ht="15" x14ac:dyDescent="0.25">
      <c r="A104" t="str">
        <f t="shared" ca="1" si="4"/>
        <v/>
      </c>
      <c r="B104" s="263" t="str">
        <f t="shared" ca="1" si="5"/>
        <v xml:space="preserve"> </v>
      </c>
      <c r="C104" s="264" t="str">
        <f t="shared" ca="1" si="6"/>
        <v/>
      </c>
      <c r="D104" s="264" t="str">
        <f t="shared" ca="1" si="7"/>
        <v/>
      </c>
      <c r="E104" s="191"/>
      <c r="F104" s="191"/>
      <c r="G104" s="192"/>
      <c r="H104" s="191"/>
      <c r="I104" s="250" t="str">
        <f>IF(COUNTBLANK(E104:H104)=4,"",SUM(E104:G104)+IF(Setup!$I$15="No",0,H104))</f>
        <v/>
      </c>
      <c r="J104" s="191"/>
      <c r="K104" s="191"/>
      <c r="L104" s="191"/>
      <c r="M104" s="191"/>
      <c r="N104" s="254" t="str">
        <f>IF(COUNTBLANK(J104:M104)=4,"",SUM(J104:L104)+IF(Setup!$I$15="No",0,M104))</f>
        <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t="str">
        <f ca="1">IF('Demand background (hide)'!A95=Num_Modalities,"",SUM(Demand!I104))</f>
        <v/>
      </c>
      <c r="BD104" s="258" t="str">
        <f ca="1">IF(AND(A104&lt;=MaxRows,BE104&lt;&gt;"Yes"),'Demand background (hide)'!X95+IF(Setup!$I$15="Yes",'Demand background (hide)'!AJ95,0),"")</f>
        <v/>
      </c>
      <c r="BE104" s="208"/>
    </row>
    <row r="105" spans="1:57" ht="15" x14ac:dyDescent="0.25">
      <c r="A105" t="str">
        <f t="shared" ca="1" si="4"/>
        <v/>
      </c>
      <c r="B105" s="263" t="str">
        <f t="shared" ca="1" si="5"/>
        <v xml:space="preserve"> </v>
      </c>
      <c r="C105" s="264" t="str">
        <f t="shared" ca="1" si="6"/>
        <v/>
      </c>
      <c r="D105" s="264" t="str">
        <f t="shared" ca="1" si="7"/>
        <v/>
      </c>
      <c r="E105" s="191"/>
      <c r="F105" s="191"/>
      <c r="G105" s="192"/>
      <c r="H105" s="191"/>
      <c r="I105" s="250" t="str">
        <f>IF(COUNTBLANK(E105:H105)=4,"",SUM(E105:G105)+IF(Setup!$I$15="No",0,H105))</f>
        <v/>
      </c>
      <c r="J105" s="191"/>
      <c r="K105" s="191"/>
      <c r="L105" s="191"/>
      <c r="M105" s="191"/>
      <c r="N105" s="254" t="str">
        <f>IF(COUNTBLANK(J105:M105)=4,"",SUM(J105:L105)+IF(Setup!$I$15="No",0,M105))</f>
        <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t="str">
        <f ca="1">IF('Demand background (hide)'!A96=Num_Modalities,"",SUM(Demand!I105))</f>
        <v/>
      </c>
      <c r="BD105" s="258" t="str">
        <f ca="1">IF(AND(A105&lt;=MaxRows,BE105&lt;&gt;"Yes"),'Demand background (hide)'!X96+IF(Setup!$I$15="Yes",'Demand background (hide)'!AJ96,0),"")</f>
        <v/>
      </c>
      <c r="BE105" s="208"/>
    </row>
    <row r="106" spans="1:57" ht="15" x14ac:dyDescent="0.25">
      <c r="A106" t="str">
        <f t="shared" ca="1" si="4"/>
        <v/>
      </c>
      <c r="B106" s="263" t="str">
        <f t="shared" ca="1" si="5"/>
        <v xml:space="preserve"> </v>
      </c>
      <c r="C106" s="264" t="str">
        <f t="shared" ca="1" si="6"/>
        <v/>
      </c>
      <c r="D106" s="264" t="str">
        <f t="shared" ca="1" si="7"/>
        <v/>
      </c>
      <c r="E106" s="191"/>
      <c r="F106" s="191"/>
      <c r="G106" s="192"/>
      <c r="H106" s="191"/>
      <c r="I106" s="250" t="str">
        <f>IF(COUNTBLANK(E106:H106)=4,"",SUM(E106:G106)+IF(Setup!$I$15="No",0,H106))</f>
        <v/>
      </c>
      <c r="J106" s="191"/>
      <c r="K106" s="191"/>
      <c r="L106" s="191"/>
      <c r="M106" s="191"/>
      <c r="N106" s="254" t="str">
        <f>IF(COUNTBLANK(J106:M106)=4,"",SUM(J106:L106)+IF(Setup!$I$15="No",0,M106))</f>
        <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t="str">
        <f ca="1">IF('Demand background (hide)'!A97=Num_Modalities,"",SUM(Demand!I106))</f>
        <v/>
      </c>
      <c r="BD106" s="258" t="str">
        <f ca="1">IF(AND(A106&lt;=MaxRows,BE106&lt;&gt;"Yes"),'Demand background (hide)'!X97+IF(Setup!$I$15="Yes",'Demand background (hide)'!AJ97,0),"")</f>
        <v/>
      </c>
      <c r="BE106" s="208"/>
    </row>
    <row r="107" spans="1:57" ht="15" x14ac:dyDescent="0.25">
      <c r="A107" t="str">
        <f t="shared" ca="1" si="4"/>
        <v/>
      </c>
      <c r="B107" s="263" t="str">
        <f t="shared" ca="1" si="5"/>
        <v xml:space="preserve"> </v>
      </c>
      <c r="C107" s="264" t="str">
        <f t="shared" ca="1" si="6"/>
        <v/>
      </c>
      <c r="D107" s="264" t="str">
        <f t="shared" ca="1" si="7"/>
        <v/>
      </c>
      <c r="E107" s="191"/>
      <c r="F107" s="191"/>
      <c r="G107" s="192"/>
      <c r="H107" s="191"/>
      <c r="I107" s="250" t="str">
        <f>IF(COUNTBLANK(E107:H107)=4,"",SUM(E107:G107)+IF(Setup!$I$15="No",0,H107))</f>
        <v/>
      </c>
      <c r="J107" s="191"/>
      <c r="K107" s="191"/>
      <c r="L107" s="191"/>
      <c r="M107" s="191"/>
      <c r="N107" s="254" t="str">
        <f>IF(COUNTBLANK(J107:M107)=4,"",SUM(J107:L107)+IF(Setup!$I$15="No",0,M107))</f>
        <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t="str">
        <f ca="1">IF('Demand background (hide)'!A98=Num_Modalities,"",SUM(Demand!I107))</f>
        <v/>
      </c>
      <c r="BD107" s="258" t="str">
        <f ca="1">IF(AND(A107&lt;=MaxRows,BE107&lt;&gt;"Yes"),'Demand background (hide)'!X98+IF(Setup!$I$15="Yes",'Demand background (hide)'!AJ98,0),"")</f>
        <v/>
      </c>
      <c r="BE107" s="208"/>
    </row>
    <row r="108" spans="1:57" ht="15" x14ac:dyDescent="0.25">
      <c r="A108" t="str">
        <f t="shared" ca="1" si="4"/>
        <v/>
      </c>
      <c r="B108" s="263" t="str">
        <f t="shared" ca="1" si="5"/>
        <v xml:space="preserve"> </v>
      </c>
      <c r="C108" s="264" t="str">
        <f t="shared" ca="1" si="6"/>
        <v/>
      </c>
      <c r="D108" s="264" t="str">
        <f t="shared" ca="1" si="7"/>
        <v/>
      </c>
      <c r="E108" s="191"/>
      <c r="F108" s="191"/>
      <c r="G108" s="192"/>
      <c r="H108" s="191"/>
      <c r="I108" s="250" t="str">
        <f>IF(COUNTBLANK(E108:H108)=4,"",SUM(E108:G108)+IF(Setup!$I$15="No",0,H108))</f>
        <v/>
      </c>
      <c r="J108" s="191"/>
      <c r="K108" s="191"/>
      <c r="L108" s="191"/>
      <c r="M108" s="191"/>
      <c r="N108" s="254" t="str">
        <f>IF(COUNTBLANK(J108:M108)=4,"",SUM(J108:L108)+IF(Setup!$I$15="No",0,M108))</f>
        <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t="str">
        <f ca="1">IF('Demand background (hide)'!A99=Num_Modalities,"",SUM(Demand!I108))</f>
        <v/>
      </c>
      <c r="BD108" s="258" t="str">
        <f ca="1">IF(AND(A108&lt;=MaxRows,BE108&lt;&gt;"Yes"),'Demand background (hide)'!X99+IF(Setup!$I$15="Yes",'Demand background (hide)'!AJ99,0),"")</f>
        <v/>
      </c>
      <c r="BE108" s="208"/>
    </row>
    <row r="109" spans="1:57" ht="15" x14ac:dyDescent="0.25">
      <c r="A109" t="str">
        <f t="shared" ca="1" si="4"/>
        <v/>
      </c>
      <c r="B109" s="263" t="str">
        <f t="shared" ca="1" si="5"/>
        <v xml:space="preserve"> </v>
      </c>
      <c r="C109" s="264" t="str">
        <f t="shared" ca="1" si="6"/>
        <v/>
      </c>
      <c r="D109" s="264" t="str">
        <f t="shared" ca="1" si="7"/>
        <v/>
      </c>
      <c r="E109" s="191"/>
      <c r="F109" s="191"/>
      <c r="G109" s="192"/>
      <c r="H109" s="191"/>
      <c r="I109" s="250" t="str">
        <f>IF(COUNTBLANK(E109:H109)=4,"",SUM(E109:G109)+IF(Setup!$I$15="No",0,H109))</f>
        <v/>
      </c>
      <c r="J109" s="191"/>
      <c r="K109" s="191"/>
      <c r="L109" s="191"/>
      <c r="M109" s="191"/>
      <c r="N109" s="254" t="str">
        <f>IF(COUNTBLANK(J109:M109)=4,"",SUM(J109:L109)+IF(Setup!$I$15="No",0,M109))</f>
        <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t="str">
        <f ca="1">IF('Demand background (hide)'!A100=Num_Modalities,"",SUM(Demand!I109))</f>
        <v/>
      </c>
      <c r="BD109" s="258" t="str">
        <f ca="1">IF(AND(A109&lt;=MaxRows,BE109&lt;&gt;"Yes"),'Demand background (hide)'!X100+IF(Setup!$I$15="Yes",'Demand background (hide)'!AJ100,0),"")</f>
        <v/>
      </c>
      <c r="BE109" s="208"/>
    </row>
    <row r="110" spans="1:57" ht="15" x14ac:dyDescent="0.25">
      <c r="A110" t="str">
        <f t="shared" ca="1" si="4"/>
        <v/>
      </c>
      <c r="B110" s="263" t="str">
        <f t="shared" ca="1" si="5"/>
        <v xml:space="preserve"> </v>
      </c>
      <c r="C110" s="264" t="str">
        <f t="shared" ca="1" si="6"/>
        <v/>
      </c>
      <c r="D110" s="264" t="str">
        <f t="shared" ca="1" si="7"/>
        <v/>
      </c>
      <c r="E110" s="191"/>
      <c r="F110" s="191"/>
      <c r="G110" s="192"/>
      <c r="H110" s="191"/>
      <c r="I110" s="250" t="str">
        <f>IF(COUNTBLANK(E110:H110)=4,"",SUM(E110:G110)+IF(Setup!$I$15="No",0,H110))</f>
        <v/>
      </c>
      <c r="J110" s="191"/>
      <c r="K110" s="191"/>
      <c r="L110" s="191"/>
      <c r="M110" s="191"/>
      <c r="N110" s="254" t="str">
        <f>IF(COUNTBLANK(J110:M110)=4,"",SUM(J110:L110)+IF(Setup!$I$15="No",0,M110))</f>
        <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t="str">
        <f ca="1">IF('Demand background (hide)'!A101=Num_Modalities,"",SUM(Demand!I110))</f>
        <v/>
      </c>
      <c r="BD110" s="258" t="str">
        <f ca="1">IF(AND(A110&lt;=MaxRows,BE110&lt;&gt;"Yes"),'Demand background (hide)'!X101+IF(Setup!$I$15="Yes",'Demand background (hide)'!AJ101,0),"")</f>
        <v/>
      </c>
      <c r="BE110" s="208"/>
    </row>
    <row r="111" spans="1:57" ht="15" x14ac:dyDescent="0.25">
      <c r="A111" t="str">
        <f t="shared" ca="1" si="4"/>
        <v/>
      </c>
      <c r="B111" s="263" t="str">
        <f t="shared" ca="1" si="5"/>
        <v xml:space="preserve"> </v>
      </c>
      <c r="C111" s="264" t="str">
        <f t="shared" ca="1" si="6"/>
        <v/>
      </c>
      <c r="D111" s="264" t="str">
        <f t="shared" ca="1" si="7"/>
        <v/>
      </c>
      <c r="E111" s="191"/>
      <c r="F111" s="191"/>
      <c r="G111" s="192"/>
      <c r="H111" s="191"/>
      <c r="I111" s="250" t="str">
        <f>IF(COUNTBLANK(E111:H111)=4,"",SUM(E111:G111)+IF(Setup!$I$15="No",0,H111))</f>
        <v/>
      </c>
      <c r="J111" s="191"/>
      <c r="K111" s="191"/>
      <c r="L111" s="191"/>
      <c r="M111" s="191"/>
      <c r="N111" s="254" t="str">
        <f>IF(COUNTBLANK(J111:M111)=4,"",SUM(J111:L111)+IF(Setup!$I$15="No",0,M111))</f>
        <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t="str">
        <f ca="1">IF('Demand background (hide)'!A102=Num_Modalities,"",SUM(Demand!I111))</f>
        <v/>
      </c>
      <c r="BD111" s="258" t="str">
        <f ca="1">IF(AND(A111&lt;=MaxRows,BE111&lt;&gt;"Yes"),'Demand background (hide)'!X102+IF(Setup!$I$15="Yes",'Demand background (hide)'!AJ102,0),"")</f>
        <v/>
      </c>
      <c r="BE111" s="208"/>
    </row>
    <row r="112" spans="1:57" ht="15" x14ac:dyDescent="0.25">
      <c r="A112" t="str">
        <f t="shared" ca="1" si="4"/>
        <v/>
      </c>
      <c r="B112" s="263" t="str">
        <f t="shared" ca="1" si="5"/>
        <v xml:space="preserve"> </v>
      </c>
      <c r="C112" s="264" t="str">
        <f t="shared" ca="1" si="6"/>
        <v/>
      </c>
      <c r="D112" s="264" t="str">
        <f t="shared" ca="1" si="7"/>
        <v/>
      </c>
      <c r="E112" s="191"/>
      <c r="F112" s="191"/>
      <c r="G112" s="192"/>
      <c r="H112" s="191"/>
      <c r="I112" s="250" t="str">
        <f>IF(COUNTBLANK(E112:H112)=4,"",SUM(E112:G112)+IF(Setup!$I$15="No",0,H112))</f>
        <v/>
      </c>
      <c r="J112" s="191"/>
      <c r="K112" s="191"/>
      <c r="L112" s="191"/>
      <c r="M112" s="191"/>
      <c r="N112" s="254" t="str">
        <f>IF(COUNTBLANK(J112:M112)=4,"",SUM(J112:L112)+IF(Setup!$I$15="No",0,M112))</f>
        <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t="str">
        <f ca="1">IF('Demand background (hide)'!A103=Num_Modalities,"",SUM(Demand!I112))</f>
        <v/>
      </c>
      <c r="BD112" s="258" t="str">
        <f ca="1">IF(AND(A112&lt;=MaxRows,BE112&lt;&gt;"Yes"),'Demand background (hide)'!X103+IF(Setup!$I$15="Yes",'Demand background (hide)'!AJ103,0),"")</f>
        <v/>
      </c>
      <c r="BE112" s="208"/>
    </row>
    <row r="113" spans="1:59" ht="15" x14ac:dyDescent="0.25">
      <c r="A113" t="str">
        <f t="shared" ca="1" si="4"/>
        <v/>
      </c>
      <c r="B113" s="263" t="str">
        <f t="shared" ca="1" si="5"/>
        <v xml:space="preserve"> </v>
      </c>
      <c r="C113" s="264" t="str">
        <f t="shared" ca="1" si="6"/>
        <v/>
      </c>
      <c r="D113" s="264" t="str">
        <f t="shared" ca="1" si="7"/>
        <v/>
      </c>
      <c r="E113" s="191"/>
      <c r="F113" s="191"/>
      <c r="G113" s="192"/>
      <c r="H113" s="191"/>
      <c r="I113" s="250" t="str">
        <f>IF(COUNTBLANK(E113:H113)=4,"",SUM(E113:G113)+IF(Setup!$I$15="No",0,H113))</f>
        <v/>
      </c>
      <c r="J113" s="191"/>
      <c r="K113" s="191"/>
      <c r="L113" s="191"/>
      <c r="M113" s="191"/>
      <c r="N113" s="254" t="str">
        <f>IF(COUNTBLANK(J113:M113)=4,"",SUM(J113:L113)+IF(Setup!$I$15="No",0,M113))</f>
        <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t="str">
        <f ca="1">IF('Demand background (hide)'!A104=Num_Modalities,"",SUM(Demand!I113))</f>
        <v/>
      </c>
      <c r="BD113" s="258" t="str">
        <f ca="1">IF(AND(A113&lt;=MaxRows,BE113&lt;&gt;"Yes"),'Demand background (hide)'!X104+IF(Setup!$I$15="Yes",'Demand background (hide)'!AJ104,0),"")</f>
        <v/>
      </c>
      <c r="BE113" s="208"/>
    </row>
    <row r="114" spans="1:59" ht="15" x14ac:dyDescent="0.25">
      <c r="A114" t="str">
        <f t="shared" ca="1" si="4"/>
        <v/>
      </c>
      <c r="B114" s="263" t="str">
        <f t="shared" ca="1" si="5"/>
        <v xml:space="preserve"> </v>
      </c>
      <c r="C114" s="264" t="str">
        <f t="shared" ca="1" si="6"/>
        <v/>
      </c>
      <c r="D114" s="264" t="str">
        <f t="shared" ca="1" si="7"/>
        <v/>
      </c>
      <c r="E114" s="191"/>
      <c r="F114" s="191"/>
      <c r="G114" s="192"/>
      <c r="H114" s="191"/>
      <c r="I114" s="250" t="str">
        <f>IF(COUNTBLANK(E114:H114)=4,"",SUM(E114:G114)+IF(Setup!$I$15="No",0,H114))</f>
        <v/>
      </c>
      <c r="J114" s="191"/>
      <c r="K114" s="191"/>
      <c r="L114" s="191"/>
      <c r="M114" s="191"/>
      <c r="N114" s="254" t="str">
        <f>IF(COUNTBLANK(J114:M114)=4,"",SUM(J114:L114)+IF(Setup!$I$15="No",0,M114))</f>
        <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t="str">
        <f ca="1">IF('Demand background (hide)'!A105=Num_Modalities,"",SUM(Demand!I114))</f>
        <v/>
      </c>
      <c r="BD114" s="258" t="str">
        <f ca="1">IF(AND(A114&lt;=MaxRows,BE114&lt;&gt;"Yes"),'Demand background (hide)'!X105+IF(Setup!$I$15="Yes",'Demand background (hide)'!AJ105,0),"")</f>
        <v/>
      </c>
      <c r="BE114" s="208"/>
    </row>
    <row r="115" spans="1:59" ht="15" x14ac:dyDescent="0.25">
      <c r="A115" t="str">
        <f t="shared" ca="1" si="4"/>
        <v/>
      </c>
      <c r="B115" s="263" t="str">
        <f t="shared" ca="1" si="5"/>
        <v xml:space="preserve"> </v>
      </c>
      <c r="C115" s="264" t="str">
        <f t="shared" ca="1" si="6"/>
        <v/>
      </c>
      <c r="D115" s="264" t="str">
        <f t="shared" ca="1" si="7"/>
        <v/>
      </c>
      <c r="E115" s="191"/>
      <c r="F115" s="191"/>
      <c r="G115" s="192"/>
      <c r="H115" s="191"/>
      <c r="I115" s="250" t="str">
        <f>IF(COUNTBLANK(E115:H115)=4,"",SUM(E115:G115)+IF(Setup!$I$15="No",0,H115))</f>
        <v/>
      </c>
      <c r="J115" s="191"/>
      <c r="K115" s="191"/>
      <c r="L115" s="191"/>
      <c r="M115" s="191"/>
      <c r="N115" s="254" t="str">
        <f>IF(COUNTBLANK(J115:M115)=4,"",SUM(J115:L115)+IF(Setup!$I$15="No",0,M115))</f>
        <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t="str">
        <f ca="1">IF('Demand background (hide)'!A106=Num_Modalities,"",SUM(Demand!I115))</f>
        <v/>
      </c>
      <c r="BD115" s="258" t="str">
        <f ca="1">IF(AND(A115&lt;=MaxRows,BE115&lt;&gt;"Yes"),'Demand background (hide)'!X106+IF(Setup!$I$15="Yes",'Demand background (hide)'!AJ106,0),"")</f>
        <v/>
      </c>
      <c r="BE115" s="208"/>
    </row>
    <row r="116" spans="1:59" ht="15" x14ac:dyDescent="0.25">
      <c r="A116" t="str">
        <f t="shared" ca="1" si="4"/>
        <v/>
      </c>
      <c r="B116" s="263" t="str">
        <f t="shared" ca="1" si="5"/>
        <v xml:space="preserve"> </v>
      </c>
      <c r="C116" s="264" t="str">
        <f t="shared" ca="1" si="6"/>
        <v/>
      </c>
      <c r="D116" s="264" t="str">
        <f t="shared" ca="1" si="7"/>
        <v/>
      </c>
      <c r="E116" s="191"/>
      <c r="F116" s="191"/>
      <c r="G116" s="192"/>
      <c r="H116" s="191"/>
      <c r="I116" s="250" t="str">
        <f>IF(COUNTBLANK(E116:H116)=4,"",SUM(E116:G116)+IF(Setup!$I$15="No",0,H116))</f>
        <v/>
      </c>
      <c r="J116" s="191"/>
      <c r="K116" s="191"/>
      <c r="L116" s="191"/>
      <c r="M116" s="191"/>
      <c r="N116" s="254" t="str">
        <f>IF(COUNTBLANK(J116:M116)=4,"",SUM(J116:L116)+IF(Setup!$I$15="No",0,M116))</f>
        <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t="str">
        <f ca="1">IF('Demand background (hide)'!A107=Num_Modalities,"",SUM(Demand!I116))</f>
        <v/>
      </c>
      <c r="BD116" s="258" t="str">
        <f ca="1">IF(AND(A116&lt;=MaxRows,BE116&lt;&gt;"Yes"),'Demand background (hide)'!X107+IF(Setup!$I$15="Yes",'Demand background (hide)'!AJ107,0),"")</f>
        <v/>
      </c>
      <c r="BE116" s="208"/>
    </row>
    <row r="117" spans="1:59" ht="15" x14ac:dyDescent="0.25">
      <c r="A117" t="str">
        <f t="shared" ca="1" si="4"/>
        <v/>
      </c>
      <c r="B117" s="263" t="str">
        <f t="shared" ca="1" si="5"/>
        <v xml:space="preserve"> </v>
      </c>
      <c r="C117" s="264" t="str">
        <f t="shared" ca="1" si="6"/>
        <v/>
      </c>
      <c r="D117" s="264" t="str">
        <f t="shared" ca="1" si="7"/>
        <v/>
      </c>
      <c r="E117" s="191"/>
      <c r="F117" s="191"/>
      <c r="G117" s="191"/>
      <c r="H117" s="191"/>
      <c r="I117" s="250" t="str">
        <f>IF(COUNTBLANK(E117:H117)=4,"",SUM(E117:G117)+IF(Setup!$I$15="No",0,H117))</f>
        <v/>
      </c>
      <c r="J117" s="191"/>
      <c r="K117" s="191"/>
      <c r="L117" s="191"/>
      <c r="M117" s="191"/>
      <c r="N117" s="254" t="str">
        <f>IF(COUNTBLANK(J117:M117)=4,"",SUM(J117:L117)+IF(Setup!$I$15="No",0,M117))</f>
        <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t="str">
        <f ca="1">IF('Demand background (hide)'!A108=Num_Modalities,"",SUM(Demand!I117))</f>
        <v/>
      </c>
      <c r="BD117" s="258" t="str">
        <f ca="1">IF(AND(A117&lt;=MaxRows,BE117&lt;&gt;"Yes"),'Demand background (hide)'!X108+IF(Setup!$I$15="Yes",'Demand background (hide)'!AJ108,0),"")</f>
        <v/>
      </c>
      <c r="BE117" s="208"/>
      <c r="BG117" s="50"/>
    </row>
    <row r="118" spans="1:59" ht="15" x14ac:dyDescent="0.25">
      <c r="A118" t="str">
        <f t="shared" ca="1" si="4"/>
        <v/>
      </c>
      <c r="B118" s="263" t="str">
        <f t="shared" ca="1" si="5"/>
        <v xml:space="preserve"> </v>
      </c>
      <c r="C118" s="264" t="str">
        <f t="shared" ca="1" si="6"/>
        <v/>
      </c>
      <c r="D118" s="264" t="str">
        <f t="shared" ca="1" si="7"/>
        <v/>
      </c>
      <c r="E118" s="191"/>
      <c r="F118" s="191"/>
      <c r="G118" s="191"/>
      <c r="H118" s="191"/>
      <c r="I118" s="250" t="str">
        <f>IF(COUNTBLANK(E118:H118)=4,"",SUM(E118:G118)+IF(Setup!$I$15="No",0,H118))</f>
        <v/>
      </c>
      <c r="J118" s="191"/>
      <c r="K118" s="191"/>
      <c r="L118" s="191"/>
      <c r="M118" s="191"/>
      <c r="N118" s="254" t="str">
        <f>IF(COUNTBLANK(J118:M118)=4,"",SUM(J118:L118)+IF(Setup!$I$15="No",0,M118))</f>
        <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t="str">
        <f ca="1">IF('Demand background (hide)'!A109=Num_Modalities,"",SUM(Demand!I118))</f>
        <v/>
      </c>
      <c r="BD118" s="258" t="str">
        <f ca="1">IF(AND(A118&lt;=MaxRows,BE118&lt;&gt;"Yes"),'Demand background (hide)'!X109+IF(Setup!$I$15="Yes",'Demand background (hide)'!AJ109,0),"")</f>
        <v/>
      </c>
      <c r="BE118" s="208"/>
    </row>
    <row r="119" spans="1:59" ht="15" x14ac:dyDescent="0.25">
      <c r="A119" t="str">
        <f t="shared" ca="1" si="4"/>
        <v/>
      </c>
      <c r="B119" s="263" t="str">
        <f t="shared" ca="1" si="5"/>
        <v xml:space="preserve"> </v>
      </c>
      <c r="C119" s="264" t="str">
        <f t="shared" ca="1" si="6"/>
        <v/>
      </c>
      <c r="D119" s="264" t="str">
        <f t="shared" ca="1" si="7"/>
        <v/>
      </c>
      <c r="E119" s="191"/>
      <c r="F119" s="191"/>
      <c r="G119" s="191"/>
      <c r="H119" s="191"/>
      <c r="I119" s="250" t="str">
        <f>IF(COUNTBLANK(E119:H119)=4,"",SUM(E119:G119)+IF(Setup!$I$15="No",0,H119))</f>
        <v/>
      </c>
      <c r="J119" s="191"/>
      <c r="K119" s="191"/>
      <c r="L119" s="191"/>
      <c r="M119" s="191"/>
      <c r="N119" s="254" t="str">
        <f>IF(COUNTBLANK(J119:M119)=4,"",SUM(J119:L119)+IF(Setup!$I$15="No",0,M119))</f>
        <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t="str">
        <f ca="1">IF('Demand background (hide)'!A110=Num_Modalities,"",SUM(Demand!I119))</f>
        <v/>
      </c>
      <c r="BD119" s="258" t="str">
        <f ca="1">IF(AND(A119&lt;=MaxRows,BE119&lt;&gt;"Yes"),'Demand background (hide)'!X110+IF(Setup!$I$15="Yes",'Demand background (hide)'!AJ110,0),"")</f>
        <v/>
      </c>
      <c r="BE119" s="208"/>
    </row>
    <row r="120" spans="1:59" ht="15" x14ac:dyDescent="0.25">
      <c r="A120" t="str">
        <f t="shared" ca="1" si="4"/>
        <v/>
      </c>
      <c r="B120" s="263" t="str">
        <f t="shared" ca="1" si="5"/>
        <v xml:space="preserve"> </v>
      </c>
      <c r="C120" s="264" t="str">
        <f t="shared" ca="1" si="6"/>
        <v/>
      </c>
      <c r="D120" s="264" t="str">
        <f t="shared" ca="1" si="7"/>
        <v/>
      </c>
      <c r="E120" s="191"/>
      <c r="F120" s="191"/>
      <c r="G120" s="191"/>
      <c r="H120" s="191"/>
      <c r="I120" s="250" t="str">
        <f>IF(COUNTBLANK(E120:H120)=4,"",SUM(E120:G120)+IF(Setup!$I$15="No",0,H120))</f>
        <v/>
      </c>
      <c r="J120" s="191"/>
      <c r="K120" s="191"/>
      <c r="L120" s="191"/>
      <c r="M120" s="191"/>
      <c r="N120" s="254" t="str">
        <f>IF(COUNTBLANK(J120:M120)=4,"",SUM(J120:L120)+IF(Setup!$I$15="No",0,M120))</f>
        <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t="str">
        <f ca="1">IF('Demand background (hide)'!A111=Num_Modalities,"",SUM(Demand!I120))</f>
        <v/>
      </c>
      <c r="BD120" s="258" t="str">
        <f ca="1">IF(AND(A120&lt;=MaxRows,BE120&lt;&gt;"Yes"),'Demand background (hide)'!X111+IF(Setup!$I$15="Yes",'Demand background (hide)'!AJ111,0),"")</f>
        <v/>
      </c>
      <c r="BE120" s="208"/>
    </row>
    <row r="121" spans="1:59" ht="15" x14ac:dyDescent="0.25">
      <c r="A121" t="str">
        <f t="shared" ca="1" si="4"/>
        <v/>
      </c>
      <c r="B121" s="263" t="str">
        <f t="shared" ca="1" si="5"/>
        <v xml:space="preserve"> </v>
      </c>
      <c r="C121" s="264" t="str">
        <f t="shared" ca="1" si="6"/>
        <v/>
      </c>
      <c r="D121" s="264" t="str">
        <f t="shared" ca="1" si="7"/>
        <v/>
      </c>
      <c r="E121" s="191"/>
      <c r="F121" s="191"/>
      <c r="G121" s="191"/>
      <c r="H121" s="191"/>
      <c r="I121" s="250" t="str">
        <f>IF(COUNTBLANK(E121:H121)=4,"",SUM(E121:G121)+IF(Setup!$I$15="No",0,H121))</f>
        <v/>
      </c>
      <c r="J121" s="191"/>
      <c r="K121" s="191"/>
      <c r="L121" s="191"/>
      <c r="M121" s="191"/>
      <c r="N121" s="254" t="str">
        <f>IF(COUNTBLANK(J121:M121)=4,"",SUM(J121:L121)+IF(Setup!$I$15="No",0,M121))</f>
        <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t="str">
        <f ca="1">IF('Demand background (hide)'!A112=Num_Modalities,"",SUM(Demand!I121))</f>
        <v/>
      </c>
      <c r="BD121" s="258" t="str">
        <f ca="1">IF(AND(A121&lt;=MaxRows,BE121&lt;&gt;"Yes"),'Demand background (hide)'!X112+IF(Setup!$I$15="Yes",'Demand background (hide)'!AJ112,0),"")</f>
        <v/>
      </c>
      <c r="BE121" s="208"/>
    </row>
    <row r="122" spans="1:59" ht="15" x14ac:dyDescent="0.25">
      <c r="A122" t="str">
        <f t="shared" ca="1" si="4"/>
        <v/>
      </c>
      <c r="B122" s="263" t="str">
        <f t="shared" ca="1" si="5"/>
        <v xml:space="preserve"> </v>
      </c>
      <c r="C122" s="264" t="str">
        <f t="shared" ca="1" si="6"/>
        <v/>
      </c>
      <c r="D122" s="264" t="str">
        <f t="shared" ca="1" si="7"/>
        <v/>
      </c>
      <c r="E122" s="191"/>
      <c r="F122" s="191"/>
      <c r="G122" s="191"/>
      <c r="H122" s="191"/>
      <c r="I122" s="250" t="str">
        <f>IF(COUNTBLANK(E122:H122)=4,"",SUM(E122:G122)+IF(Setup!$I$15="No",0,H122))</f>
        <v/>
      </c>
      <c r="J122" s="191"/>
      <c r="K122" s="191"/>
      <c r="L122" s="191"/>
      <c r="M122" s="191"/>
      <c r="N122" s="254" t="str">
        <f>IF(COUNTBLANK(J122:M122)=4,"",SUM(J122:L122)+IF(Setup!$I$15="No",0,M122))</f>
        <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t="str">
        <f ca="1">IF('Demand background (hide)'!A113=Num_Modalities,"",SUM(Demand!I122))</f>
        <v/>
      </c>
      <c r="BD122" s="258" t="str">
        <f ca="1">IF(AND(A122&lt;=MaxRows,BE122&lt;&gt;"Yes"),'Demand background (hide)'!X113+IF(Setup!$I$15="Yes",'Demand background (hide)'!AJ113,0),"")</f>
        <v/>
      </c>
      <c r="BE122" s="208"/>
    </row>
    <row r="123" spans="1:59" ht="15" x14ac:dyDescent="0.25">
      <c r="A123" t="str">
        <f t="shared" ca="1" si="4"/>
        <v/>
      </c>
      <c r="B123" s="263" t="str">
        <f t="shared" ca="1" si="5"/>
        <v xml:space="preserve"> </v>
      </c>
      <c r="C123" s="264" t="str">
        <f t="shared" ca="1" si="6"/>
        <v/>
      </c>
      <c r="D123" s="264" t="str">
        <f t="shared" ca="1" si="7"/>
        <v/>
      </c>
      <c r="E123" s="191"/>
      <c r="F123" s="191"/>
      <c r="G123" s="191"/>
      <c r="H123" s="191"/>
      <c r="I123" s="250" t="str">
        <f>IF(COUNTBLANK(E123:H123)=4,"",SUM(E123:G123)+IF(Setup!$I$15="No",0,H123))</f>
        <v/>
      </c>
      <c r="J123" s="191"/>
      <c r="K123" s="191"/>
      <c r="L123" s="191"/>
      <c r="M123" s="191"/>
      <c r="N123" s="254" t="str">
        <f>IF(COUNTBLANK(J123:M123)=4,"",SUM(J123:L123)+IF(Setup!$I$15="No",0,M123))</f>
        <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t="str">
        <f ca="1">IF('Demand background (hide)'!A114=Num_Modalities,"",SUM(Demand!I123))</f>
        <v/>
      </c>
      <c r="BD123" s="258" t="str">
        <f ca="1">IF(AND(A123&lt;=MaxRows,BE123&lt;&gt;"Yes"),'Demand background (hide)'!X114+IF(Setup!$I$15="Yes",'Demand background (hide)'!AJ114,0),"")</f>
        <v/>
      </c>
      <c r="BE123" s="208"/>
    </row>
    <row r="124" spans="1:59" ht="15" x14ac:dyDescent="0.25">
      <c r="A124" t="str">
        <f t="shared" ca="1" si="4"/>
        <v/>
      </c>
      <c r="B124" s="263" t="str">
        <f t="shared" ca="1" si="5"/>
        <v xml:space="preserve"> </v>
      </c>
      <c r="C124" s="264" t="str">
        <f t="shared" ca="1" si="6"/>
        <v/>
      </c>
      <c r="D124" s="264" t="str">
        <f t="shared" ca="1" si="7"/>
        <v/>
      </c>
      <c r="E124" s="191"/>
      <c r="F124" s="191"/>
      <c r="G124" s="191"/>
      <c r="H124" s="191"/>
      <c r="I124" s="250" t="str">
        <f>IF(COUNTBLANK(E124:H124)=4,"",SUM(E124:G124)+IF(Setup!$I$15="No",0,H124))</f>
        <v/>
      </c>
      <c r="J124" s="191"/>
      <c r="K124" s="191"/>
      <c r="L124" s="191"/>
      <c r="M124" s="191"/>
      <c r="N124" s="254" t="str">
        <f>IF(COUNTBLANK(J124:M124)=4,"",SUM(J124:L124)+IF(Setup!$I$15="No",0,M124))</f>
        <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t="str">
        <f ca="1">IF('Demand background (hide)'!A115=Num_Modalities,"",SUM(Demand!I124))</f>
        <v/>
      </c>
      <c r="BD124" s="258" t="str">
        <f ca="1">IF(AND(A124&lt;=MaxRows,BE124&lt;&gt;"Yes"),'Demand background (hide)'!X115+IF(Setup!$I$15="Yes",'Demand background (hide)'!AJ115,0),"")</f>
        <v/>
      </c>
      <c r="BE124" s="208"/>
    </row>
    <row r="125" spans="1:59" ht="15" x14ac:dyDescent="0.25">
      <c r="A125" t="str">
        <f t="shared" ca="1" si="4"/>
        <v/>
      </c>
      <c r="B125" s="263" t="str">
        <f t="shared" ca="1" si="5"/>
        <v xml:space="preserve"> </v>
      </c>
      <c r="C125" s="264" t="str">
        <f t="shared" ca="1" si="6"/>
        <v/>
      </c>
      <c r="D125" s="264" t="str">
        <f t="shared" ca="1" si="7"/>
        <v/>
      </c>
      <c r="E125" s="191"/>
      <c r="F125" s="191"/>
      <c r="G125" s="191"/>
      <c r="H125" s="191"/>
      <c r="I125" s="250" t="str">
        <f>IF(COUNTBLANK(E125:H125)=4,"",SUM(E125:G125)+IF(Setup!$I$15="No",0,H125))</f>
        <v/>
      </c>
      <c r="J125" s="191"/>
      <c r="K125" s="191"/>
      <c r="L125" s="191"/>
      <c r="M125" s="191"/>
      <c r="N125" s="254" t="str">
        <f>IF(COUNTBLANK(J125:M125)=4,"",SUM(J125:L125)+IF(Setup!$I$15="No",0,M125))</f>
        <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t="str">
        <f ca="1">IF('Demand background (hide)'!A116=Num_Modalities,"",SUM(Demand!I125))</f>
        <v/>
      </c>
      <c r="BD125" s="258" t="str">
        <f ca="1">IF(AND(A125&lt;=MaxRows,BE125&lt;&gt;"Yes"),'Demand background (hide)'!X116+IF(Setup!$I$15="Yes",'Demand background (hide)'!AJ116,0),"")</f>
        <v/>
      </c>
      <c r="BE125" s="208"/>
    </row>
    <row r="126" spans="1:59" ht="15" x14ac:dyDescent="0.25">
      <c r="A126" t="str">
        <f t="shared" ca="1" si="4"/>
        <v/>
      </c>
      <c r="B126" s="263" t="str">
        <f t="shared" ca="1" si="5"/>
        <v xml:space="preserve"> </v>
      </c>
      <c r="C126" s="264" t="str">
        <f t="shared" ca="1" si="6"/>
        <v/>
      </c>
      <c r="D126" s="264" t="str">
        <f t="shared" ca="1" si="7"/>
        <v/>
      </c>
      <c r="E126" s="191"/>
      <c r="F126" s="191"/>
      <c r="G126" s="191"/>
      <c r="H126" s="191"/>
      <c r="I126" s="250" t="str">
        <f>IF(COUNTBLANK(E126:H126)=4,"",SUM(E126:G126)+IF(Setup!$I$15="No",0,H126))</f>
        <v/>
      </c>
      <c r="J126" s="191"/>
      <c r="K126" s="191"/>
      <c r="L126" s="191"/>
      <c r="M126" s="191"/>
      <c r="N126" s="254" t="str">
        <f>IF(COUNTBLANK(J126:M126)=4,"",SUM(J126:L126)+IF(Setup!$I$15="No",0,M126))</f>
        <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t="str">
        <f ca="1">IF('Demand background (hide)'!A117=Num_Modalities,"",SUM(Demand!I126))</f>
        <v/>
      </c>
      <c r="BD126" s="258" t="str">
        <f ca="1">IF(AND(A126&lt;=MaxRows,BE126&lt;&gt;"Yes"),'Demand background (hide)'!X117+IF(Setup!$I$15="Yes",'Demand background (hide)'!AJ117,0),"")</f>
        <v/>
      </c>
      <c r="BE126" s="208"/>
    </row>
    <row r="127" spans="1:59" ht="15" x14ac:dyDescent="0.25">
      <c r="A127" t="str">
        <f t="shared" ca="1" si="4"/>
        <v/>
      </c>
      <c r="B127" s="263" t="str">
        <f t="shared" ca="1" si="5"/>
        <v xml:space="preserve"> </v>
      </c>
      <c r="C127" s="264" t="str">
        <f t="shared" ca="1" si="6"/>
        <v/>
      </c>
      <c r="D127" s="264" t="str">
        <f t="shared" ca="1" si="7"/>
        <v/>
      </c>
      <c r="E127" s="191"/>
      <c r="F127" s="191"/>
      <c r="G127" s="191"/>
      <c r="H127" s="191"/>
      <c r="I127" s="250" t="str">
        <f>IF(COUNTBLANK(E127:H127)=4,"",SUM(E127:G127)+IF(Setup!$I$15="No",0,H127))</f>
        <v/>
      </c>
      <c r="J127" s="191"/>
      <c r="K127" s="191"/>
      <c r="L127" s="191"/>
      <c r="M127" s="191"/>
      <c r="N127" s="254" t="str">
        <f>IF(COUNTBLANK(J127:M127)=4,"",SUM(J127:L127)+IF(Setup!$I$15="No",0,M127))</f>
        <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t="str">
        <f ca="1">IF('Demand background (hide)'!A118=Num_Modalities,"",SUM(Demand!I127))</f>
        <v/>
      </c>
      <c r="BD127" s="258" t="str">
        <f ca="1">IF(AND(A127&lt;=MaxRows,BE127&lt;&gt;"Yes"),'Demand background (hide)'!X118+IF(Setup!$I$15="Yes",'Demand background (hide)'!AJ118,0),"")</f>
        <v/>
      </c>
      <c r="BE127" s="208"/>
    </row>
    <row r="128" spans="1:59" ht="15" x14ac:dyDescent="0.25">
      <c r="A128" t="str">
        <f t="shared" ca="1" si="4"/>
        <v/>
      </c>
      <c r="B128" s="263" t="str">
        <f t="shared" ca="1" si="5"/>
        <v xml:space="preserve"> </v>
      </c>
      <c r="C128" s="264" t="str">
        <f t="shared" ca="1" si="6"/>
        <v/>
      </c>
      <c r="D128" s="264" t="str">
        <f t="shared" ca="1" si="7"/>
        <v/>
      </c>
      <c r="E128" s="191"/>
      <c r="F128" s="191"/>
      <c r="G128" s="191"/>
      <c r="H128" s="191"/>
      <c r="I128" s="250" t="str">
        <f>IF(COUNTBLANK(E128:H128)=4,"",SUM(E128:G128)+IF(Setup!$I$15="No",0,H128))</f>
        <v/>
      </c>
      <c r="J128" s="191"/>
      <c r="K128" s="191"/>
      <c r="L128" s="191"/>
      <c r="M128" s="191"/>
      <c r="N128" s="254" t="str">
        <f>IF(COUNTBLANK(J128:M128)=4,"",SUM(J128:L128)+IF(Setup!$I$15="No",0,M128))</f>
        <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t="str">
        <f ca="1">IF('Demand background (hide)'!A119=Num_Modalities,"",SUM(Demand!I128))</f>
        <v/>
      </c>
      <c r="BD128" s="258" t="str">
        <f ca="1">IF(AND(A128&lt;=MaxRows,BE128&lt;&gt;"Yes"),'Demand background (hide)'!X119+IF(Setup!$I$15="Yes",'Demand background (hide)'!AJ119,0),"")</f>
        <v/>
      </c>
      <c r="BE128" s="208"/>
    </row>
    <row r="129" spans="1:57" ht="15" x14ac:dyDescent="0.25">
      <c r="A129" t="str">
        <f t="shared" ca="1" si="4"/>
        <v/>
      </c>
      <c r="B129" s="263" t="str">
        <f t="shared" ca="1" si="5"/>
        <v xml:space="preserve"> </v>
      </c>
      <c r="C129" s="264" t="str">
        <f t="shared" ca="1" si="6"/>
        <v/>
      </c>
      <c r="D129" s="264" t="str">
        <f t="shared" ca="1" si="7"/>
        <v/>
      </c>
      <c r="E129" s="191"/>
      <c r="F129" s="191"/>
      <c r="G129" s="191"/>
      <c r="H129" s="191"/>
      <c r="I129" s="250" t="str">
        <f>IF(COUNTBLANK(E129:H129)=4,"",SUM(E129:G129)+IF(Setup!$I$15="No",0,H129))</f>
        <v/>
      </c>
      <c r="J129" s="191"/>
      <c r="K129" s="191"/>
      <c r="L129" s="191"/>
      <c r="M129" s="191"/>
      <c r="N129" s="254" t="str">
        <f>IF(COUNTBLANK(J129:M129)=4,"",SUM(J129:L129)+IF(Setup!$I$15="No",0,M129))</f>
        <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t="str">
        <f ca="1">IF('Demand background (hide)'!A120=Num_Modalities,"",SUM(Demand!I129))</f>
        <v/>
      </c>
      <c r="BD129" s="258" t="str">
        <f ca="1">IF(AND(A129&lt;=MaxRows,BE129&lt;&gt;"Yes"),'Demand background (hide)'!X120+IF(Setup!$I$15="Yes",'Demand background (hide)'!AJ120,0),"")</f>
        <v/>
      </c>
      <c r="BE129" s="208"/>
    </row>
    <row r="130" spans="1:57" ht="15" x14ac:dyDescent="0.25">
      <c r="A130" t="str">
        <f t="shared" ca="1" si="4"/>
        <v/>
      </c>
      <c r="B130" s="263" t="str">
        <f t="shared" ca="1" si="5"/>
        <v xml:space="preserve"> </v>
      </c>
      <c r="C130" s="264" t="str">
        <f t="shared" ca="1" si="6"/>
        <v/>
      </c>
      <c r="D130" s="264" t="str">
        <f t="shared" ca="1" si="7"/>
        <v/>
      </c>
      <c r="E130" s="191"/>
      <c r="F130" s="191"/>
      <c r="G130" s="191"/>
      <c r="H130" s="191"/>
      <c r="I130" s="250" t="str">
        <f>IF(COUNTBLANK(E130:H130)=4,"",SUM(E130:G130)+IF(Setup!$I$15="No",0,H130))</f>
        <v/>
      </c>
      <c r="J130" s="191"/>
      <c r="K130" s="191"/>
      <c r="L130" s="191"/>
      <c r="M130" s="191"/>
      <c r="N130" s="254" t="str">
        <f>IF(COUNTBLANK(J130:M130)=4,"",SUM(J130:L130)+IF(Setup!$I$15="No",0,M130))</f>
        <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t="str">
        <f ca="1">IF('Demand background (hide)'!A121=Num_Modalities,"",SUM(Demand!I130))</f>
        <v/>
      </c>
      <c r="BD130" s="258" t="str">
        <f ca="1">IF(AND(A130&lt;=MaxRows,BE130&lt;&gt;"Yes"),'Demand background (hide)'!X121+IF(Setup!$I$15="Yes",'Demand background (hide)'!AJ121,0),"")</f>
        <v/>
      </c>
      <c r="BE130" s="208"/>
    </row>
    <row r="131" spans="1:57" ht="15" x14ac:dyDescent="0.25">
      <c r="A131" t="str">
        <f t="shared" ca="1" si="4"/>
        <v/>
      </c>
      <c r="B131" s="263" t="str">
        <f t="shared" ca="1" si="5"/>
        <v xml:space="preserve"> </v>
      </c>
      <c r="C131" s="264" t="str">
        <f t="shared" ca="1" si="6"/>
        <v/>
      </c>
      <c r="D131" s="264" t="str">
        <f t="shared" ca="1" si="7"/>
        <v/>
      </c>
      <c r="E131" s="191"/>
      <c r="F131" s="191"/>
      <c r="G131" s="191"/>
      <c r="H131" s="191"/>
      <c r="I131" s="250" t="str">
        <f>IF(COUNTBLANK(E131:H131)=4,"",SUM(E131:G131)+IF(Setup!$I$15="No",0,H131))</f>
        <v/>
      </c>
      <c r="J131" s="191"/>
      <c r="K131" s="191"/>
      <c r="L131" s="191"/>
      <c r="M131" s="191"/>
      <c r="N131" s="254" t="str">
        <f>IF(COUNTBLANK(J131:M131)=4,"",SUM(J131:L131)+IF(Setup!$I$15="No",0,M131))</f>
        <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t="str">
        <f ca="1">IF('Demand background (hide)'!A122=Num_Modalities,"",SUM(Demand!I131))</f>
        <v/>
      </c>
      <c r="BD131" s="258" t="str">
        <f ca="1">IF(AND(A131&lt;=MaxRows,BE131&lt;&gt;"Yes"),'Demand background (hide)'!X122+IF(Setup!$I$15="Yes",'Demand background (hide)'!AJ122,0),"")</f>
        <v/>
      </c>
      <c r="BE131" s="208"/>
    </row>
    <row r="132" spans="1:57" ht="15" x14ac:dyDescent="0.25">
      <c r="A132" t="str">
        <f t="shared" ca="1" si="4"/>
        <v/>
      </c>
      <c r="B132" s="263" t="str">
        <f t="shared" ca="1" si="5"/>
        <v xml:space="preserve"> </v>
      </c>
      <c r="C132" s="264" t="str">
        <f t="shared" ca="1" si="6"/>
        <v/>
      </c>
      <c r="D132" s="264" t="str">
        <f t="shared" ca="1" si="7"/>
        <v/>
      </c>
      <c r="E132" s="191"/>
      <c r="F132" s="191"/>
      <c r="G132" s="191"/>
      <c r="H132" s="191"/>
      <c r="I132" s="250" t="str">
        <f>IF(COUNTBLANK(E132:H132)=4,"",SUM(E132:G132)+IF(Setup!$I$15="No",0,H132))</f>
        <v/>
      </c>
      <c r="J132" s="191"/>
      <c r="K132" s="191"/>
      <c r="L132" s="191"/>
      <c r="M132" s="191"/>
      <c r="N132" s="254" t="str">
        <f>IF(COUNTBLANK(J132:M132)=4,"",SUM(J132:L132)+IF(Setup!$I$15="No",0,M132))</f>
        <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t="str">
        <f ca="1">IF('Demand background (hide)'!A123=Num_Modalities,"",SUM(Demand!I132))</f>
        <v/>
      </c>
      <c r="BD132" s="258" t="str">
        <f ca="1">IF(AND(A132&lt;=MaxRows,BE132&lt;&gt;"Yes"),'Demand background (hide)'!X123+IF(Setup!$I$15="Yes",'Demand background (hide)'!AJ123,0),"")</f>
        <v/>
      </c>
      <c r="BE132" s="208"/>
    </row>
    <row r="133" spans="1:57" ht="15" x14ac:dyDescent="0.25">
      <c r="A133" t="str">
        <f t="shared" ca="1" si="4"/>
        <v/>
      </c>
      <c r="B133" s="263" t="str">
        <f t="shared" ca="1" si="5"/>
        <v xml:space="preserve"> </v>
      </c>
      <c r="C133" s="264" t="str">
        <f t="shared" ca="1" si="6"/>
        <v/>
      </c>
      <c r="D133" s="264" t="str">
        <f t="shared" ca="1" si="7"/>
        <v/>
      </c>
      <c r="E133" s="191"/>
      <c r="F133" s="191"/>
      <c r="G133" s="191"/>
      <c r="H133" s="191"/>
      <c r="I133" s="250" t="str">
        <f>IF(COUNTBLANK(E133:H133)=4,"",SUM(E133:G133)+IF(Setup!$I$15="No",0,H133))</f>
        <v/>
      </c>
      <c r="J133" s="191"/>
      <c r="K133" s="191"/>
      <c r="L133" s="191"/>
      <c r="M133" s="191"/>
      <c r="N133" s="254" t="str">
        <f>IF(COUNTBLANK(J133:M133)=4,"",SUM(J133:L133)+IF(Setup!$I$15="No",0,M133))</f>
        <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t="str">
        <f ca="1">IF('Demand background (hide)'!A124=Num_Modalities,"",SUM(Demand!I133))</f>
        <v/>
      </c>
      <c r="BD133" s="258" t="str">
        <f ca="1">IF(AND(A133&lt;=MaxRows,BE133&lt;&gt;"Yes"),'Demand background (hide)'!X124+IF(Setup!$I$15="Yes",'Demand background (hide)'!AJ124,0),"")</f>
        <v/>
      </c>
      <c r="BE133" s="208"/>
    </row>
    <row r="134" spans="1:57" ht="15" x14ac:dyDescent="0.25">
      <c r="A134" t="str">
        <f t="shared" ca="1" si="4"/>
        <v/>
      </c>
      <c r="B134" s="263" t="str">
        <f t="shared" ca="1" si="5"/>
        <v xml:space="preserve"> </v>
      </c>
      <c r="C134" s="264" t="str">
        <f t="shared" ca="1" si="6"/>
        <v/>
      </c>
      <c r="D134" s="264" t="str">
        <f t="shared" ca="1" si="7"/>
        <v/>
      </c>
      <c r="E134" s="191"/>
      <c r="F134" s="191"/>
      <c r="G134" s="191"/>
      <c r="H134" s="191"/>
      <c r="I134" s="250" t="str">
        <f>IF(COUNTBLANK(E134:H134)=4,"",SUM(E134:G134)+IF(Setup!$I$15="No",0,H134))</f>
        <v/>
      </c>
      <c r="J134" s="191"/>
      <c r="K134" s="191"/>
      <c r="L134" s="191"/>
      <c r="M134" s="191"/>
      <c r="N134" s="254" t="str">
        <f>IF(COUNTBLANK(J134:M134)=4,"",SUM(J134:L134)+IF(Setup!$I$15="No",0,M134))</f>
        <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t="str">
        <f ca="1">IF('Demand background (hide)'!A125=Num_Modalities,"",SUM(Demand!I134))</f>
        <v/>
      </c>
      <c r="BD134" s="258" t="str">
        <f ca="1">IF(AND(A134&lt;=MaxRows,BE134&lt;&gt;"Yes"),'Demand background (hide)'!X125+IF(Setup!$I$15="Yes",'Demand background (hide)'!AJ125,0),"")</f>
        <v/>
      </c>
      <c r="BE134" s="208"/>
    </row>
    <row r="135" spans="1:57" ht="15" x14ac:dyDescent="0.25">
      <c r="A135" t="str">
        <f t="shared" ca="1" si="4"/>
        <v/>
      </c>
      <c r="B135" s="263" t="str">
        <f t="shared" ca="1" si="5"/>
        <v xml:space="preserve"> </v>
      </c>
      <c r="C135" s="264" t="str">
        <f t="shared" ca="1" si="6"/>
        <v/>
      </c>
      <c r="D135" s="264" t="str">
        <f t="shared" ca="1" si="7"/>
        <v/>
      </c>
      <c r="E135" s="191"/>
      <c r="F135" s="191"/>
      <c r="G135" s="191"/>
      <c r="H135" s="191"/>
      <c r="I135" s="250" t="str">
        <f>IF(COUNTBLANK(E135:H135)=4,"",SUM(E135:G135)+IF(Setup!$I$15="No",0,H135))</f>
        <v/>
      </c>
      <c r="J135" s="191"/>
      <c r="K135" s="191"/>
      <c r="L135" s="191"/>
      <c r="M135" s="191"/>
      <c r="N135" s="254" t="str">
        <f>IF(COUNTBLANK(J135:M135)=4,"",SUM(J135:L135)+IF(Setup!$I$15="No",0,M135))</f>
        <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t="str">
        <f ca="1">IF('Demand background (hide)'!A126=Num_Modalities,"",SUM(Demand!I135))</f>
        <v/>
      </c>
      <c r="BD135" s="258" t="str">
        <f ca="1">IF(AND(A135&lt;=MaxRows,BE135&lt;&gt;"Yes"),'Demand background (hide)'!X126+IF(Setup!$I$15="Yes",'Demand background (hide)'!AJ126,0),"")</f>
        <v/>
      </c>
      <c r="BE135" s="208"/>
    </row>
    <row r="136" spans="1:57" ht="15" x14ac:dyDescent="0.25">
      <c r="A136" t="str">
        <f t="shared" ca="1" si="4"/>
        <v/>
      </c>
      <c r="B136" s="263" t="str">
        <f t="shared" ca="1" si="5"/>
        <v xml:space="preserve"> </v>
      </c>
      <c r="C136" s="264" t="str">
        <f t="shared" ca="1" si="6"/>
        <v/>
      </c>
      <c r="D136" s="264" t="str">
        <f t="shared" ca="1" si="7"/>
        <v/>
      </c>
      <c r="E136" s="191"/>
      <c r="F136" s="191"/>
      <c r="G136" s="191"/>
      <c r="H136" s="191"/>
      <c r="I136" s="250" t="str">
        <f>IF(COUNTBLANK(E136:H136)=4,"",SUM(E136:G136)+IF(Setup!$I$15="No",0,H136))</f>
        <v/>
      </c>
      <c r="J136" s="191"/>
      <c r="K136" s="191"/>
      <c r="L136" s="191"/>
      <c r="M136" s="191"/>
      <c r="N136" s="254" t="str">
        <f>IF(COUNTBLANK(J136:M136)=4,"",SUM(J136:L136)+IF(Setup!$I$15="No",0,M136))</f>
        <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t="str">
        <f ca="1">IF('Demand background (hide)'!A127=Num_Modalities,"",SUM(Demand!I136))</f>
        <v/>
      </c>
      <c r="BD136" s="258" t="str">
        <f ca="1">IF(AND(A136&lt;=MaxRows,BE136&lt;&gt;"Yes"),'Demand background (hide)'!X127+IF(Setup!$I$15="Yes",'Demand background (hide)'!AJ127,0),"")</f>
        <v/>
      </c>
      <c r="BE136" s="208"/>
    </row>
    <row r="137" spans="1:57" ht="15" x14ac:dyDescent="0.25">
      <c r="A137" t="str">
        <f t="shared" ca="1" si="4"/>
        <v/>
      </c>
      <c r="B137" s="263" t="str">
        <f t="shared" ca="1" si="5"/>
        <v xml:space="preserve"> </v>
      </c>
      <c r="C137" s="264" t="str">
        <f t="shared" ca="1" si="6"/>
        <v/>
      </c>
      <c r="D137" s="264" t="str">
        <f t="shared" ca="1" si="7"/>
        <v/>
      </c>
      <c r="E137" s="191"/>
      <c r="F137" s="191"/>
      <c r="G137" s="191"/>
      <c r="H137" s="191"/>
      <c r="I137" s="250" t="str">
        <f>IF(COUNTBLANK(E137:H137)=4,"",SUM(E137:G137)+IF(Setup!$I$15="No",0,H137))</f>
        <v/>
      </c>
      <c r="J137" s="191"/>
      <c r="K137" s="191"/>
      <c r="L137" s="191"/>
      <c r="M137" s="191"/>
      <c r="N137" s="254" t="str">
        <f>IF(COUNTBLANK(J137:M137)=4,"",SUM(J137:L137)+IF(Setup!$I$15="No",0,M137))</f>
        <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t="str">
        <f ca="1">IF('Demand background (hide)'!A128=Num_Modalities,"",SUM(Demand!I137))</f>
        <v/>
      </c>
      <c r="BD137" s="258" t="str">
        <f ca="1">IF(AND(A137&lt;=MaxRows,BE137&lt;&gt;"Yes"),'Demand background (hide)'!X128+IF(Setup!$I$15="Yes",'Demand background (hide)'!AJ128,0),"")</f>
        <v/>
      </c>
      <c r="BE137" s="208"/>
    </row>
    <row r="138" spans="1:57" ht="15" x14ac:dyDescent="0.25">
      <c r="A138" t="str">
        <f t="shared" ca="1" si="4"/>
        <v/>
      </c>
      <c r="B138" s="263" t="str">
        <f t="shared" ca="1" si="5"/>
        <v xml:space="preserve"> </v>
      </c>
      <c r="C138" s="264" t="str">
        <f t="shared" ca="1" si="6"/>
        <v/>
      </c>
      <c r="D138" s="264" t="str">
        <f t="shared" ca="1" si="7"/>
        <v/>
      </c>
      <c r="E138" s="191"/>
      <c r="F138" s="191"/>
      <c r="G138" s="191"/>
      <c r="H138" s="191"/>
      <c r="I138" s="250" t="str">
        <f>IF(COUNTBLANK(E138:H138)=4,"",SUM(E138:G138)+IF(Setup!$I$15="No",0,H138))</f>
        <v/>
      </c>
      <c r="J138" s="191"/>
      <c r="K138" s="191"/>
      <c r="L138" s="191"/>
      <c r="M138" s="191"/>
      <c r="N138" s="254" t="str">
        <f>IF(COUNTBLANK(J138:M138)=4,"",SUM(J138:L138)+IF(Setup!$I$15="No",0,M138))</f>
        <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t="str">
        <f ca="1">IF('Demand background (hide)'!A129=Num_Modalities,"",SUM(Demand!I138))</f>
        <v/>
      </c>
      <c r="BD138" s="258" t="str">
        <f ca="1">IF(AND(A138&lt;=MaxRows,BE138&lt;&gt;"Yes"),'Demand background (hide)'!X129+IF(Setup!$I$15="Yes",'Demand background (hide)'!AJ129,0),"")</f>
        <v/>
      </c>
      <c r="BE138" s="208"/>
    </row>
    <row r="139" spans="1:57" ht="15" x14ac:dyDescent="0.25">
      <c r="A139" t="str">
        <f t="shared" ca="1" si="4"/>
        <v/>
      </c>
      <c r="B139" s="263" t="str">
        <f t="shared" ca="1" si="5"/>
        <v xml:space="preserve"> </v>
      </c>
      <c r="C139" s="264" t="str">
        <f t="shared" ca="1" si="6"/>
        <v/>
      </c>
      <c r="D139" s="264" t="str">
        <f t="shared" ca="1" si="7"/>
        <v/>
      </c>
      <c r="E139" s="191"/>
      <c r="F139" s="191"/>
      <c r="G139" s="191"/>
      <c r="H139" s="191"/>
      <c r="I139" s="250" t="str">
        <f>IF(COUNTBLANK(E139:H139)=4,"",SUM(E139:G139)+IF(Setup!$I$15="No",0,H139))</f>
        <v/>
      </c>
      <c r="J139" s="191"/>
      <c r="K139" s="191"/>
      <c r="L139" s="191"/>
      <c r="M139" s="191"/>
      <c r="N139" s="254" t="str">
        <f>IF(COUNTBLANK(J139:M139)=4,"",SUM(J139:L139)+IF(Setup!$I$15="No",0,M139))</f>
        <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t="str">
        <f ca="1">IF('Demand background (hide)'!A130=Num_Modalities,"",SUM(Demand!I139))</f>
        <v/>
      </c>
      <c r="BD139" s="258" t="str">
        <f ca="1">IF(AND(A139&lt;=MaxRows,BE139&lt;&gt;"Yes"),'Demand background (hide)'!X130+IF(Setup!$I$15="Yes",'Demand background (hide)'!AJ130,0),"")</f>
        <v/>
      </c>
      <c r="BE139" s="208"/>
    </row>
    <row r="140" spans="1:57" ht="15" x14ac:dyDescent="0.25">
      <c r="A140" t="str">
        <f t="shared" ca="1" si="4"/>
        <v/>
      </c>
      <c r="B140" s="263" t="str">
        <f t="shared" ca="1" si="5"/>
        <v xml:space="preserve"> </v>
      </c>
      <c r="C140" s="264" t="str">
        <f t="shared" ca="1" si="6"/>
        <v/>
      </c>
      <c r="D140" s="264" t="str">
        <f t="shared" ca="1" si="7"/>
        <v/>
      </c>
      <c r="E140" s="191"/>
      <c r="F140" s="191"/>
      <c r="G140" s="191"/>
      <c r="H140" s="191"/>
      <c r="I140" s="250" t="str">
        <f>IF(COUNTBLANK(E140:H140)=4,"",SUM(E140:G140)+IF(Setup!$I$15="No",0,H140))</f>
        <v/>
      </c>
      <c r="J140" s="191"/>
      <c r="K140" s="191"/>
      <c r="L140" s="191"/>
      <c r="M140" s="191"/>
      <c r="N140" s="254" t="str">
        <f>IF(COUNTBLANK(J140:M140)=4,"",SUM(J140:L140)+IF(Setup!$I$15="No",0,M140))</f>
        <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t="str">
        <f ca="1">IF('Demand background (hide)'!A131=Num_Modalities,"",SUM(Demand!I140))</f>
        <v/>
      </c>
      <c r="BD140" s="258" t="str">
        <f ca="1">IF(AND(A140&lt;=MaxRows,BE140&lt;&gt;"Yes"),'Demand background (hide)'!X131+IF(Setup!$I$15="Yes",'Demand background (hide)'!AJ131,0),"")</f>
        <v/>
      </c>
      <c r="BE140" s="208"/>
    </row>
    <row r="141" spans="1:57" ht="15" x14ac:dyDescent="0.25">
      <c r="A141" t="str">
        <f t="shared" ref="A141:A204" ca="1" si="8">IF(BC141&lt;&gt;"",ROW(A129),"")</f>
        <v/>
      </c>
      <c r="B141" s="263" t="str">
        <f t="shared" ca="1" si="5"/>
        <v xml:space="preserve"> </v>
      </c>
      <c r="C141" s="264" t="str">
        <f t="shared" ca="1" si="6"/>
        <v/>
      </c>
      <c r="D141" s="264" t="str">
        <f t="shared" ca="1" si="7"/>
        <v/>
      </c>
      <c r="E141" s="191"/>
      <c r="F141" s="191"/>
      <c r="G141" s="191"/>
      <c r="H141" s="191"/>
      <c r="I141" s="250" t="str">
        <f>IF(COUNTBLANK(E141:H141)=4,"",SUM(E141:G141)+IF(Setup!$I$15="No",0,H141))</f>
        <v/>
      </c>
      <c r="J141" s="191"/>
      <c r="K141" s="191"/>
      <c r="L141" s="191"/>
      <c r="M141" s="191"/>
      <c r="N141" s="254" t="str">
        <f>IF(COUNTBLANK(J141:M141)=4,"",SUM(J141:L141)+IF(Setup!$I$15="No",0,M141))</f>
        <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t="str">
        <f ca="1">IF('Demand background (hide)'!A132=Num_Modalities,"",SUM(Demand!I141))</f>
        <v/>
      </c>
      <c r="BD141" s="258" t="str">
        <f ca="1">IF(AND(A141&lt;=MaxRows,BE141&lt;&gt;"Yes"),'Demand background (hide)'!X132+IF(Setup!$I$15="Yes",'Demand background (hide)'!AJ132,0),"")</f>
        <v/>
      </c>
      <c r="BE141" s="208"/>
    </row>
    <row r="142" spans="1:57" ht="15" x14ac:dyDescent="0.25">
      <c r="A142" t="str">
        <f t="shared" ca="1" si="8"/>
        <v/>
      </c>
      <c r="B142" s="263" t="str">
        <f t="shared" ref="B142:B205" ca="1" si="9">IF(A142&lt;=MaxRows,IF($C$6&lt;&gt;"",IF(YEAR(D142)&lt;&gt;YEAR(D141),YEAR(D142)," "),IF(C142&lt;&gt;1,"",OFFSET(B142,-C141,0,1,1)+1))," ")</f>
        <v xml:space="preserve"> </v>
      </c>
      <c r="C142" s="264" t="str">
        <f t="shared" ref="C142:C205" ca="1" si="10">IF(ROW(A130)&lt;=MaxRows,IF($C$6&lt;&gt;"",WEEKNUM(D142,21),IF(MOD((C141+1),52)&gt;0,MOD((C141+1),52),52)),"")</f>
        <v/>
      </c>
      <c r="D142" s="264" t="str">
        <f t="shared" ref="D142:D205" ca="1" si="11">IF(OR(AND(ROW(A130)&lt;=MaxRows,$C$6&lt;&gt;""),AND(ROW(A142)&lt;=64,LEFT($C$8,1)&lt;&gt;"H")),D141+7,"")</f>
        <v/>
      </c>
      <c r="E142" s="191"/>
      <c r="F142" s="191"/>
      <c r="G142" s="191"/>
      <c r="H142" s="191"/>
      <c r="I142" s="250" t="str">
        <f>IF(COUNTBLANK(E142:H142)=4,"",SUM(E142:G142)+IF(Setup!$I$15="No",0,H142))</f>
        <v/>
      </c>
      <c r="J142" s="191"/>
      <c r="K142" s="191"/>
      <c r="L142" s="191"/>
      <c r="M142" s="191"/>
      <c r="N142" s="254" t="str">
        <f>IF(COUNTBLANK(J142:M142)=4,"",SUM(J142:L142)+IF(Setup!$I$15="No",0,M142))</f>
        <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t="str">
        <f ca="1">IF('Demand background (hide)'!A133=Num_Modalities,"",SUM(Demand!I142))</f>
        <v/>
      </c>
      <c r="BD142" s="258" t="str">
        <f ca="1">IF(AND(A142&lt;=MaxRows,BE142&lt;&gt;"Yes"),'Demand background (hide)'!X133+IF(Setup!$I$15="Yes",'Demand background (hide)'!AJ133,0),"")</f>
        <v/>
      </c>
      <c r="BE142" s="208"/>
    </row>
    <row r="143" spans="1:57" ht="15" x14ac:dyDescent="0.25">
      <c r="A143" t="str">
        <f t="shared" ca="1" si="8"/>
        <v/>
      </c>
      <c r="B143" s="263" t="str">
        <f t="shared" ca="1" si="9"/>
        <v xml:space="preserve"> </v>
      </c>
      <c r="C143" s="264" t="str">
        <f t="shared" ca="1" si="10"/>
        <v/>
      </c>
      <c r="D143" s="264" t="str">
        <f t="shared" ca="1" si="11"/>
        <v/>
      </c>
      <c r="E143" s="191"/>
      <c r="F143" s="191"/>
      <c r="G143" s="191"/>
      <c r="H143" s="191"/>
      <c r="I143" s="250" t="str">
        <f>IF(COUNTBLANK(E143:H143)=4,"",SUM(E143:G143)+IF(Setup!$I$15="No",0,H143))</f>
        <v/>
      </c>
      <c r="J143" s="191"/>
      <c r="K143" s="191"/>
      <c r="L143" s="191"/>
      <c r="M143" s="191"/>
      <c r="N143" s="254" t="str">
        <f>IF(COUNTBLANK(J143:M143)=4,"",SUM(J143:L143)+IF(Setup!$I$15="No",0,M143))</f>
        <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t="str">
        <f ca="1">IF('Demand background (hide)'!A134=Num_Modalities,"",SUM(Demand!I143))</f>
        <v/>
      </c>
      <c r="BD143" s="258" t="str">
        <f ca="1">IF(AND(A143&lt;=MaxRows,BE143&lt;&gt;"Yes"),'Demand background (hide)'!X134+IF(Setup!$I$15="Yes",'Demand background (hide)'!AJ134,0),"")</f>
        <v/>
      </c>
      <c r="BE143" s="208"/>
    </row>
    <row r="144" spans="1:57" ht="15" x14ac:dyDescent="0.25">
      <c r="A144" t="str">
        <f t="shared" ca="1" si="8"/>
        <v/>
      </c>
      <c r="B144" s="263" t="str">
        <f t="shared" ca="1" si="9"/>
        <v xml:space="preserve"> </v>
      </c>
      <c r="C144" s="264" t="str">
        <f t="shared" ca="1" si="10"/>
        <v/>
      </c>
      <c r="D144" s="264" t="str">
        <f t="shared" ca="1" si="11"/>
        <v/>
      </c>
      <c r="E144" s="191"/>
      <c r="F144" s="191"/>
      <c r="G144" s="191"/>
      <c r="H144" s="191"/>
      <c r="I144" s="250" t="str">
        <f>IF(COUNTBLANK(E144:H144)=4,"",SUM(E144:G144)+IF(Setup!$I$15="No",0,H144))</f>
        <v/>
      </c>
      <c r="J144" s="191"/>
      <c r="K144" s="191"/>
      <c r="L144" s="191"/>
      <c r="M144" s="191"/>
      <c r="N144" s="254" t="str">
        <f>IF(COUNTBLANK(J144:M144)=4,"",SUM(J144:L144)+IF(Setup!$I$15="No",0,M144))</f>
        <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t="str">
        <f ca="1">IF('Demand background (hide)'!A135=Num_Modalities,"",SUM(Demand!I144))</f>
        <v/>
      </c>
      <c r="BD144" s="258" t="str">
        <f ca="1">IF(AND(A144&lt;=MaxRows,BE144&lt;&gt;"Yes"),'Demand background (hide)'!X135+IF(Setup!$I$15="Yes",'Demand background (hide)'!AJ135,0),"")</f>
        <v/>
      </c>
      <c r="BE144" s="208"/>
    </row>
    <row r="145" spans="1:57" ht="15" x14ac:dyDescent="0.25">
      <c r="A145" t="str">
        <f t="shared" ca="1" si="8"/>
        <v/>
      </c>
      <c r="B145" s="263" t="str">
        <f t="shared" ca="1" si="9"/>
        <v xml:space="preserve"> </v>
      </c>
      <c r="C145" s="264" t="str">
        <f t="shared" ca="1" si="10"/>
        <v/>
      </c>
      <c r="D145" s="264" t="str">
        <f t="shared" ca="1" si="11"/>
        <v/>
      </c>
      <c r="E145" s="191"/>
      <c r="F145" s="191"/>
      <c r="G145" s="191"/>
      <c r="H145" s="191"/>
      <c r="I145" s="250" t="str">
        <f>IF(COUNTBLANK(E145:H145)=4,"",SUM(E145:G145)+IF(Setup!$I$15="No",0,H145))</f>
        <v/>
      </c>
      <c r="J145" s="191"/>
      <c r="K145" s="191"/>
      <c r="L145" s="191"/>
      <c r="M145" s="191"/>
      <c r="N145" s="254" t="str">
        <f>IF(COUNTBLANK(J145:M145)=4,"",SUM(J145:L145)+IF(Setup!$I$15="No",0,M145))</f>
        <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t="str">
        <f ca="1">IF('Demand background (hide)'!A136=Num_Modalities,"",SUM(Demand!I145))</f>
        <v/>
      </c>
      <c r="BD145" s="258" t="str">
        <f ca="1">IF(AND(A145&lt;=MaxRows,BE145&lt;&gt;"Yes"),'Demand background (hide)'!X136+IF(Setup!$I$15="Yes",'Demand background (hide)'!AJ136,0),"")</f>
        <v/>
      </c>
      <c r="BE145" s="208"/>
    </row>
    <row r="146" spans="1:57" ht="15" x14ac:dyDescent="0.25">
      <c r="A146" t="str">
        <f t="shared" ca="1" si="8"/>
        <v/>
      </c>
      <c r="B146" s="263" t="str">
        <f t="shared" ca="1" si="9"/>
        <v xml:space="preserve"> </v>
      </c>
      <c r="C146" s="264" t="str">
        <f t="shared" ca="1" si="10"/>
        <v/>
      </c>
      <c r="D146" s="264" t="str">
        <f t="shared" ca="1" si="11"/>
        <v/>
      </c>
      <c r="E146" s="191"/>
      <c r="F146" s="191"/>
      <c r="G146" s="191"/>
      <c r="H146" s="191"/>
      <c r="I146" s="250" t="str">
        <f>IF(COUNTBLANK(E146:H146)=4,"",SUM(E146:G146)+IF(Setup!$I$15="No",0,H146))</f>
        <v/>
      </c>
      <c r="J146" s="191"/>
      <c r="K146" s="191"/>
      <c r="L146" s="191"/>
      <c r="M146" s="191"/>
      <c r="N146" s="254" t="str">
        <f>IF(COUNTBLANK(J146:M146)=4,"",SUM(J146:L146)+IF(Setup!$I$15="No",0,M146))</f>
        <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t="str">
        <f ca="1">IF('Demand background (hide)'!A137=Num_Modalities,"",SUM(Demand!I146))</f>
        <v/>
      </c>
      <c r="BD146" s="258" t="str">
        <f ca="1">IF(AND(A146&lt;=MaxRows,BE146&lt;&gt;"Yes"),'Demand background (hide)'!X137+IF(Setup!$I$15="Yes",'Demand background (hide)'!AJ137,0),"")</f>
        <v/>
      </c>
      <c r="BE146" s="208"/>
    </row>
    <row r="147" spans="1:57" ht="15" x14ac:dyDescent="0.25">
      <c r="A147" t="str">
        <f t="shared" ca="1" si="8"/>
        <v/>
      </c>
      <c r="B147" s="263" t="str">
        <f t="shared" ca="1" si="9"/>
        <v xml:space="preserve"> </v>
      </c>
      <c r="C147" s="264" t="str">
        <f t="shared" ca="1" si="10"/>
        <v/>
      </c>
      <c r="D147" s="264" t="str">
        <f t="shared" ca="1" si="11"/>
        <v/>
      </c>
      <c r="E147" s="191"/>
      <c r="F147" s="191"/>
      <c r="G147" s="191"/>
      <c r="H147" s="191"/>
      <c r="I147" s="250" t="str">
        <f>IF(COUNTBLANK(E147:H147)=4,"",SUM(E147:G147)+IF(Setup!$I$15="No",0,H147))</f>
        <v/>
      </c>
      <c r="J147" s="191"/>
      <c r="K147" s="191"/>
      <c r="L147" s="191"/>
      <c r="M147" s="191"/>
      <c r="N147" s="254" t="str">
        <f>IF(COUNTBLANK(J147:M147)=4,"",SUM(J147:L147)+IF(Setup!$I$15="No",0,M147))</f>
        <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t="str">
        <f ca="1">IF('Demand background (hide)'!A138=Num_Modalities,"",SUM(Demand!I147))</f>
        <v/>
      </c>
      <c r="BD147" s="258" t="str">
        <f ca="1">IF(AND(A147&lt;=MaxRows,BE147&lt;&gt;"Yes"),'Demand background (hide)'!X138+IF(Setup!$I$15="Yes",'Demand background (hide)'!AJ138,0),"")</f>
        <v/>
      </c>
      <c r="BE147" s="208"/>
    </row>
    <row r="148" spans="1:57" ht="15" x14ac:dyDescent="0.25">
      <c r="A148" t="str">
        <f t="shared" ca="1" si="8"/>
        <v/>
      </c>
      <c r="B148" s="263" t="str">
        <f t="shared" ca="1" si="9"/>
        <v xml:space="preserve"> </v>
      </c>
      <c r="C148" s="264" t="str">
        <f t="shared" ca="1" si="10"/>
        <v/>
      </c>
      <c r="D148" s="264" t="str">
        <f t="shared" ca="1" si="11"/>
        <v/>
      </c>
      <c r="E148" s="191"/>
      <c r="F148" s="191"/>
      <c r="G148" s="191"/>
      <c r="H148" s="191"/>
      <c r="I148" s="250" t="str">
        <f>IF(COUNTBLANK(E148:H148)=4,"",SUM(E148:G148)+IF(Setup!$I$15="No",0,H148))</f>
        <v/>
      </c>
      <c r="J148" s="191"/>
      <c r="K148" s="191"/>
      <c r="L148" s="191"/>
      <c r="M148" s="191"/>
      <c r="N148" s="254" t="str">
        <f>IF(COUNTBLANK(J148:M148)=4,"",SUM(J148:L148)+IF(Setup!$I$15="No",0,M148))</f>
        <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t="str">
        <f ca="1">IF('Demand background (hide)'!A139=Num_Modalities,"",SUM(Demand!I148))</f>
        <v/>
      </c>
      <c r="BD148" s="258" t="str">
        <f ca="1">IF(AND(A148&lt;=MaxRows,BE148&lt;&gt;"Yes"),'Demand background (hide)'!X139+IF(Setup!$I$15="Yes",'Demand background (hide)'!AJ139,0),"")</f>
        <v/>
      </c>
      <c r="BE148" s="208"/>
    </row>
    <row r="149" spans="1:57" ht="15" x14ac:dyDescent="0.25">
      <c r="A149" t="str">
        <f t="shared" ca="1" si="8"/>
        <v/>
      </c>
      <c r="B149" s="263" t="str">
        <f t="shared" ca="1" si="9"/>
        <v xml:space="preserve"> </v>
      </c>
      <c r="C149" s="264" t="str">
        <f t="shared" ca="1" si="10"/>
        <v/>
      </c>
      <c r="D149" s="264" t="str">
        <f t="shared" ca="1" si="11"/>
        <v/>
      </c>
      <c r="E149" s="191"/>
      <c r="F149" s="191"/>
      <c r="G149" s="191"/>
      <c r="H149" s="191"/>
      <c r="I149" s="250" t="str">
        <f>IF(COUNTBLANK(E149:H149)=4,"",SUM(E149:G149)+IF(Setup!$I$15="No",0,H149))</f>
        <v/>
      </c>
      <c r="J149" s="191"/>
      <c r="K149" s="191"/>
      <c r="L149" s="191"/>
      <c r="M149" s="191"/>
      <c r="N149" s="254" t="str">
        <f>IF(COUNTBLANK(J149:M149)=4,"",SUM(J149:L149)+IF(Setup!$I$15="No",0,M149))</f>
        <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t="str">
        <f ca="1">IF('Demand background (hide)'!A140=Num_Modalities,"",SUM(Demand!I149))</f>
        <v/>
      </c>
      <c r="BD149" s="258" t="str">
        <f ca="1">IF(AND(A149&lt;=MaxRows,BE149&lt;&gt;"Yes"),'Demand background (hide)'!X140+IF(Setup!$I$15="Yes",'Demand background (hide)'!AJ140,0),"")</f>
        <v/>
      </c>
      <c r="BE149" s="208"/>
    </row>
    <row r="150" spans="1:57" ht="15" x14ac:dyDescent="0.25">
      <c r="A150" t="str">
        <f t="shared" ca="1" si="8"/>
        <v/>
      </c>
      <c r="B150" s="263" t="str">
        <f t="shared" ca="1" si="9"/>
        <v xml:space="preserve"> </v>
      </c>
      <c r="C150" s="264" t="str">
        <f t="shared" ca="1" si="10"/>
        <v/>
      </c>
      <c r="D150" s="264" t="str">
        <f t="shared" ca="1" si="11"/>
        <v/>
      </c>
      <c r="E150" s="191"/>
      <c r="F150" s="191"/>
      <c r="G150" s="191"/>
      <c r="H150" s="191"/>
      <c r="I150" s="250" t="str">
        <f>IF(COUNTBLANK(E150:H150)=4,"",SUM(E150:G150)+IF(Setup!$I$15="No",0,H150))</f>
        <v/>
      </c>
      <c r="J150" s="191"/>
      <c r="K150" s="191"/>
      <c r="L150" s="191"/>
      <c r="M150" s="191"/>
      <c r="N150" s="254" t="str">
        <f>IF(COUNTBLANK(J150:M150)=4,"",SUM(J150:L150)+IF(Setup!$I$15="No",0,M150))</f>
        <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t="str">
        <f ca="1">IF('Demand background (hide)'!A141=Num_Modalities,"",SUM(Demand!I150))</f>
        <v/>
      </c>
      <c r="BD150" s="258" t="str">
        <f ca="1">IF(AND(A150&lt;=MaxRows,BE150&lt;&gt;"Yes"),'Demand background (hide)'!X141+IF(Setup!$I$15="Yes",'Demand background (hide)'!AJ141,0),"")</f>
        <v/>
      </c>
      <c r="BE150" s="208"/>
    </row>
    <row r="151" spans="1:57" ht="15" x14ac:dyDescent="0.25">
      <c r="A151" t="str">
        <f t="shared" ca="1" si="8"/>
        <v/>
      </c>
      <c r="B151" s="263" t="str">
        <f t="shared" ca="1" si="9"/>
        <v xml:space="preserve"> </v>
      </c>
      <c r="C151" s="264" t="str">
        <f t="shared" ca="1" si="10"/>
        <v/>
      </c>
      <c r="D151" s="264" t="str">
        <f t="shared" ca="1" si="11"/>
        <v/>
      </c>
      <c r="E151" s="191"/>
      <c r="F151" s="191"/>
      <c r="G151" s="191"/>
      <c r="H151" s="191"/>
      <c r="I151" s="250" t="str">
        <f>IF(COUNTBLANK(E151:H151)=4,"",SUM(E151:G151)+IF(Setup!$I$15="No",0,H151))</f>
        <v/>
      </c>
      <c r="J151" s="191"/>
      <c r="K151" s="191"/>
      <c r="L151" s="191"/>
      <c r="M151" s="191"/>
      <c r="N151" s="254" t="str">
        <f>IF(COUNTBLANK(J151:M151)=4,"",SUM(J151:L151)+IF(Setup!$I$15="No",0,M151))</f>
        <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t="str">
        <f ca="1">IF('Demand background (hide)'!A142=Num_Modalities,"",SUM(Demand!I151))</f>
        <v/>
      </c>
      <c r="BD151" s="258" t="str">
        <f ca="1">IF(AND(A151&lt;=MaxRows,BE151&lt;&gt;"Yes"),'Demand background (hide)'!X142+IF(Setup!$I$15="Yes",'Demand background (hide)'!AJ142,0),"")</f>
        <v/>
      </c>
      <c r="BE151" s="208"/>
    </row>
    <row r="152" spans="1:57" ht="15" x14ac:dyDescent="0.25">
      <c r="A152" t="str">
        <f t="shared" ca="1" si="8"/>
        <v/>
      </c>
      <c r="B152" s="263" t="str">
        <f t="shared" ca="1" si="9"/>
        <v xml:space="preserve"> </v>
      </c>
      <c r="C152" s="264" t="str">
        <f t="shared" ca="1" si="10"/>
        <v/>
      </c>
      <c r="D152" s="264" t="str">
        <f t="shared" ca="1" si="11"/>
        <v/>
      </c>
      <c r="E152" s="191"/>
      <c r="F152" s="191"/>
      <c r="G152" s="191"/>
      <c r="H152" s="191"/>
      <c r="I152" s="250" t="str">
        <f>IF(COUNTBLANK(E152:H152)=4,"",SUM(E152:G152)+IF(Setup!$I$15="No",0,H152))</f>
        <v/>
      </c>
      <c r="J152" s="191"/>
      <c r="K152" s="191"/>
      <c r="L152" s="191"/>
      <c r="M152" s="191"/>
      <c r="N152" s="254" t="str">
        <f>IF(COUNTBLANK(J152:M152)=4,"",SUM(J152:L152)+IF(Setup!$I$15="No",0,M152))</f>
        <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t="str">
        <f ca="1">IF('Demand background (hide)'!A143=Num_Modalities,"",SUM(Demand!I152))</f>
        <v/>
      </c>
      <c r="BD152" s="258" t="str">
        <f ca="1">IF(AND(A152&lt;=MaxRows,BE152&lt;&gt;"Yes"),'Demand background (hide)'!X143+IF(Setup!$I$15="Yes",'Demand background (hide)'!AJ143,0),"")</f>
        <v/>
      </c>
      <c r="BE152" s="208"/>
    </row>
    <row r="153" spans="1:57" ht="15" x14ac:dyDescent="0.25">
      <c r="A153" t="str">
        <f t="shared" ca="1" si="8"/>
        <v/>
      </c>
      <c r="B153" s="263" t="str">
        <f t="shared" ca="1" si="9"/>
        <v xml:space="preserve"> </v>
      </c>
      <c r="C153" s="264" t="str">
        <f t="shared" ca="1" si="10"/>
        <v/>
      </c>
      <c r="D153" s="264" t="str">
        <f t="shared" ca="1" si="11"/>
        <v/>
      </c>
      <c r="E153" s="191"/>
      <c r="F153" s="191"/>
      <c r="G153" s="191"/>
      <c r="H153" s="191"/>
      <c r="I153" s="250" t="str">
        <f>IF(COUNTBLANK(E153:H153)=4,"",SUM(E153:G153)+IF(Setup!$I$15="No",0,H153))</f>
        <v/>
      </c>
      <c r="J153" s="191"/>
      <c r="K153" s="191"/>
      <c r="L153" s="191"/>
      <c r="M153" s="191"/>
      <c r="N153" s="254" t="str">
        <f>IF(COUNTBLANK(J153:M153)=4,"",SUM(J153:L153)+IF(Setup!$I$15="No",0,M153))</f>
        <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t="str">
        <f ca="1">IF('Demand background (hide)'!A144=Num_Modalities,"",SUM(Demand!I153))</f>
        <v/>
      </c>
      <c r="BD153" s="258" t="str">
        <f ca="1">IF(AND(A153&lt;=MaxRows,BE153&lt;&gt;"Yes"),'Demand background (hide)'!X144+IF(Setup!$I$15="Yes",'Demand background (hide)'!AJ144,0),"")</f>
        <v/>
      </c>
      <c r="BE153" s="208"/>
    </row>
    <row r="154" spans="1:57" ht="15" x14ac:dyDescent="0.25">
      <c r="A154" t="str">
        <f t="shared" ca="1" si="8"/>
        <v/>
      </c>
      <c r="B154" s="263" t="str">
        <f t="shared" ca="1" si="9"/>
        <v xml:space="preserve"> </v>
      </c>
      <c r="C154" s="264" t="str">
        <f t="shared" ca="1" si="10"/>
        <v/>
      </c>
      <c r="D154" s="264" t="str">
        <f t="shared" ca="1" si="11"/>
        <v/>
      </c>
      <c r="E154" s="191"/>
      <c r="F154" s="191"/>
      <c r="G154" s="191"/>
      <c r="H154" s="191"/>
      <c r="I154" s="250" t="str">
        <f>IF(COUNTBLANK(E154:H154)=4,"",SUM(E154:G154)+IF(Setup!$I$15="No",0,H154))</f>
        <v/>
      </c>
      <c r="J154" s="191"/>
      <c r="K154" s="191"/>
      <c r="L154" s="191"/>
      <c r="M154" s="191"/>
      <c r="N154" s="254" t="str">
        <f>IF(COUNTBLANK(J154:M154)=4,"",SUM(J154:L154)+IF(Setup!$I$15="No",0,M154))</f>
        <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t="str">
        <f ca="1">IF('Demand background (hide)'!A145=Num_Modalities,"",SUM(Demand!I154))</f>
        <v/>
      </c>
      <c r="BD154" s="258" t="str">
        <f ca="1">IF(AND(A154&lt;=MaxRows,BE154&lt;&gt;"Yes"),'Demand background (hide)'!X145+IF(Setup!$I$15="Yes",'Demand background (hide)'!AJ145,0),"")</f>
        <v/>
      </c>
      <c r="BE154" s="208"/>
    </row>
    <row r="155" spans="1:57" ht="15" x14ac:dyDescent="0.25">
      <c r="A155" t="str">
        <f t="shared" ca="1" si="8"/>
        <v/>
      </c>
      <c r="B155" s="263" t="str">
        <f t="shared" ca="1" si="9"/>
        <v xml:space="preserve"> </v>
      </c>
      <c r="C155" s="264" t="str">
        <f t="shared" ca="1" si="10"/>
        <v/>
      </c>
      <c r="D155" s="264" t="str">
        <f t="shared" ca="1" si="11"/>
        <v/>
      </c>
      <c r="E155" s="191"/>
      <c r="F155" s="191"/>
      <c r="G155" s="191"/>
      <c r="H155" s="191"/>
      <c r="I155" s="250" t="str">
        <f>IF(COUNTBLANK(E155:H155)=4,"",SUM(E155:G155)+IF(Setup!$I$15="No",0,H155))</f>
        <v/>
      </c>
      <c r="J155" s="191"/>
      <c r="K155" s="191"/>
      <c r="L155" s="191"/>
      <c r="M155" s="191"/>
      <c r="N155" s="254" t="str">
        <f>IF(COUNTBLANK(J155:M155)=4,"",SUM(J155:L155)+IF(Setup!$I$15="No",0,M155))</f>
        <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t="str">
        <f ca="1">IF('Demand background (hide)'!A146=Num_Modalities,"",SUM(Demand!I155))</f>
        <v/>
      </c>
      <c r="BD155" s="258" t="str">
        <f ca="1">IF(AND(A155&lt;=MaxRows,BE155&lt;&gt;"Yes"),'Demand background (hide)'!X146+IF(Setup!$I$15="Yes",'Demand background (hide)'!AJ146,0),"")</f>
        <v/>
      </c>
      <c r="BE155" s="208"/>
    </row>
    <row r="156" spans="1:57" ht="15" x14ac:dyDescent="0.25">
      <c r="A156" t="str">
        <f t="shared" ca="1" si="8"/>
        <v/>
      </c>
      <c r="B156" s="263" t="str">
        <f t="shared" ca="1" si="9"/>
        <v xml:space="preserve"> </v>
      </c>
      <c r="C156" s="264" t="str">
        <f t="shared" ca="1" si="10"/>
        <v/>
      </c>
      <c r="D156" s="264" t="str">
        <f t="shared" ca="1" si="11"/>
        <v/>
      </c>
      <c r="E156" s="191"/>
      <c r="F156" s="191"/>
      <c r="G156" s="191"/>
      <c r="H156" s="191"/>
      <c r="I156" s="250" t="str">
        <f>IF(COUNTBLANK(E156:H156)=4,"",SUM(E156:G156)+IF(Setup!$I$15="No",0,H156))</f>
        <v/>
      </c>
      <c r="J156" s="191"/>
      <c r="K156" s="191"/>
      <c r="L156" s="191"/>
      <c r="M156" s="191"/>
      <c r="N156" s="254" t="str">
        <f>IF(COUNTBLANK(J156:M156)=4,"",SUM(J156:L156)+IF(Setup!$I$15="No",0,M156))</f>
        <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t="str">
        <f ca="1">IF('Demand background (hide)'!A147=Num_Modalities,"",SUM(Demand!I156))</f>
        <v/>
      </c>
      <c r="BD156" s="258" t="str">
        <f ca="1">IF(AND(A156&lt;=MaxRows,BE156&lt;&gt;"Yes"),'Demand background (hide)'!X147+IF(Setup!$I$15="Yes",'Demand background (hide)'!AJ147,0),"")</f>
        <v/>
      </c>
      <c r="BE156" s="208"/>
    </row>
    <row r="157" spans="1:57" ht="15" x14ac:dyDescent="0.25">
      <c r="A157" t="str">
        <f t="shared" ca="1" si="8"/>
        <v/>
      </c>
      <c r="B157" s="263" t="str">
        <f t="shared" ca="1" si="9"/>
        <v xml:space="preserve"> </v>
      </c>
      <c r="C157" s="264" t="str">
        <f t="shared" ca="1" si="10"/>
        <v/>
      </c>
      <c r="D157" s="264" t="str">
        <f t="shared" ca="1" si="11"/>
        <v/>
      </c>
      <c r="E157" s="191"/>
      <c r="F157" s="191"/>
      <c r="G157" s="191"/>
      <c r="H157" s="191"/>
      <c r="I157" s="250" t="str">
        <f>IF(COUNTBLANK(E157:H157)=4,"",SUM(E157:G157)+IF(Setup!$I$15="No",0,H157))</f>
        <v/>
      </c>
      <c r="J157" s="191"/>
      <c r="K157" s="191"/>
      <c r="L157" s="191"/>
      <c r="M157" s="191"/>
      <c r="N157" s="254" t="str">
        <f>IF(COUNTBLANK(J157:M157)=4,"",SUM(J157:L157)+IF(Setup!$I$15="No",0,M157))</f>
        <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t="str">
        <f ca="1">IF('Demand background (hide)'!A148=Num_Modalities,"",SUM(Demand!I157))</f>
        <v/>
      </c>
      <c r="BD157" s="258" t="str">
        <f ca="1">IF(AND(A157&lt;=MaxRows,BE157&lt;&gt;"Yes"),'Demand background (hide)'!X148+IF(Setup!$I$15="Yes",'Demand background (hide)'!AJ148,0),"")</f>
        <v/>
      </c>
      <c r="BE157" s="208"/>
    </row>
    <row r="158" spans="1:57" ht="15" x14ac:dyDescent="0.25">
      <c r="A158" t="str">
        <f t="shared" ca="1" si="8"/>
        <v/>
      </c>
      <c r="B158" s="263" t="str">
        <f t="shared" ca="1" si="9"/>
        <v xml:space="preserve"> </v>
      </c>
      <c r="C158" s="264" t="str">
        <f t="shared" ca="1" si="10"/>
        <v/>
      </c>
      <c r="D158" s="264" t="str">
        <f t="shared" ca="1" si="11"/>
        <v/>
      </c>
      <c r="E158" s="191"/>
      <c r="F158" s="191"/>
      <c r="G158" s="191"/>
      <c r="H158" s="191"/>
      <c r="I158" s="250" t="str">
        <f>IF(COUNTBLANK(E158:H158)=4,"",SUM(E158:G158)+IF(Setup!$I$15="No",0,H158))</f>
        <v/>
      </c>
      <c r="J158" s="191"/>
      <c r="K158" s="191"/>
      <c r="L158" s="191"/>
      <c r="M158" s="191"/>
      <c r="N158" s="254" t="str">
        <f>IF(COUNTBLANK(J158:M158)=4,"",SUM(J158:L158)+IF(Setup!$I$15="No",0,M158))</f>
        <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t="str">
        <f ca="1">IF('Demand background (hide)'!A149=Num_Modalities,"",SUM(Demand!I158))</f>
        <v/>
      </c>
      <c r="BD158" s="258" t="str">
        <f ca="1">IF(AND(A158&lt;=MaxRows,BE158&lt;&gt;"Yes"),'Demand background (hide)'!X149+IF(Setup!$I$15="Yes",'Demand background (hide)'!AJ149,0),"")</f>
        <v/>
      </c>
      <c r="BE158" s="208"/>
    </row>
    <row r="159" spans="1:57" ht="15" x14ac:dyDescent="0.25">
      <c r="A159" t="str">
        <f t="shared" ca="1" si="8"/>
        <v/>
      </c>
      <c r="B159" s="263" t="str">
        <f t="shared" ca="1" si="9"/>
        <v xml:space="preserve"> </v>
      </c>
      <c r="C159" s="264" t="str">
        <f t="shared" ca="1" si="10"/>
        <v/>
      </c>
      <c r="D159" s="264" t="str">
        <f t="shared" ca="1" si="11"/>
        <v/>
      </c>
      <c r="E159" s="191"/>
      <c r="F159" s="191"/>
      <c r="G159" s="191"/>
      <c r="H159" s="191"/>
      <c r="I159" s="250" t="str">
        <f>IF(COUNTBLANK(E159:H159)=4,"",SUM(E159:G159)+IF(Setup!$I$15="No",0,H159))</f>
        <v/>
      </c>
      <c r="J159" s="191"/>
      <c r="K159" s="191"/>
      <c r="L159" s="191"/>
      <c r="M159" s="191"/>
      <c r="N159" s="254" t="str">
        <f>IF(COUNTBLANK(J159:M159)=4,"",SUM(J159:L159)+IF(Setup!$I$15="No",0,M159))</f>
        <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t="str">
        <f ca="1">IF('Demand background (hide)'!A150=Num_Modalities,"",SUM(Demand!I159))</f>
        <v/>
      </c>
      <c r="BD159" s="258" t="str">
        <f ca="1">IF(AND(A159&lt;=MaxRows,BE159&lt;&gt;"Yes"),'Demand background (hide)'!X150+IF(Setup!$I$15="Yes",'Demand background (hide)'!AJ150,0),"")</f>
        <v/>
      </c>
      <c r="BE159" s="208"/>
    </row>
    <row r="160" spans="1:57" ht="15" x14ac:dyDescent="0.25">
      <c r="A160" t="str">
        <f t="shared" ca="1" si="8"/>
        <v/>
      </c>
      <c r="B160" s="263" t="str">
        <f t="shared" ca="1" si="9"/>
        <v xml:space="preserve"> </v>
      </c>
      <c r="C160" s="264" t="str">
        <f t="shared" ca="1" si="10"/>
        <v/>
      </c>
      <c r="D160" s="264" t="str">
        <f t="shared" ca="1" si="11"/>
        <v/>
      </c>
      <c r="E160" s="191"/>
      <c r="F160" s="191"/>
      <c r="G160" s="191"/>
      <c r="H160" s="191"/>
      <c r="I160" s="250" t="str">
        <f>IF(COUNTBLANK(E160:H160)=4,"",SUM(E160:G160)+IF(Setup!$I$15="No",0,H160))</f>
        <v/>
      </c>
      <c r="J160" s="191"/>
      <c r="K160" s="191"/>
      <c r="L160" s="191"/>
      <c r="M160" s="191"/>
      <c r="N160" s="254" t="str">
        <f>IF(COUNTBLANK(J160:M160)=4,"",SUM(J160:L160)+IF(Setup!$I$15="No",0,M160))</f>
        <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t="str">
        <f ca="1">IF('Demand background (hide)'!A151=Num_Modalities,"",SUM(Demand!I160))</f>
        <v/>
      </c>
      <c r="BD160" s="258" t="str">
        <f ca="1">IF(AND(A160&lt;=MaxRows,BE160&lt;&gt;"Yes"),'Demand background (hide)'!X151+IF(Setup!$I$15="Yes",'Demand background (hide)'!AJ151,0),"")</f>
        <v/>
      </c>
      <c r="BE160" s="208"/>
    </row>
    <row r="161" spans="1:57" ht="15" x14ac:dyDescent="0.25">
      <c r="A161" t="str">
        <f t="shared" ca="1" si="8"/>
        <v/>
      </c>
      <c r="B161" s="263" t="str">
        <f t="shared" ca="1" si="9"/>
        <v xml:space="preserve"> </v>
      </c>
      <c r="C161" s="264" t="str">
        <f t="shared" ca="1" si="10"/>
        <v/>
      </c>
      <c r="D161" s="264" t="str">
        <f t="shared" ca="1" si="11"/>
        <v/>
      </c>
      <c r="E161" s="191"/>
      <c r="F161" s="191"/>
      <c r="G161" s="191"/>
      <c r="H161" s="191"/>
      <c r="I161" s="250" t="str">
        <f>IF(COUNTBLANK(E161:H161)=4,"",SUM(E161:G161)+IF(Setup!$I$15="No",0,H161))</f>
        <v/>
      </c>
      <c r="J161" s="191"/>
      <c r="K161" s="191"/>
      <c r="L161" s="191"/>
      <c r="M161" s="191"/>
      <c r="N161" s="254" t="str">
        <f>IF(COUNTBLANK(J161:M161)=4,"",SUM(J161:L161)+IF(Setup!$I$15="No",0,M161))</f>
        <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t="str">
        <f ca="1">IF('Demand background (hide)'!A152=Num_Modalities,"",SUM(Demand!I161))</f>
        <v/>
      </c>
      <c r="BD161" s="258" t="str">
        <f ca="1">IF(AND(A161&lt;=MaxRows,BE161&lt;&gt;"Yes"),'Demand background (hide)'!X152+IF(Setup!$I$15="Yes",'Demand background (hide)'!AJ152,0),"")</f>
        <v/>
      </c>
      <c r="BE161" s="208"/>
    </row>
    <row r="162" spans="1:57" ht="15" x14ac:dyDescent="0.25">
      <c r="A162" t="str">
        <f t="shared" ca="1" si="8"/>
        <v/>
      </c>
      <c r="B162" s="263" t="str">
        <f t="shared" ca="1" si="9"/>
        <v xml:space="preserve"> </v>
      </c>
      <c r="C162" s="264" t="str">
        <f t="shared" ca="1" si="10"/>
        <v/>
      </c>
      <c r="D162" s="264" t="str">
        <f t="shared" ca="1" si="11"/>
        <v/>
      </c>
      <c r="E162" s="191"/>
      <c r="F162" s="191"/>
      <c r="G162" s="191"/>
      <c r="H162" s="191"/>
      <c r="I162" s="250" t="str">
        <f>IF(COUNTBLANK(E162:H162)=4,"",SUM(E162:G162)+IF(Setup!$I$15="No",0,H162))</f>
        <v/>
      </c>
      <c r="J162" s="191"/>
      <c r="K162" s="191"/>
      <c r="L162" s="191"/>
      <c r="M162" s="191"/>
      <c r="N162" s="254" t="str">
        <f>IF(COUNTBLANK(J162:M162)=4,"",SUM(J162:L162)+IF(Setup!$I$15="No",0,M162))</f>
        <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t="str">
        <f ca="1">IF('Demand background (hide)'!A153=Num_Modalities,"",SUM(Demand!I162))</f>
        <v/>
      </c>
      <c r="BD162" s="258" t="str">
        <f ca="1">IF(AND(A162&lt;=MaxRows,BE162&lt;&gt;"Yes"),'Demand background (hide)'!X153+IF(Setup!$I$15="Yes",'Demand background (hide)'!AJ153,0),"")</f>
        <v/>
      </c>
      <c r="BE162" s="208"/>
    </row>
    <row r="163" spans="1:57" ht="15" x14ac:dyDescent="0.25">
      <c r="A163" t="str">
        <f t="shared" ca="1" si="8"/>
        <v/>
      </c>
      <c r="B163" s="263" t="str">
        <f t="shared" ca="1" si="9"/>
        <v xml:space="preserve"> </v>
      </c>
      <c r="C163" s="264" t="str">
        <f t="shared" ca="1" si="10"/>
        <v/>
      </c>
      <c r="D163" s="264" t="str">
        <f t="shared" ca="1" si="11"/>
        <v/>
      </c>
      <c r="E163" s="191"/>
      <c r="F163" s="191"/>
      <c r="G163" s="191"/>
      <c r="H163" s="191"/>
      <c r="I163" s="250" t="str">
        <f>IF(COUNTBLANK(E163:H163)=4,"",SUM(E163:G163)+IF(Setup!$I$15="No",0,H163))</f>
        <v/>
      </c>
      <c r="J163" s="191"/>
      <c r="K163" s="191"/>
      <c r="L163" s="191"/>
      <c r="M163" s="191"/>
      <c r="N163" s="254" t="str">
        <f>IF(COUNTBLANK(J163:M163)=4,"",SUM(J163:L163)+IF(Setup!$I$15="No",0,M163))</f>
        <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t="str">
        <f ca="1">IF('Demand background (hide)'!A154=Num_Modalities,"",SUM(Demand!I163))</f>
        <v/>
      </c>
      <c r="BD163" s="258" t="str">
        <f ca="1">IF(AND(A163&lt;=MaxRows,BE163&lt;&gt;"Yes"),'Demand background (hide)'!X154+IF(Setup!$I$15="Yes",'Demand background (hide)'!AJ154,0),"")</f>
        <v/>
      </c>
      <c r="BE163" s="208"/>
    </row>
    <row r="164" spans="1:57" ht="15" x14ac:dyDescent="0.25">
      <c r="A164" t="str">
        <f t="shared" ca="1" si="8"/>
        <v/>
      </c>
      <c r="B164" s="263" t="str">
        <f t="shared" ca="1" si="9"/>
        <v xml:space="preserve"> </v>
      </c>
      <c r="C164" s="264" t="str">
        <f t="shared" ca="1" si="10"/>
        <v/>
      </c>
      <c r="D164" s="264"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f>
        <v/>
      </c>
      <c r="BD164" s="258" t="str">
        <f ca="1">IF(AND(A164&lt;=MaxRows,BE164&lt;&gt;"Yes"),'Demand background (hide)'!X155+IF(Setup!$I$15="Yes",'Demand background (hide)'!AJ155,0),"")</f>
        <v/>
      </c>
      <c r="BE164" s="208"/>
    </row>
    <row r="165" spans="1:57" ht="15" x14ac:dyDescent="0.25">
      <c r="A165" t="str">
        <f t="shared" ca="1" si="8"/>
        <v/>
      </c>
      <c r="B165" s="263" t="str">
        <f t="shared" ca="1" si="9"/>
        <v xml:space="preserve"> </v>
      </c>
      <c r="C165" s="264" t="str">
        <f t="shared" ca="1" si="10"/>
        <v/>
      </c>
      <c r="D165" s="264"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f>
        <v/>
      </c>
      <c r="BD165" s="258" t="str">
        <f ca="1">IF(AND(A165&lt;=MaxRows,BE165&lt;&gt;"Yes"),'Demand background (hide)'!X156+IF(Setup!$I$15="Yes",'Demand background (hide)'!AJ156,0),"")</f>
        <v/>
      </c>
      <c r="BE165" s="208"/>
    </row>
    <row r="166" spans="1:57" ht="15" x14ac:dyDescent="0.25">
      <c r="A166" t="str">
        <f t="shared" ca="1" si="8"/>
        <v/>
      </c>
      <c r="B166" s="263" t="str">
        <f t="shared" ca="1" si="9"/>
        <v xml:space="preserve"> </v>
      </c>
      <c r="C166" s="264" t="str">
        <f t="shared" ca="1" si="10"/>
        <v/>
      </c>
      <c r="D166" s="264"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f>
        <v/>
      </c>
      <c r="BD166" s="258" t="str">
        <f ca="1">IF(AND(A166&lt;=MaxRows,BE166&lt;&gt;"Yes"),'Demand background (hide)'!X157+IF(Setup!$I$15="Yes",'Demand background (hide)'!AJ157,0),"")</f>
        <v/>
      </c>
      <c r="BE166" s="208"/>
    </row>
    <row r="167" spans="1:57" ht="15" x14ac:dyDescent="0.25">
      <c r="A167" t="str">
        <f t="shared" ca="1" si="8"/>
        <v/>
      </c>
      <c r="B167" s="263" t="str">
        <f t="shared" ca="1" si="9"/>
        <v xml:space="preserve"> </v>
      </c>
      <c r="C167" s="264" t="str">
        <f t="shared" ca="1" si="10"/>
        <v/>
      </c>
      <c r="D167" s="264"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f>
        <v/>
      </c>
      <c r="BD167" s="258" t="str">
        <f ca="1">IF(AND(A167&lt;=MaxRows,BE167&lt;&gt;"Yes"),'Demand background (hide)'!X158+IF(Setup!$I$15="Yes",'Demand background (hide)'!AJ158,0),"")</f>
        <v/>
      </c>
      <c r="BE167" s="208"/>
    </row>
    <row r="168" spans="1:57" ht="15" x14ac:dyDescent="0.25">
      <c r="A168" t="str">
        <f t="shared" ca="1" si="8"/>
        <v/>
      </c>
      <c r="B168" s="263" t="str">
        <f t="shared" ca="1" si="9"/>
        <v xml:space="preserve"> </v>
      </c>
      <c r="C168" s="264" t="str">
        <f t="shared" ca="1" si="10"/>
        <v/>
      </c>
      <c r="D168" s="264"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f>
        <v/>
      </c>
      <c r="BD168" s="258" t="str">
        <f ca="1">IF(AND(A168&lt;=MaxRows,BE168&lt;&gt;"Yes"),'Demand background (hide)'!X159+IF(Setup!$I$15="Yes",'Demand background (hide)'!AJ159,0),"")</f>
        <v/>
      </c>
      <c r="BE168" s="208"/>
    </row>
    <row r="169" spans="1:57" ht="15" x14ac:dyDescent="0.25">
      <c r="A169" t="str">
        <f t="shared" ca="1" si="8"/>
        <v/>
      </c>
      <c r="B169" s="263" t="str">
        <f t="shared" ca="1" si="9"/>
        <v xml:space="preserve"> </v>
      </c>
      <c r="C169" s="264" t="str">
        <f t="shared" ca="1" si="10"/>
        <v/>
      </c>
      <c r="D169" s="264"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f>
        <v/>
      </c>
      <c r="BD169" s="258" t="str">
        <f ca="1">IF(AND(A169&lt;=MaxRows,BE169&lt;&gt;"Yes"),'Demand background (hide)'!X160+IF(Setup!$I$15="Yes",'Demand background (hide)'!AJ160,0),"")</f>
        <v/>
      </c>
      <c r="BE169" s="208"/>
    </row>
    <row r="170" spans="1:57" ht="15" x14ac:dyDescent="0.25">
      <c r="A170" t="str">
        <f t="shared" ca="1" si="8"/>
        <v/>
      </c>
      <c r="B170" s="263" t="str">
        <f t="shared" ca="1" si="9"/>
        <v xml:space="preserve"> </v>
      </c>
      <c r="C170" s="264" t="str">
        <f t="shared" ca="1" si="10"/>
        <v/>
      </c>
      <c r="D170" s="264"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f>
        <v/>
      </c>
      <c r="BD170" s="258" t="str">
        <f ca="1">IF(AND(A170&lt;=MaxRows,BE170&lt;&gt;"Yes"),'Demand background (hide)'!X161+IF(Setup!$I$15="Yes",'Demand background (hide)'!AJ161,0),"")</f>
        <v/>
      </c>
      <c r="BE170" s="208"/>
    </row>
    <row r="171" spans="1:57" ht="15" x14ac:dyDescent="0.25">
      <c r="A171" t="str">
        <f t="shared" ca="1" si="8"/>
        <v/>
      </c>
      <c r="B171" s="263" t="str">
        <f t="shared" ca="1" si="9"/>
        <v xml:space="preserve"> </v>
      </c>
      <c r="C171" s="264" t="str">
        <f t="shared" ca="1" si="10"/>
        <v/>
      </c>
      <c r="D171" s="264"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f>
        <v/>
      </c>
      <c r="BD171" s="258" t="str">
        <f ca="1">IF(AND(A171&lt;=MaxRows,BE171&lt;&gt;"Yes"),'Demand background (hide)'!X162+IF(Setup!$I$15="Yes",'Demand background (hide)'!AJ162,0),"")</f>
        <v/>
      </c>
      <c r="BE171" s="208"/>
    </row>
    <row r="172" spans="1:57" ht="15" x14ac:dyDescent="0.25">
      <c r="A172" t="str">
        <f t="shared" ca="1" si="8"/>
        <v/>
      </c>
      <c r="B172" s="263" t="str">
        <f t="shared" ca="1" si="9"/>
        <v xml:space="preserve"> </v>
      </c>
      <c r="C172" s="264" t="str">
        <f t="shared" ca="1" si="10"/>
        <v/>
      </c>
      <c r="D172" s="264"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f>
        <v/>
      </c>
      <c r="BD172" s="258" t="str">
        <f ca="1">IF(AND(A172&lt;=MaxRows,BE172&lt;&gt;"Yes"),'Demand background (hide)'!X163+IF(Setup!$I$15="Yes",'Demand background (hide)'!AJ163,0),"")</f>
        <v/>
      </c>
      <c r="BE172" s="208"/>
    </row>
    <row r="173" spans="1:57" ht="15" x14ac:dyDescent="0.25">
      <c r="A173" t="str">
        <f t="shared" ca="1" si="8"/>
        <v/>
      </c>
      <c r="B173" s="263" t="str">
        <f t="shared" ca="1" si="9"/>
        <v xml:space="preserve"> </v>
      </c>
      <c r="C173" s="264" t="str">
        <f t="shared" ca="1" si="10"/>
        <v/>
      </c>
      <c r="D173" s="264"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f>
        <v/>
      </c>
      <c r="BD173" s="258" t="str">
        <f ca="1">IF(AND(A173&lt;=MaxRows,BE173&lt;&gt;"Yes"),'Demand background (hide)'!X164+IF(Setup!$I$15="Yes",'Demand background (hide)'!AJ164,0),"")</f>
        <v/>
      </c>
      <c r="BE173" s="208"/>
    </row>
    <row r="174" spans="1:57" ht="15" x14ac:dyDescent="0.25">
      <c r="A174" t="str">
        <f t="shared" ca="1" si="8"/>
        <v/>
      </c>
      <c r="B174" s="263" t="str">
        <f t="shared" ca="1" si="9"/>
        <v xml:space="preserve"> </v>
      </c>
      <c r="C174" s="264" t="str">
        <f t="shared" ca="1" si="10"/>
        <v/>
      </c>
      <c r="D174" s="264"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f>
        <v/>
      </c>
      <c r="BD174" s="258" t="str">
        <f ca="1">IF(AND(A174&lt;=MaxRows,BE174&lt;&gt;"Yes"),'Demand background (hide)'!X165+IF(Setup!$I$15="Yes",'Demand background (hide)'!AJ165,0),"")</f>
        <v/>
      </c>
      <c r="BE174" s="208"/>
    </row>
    <row r="175" spans="1:57" ht="15" x14ac:dyDescent="0.25">
      <c r="A175" t="str">
        <f t="shared" ca="1" si="8"/>
        <v/>
      </c>
      <c r="B175" s="263" t="str">
        <f t="shared" ca="1" si="9"/>
        <v xml:space="preserve"> </v>
      </c>
      <c r="C175" s="264" t="str">
        <f t="shared" ca="1" si="10"/>
        <v/>
      </c>
      <c r="D175" s="264"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f>
        <v/>
      </c>
      <c r="BD175" s="258" t="str">
        <f ca="1">IF(AND(A175&lt;=MaxRows,BE175&lt;&gt;"Yes"),'Demand background (hide)'!X166+IF(Setup!$I$15="Yes",'Demand background (hide)'!AJ166,0),"")</f>
        <v/>
      </c>
      <c r="BE175" s="208"/>
    </row>
    <row r="176" spans="1:57" ht="15" x14ac:dyDescent="0.25">
      <c r="A176" t="str">
        <f t="shared" ca="1" si="8"/>
        <v/>
      </c>
      <c r="B176" s="263" t="str">
        <f t="shared" ca="1" si="9"/>
        <v xml:space="preserve"> </v>
      </c>
      <c r="C176" s="264" t="str">
        <f t="shared" ca="1" si="10"/>
        <v/>
      </c>
      <c r="D176" s="264"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f>
        <v/>
      </c>
      <c r="BD176" s="258" t="str">
        <f ca="1">IF(AND(A176&lt;=MaxRows,BE176&lt;&gt;"Yes"),'Demand background (hide)'!X167+IF(Setup!$I$15="Yes",'Demand background (hide)'!AJ167,0),"")</f>
        <v/>
      </c>
      <c r="BE176" s="208"/>
    </row>
    <row r="177" spans="1:57" ht="15" x14ac:dyDescent="0.25">
      <c r="A177" t="str">
        <f t="shared" ca="1" si="8"/>
        <v/>
      </c>
      <c r="B177" s="263" t="str">
        <f t="shared" ca="1" si="9"/>
        <v xml:space="preserve"> </v>
      </c>
      <c r="C177" s="264" t="str">
        <f t="shared" ca="1" si="10"/>
        <v/>
      </c>
      <c r="D177" s="264"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f>
        <v/>
      </c>
      <c r="BD177" s="258" t="str">
        <f ca="1">IF(AND(A177&lt;=MaxRows,BE177&lt;&gt;"Yes"),'Demand background (hide)'!X168+IF(Setup!$I$15="Yes",'Demand background (hide)'!AJ168,0),"")</f>
        <v/>
      </c>
      <c r="BE177" s="208"/>
    </row>
    <row r="178" spans="1:57" ht="15" x14ac:dyDescent="0.25">
      <c r="A178" t="str">
        <f t="shared" ca="1" si="8"/>
        <v/>
      </c>
      <c r="B178" s="263" t="str">
        <f t="shared" ca="1" si="9"/>
        <v xml:space="preserve"> </v>
      </c>
      <c r="C178" s="264" t="str">
        <f t="shared" ca="1" si="10"/>
        <v/>
      </c>
      <c r="D178" s="264"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f>
        <v/>
      </c>
      <c r="BD178" s="258" t="str">
        <f ca="1">IF(AND(A178&lt;=MaxRows,BE178&lt;&gt;"Yes"),'Demand background (hide)'!X169+IF(Setup!$I$15="Yes",'Demand background (hide)'!AJ169,0),"")</f>
        <v/>
      </c>
      <c r="BE178" s="208"/>
    </row>
    <row r="179" spans="1:57" ht="15" x14ac:dyDescent="0.25">
      <c r="A179" t="str">
        <f t="shared" ca="1" si="8"/>
        <v/>
      </c>
      <c r="B179" s="263" t="str">
        <f t="shared" ca="1" si="9"/>
        <v xml:space="preserve"> </v>
      </c>
      <c r="C179" s="264" t="str">
        <f t="shared" ca="1" si="10"/>
        <v/>
      </c>
      <c r="D179" s="264"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f>
        <v/>
      </c>
      <c r="BD179" s="258" t="str">
        <f ca="1">IF(AND(A179&lt;=MaxRows,BE179&lt;&gt;"Yes"),'Demand background (hide)'!X170+IF(Setup!$I$15="Yes",'Demand background (hide)'!AJ170,0),"")</f>
        <v/>
      </c>
      <c r="BE179" s="208"/>
    </row>
    <row r="180" spans="1:57" ht="15" x14ac:dyDescent="0.25">
      <c r="A180" t="str">
        <f t="shared" ca="1" si="8"/>
        <v/>
      </c>
      <c r="B180" s="263" t="str">
        <f t="shared" ca="1" si="9"/>
        <v xml:space="preserve"> </v>
      </c>
      <c r="C180" s="264" t="str">
        <f t="shared" ca="1" si="10"/>
        <v/>
      </c>
      <c r="D180" s="264"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f>
        <v/>
      </c>
      <c r="BD180" s="258" t="str">
        <f ca="1">IF(AND(A180&lt;=MaxRows,BE180&lt;&gt;"Yes"),'Demand background (hide)'!X171+IF(Setup!$I$15="Yes",'Demand background (hide)'!AJ171,0),"")</f>
        <v/>
      </c>
      <c r="BE180" s="208"/>
    </row>
    <row r="181" spans="1:57" ht="15" x14ac:dyDescent="0.25">
      <c r="A181" t="str">
        <f t="shared" ca="1" si="8"/>
        <v/>
      </c>
      <c r="B181" s="263" t="str">
        <f t="shared" ca="1" si="9"/>
        <v xml:space="preserve"> </v>
      </c>
      <c r="C181" s="264" t="str">
        <f t="shared" ca="1" si="10"/>
        <v/>
      </c>
      <c r="D181" s="264"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f>
        <v/>
      </c>
      <c r="BD181" s="258" t="str">
        <f ca="1">IF(AND(A181&lt;=MaxRows,BE181&lt;&gt;"Yes"),'Demand background (hide)'!X172+IF(Setup!$I$15="Yes",'Demand background (hide)'!AJ172,0),"")</f>
        <v/>
      </c>
      <c r="BE181" s="208"/>
    </row>
    <row r="182" spans="1:57" ht="15" x14ac:dyDescent="0.25">
      <c r="A182" t="str">
        <f t="shared" ca="1" si="8"/>
        <v/>
      </c>
      <c r="B182" s="263" t="str">
        <f t="shared" ca="1" si="9"/>
        <v xml:space="preserve"> </v>
      </c>
      <c r="C182" s="264" t="str">
        <f t="shared" ca="1" si="10"/>
        <v/>
      </c>
      <c r="D182" s="264"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f>
        <v/>
      </c>
      <c r="BD182" s="258" t="str">
        <f ca="1">IF(AND(A182&lt;=MaxRows,BE182&lt;&gt;"Yes"),'Demand background (hide)'!X173+IF(Setup!$I$15="Yes",'Demand background (hide)'!AJ173,0),"")</f>
        <v/>
      </c>
      <c r="BE182" s="208"/>
    </row>
    <row r="183" spans="1:57" ht="15" x14ac:dyDescent="0.25">
      <c r="A183" t="str">
        <f t="shared" ca="1" si="8"/>
        <v/>
      </c>
      <c r="B183" s="263" t="str">
        <f t="shared" ca="1" si="9"/>
        <v xml:space="preserve"> </v>
      </c>
      <c r="C183" s="264" t="str">
        <f t="shared" ca="1" si="10"/>
        <v/>
      </c>
      <c r="D183" s="264"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f>
        <v/>
      </c>
      <c r="BD183" s="258" t="str">
        <f ca="1">IF(AND(A183&lt;=MaxRows,BE183&lt;&gt;"Yes"),'Demand background (hide)'!X174+IF(Setup!$I$15="Yes",'Demand background (hide)'!AJ174,0),"")</f>
        <v/>
      </c>
      <c r="BE183" s="208"/>
    </row>
    <row r="184" spans="1:57" ht="15" x14ac:dyDescent="0.25">
      <c r="A184" t="str">
        <f t="shared" ca="1" si="8"/>
        <v/>
      </c>
      <c r="B184" s="263" t="str">
        <f t="shared" ca="1" si="9"/>
        <v xml:space="preserve"> </v>
      </c>
      <c r="C184" s="264" t="str">
        <f t="shared" ca="1" si="10"/>
        <v/>
      </c>
      <c r="D184" s="264"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f>
        <v/>
      </c>
      <c r="BD184" s="258" t="str">
        <f ca="1">IF(AND(A184&lt;=MaxRows,BE184&lt;&gt;"Yes"),'Demand background (hide)'!X175+IF(Setup!$I$15="Yes",'Demand background (hide)'!AJ175,0),"")</f>
        <v/>
      </c>
      <c r="BE184" s="208"/>
    </row>
    <row r="185" spans="1:57" ht="15" x14ac:dyDescent="0.25">
      <c r="A185" t="str">
        <f t="shared" ca="1" si="8"/>
        <v/>
      </c>
      <c r="B185" s="263" t="str">
        <f t="shared" ca="1" si="9"/>
        <v xml:space="preserve"> </v>
      </c>
      <c r="C185" s="264" t="str">
        <f t="shared" ca="1" si="10"/>
        <v/>
      </c>
      <c r="D185" s="264"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f>
        <v/>
      </c>
      <c r="BD185" s="258" t="str">
        <f ca="1">IF(AND(A185&lt;=MaxRows,BE185&lt;&gt;"Yes"),'Demand background (hide)'!X176+IF(Setup!$I$15="Yes",'Demand background (hide)'!AJ176,0),"")</f>
        <v/>
      </c>
      <c r="BE185" s="208"/>
    </row>
    <row r="186" spans="1:57" ht="15" x14ac:dyDescent="0.25">
      <c r="A186" t="str">
        <f t="shared" ca="1" si="8"/>
        <v/>
      </c>
      <c r="B186" s="263" t="str">
        <f t="shared" ca="1" si="9"/>
        <v xml:space="preserve"> </v>
      </c>
      <c r="C186" s="264" t="str">
        <f t="shared" ca="1" si="10"/>
        <v/>
      </c>
      <c r="D186" s="264"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f>
        <v/>
      </c>
      <c r="BD186" s="258" t="str">
        <f ca="1">IF(AND(A186&lt;=MaxRows,BE186&lt;&gt;"Yes"),'Demand background (hide)'!X177+IF(Setup!$I$15="Yes",'Demand background (hide)'!AJ177,0),"")</f>
        <v/>
      </c>
      <c r="BE186" s="208"/>
    </row>
    <row r="187" spans="1:57" ht="15" x14ac:dyDescent="0.25">
      <c r="A187" t="str">
        <f t="shared" ca="1" si="8"/>
        <v/>
      </c>
      <c r="B187" s="263" t="str">
        <f t="shared" ca="1" si="9"/>
        <v xml:space="preserve"> </v>
      </c>
      <c r="C187" s="264" t="str">
        <f t="shared" ca="1" si="10"/>
        <v/>
      </c>
      <c r="D187" s="264"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f>
        <v/>
      </c>
      <c r="BD187" s="258" t="str">
        <f ca="1">IF(AND(A187&lt;=MaxRows,BE187&lt;&gt;"Yes"),'Demand background (hide)'!X178+IF(Setup!$I$15="Yes",'Demand background (hide)'!AJ178,0),"")</f>
        <v/>
      </c>
      <c r="BE187" s="208"/>
    </row>
    <row r="188" spans="1:57" ht="15" x14ac:dyDescent="0.25">
      <c r="A188" t="str">
        <f t="shared" ca="1" si="8"/>
        <v/>
      </c>
      <c r="B188" s="263" t="str">
        <f t="shared" ca="1" si="9"/>
        <v xml:space="preserve"> </v>
      </c>
      <c r="C188" s="264" t="str">
        <f t="shared" ca="1" si="10"/>
        <v/>
      </c>
      <c r="D188" s="264"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f>
        <v/>
      </c>
      <c r="BD188" s="258" t="str">
        <f ca="1">IF(AND(A188&lt;=MaxRows,BE188&lt;&gt;"Yes"),'Demand background (hide)'!X179+IF(Setup!$I$15="Yes",'Demand background (hide)'!AJ179,0),"")</f>
        <v/>
      </c>
      <c r="BE188" s="208"/>
    </row>
    <row r="189" spans="1:57" ht="15" x14ac:dyDescent="0.25">
      <c r="A189" t="str">
        <f t="shared" ca="1" si="8"/>
        <v/>
      </c>
      <c r="B189" s="263" t="str">
        <f t="shared" ca="1" si="9"/>
        <v xml:space="preserve"> </v>
      </c>
      <c r="C189" s="264" t="str">
        <f t="shared" ca="1" si="10"/>
        <v/>
      </c>
      <c r="D189" s="264"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f>
        <v/>
      </c>
      <c r="BD189" s="258" t="str">
        <f ca="1">IF(AND(A189&lt;=MaxRows,BE189&lt;&gt;"Yes"),'Demand background (hide)'!X180+IF(Setup!$I$15="Yes",'Demand background (hide)'!AJ180,0),"")</f>
        <v/>
      </c>
      <c r="BE189" s="208"/>
    </row>
    <row r="190" spans="1:57" ht="15" x14ac:dyDescent="0.25">
      <c r="A190" t="str">
        <f t="shared" ca="1" si="8"/>
        <v/>
      </c>
      <c r="B190" s="263" t="str">
        <f t="shared" ca="1" si="9"/>
        <v xml:space="preserve"> </v>
      </c>
      <c r="C190" s="264" t="str">
        <f t="shared" ca="1" si="10"/>
        <v/>
      </c>
      <c r="D190" s="264"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f>
        <v/>
      </c>
      <c r="BD190" s="258" t="str">
        <f ca="1">IF(AND(A190&lt;=MaxRows,BE190&lt;&gt;"Yes"),'Demand background (hide)'!X181+IF(Setup!$I$15="Yes",'Demand background (hide)'!AJ181,0),"")</f>
        <v/>
      </c>
      <c r="BE190" s="208"/>
    </row>
    <row r="191" spans="1:57" ht="15" x14ac:dyDescent="0.25">
      <c r="A191" t="str">
        <f t="shared" ca="1" si="8"/>
        <v/>
      </c>
      <c r="B191" s="263" t="str">
        <f t="shared" ca="1" si="9"/>
        <v xml:space="preserve"> </v>
      </c>
      <c r="C191" s="264" t="str">
        <f t="shared" ca="1" si="10"/>
        <v/>
      </c>
      <c r="D191" s="264"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f>
        <v/>
      </c>
      <c r="BD191" s="258" t="str">
        <f ca="1">IF(AND(A191&lt;=MaxRows,BE191&lt;&gt;"Yes"),'Demand background (hide)'!X182+IF(Setup!$I$15="Yes",'Demand background (hide)'!AJ182,0),"")</f>
        <v/>
      </c>
      <c r="BE191" s="208"/>
    </row>
    <row r="192" spans="1:57" ht="15" x14ac:dyDescent="0.25">
      <c r="A192" t="str">
        <f t="shared" ca="1" si="8"/>
        <v/>
      </c>
      <c r="B192" s="263" t="str">
        <f t="shared" ca="1" si="9"/>
        <v xml:space="preserve"> </v>
      </c>
      <c r="C192" s="264" t="str">
        <f t="shared" ca="1" si="10"/>
        <v/>
      </c>
      <c r="D192" s="264"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f>
        <v/>
      </c>
      <c r="BD192" s="258" t="str">
        <f ca="1">IF(AND(A192&lt;=MaxRows,BE192&lt;&gt;"Yes"),'Demand background (hide)'!X183+IF(Setup!$I$15="Yes",'Demand background (hide)'!AJ183,0),"")</f>
        <v/>
      </c>
      <c r="BE192" s="208"/>
    </row>
    <row r="193" spans="1:57" ht="15" x14ac:dyDescent="0.25">
      <c r="A193" t="str">
        <f t="shared" ca="1" si="8"/>
        <v/>
      </c>
      <c r="B193" s="263" t="str">
        <f t="shared" ca="1" si="9"/>
        <v xml:space="preserve"> </v>
      </c>
      <c r="C193" s="264" t="str">
        <f t="shared" ca="1" si="10"/>
        <v/>
      </c>
      <c r="D193" s="264"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f>
        <v/>
      </c>
      <c r="BD193" s="258" t="str">
        <f ca="1">IF(AND(A193&lt;=MaxRows,BE193&lt;&gt;"Yes"),'Demand background (hide)'!X184+IF(Setup!$I$15="Yes",'Demand background (hide)'!AJ184,0),"")</f>
        <v/>
      </c>
      <c r="BE193" s="208"/>
    </row>
    <row r="194" spans="1:57" ht="15" x14ac:dyDescent="0.25">
      <c r="A194" t="str">
        <f t="shared" ca="1" si="8"/>
        <v/>
      </c>
      <c r="B194" s="263" t="str">
        <f t="shared" ca="1" si="9"/>
        <v xml:space="preserve"> </v>
      </c>
      <c r="C194" s="264" t="str">
        <f t="shared" ca="1" si="10"/>
        <v/>
      </c>
      <c r="D194" s="264"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f>
        <v/>
      </c>
      <c r="BD194" s="258" t="str">
        <f ca="1">IF(AND(A194&lt;=MaxRows,BE194&lt;&gt;"Yes"),'Demand background (hide)'!X185+IF(Setup!$I$15="Yes",'Demand background (hide)'!AJ185,0),"")</f>
        <v/>
      </c>
      <c r="BE194" s="208"/>
    </row>
    <row r="195" spans="1:57" ht="15" x14ac:dyDescent="0.25">
      <c r="A195" t="str">
        <f t="shared" ca="1" si="8"/>
        <v/>
      </c>
      <c r="B195" s="263" t="str">
        <f t="shared" ca="1" si="9"/>
        <v xml:space="preserve"> </v>
      </c>
      <c r="C195" s="264" t="str">
        <f t="shared" ca="1" si="10"/>
        <v/>
      </c>
      <c r="D195" s="264"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f>
        <v/>
      </c>
      <c r="BD195" s="258" t="str">
        <f ca="1">IF(AND(A195&lt;=MaxRows,BE195&lt;&gt;"Yes"),'Demand background (hide)'!X186+IF(Setup!$I$15="Yes",'Demand background (hide)'!AJ186,0),"")</f>
        <v/>
      </c>
      <c r="BE195" s="208"/>
    </row>
    <row r="196" spans="1:57" ht="15" x14ac:dyDescent="0.25">
      <c r="A196" t="str">
        <f t="shared" ca="1" si="8"/>
        <v/>
      </c>
      <c r="B196" s="263" t="str">
        <f t="shared" ca="1" si="9"/>
        <v xml:space="preserve"> </v>
      </c>
      <c r="C196" s="264" t="str">
        <f t="shared" ca="1" si="10"/>
        <v/>
      </c>
      <c r="D196" s="264"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f>
        <v/>
      </c>
      <c r="BD196" s="258" t="str">
        <f ca="1">IF(AND(A196&lt;=MaxRows,BE196&lt;&gt;"Yes"),'Demand background (hide)'!X187+IF(Setup!$I$15="Yes",'Demand background (hide)'!AJ187,0),"")</f>
        <v/>
      </c>
      <c r="BE196" s="208"/>
    </row>
    <row r="197" spans="1:57" ht="15" x14ac:dyDescent="0.25">
      <c r="A197" t="str">
        <f t="shared" ca="1" si="8"/>
        <v/>
      </c>
      <c r="B197" s="263" t="str">
        <f t="shared" ca="1" si="9"/>
        <v xml:space="preserve"> </v>
      </c>
      <c r="C197" s="264" t="str">
        <f t="shared" ca="1" si="10"/>
        <v/>
      </c>
      <c r="D197" s="264"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f>
        <v/>
      </c>
      <c r="BD197" s="258" t="str">
        <f ca="1">IF(AND(A197&lt;=MaxRows,BE197&lt;&gt;"Yes"),'Demand background (hide)'!X188+IF(Setup!$I$15="Yes",'Demand background (hide)'!AJ188,0),"")</f>
        <v/>
      </c>
      <c r="BE197" s="208"/>
    </row>
    <row r="198" spans="1:57" ht="15" x14ac:dyDescent="0.25">
      <c r="A198" t="str">
        <f t="shared" ca="1" si="8"/>
        <v/>
      </c>
      <c r="B198" s="263" t="str">
        <f t="shared" ca="1" si="9"/>
        <v xml:space="preserve"> </v>
      </c>
      <c r="C198" s="264" t="str">
        <f t="shared" ca="1" si="10"/>
        <v/>
      </c>
      <c r="D198" s="264"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f>
        <v/>
      </c>
      <c r="BD198" s="258" t="str">
        <f ca="1">IF(AND(A198&lt;=MaxRows,BE198&lt;&gt;"Yes"),'Demand background (hide)'!X189+IF(Setup!$I$15="Yes",'Demand background (hide)'!AJ189,0),"")</f>
        <v/>
      </c>
      <c r="BE198" s="208"/>
    </row>
    <row r="199" spans="1:57" ht="15" x14ac:dyDescent="0.25">
      <c r="A199" t="str">
        <f t="shared" ca="1" si="8"/>
        <v/>
      </c>
      <c r="B199" s="263" t="str">
        <f t="shared" ca="1" si="9"/>
        <v xml:space="preserve"> </v>
      </c>
      <c r="C199" s="264" t="str">
        <f t="shared" ca="1" si="10"/>
        <v/>
      </c>
      <c r="D199" s="264"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f>
        <v/>
      </c>
      <c r="BD199" s="258" t="str">
        <f ca="1">IF(AND(A199&lt;=MaxRows,BE199&lt;&gt;"Yes"),'Demand background (hide)'!X190+IF(Setup!$I$15="Yes",'Demand background (hide)'!AJ190,0),"")</f>
        <v/>
      </c>
      <c r="BE199" s="208"/>
    </row>
    <row r="200" spans="1:57" ht="15" x14ac:dyDescent="0.25">
      <c r="A200" t="str">
        <f t="shared" ca="1" si="8"/>
        <v/>
      </c>
      <c r="B200" s="263" t="str">
        <f t="shared" ca="1" si="9"/>
        <v xml:space="preserve"> </v>
      </c>
      <c r="C200" s="264" t="str">
        <f t="shared" ca="1" si="10"/>
        <v/>
      </c>
      <c r="D200" s="264"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f>
        <v/>
      </c>
      <c r="BD200" s="258" t="str">
        <f ca="1">IF(AND(A200&lt;=MaxRows,BE200&lt;&gt;"Yes"),'Demand background (hide)'!X191+IF(Setup!$I$15="Yes",'Demand background (hide)'!AJ191,0),"")</f>
        <v/>
      </c>
      <c r="BE200" s="208"/>
    </row>
    <row r="201" spans="1:57" ht="15" x14ac:dyDescent="0.25">
      <c r="A201" t="str">
        <f t="shared" ca="1" si="8"/>
        <v/>
      </c>
      <c r="B201" s="263" t="str">
        <f t="shared" ca="1" si="9"/>
        <v xml:space="preserve"> </v>
      </c>
      <c r="C201" s="264" t="str">
        <f t="shared" ca="1" si="10"/>
        <v/>
      </c>
      <c r="D201" s="264"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f>
        <v/>
      </c>
      <c r="BD201" s="258" t="str">
        <f ca="1">IF(AND(A201&lt;=MaxRows,BE201&lt;&gt;"Yes"),'Demand background (hide)'!X192+IF(Setup!$I$15="Yes",'Demand background (hide)'!AJ192,0),"")</f>
        <v/>
      </c>
      <c r="BE201" s="208"/>
    </row>
    <row r="202" spans="1:57" ht="15" x14ac:dyDescent="0.25">
      <c r="A202" t="str">
        <f t="shared" ca="1" si="8"/>
        <v/>
      </c>
      <c r="B202" s="263" t="str">
        <f t="shared" ca="1" si="9"/>
        <v xml:space="preserve"> </v>
      </c>
      <c r="C202" s="264" t="str">
        <f t="shared" ca="1" si="10"/>
        <v/>
      </c>
      <c r="D202" s="264"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f>
        <v/>
      </c>
      <c r="BD202" s="258" t="str">
        <f ca="1">IF(AND(A202&lt;=MaxRows,BE202&lt;&gt;"Yes"),'Demand background (hide)'!X193+IF(Setup!$I$15="Yes",'Demand background (hide)'!AJ193,0),"")</f>
        <v/>
      </c>
      <c r="BE202" s="208"/>
    </row>
    <row r="203" spans="1:57" ht="15" x14ac:dyDescent="0.25">
      <c r="A203" t="str">
        <f t="shared" ca="1" si="8"/>
        <v/>
      </c>
      <c r="B203" s="263" t="str">
        <f t="shared" ca="1" si="9"/>
        <v xml:space="preserve"> </v>
      </c>
      <c r="C203" s="264" t="str">
        <f t="shared" ca="1" si="10"/>
        <v/>
      </c>
      <c r="D203" s="264"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f>
        <v/>
      </c>
      <c r="BD203" s="258" t="str">
        <f ca="1">IF(AND(A203&lt;=MaxRows,BE203&lt;&gt;"Yes"),'Demand background (hide)'!X194+IF(Setup!$I$15="Yes",'Demand background (hide)'!AJ194,0),"")</f>
        <v/>
      </c>
      <c r="BE203" s="208"/>
    </row>
    <row r="204" spans="1:57" ht="15" x14ac:dyDescent="0.25">
      <c r="A204" t="str">
        <f t="shared" ca="1" si="8"/>
        <v/>
      </c>
      <c r="B204" s="263" t="str">
        <f t="shared" ca="1" si="9"/>
        <v xml:space="preserve"> </v>
      </c>
      <c r="C204" s="264" t="str">
        <f t="shared" ca="1" si="10"/>
        <v/>
      </c>
      <c r="D204" s="264"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f>
        <v/>
      </c>
      <c r="BD204" s="258" t="str">
        <f ca="1">IF(AND(A204&lt;=MaxRows,BE204&lt;&gt;"Yes"),'Demand background (hide)'!X195+IF(Setup!$I$15="Yes",'Demand background (hide)'!AJ195,0),"")</f>
        <v/>
      </c>
      <c r="BE204" s="208"/>
    </row>
    <row r="205" spans="1:57" ht="15" x14ac:dyDescent="0.25">
      <c r="A205" t="str">
        <f t="shared" ref="A205:A268" ca="1" si="12">IF(BC205&lt;&gt;"",ROW(A193),"")</f>
        <v/>
      </c>
      <c r="B205" s="263" t="str">
        <f t="shared" ca="1" si="9"/>
        <v xml:space="preserve"> </v>
      </c>
      <c r="C205" s="264" t="str">
        <f t="shared" ca="1" si="10"/>
        <v/>
      </c>
      <c r="D205" s="264"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f>
        <v/>
      </c>
      <c r="BD205" s="258" t="str">
        <f ca="1">IF(AND(A205&lt;=MaxRows,BE205&lt;&gt;"Yes"),'Demand background (hide)'!X196+IF(Setup!$I$15="Yes",'Demand background (hide)'!AJ196,0),"")</f>
        <v/>
      </c>
      <c r="BE205" s="208"/>
    </row>
    <row r="206" spans="1:57" ht="15"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264"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f>
        <v/>
      </c>
      <c r="BD206" s="258" t="str">
        <f ca="1">IF(AND(A206&lt;=MaxRows,BE206&lt;&gt;"Yes"),'Demand background (hide)'!X197+IF(Setup!$I$15="Yes",'Demand background (hide)'!AJ197,0),"")</f>
        <v/>
      </c>
      <c r="BE206" s="208"/>
    </row>
    <row r="207" spans="1:57" ht="15" x14ac:dyDescent="0.25">
      <c r="A207" t="str">
        <f t="shared" ca="1" si="12"/>
        <v/>
      </c>
      <c r="B207" s="263" t="str">
        <f t="shared" ca="1" si="13"/>
        <v xml:space="preserve"> </v>
      </c>
      <c r="C207" s="264" t="str">
        <f t="shared" ca="1" si="14"/>
        <v/>
      </c>
      <c r="D207" s="264"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f>
        <v/>
      </c>
      <c r="BD207" s="258" t="str">
        <f ca="1">IF(AND(A207&lt;=MaxRows,BE207&lt;&gt;"Yes"),'Demand background (hide)'!X198+IF(Setup!$I$15="Yes",'Demand background (hide)'!AJ198,0),"")</f>
        <v/>
      </c>
      <c r="BE207" s="208"/>
    </row>
    <row r="208" spans="1:57" ht="15" x14ac:dyDescent="0.25">
      <c r="A208" t="str">
        <f t="shared" ca="1" si="12"/>
        <v/>
      </c>
      <c r="B208" s="263" t="str">
        <f t="shared" ca="1" si="13"/>
        <v xml:space="preserve"> </v>
      </c>
      <c r="C208" s="264" t="str">
        <f t="shared" ca="1" si="14"/>
        <v/>
      </c>
      <c r="D208" s="264"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f>
        <v/>
      </c>
      <c r="BD208" s="258" t="str">
        <f ca="1">IF(AND(A208&lt;=MaxRows,BE208&lt;&gt;"Yes"),'Demand background (hide)'!X199+IF(Setup!$I$15="Yes",'Demand background (hide)'!AJ199,0),"")</f>
        <v/>
      </c>
      <c r="BE208" s="208"/>
    </row>
    <row r="209" spans="1:57" ht="15" x14ac:dyDescent="0.25">
      <c r="A209" t="str">
        <f t="shared" ca="1" si="12"/>
        <v/>
      </c>
      <c r="B209" s="263" t="str">
        <f t="shared" ca="1" si="13"/>
        <v xml:space="preserve"> </v>
      </c>
      <c r="C209" s="264" t="str">
        <f t="shared" ca="1" si="14"/>
        <v/>
      </c>
      <c r="D209" s="264"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f>
        <v/>
      </c>
      <c r="BD209" s="258" t="str">
        <f ca="1">IF(AND(A209&lt;=MaxRows,BE209&lt;&gt;"Yes"),'Demand background (hide)'!X200+IF(Setup!$I$15="Yes",'Demand background (hide)'!AJ200,0),"")</f>
        <v/>
      </c>
      <c r="BE209" s="208"/>
    </row>
    <row r="210" spans="1:57" ht="15" x14ac:dyDescent="0.25">
      <c r="A210" t="str">
        <f t="shared" ca="1" si="12"/>
        <v/>
      </c>
      <c r="B210" s="263" t="str">
        <f t="shared" ca="1" si="13"/>
        <v xml:space="preserve"> </v>
      </c>
      <c r="C210" s="264" t="str">
        <f t="shared" ca="1" si="14"/>
        <v/>
      </c>
      <c r="D210" s="264"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f>
        <v/>
      </c>
      <c r="BD210" s="258" t="str">
        <f ca="1">IF(AND(A210&lt;=MaxRows,BE210&lt;&gt;"Yes"),'Demand background (hide)'!X201+IF(Setup!$I$15="Yes",'Demand background (hide)'!AJ201,0),"")</f>
        <v/>
      </c>
      <c r="BE210" s="208"/>
    </row>
    <row r="211" spans="1:57" ht="15" x14ac:dyDescent="0.25">
      <c r="A211" t="str">
        <f t="shared" ca="1" si="12"/>
        <v/>
      </c>
      <c r="B211" s="263" t="str">
        <f t="shared" ca="1" si="13"/>
        <v xml:space="preserve"> </v>
      </c>
      <c r="C211" s="264" t="str">
        <f t="shared" ca="1" si="14"/>
        <v/>
      </c>
      <c r="D211" s="264"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f>
        <v/>
      </c>
      <c r="BD211" s="258" t="str">
        <f ca="1">IF(AND(A211&lt;=MaxRows,BE211&lt;&gt;"Yes"),'Demand background (hide)'!X202+IF(Setup!$I$15="Yes",'Demand background (hide)'!AJ202,0),"")</f>
        <v/>
      </c>
      <c r="BE211" s="208"/>
    </row>
    <row r="212" spans="1:57" ht="15" x14ac:dyDescent="0.25">
      <c r="A212" t="str">
        <f t="shared" ca="1" si="12"/>
        <v/>
      </c>
      <c r="B212" s="263" t="str">
        <f t="shared" ca="1" si="13"/>
        <v xml:space="preserve"> </v>
      </c>
      <c r="C212" s="264" t="str">
        <f t="shared" ca="1" si="14"/>
        <v/>
      </c>
      <c r="D212" s="264"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f>
        <v/>
      </c>
      <c r="BD212" s="258" t="str">
        <f ca="1">IF(AND(A212&lt;=MaxRows,BE212&lt;&gt;"Yes"),'Demand background (hide)'!X203+IF(Setup!$I$15="Yes",'Demand background (hide)'!AJ203,0),"")</f>
        <v/>
      </c>
      <c r="BE212" s="208"/>
    </row>
    <row r="213" spans="1:57" ht="15" x14ac:dyDescent="0.25">
      <c r="A213" t="str">
        <f t="shared" ca="1" si="12"/>
        <v/>
      </c>
      <c r="B213" s="263" t="str">
        <f t="shared" ca="1" si="13"/>
        <v xml:space="preserve"> </v>
      </c>
      <c r="C213" s="264" t="str">
        <f t="shared" ca="1" si="14"/>
        <v/>
      </c>
      <c r="D213" s="264"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f>
        <v/>
      </c>
      <c r="BD213" s="258" t="str">
        <f ca="1">IF(AND(A213&lt;=MaxRows,BE213&lt;&gt;"Yes"),'Demand background (hide)'!X204+IF(Setup!$I$15="Yes",'Demand background (hide)'!AJ204,0),"")</f>
        <v/>
      </c>
      <c r="BE213" s="208"/>
    </row>
    <row r="214" spans="1:57" ht="15" x14ac:dyDescent="0.25">
      <c r="A214" t="str">
        <f t="shared" ca="1" si="12"/>
        <v/>
      </c>
      <c r="B214" s="263" t="str">
        <f t="shared" ca="1" si="13"/>
        <v xml:space="preserve"> </v>
      </c>
      <c r="C214" s="264" t="str">
        <f t="shared" ca="1" si="14"/>
        <v/>
      </c>
      <c r="D214" s="264"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f>
        <v/>
      </c>
      <c r="BD214" s="258" t="str">
        <f ca="1">IF(AND(A214&lt;=MaxRows,BE214&lt;&gt;"Yes"),'Demand background (hide)'!X205+IF(Setup!$I$15="Yes",'Demand background (hide)'!AJ205,0),"")</f>
        <v/>
      </c>
      <c r="BE214" s="208"/>
    </row>
    <row r="215" spans="1:57" ht="15" x14ac:dyDescent="0.25">
      <c r="A215" t="str">
        <f t="shared" ca="1" si="12"/>
        <v/>
      </c>
      <c r="B215" s="263" t="str">
        <f t="shared" ca="1" si="13"/>
        <v xml:space="preserve"> </v>
      </c>
      <c r="C215" s="264" t="str">
        <f t="shared" ca="1" si="14"/>
        <v/>
      </c>
      <c r="D215" s="264"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f>
        <v/>
      </c>
      <c r="BD215" s="258" t="str">
        <f ca="1">IF(AND(A215&lt;=MaxRows,BE215&lt;&gt;"Yes"),'Demand background (hide)'!X206+IF(Setup!$I$15="Yes",'Demand background (hide)'!AJ206,0),"")</f>
        <v/>
      </c>
      <c r="BE215" s="208"/>
    </row>
    <row r="216" spans="1:57" ht="15" x14ac:dyDescent="0.25">
      <c r="A216" t="str">
        <f t="shared" ca="1" si="12"/>
        <v/>
      </c>
      <c r="B216" s="263" t="str">
        <f t="shared" ca="1" si="13"/>
        <v xml:space="preserve"> </v>
      </c>
      <c r="C216" s="264" t="str">
        <f t="shared" ca="1" si="14"/>
        <v/>
      </c>
      <c r="D216" s="264"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f>
        <v/>
      </c>
      <c r="BD216" s="258" t="str">
        <f ca="1">IF(AND(A216&lt;=MaxRows,BE216&lt;&gt;"Yes"),'Demand background (hide)'!X207+IF(Setup!$I$15="Yes",'Demand background (hide)'!AJ207,0),"")</f>
        <v/>
      </c>
      <c r="BE216" s="208"/>
    </row>
    <row r="217" spans="1:57" ht="15" x14ac:dyDescent="0.25">
      <c r="A217" t="str">
        <f t="shared" ca="1" si="12"/>
        <v/>
      </c>
      <c r="B217" s="263" t="str">
        <f t="shared" ca="1" si="13"/>
        <v xml:space="preserve"> </v>
      </c>
      <c r="C217" s="264" t="str">
        <f t="shared" ca="1" si="14"/>
        <v/>
      </c>
      <c r="D217" s="264"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f>
        <v/>
      </c>
      <c r="BD217" s="258" t="str">
        <f ca="1">IF(AND(A217&lt;=MaxRows,BE217&lt;&gt;"Yes"),'Demand background (hide)'!X208+IF(Setup!$I$15="Yes",'Demand background (hide)'!AJ208,0),"")</f>
        <v/>
      </c>
      <c r="BE217" s="208"/>
    </row>
    <row r="218" spans="1:57" ht="15" x14ac:dyDescent="0.25">
      <c r="A218" t="str">
        <f t="shared" ca="1" si="12"/>
        <v/>
      </c>
      <c r="B218" s="263" t="str">
        <f t="shared" ca="1" si="13"/>
        <v xml:space="preserve"> </v>
      </c>
      <c r="C218" s="264" t="str">
        <f t="shared" ca="1" si="14"/>
        <v/>
      </c>
      <c r="D218" s="264"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f>
        <v/>
      </c>
      <c r="BD218" s="258" t="str">
        <f ca="1">IF(AND(A218&lt;=MaxRows,BE218&lt;&gt;"Yes"),'Demand background (hide)'!X209+IF(Setup!$I$15="Yes",'Demand background (hide)'!AJ209,0),"")</f>
        <v/>
      </c>
      <c r="BE218" s="208"/>
    </row>
    <row r="219" spans="1:57" ht="15" x14ac:dyDescent="0.25">
      <c r="A219" t="str">
        <f t="shared" ca="1" si="12"/>
        <v/>
      </c>
      <c r="B219" s="263" t="str">
        <f t="shared" ca="1" si="13"/>
        <v xml:space="preserve"> </v>
      </c>
      <c r="C219" s="264" t="str">
        <f t="shared" ca="1" si="14"/>
        <v/>
      </c>
      <c r="D219" s="264"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f>
        <v/>
      </c>
      <c r="BD219" s="258" t="str">
        <f ca="1">IF(AND(A219&lt;=MaxRows,BE219&lt;&gt;"Yes"),'Demand background (hide)'!X210+IF(Setup!$I$15="Yes",'Demand background (hide)'!AJ210,0),"")</f>
        <v/>
      </c>
      <c r="BE219" s="208"/>
    </row>
    <row r="220" spans="1:57" ht="15" x14ac:dyDescent="0.25">
      <c r="A220" t="str">
        <f t="shared" ca="1" si="12"/>
        <v/>
      </c>
      <c r="B220" s="263" t="str">
        <f t="shared" ca="1" si="13"/>
        <v xml:space="preserve"> </v>
      </c>
      <c r="C220" s="264" t="str">
        <f t="shared" ca="1" si="14"/>
        <v/>
      </c>
      <c r="D220" s="264"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f>
        <v/>
      </c>
      <c r="BD220" s="258" t="str">
        <f ca="1">IF(AND(A220&lt;=MaxRows,BE220&lt;&gt;"Yes"),'Demand background (hide)'!X211+IF(Setup!$I$15="Yes",'Demand background (hide)'!AJ211,0),"")</f>
        <v/>
      </c>
      <c r="BE220" s="208"/>
    </row>
    <row r="221" spans="1:57" ht="15" x14ac:dyDescent="0.25">
      <c r="A221" t="str">
        <f t="shared" ca="1" si="12"/>
        <v/>
      </c>
      <c r="B221" s="263" t="str">
        <f t="shared" ca="1" si="13"/>
        <v xml:space="preserve"> </v>
      </c>
      <c r="C221" s="264" t="str">
        <f t="shared" ca="1" si="14"/>
        <v/>
      </c>
      <c r="D221" s="264"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f>
        <v/>
      </c>
      <c r="BD221" s="258" t="str">
        <f ca="1">IF(AND(A221&lt;=MaxRows,BE221&lt;&gt;"Yes"),'Demand background (hide)'!X212+IF(Setup!$I$15="Yes",'Demand background (hide)'!AJ212,0),"")</f>
        <v/>
      </c>
      <c r="BE221" s="208"/>
    </row>
    <row r="222" spans="1:57" ht="15" x14ac:dyDescent="0.25">
      <c r="A222" t="str">
        <f t="shared" ca="1" si="12"/>
        <v/>
      </c>
      <c r="B222" s="263" t="str">
        <f t="shared" ca="1" si="13"/>
        <v xml:space="preserve"> </v>
      </c>
      <c r="C222" s="264" t="str">
        <f t="shared" ca="1" si="14"/>
        <v/>
      </c>
      <c r="D222" s="264"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f>
        <v/>
      </c>
      <c r="BD222" s="258" t="str">
        <f ca="1">IF(AND(A222&lt;=MaxRows,BE222&lt;&gt;"Yes"),'Demand background (hide)'!X213+IF(Setup!$I$15="Yes",'Demand background (hide)'!AJ213,0),"")</f>
        <v/>
      </c>
      <c r="BE222" s="208"/>
    </row>
    <row r="223" spans="1:57" ht="15" x14ac:dyDescent="0.25">
      <c r="A223" t="str">
        <f t="shared" ca="1" si="12"/>
        <v/>
      </c>
      <c r="B223" s="263" t="str">
        <f t="shared" ca="1" si="13"/>
        <v xml:space="preserve"> </v>
      </c>
      <c r="C223" s="264" t="str">
        <f t="shared" ca="1" si="14"/>
        <v/>
      </c>
      <c r="D223" s="264"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f>
        <v/>
      </c>
      <c r="BD223" s="258" t="str">
        <f ca="1">IF(AND(A223&lt;=MaxRows,BE223&lt;&gt;"Yes"),'Demand background (hide)'!X214+IF(Setup!$I$15="Yes",'Demand background (hide)'!AJ214,0),"")</f>
        <v/>
      </c>
      <c r="BE223" s="208"/>
    </row>
    <row r="224" spans="1:57" ht="15" x14ac:dyDescent="0.25">
      <c r="A224" t="str">
        <f t="shared" ca="1" si="12"/>
        <v/>
      </c>
      <c r="B224" s="263" t="str">
        <f t="shared" ca="1" si="13"/>
        <v xml:space="preserve"> </v>
      </c>
      <c r="C224" s="264" t="str">
        <f t="shared" ca="1" si="14"/>
        <v/>
      </c>
      <c r="D224" s="264"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f>
        <v/>
      </c>
      <c r="BD224" s="258" t="str">
        <f ca="1">IF(AND(A224&lt;=MaxRows,BE224&lt;&gt;"Yes"),'Demand background (hide)'!X215+IF(Setup!$I$15="Yes",'Demand background (hide)'!AJ215,0),"")</f>
        <v/>
      </c>
      <c r="BE224" s="208"/>
    </row>
    <row r="225" spans="1:57" ht="15" x14ac:dyDescent="0.25">
      <c r="A225" t="str">
        <f t="shared" ca="1" si="12"/>
        <v/>
      </c>
      <c r="B225" s="263" t="str">
        <f t="shared" ca="1" si="13"/>
        <v xml:space="preserve"> </v>
      </c>
      <c r="C225" s="264" t="str">
        <f t="shared" ca="1" si="14"/>
        <v/>
      </c>
      <c r="D225" s="264"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f>
        <v/>
      </c>
      <c r="BD225" s="258" t="str">
        <f ca="1">IF(AND(A225&lt;=MaxRows,BE225&lt;&gt;"Yes"),'Demand background (hide)'!X216+IF(Setup!$I$15="Yes",'Demand background (hide)'!AJ216,0),"")</f>
        <v/>
      </c>
      <c r="BE225" s="208"/>
    </row>
    <row r="226" spans="1:57" ht="15" x14ac:dyDescent="0.25">
      <c r="A226" t="str">
        <f t="shared" ca="1" si="12"/>
        <v/>
      </c>
      <c r="B226" s="263" t="str">
        <f t="shared" ca="1" si="13"/>
        <v xml:space="preserve"> </v>
      </c>
      <c r="C226" s="264" t="str">
        <f t="shared" ca="1" si="14"/>
        <v/>
      </c>
      <c r="D226" s="264"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f>
        <v/>
      </c>
      <c r="BD226" s="258" t="str">
        <f ca="1">IF(AND(A226&lt;=MaxRows,BE226&lt;&gt;"Yes"),'Demand background (hide)'!X217+IF(Setup!$I$15="Yes",'Demand background (hide)'!AJ217,0),"")</f>
        <v/>
      </c>
      <c r="BE226" s="208"/>
    </row>
    <row r="227" spans="1:57" ht="15" x14ac:dyDescent="0.25">
      <c r="A227" t="str">
        <f t="shared" ca="1" si="12"/>
        <v/>
      </c>
      <c r="B227" s="263" t="str">
        <f t="shared" ca="1" si="13"/>
        <v xml:space="preserve"> </v>
      </c>
      <c r="C227" s="264" t="str">
        <f t="shared" ca="1" si="14"/>
        <v/>
      </c>
      <c r="D227" s="264"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f>
        <v/>
      </c>
      <c r="BD227" s="258" t="str">
        <f ca="1">IF(AND(A227&lt;=MaxRows,BE227&lt;&gt;"Yes"),'Demand background (hide)'!X218+IF(Setup!$I$15="Yes",'Demand background (hide)'!AJ218,0),"")</f>
        <v/>
      </c>
      <c r="BE227" s="208"/>
    </row>
    <row r="228" spans="1:57" ht="15" x14ac:dyDescent="0.25">
      <c r="A228" t="str">
        <f t="shared" ca="1" si="12"/>
        <v/>
      </c>
      <c r="B228" s="263" t="str">
        <f t="shared" ca="1" si="13"/>
        <v xml:space="preserve"> </v>
      </c>
      <c r="C228" s="264" t="str">
        <f t="shared" ca="1" si="14"/>
        <v/>
      </c>
      <c r="D228" s="264"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f>
        <v/>
      </c>
      <c r="BD228" s="258" t="str">
        <f ca="1">IF(AND(A228&lt;=MaxRows,BE228&lt;&gt;"Yes"),'Demand background (hide)'!X219+IF(Setup!$I$15="Yes",'Demand background (hide)'!AJ219,0),"")</f>
        <v/>
      </c>
      <c r="BE228" s="208"/>
    </row>
    <row r="229" spans="1:57" ht="15" x14ac:dyDescent="0.25">
      <c r="A229" t="str">
        <f t="shared" ca="1" si="12"/>
        <v/>
      </c>
      <c r="B229" s="263" t="str">
        <f t="shared" ca="1" si="13"/>
        <v xml:space="preserve"> </v>
      </c>
      <c r="C229" s="264" t="str">
        <f t="shared" ca="1" si="14"/>
        <v/>
      </c>
      <c r="D229" s="264"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f>
        <v/>
      </c>
      <c r="BD229" s="258" t="str">
        <f ca="1">IF(AND(A229&lt;=MaxRows,BE229&lt;&gt;"Yes"),'Demand background (hide)'!X220+IF(Setup!$I$15="Yes",'Demand background (hide)'!AJ220,0),"")</f>
        <v/>
      </c>
      <c r="BE229" s="208"/>
    </row>
    <row r="230" spans="1:57" ht="15" x14ac:dyDescent="0.25">
      <c r="A230" t="str">
        <f t="shared" ca="1" si="12"/>
        <v/>
      </c>
      <c r="B230" s="263" t="str">
        <f t="shared" ca="1" si="13"/>
        <v xml:space="preserve"> </v>
      </c>
      <c r="C230" s="264" t="str">
        <f t="shared" ca="1" si="14"/>
        <v/>
      </c>
      <c r="D230" s="264"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f>
        <v/>
      </c>
      <c r="BD230" s="258" t="str">
        <f ca="1">IF(AND(A230&lt;=MaxRows,BE230&lt;&gt;"Yes"),'Demand background (hide)'!X221+IF(Setup!$I$15="Yes",'Demand background (hide)'!AJ221,0),"")</f>
        <v/>
      </c>
      <c r="BE230" s="208"/>
    </row>
    <row r="231" spans="1:57" ht="15" x14ac:dyDescent="0.25">
      <c r="A231" t="str">
        <f t="shared" ca="1" si="12"/>
        <v/>
      </c>
      <c r="B231" s="263" t="str">
        <f t="shared" ca="1" si="13"/>
        <v xml:space="preserve"> </v>
      </c>
      <c r="C231" s="264" t="str">
        <f t="shared" ca="1" si="14"/>
        <v/>
      </c>
      <c r="D231" s="264"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f>
        <v/>
      </c>
      <c r="BD231" s="258" t="str">
        <f ca="1">IF(AND(A231&lt;=MaxRows,BE231&lt;&gt;"Yes"),'Demand background (hide)'!X222+IF(Setup!$I$15="Yes",'Demand background (hide)'!AJ222,0),"")</f>
        <v/>
      </c>
      <c r="BE231" s="208"/>
    </row>
    <row r="232" spans="1:57" ht="15" x14ac:dyDescent="0.25">
      <c r="A232" t="str">
        <f t="shared" ca="1" si="12"/>
        <v/>
      </c>
      <c r="B232" s="263" t="str">
        <f t="shared" ca="1" si="13"/>
        <v xml:space="preserve"> </v>
      </c>
      <c r="C232" s="264" t="str">
        <f t="shared" ca="1" si="14"/>
        <v/>
      </c>
      <c r="D232" s="264"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f>
        <v/>
      </c>
      <c r="BD232" s="258" t="str">
        <f ca="1">IF(AND(A232&lt;=MaxRows,BE232&lt;&gt;"Yes"),'Demand background (hide)'!X223+IF(Setup!$I$15="Yes",'Demand background (hide)'!AJ223,0),"")</f>
        <v/>
      </c>
      <c r="BE232" s="208"/>
    </row>
    <row r="233" spans="1:57" ht="15" x14ac:dyDescent="0.25">
      <c r="A233" t="str">
        <f t="shared" ca="1" si="12"/>
        <v/>
      </c>
      <c r="B233" s="263" t="str">
        <f t="shared" ca="1" si="13"/>
        <v xml:space="preserve"> </v>
      </c>
      <c r="C233" s="264" t="str">
        <f t="shared" ca="1" si="14"/>
        <v/>
      </c>
      <c r="D233" s="264"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f>
        <v/>
      </c>
      <c r="BD233" s="258" t="str">
        <f ca="1">IF(AND(A233&lt;=MaxRows,BE233&lt;&gt;"Yes"),'Demand background (hide)'!X224+IF(Setup!$I$15="Yes",'Demand background (hide)'!AJ224,0),"")</f>
        <v/>
      </c>
      <c r="BE233" s="208"/>
    </row>
    <row r="234" spans="1:57" ht="15" x14ac:dyDescent="0.25">
      <c r="A234" t="str">
        <f t="shared" ca="1" si="12"/>
        <v/>
      </c>
      <c r="B234" s="263" t="str">
        <f t="shared" ca="1" si="13"/>
        <v xml:space="preserve"> </v>
      </c>
      <c r="C234" s="264" t="str">
        <f t="shared" ca="1" si="14"/>
        <v/>
      </c>
      <c r="D234" s="264"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f>
        <v/>
      </c>
      <c r="BD234" s="258" t="str">
        <f ca="1">IF(AND(A234&lt;=MaxRows,BE234&lt;&gt;"Yes"),'Demand background (hide)'!X225+IF(Setup!$I$15="Yes",'Demand background (hide)'!AJ225,0),"")</f>
        <v/>
      </c>
      <c r="BE234" s="208"/>
    </row>
    <row r="235" spans="1:57" ht="15" x14ac:dyDescent="0.25">
      <c r="A235" t="str">
        <f t="shared" ca="1" si="12"/>
        <v/>
      </c>
      <c r="B235" s="263" t="str">
        <f t="shared" ca="1" si="13"/>
        <v xml:space="preserve"> </v>
      </c>
      <c r="C235" s="264" t="str">
        <f t="shared" ca="1" si="14"/>
        <v/>
      </c>
      <c r="D235" s="264"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f>
        <v/>
      </c>
      <c r="BD235" s="258" t="str">
        <f ca="1">IF(AND(A235&lt;=MaxRows,BE235&lt;&gt;"Yes"),'Demand background (hide)'!X226+IF(Setup!$I$15="Yes",'Demand background (hide)'!AJ226,0),"")</f>
        <v/>
      </c>
      <c r="BE235" s="208"/>
    </row>
    <row r="236" spans="1:57" ht="15" x14ac:dyDescent="0.25">
      <c r="A236" t="str">
        <f t="shared" ca="1" si="12"/>
        <v/>
      </c>
      <c r="B236" s="263" t="str">
        <f t="shared" ca="1" si="13"/>
        <v xml:space="preserve"> </v>
      </c>
      <c r="C236" s="264" t="str">
        <f t="shared" ca="1" si="14"/>
        <v/>
      </c>
      <c r="D236" s="264"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f>
        <v/>
      </c>
      <c r="BD236" s="258" t="str">
        <f ca="1">IF(AND(A236&lt;=MaxRows,BE236&lt;&gt;"Yes"),'Demand background (hide)'!X227+IF(Setup!$I$15="Yes",'Demand background (hide)'!AJ227,0),"")</f>
        <v/>
      </c>
      <c r="BE236" s="208"/>
    </row>
    <row r="237" spans="1:57" ht="15" x14ac:dyDescent="0.25">
      <c r="A237" t="str">
        <f t="shared" ca="1" si="12"/>
        <v/>
      </c>
      <c r="B237" s="263" t="str">
        <f t="shared" ca="1" si="13"/>
        <v xml:space="preserve"> </v>
      </c>
      <c r="C237" s="264" t="str">
        <f t="shared" ca="1" si="14"/>
        <v/>
      </c>
      <c r="D237" s="264"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f>
        <v/>
      </c>
      <c r="BD237" s="258" t="str">
        <f ca="1">IF(AND(A237&lt;=MaxRows,BE237&lt;&gt;"Yes"),'Demand background (hide)'!X228+IF(Setup!$I$15="Yes",'Demand background (hide)'!AJ228,0),"")</f>
        <v/>
      </c>
      <c r="BE237" s="208"/>
    </row>
    <row r="238" spans="1:57" ht="15" x14ac:dyDescent="0.25">
      <c r="A238" t="str">
        <f t="shared" ca="1" si="12"/>
        <v/>
      </c>
      <c r="B238" s="263" t="str">
        <f t="shared" ca="1" si="13"/>
        <v xml:space="preserve"> </v>
      </c>
      <c r="C238" s="264" t="str">
        <f t="shared" ca="1" si="14"/>
        <v/>
      </c>
      <c r="D238" s="264"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f>
        <v/>
      </c>
      <c r="BD238" s="258" t="str">
        <f ca="1">IF(AND(A238&lt;=MaxRows,BE238&lt;&gt;"Yes"),'Demand background (hide)'!X229+IF(Setup!$I$15="Yes",'Demand background (hide)'!AJ229,0),"")</f>
        <v/>
      </c>
      <c r="BE238" s="208"/>
    </row>
    <row r="239" spans="1:57" ht="15" x14ac:dyDescent="0.25">
      <c r="A239" t="str">
        <f t="shared" ca="1" si="12"/>
        <v/>
      </c>
      <c r="B239" s="263" t="str">
        <f t="shared" ca="1" si="13"/>
        <v xml:space="preserve"> </v>
      </c>
      <c r="C239" s="264" t="str">
        <f t="shared" ca="1" si="14"/>
        <v/>
      </c>
      <c r="D239" s="264"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f>
        <v/>
      </c>
      <c r="BD239" s="258" t="str">
        <f ca="1">IF(AND(A239&lt;=MaxRows,BE239&lt;&gt;"Yes"),'Demand background (hide)'!X230+IF(Setup!$I$15="Yes",'Demand background (hide)'!AJ230,0),"")</f>
        <v/>
      </c>
      <c r="BE239" s="208"/>
    </row>
    <row r="240" spans="1:57" ht="15" x14ac:dyDescent="0.25">
      <c r="A240" t="str">
        <f t="shared" ca="1" si="12"/>
        <v/>
      </c>
      <c r="B240" s="263" t="str">
        <f t="shared" ca="1" si="13"/>
        <v xml:space="preserve"> </v>
      </c>
      <c r="C240" s="264" t="str">
        <f t="shared" ca="1" si="14"/>
        <v/>
      </c>
      <c r="D240" s="264"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f>
        <v/>
      </c>
      <c r="BD240" s="258" t="str">
        <f ca="1">IF(AND(A240&lt;=MaxRows,BE240&lt;&gt;"Yes"),'Demand background (hide)'!X231+IF(Setup!$I$15="Yes",'Demand background (hide)'!AJ231,0),"")</f>
        <v/>
      </c>
      <c r="BE240" s="208"/>
    </row>
    <row r="241" spans="1:57" ht="15" x14ac:dyDescent="0.25">
      <c r="A241" t="str">
        <f t="shared" ca="1" si="12"/>
        <v/>
      </c>
      <c r="B241" s="263" t="str">
        <f t="shared" ca="1" si="13"/>
        <v xml:space="preserve"> </v>
      </c>
      <c r="C241" s="264" t="str">
        <f t="shared" ca="1" si="14"/>
        <v/>
      </c>
      <c r="D241" s="264"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f>
        <v/>
      </c>
      <c r="BD241" s="258" t="str">
        <f ca="1">IF(AND(A241&lt;=MaxRows,BE241&lt;&gt;"Yes"),'Demand background (hide)'!X232+IF(Setup!$I$15="Yes",'Demand background (hide)'!AJ232,0),"")</f>
        <v/>
      </c>
      <c r="BE241" s="208"/>
    </row>
    <row r="242" spans="1:57" ht="15" x14ac:dyDescent="0.25">
      <c r="A242" t="str">
        <f t="shared" ca="1" si="12"/>
        <v/>
      </c>
      <c r="B242" s="263" t="str">
        <f t="shared" ca="1" si="13"/>
        <v xml:space="preserve"> </v>
      </c>
      <c r="C242" s="264" t="str">
        <f t="shared" ca="1" si="14"/>
        <v/>
      </c>
      <c r="D242" s="264"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f>
        <v/>
      </c>
      <c r="BD242" s="258" t="str">
        <f ca="1">IF(AND(A242&lt;=MaxRows,BE242&lt;&gt;"Yes"),'Demand background (hide)'!X233+IF(Setup!$I$15="Yes",'Demand background (hide)'!AJ233,0),"")</f>
        <v/>
      </c>
      <c r="BE242" s="208"/>
    </row>
    <row r="243" spans="1:57" ht="15" x14ac:dyDescent="0.25">
      <c r="A243" t="str">
        <f t="shared" ca="1" si="12"/>
        <v/>
      </c>
      <c r="B243" s="263" t="str">
        <f t="shared" ca="1" si="13"/>
        <v xml:space="preserve"> </v>
      </c>
      <c r="C243" s="264" t="str">
        <f t="shared" ca="1" si="14"/>
        <v/>
      </c>
      <c r="D243" s="264"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f>
        <v/>
      </c>
      <c r="BD243" s="258" t="str">
        <f ca="1">IF(AND(A243&lt;=MaxRows,BE243&lt;&gt;"Yes"),'Demand background (hide)'!X234+IF(Setup!$I$15="Yes",'Demand background (hide)'!AJ234,0),"")</f>
        <v/>
      </c>
      <c r="BE243" s="208"/>
    </row>
    <row r="244" spans="1:57" ht="15" x14ac:dyDescent="0.25">
      <c r="A244" t="str">
        <f t="shared" ca="1" si="12"/>
        <v/>
      </c>
      <c r="B244" s="263" t="str">
        <f t="shared" ca="1" si="13"/>
        <v xml:space="preserve"> </v>
      </c>
      <c r="C244" s="264" t="str">
        <f t="shared" ca="1" si="14"/>
        <v/>
      </c>
      <c r="D244" s="264"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f>
        <v/>
      </c>
      <c r="BD244" s="258" t="str">
        <f ca="1">IF(AND(A244&lt;=MaxRows,BE244&lt;&gt;"Yes"),'Demand background (hide)'!X235+IF(Setup!$I$15="Yes",'Demand background (hide)'!AJ235,0),"")</f>
        <v/>
      </c>
      <c r="BE244" s="208"/>
    </row>
    <row r="245" spans="1:57" ht="15" x14ac:dyDescent="0.25">
      <c r="A245" t="str">
        <f t="shared" ca="1" si="12"/>
        <v/>
      </c>
      <c r="B245" s="263" t="str">
        <f t="shared" ca="1" si="13"/>
        <v xml:space="preserve"> </v>
      </c>
      <c r="C245" s="264" t="str">
        <f t="shared" ca="1" si="14"/>
        <v/>
      </c>
      <c r="D245" s="264"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f>
        <v/>
      </c>
      <c r="BD245" s="258" t="str">
        <f ca="1">IF(AND(A245&lt;=MaxRows,BE245&lt;&gt;"Yes"),'Demand background (hide)'!X236+IF(Setup!$I$15="Yes",'Demand background (hide)'!AJ236,0),"")</f>
        <v/>
      </c>
      <c r="BE245" s="208"/>
    </row>
    <row r="246" spans="1:57" ht="15" x14ac:dyDescent="0.25">
      <c r="A246" t="str">
        <f t="shared" ca="1" si="12"/>
        <v/>
      </c>
      <c r="B246" s="263" t="str">
        <f t="shared" ca="1" si="13"/>
        <v xml:space="preserve"> </v>
      </c>
      <c r="C246" s="264" t="str">
        <f t="shared" ca="1" si="14"/>
        <v/>
      </c>
      <c r="D246" s="264"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f>
        <v/>
      </c>
      <c r="BD246" s="258" t="str">
        <f ca="1">IF(AND(A246&lt;=MaxRows,BE246&lt;&gt;"Yes"),'Demand background (hide)'!X237+IF(Setup!$I$15="Yes",'Demand background (hide)'!AJ237,0),"")</f>
        <v/>
      </c>
      <c r="BE246" s="208"/>
    </row>
    <row r="247" spans="1:57" ht="15" x14ac:dyDescent="0.25">
      <c r="A247" t="str">
        <f t="shared" ca="1" si="12"/>
        <v/>
      </c>
      <c r="B247" s="263" t="str">
        <f t="shared" ca="1" si="13"/>
        <v xml:space="preserve"> </v>
      </c>
      <c r="C247" s="264" t="str">
        <f t="shared" ca="1" si="14"/>
        <v/>
      </c>
      <c r="D247" s="264"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f>
        <v/>
      </c>
      <c r="BD247" s="258" t="str">
        <f ca="1">IF(AND(A247&lt;=MaxRows,BE247&lt;&gt;"Yes"),'Demand background (hide)'!X238+IF(Setup!$I$15="Yes",'Demand background (hide)'!AJ238,0),"")</f>
        <v/>
      </c>
      <c r="BE247" s="208"/>
    </row>
    <row r="248" spans="1:57" ht="15" x14ac:dyDescent="0.25">
      <c r="A248" t="str">
        <f t="shared" ca="1" si="12"/>
        <v/>
      </c>
      <c r="B248" s="263" t="str">
        <f t="shared" ca="1" si="13"/>
        <v xml:space="preserve"> </v>
      </c>
      <c r="C248" s="264" t="str">
        <f t="shared" ca="1" si="14"/>
        <v/>
      </c>
      <c r="D248" s="264"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f>
        <v/>
      </c>
      <c r="BD248" s="258" t="str">
        <f ca="1">IF(AND(A248&lt;=MaxRows,BE248&lt;&gt;"Yes"),'Demand background (hide)'!X239+IF(Setup!$I$15="Yes",'Demand background (hide)'!AJ239,0),"")</f>
        <v/>
      </c>
      <c r="BE248" s="208"/>
    </row>
    <row r="249" spans="1:57" ht="15" x14ac:dyDescent="0.25">
      <c r="A249" t="str">
        <f t="shared" ca="1" si="12"/>
        <v/>
      </c>
      <c r="B249" s="263" t="str">
        <f t="shared" ca="1" si="13"/>
        <v xml:space="preserve"> </v>
      </c>
      <c r="C249" s="264" t="str">
        <f t="shared" ca="1" si="14"/>
        <v/>
      </c>
      <c r="D249" s="264"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f>
        <v/>
      </c>
      <c r="BD249" s="258" t="str">
        <f ca="1">IF(AND(A249&lt;=MaxRows,BE249&lt;&gt;"Yes"),'Demand background (hide)'!X240+IF(Setup!$I$15="Yes",'Demand background (hide)'!AJ240,0),"")</f>
        <v/>
      </c>
      <c r="BE249" s="208"/>
    </row>
    <row r="250" spans="1:57" ht="15" x14ac:dyDescent="0.25">
      <c r="A250" t="str">
        <f t="shared" ca="1" si="12"/>
        <v/>
      </c>
      <c r="B250" s="263" t="str">
        <f t="shared" ca="1" si="13"/>
        <v xml:space="preserve"> </v>
      </c>
      <c r="C250" s="264" t="str">
        <f t="shared" ca="1" si="14"/>
        <v/>
      </c>
      <c r="D250" s="264"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f>
        <v/>
      </c>
      <c r="BD250" s="258" t="str">
        <f ca="1">IF(AND(A250&lt;=MaxRows,BE250&lt;&gt;"Yes"),'Demand background (hide)'!X241+IF(Setup!$I$15="Yes",'Demand background (hide)'!AJ241,0),"")</f>
        <v/>
      </c>
      <c r="BE250" s="208"/>
    </row>
    <row r="251" spans="1:57" ht="15" x14ac:dyDescent="0.25">
      <c r="A251" t="str">
        <f t="shared" ca="1" si="12"/>
        <v/>
      </c>
      <c r="B251" s="263" t="str">
        <f t="shared" ca="1" si="13"/>
        <v xml:space="preserve"> </v>
      </c>
      <c r="C251" s="264" t="str">
        <f t="shared" ca="1" si="14"/>
        <v/>
      </c>
      <c r="D251" s="264"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f>
        <v/>
      </c>
      <c r="BD251" s="258" t="str">
        <f ca="1">IF(AND(A251&lt;=MaxRows,BE251&lt;&gt;"Yes"),'Demand background (hide)'!X242+IF(Setup!$I$15="Yes",'Demand background (hide)'!AJ242,0),"")</f>
        <v/>
      </c>
      <c r="BE251" s="208"/>
    </row>
    <row r="252" spans="1:57" ht="15" x14ac:dyDescent="0.25">
      <c r="A252" t="str">
        <f t="shared" ca="1" si="12"/>
        <v/>
      </c>
      <c r="B252" s="263" t="str">
        <f t="shared" ca="1" si="13"/>
        <v xml:space="preserve"> </v>
      </c>
      <c r="C252" s="264" t="str">
        <f t="shared" ca="1" si="14"/>
        <v/>
      </c>
      <c r="D252" s="264"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f>
        <v/>
      </c>
      <c r="BD252" s="258" t="str">
        <f ca="1">IF(AND(A252&lt;=MaxRows,BE252&lt;&gt;"Yes"),'Demand background (hide)'!X243+IF(Setup!$I$15="Yes",'Demand background (hide)'!AJ243,0),"")</f>
        <v/>
      </c>
      <c r="BE252" s="208"/>
    </row>
    <row r="253" spans="1:57" ht="15" x14ac:dyDescent="0.25">
      <c r="A253" t="str">
        <f t="shared" ca="1" si="12"/>
        <v/>
      </c>
      <c r="B253" s="263" t="str">
        <f t="shared" ca="1" si="13"/>
        <v xml:space="preserve"> </v>
      </c>
      <c r="C253" s="264" t="str">
        <f t="shared" ca="1" si="14"/>
        <v/>
      </c>
      <c r="D253" s="264"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f>
        <v/>
      </c>
      <c r="BD253" s="258" t="str">
        <f ca="1">IF(AND(A253&lt;=MaxRows,BE253&lt;&gt;"Yes"),'Demand background (hide)'!X244+IF(Setup!$I$15="Yes",'Demand background (hide)'!AJ244,0),"")</f>
        <v/>
      </c>
      <c r="BE253" s="208"/>
    </row>
    <row r="254" spans="1:57" ht="15" x14ac:dyDescent="0.25">
      <c r="A254" t="str">
        <f t="shared" ca="1" si="12"/>
        <v/>
      </c>
      <c r="B254" s="263" t="str">
        <f t="shared" ca="1" si="13"/>
        <v xml:space="preserve"> </v>
      </c>
      <c r="C254" s="264" t="str">
        <f t="shared" ca="1" si="14"/>
        <v/>
      </c>
      <c r="D254" s="264"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f>
        <v/>
      </c>
      <c r="BD254" s="258" t="str">
        <f ca="1">IF(AND(A254&lt;=MaxRows,BE254&lt;&gt;"Yes"),'Demand background (hide)'!X245+IF(Setup!$I$15="Yes",'Demand background (hide)'!AJ245,0),"")</f>
        <v/>
      </c>
      <c r="BE254" s="208"/>
    </row>
    <row r="255" spans="1:57" ht="15" x14ac:dyDescent="0.25">
      <c r="A255" t="str">
        <f t="shared" ca="1" si="12"/>
        <v/>
      </c>
      <c r="B255" s="263" t="str">
        <f t="shared" ca="1" si="13"/>
        <v xml:space="preserve"> </v>
      </c>
      <c r="C255" s="264" t="str">
        <f t="shared" ca="1" si="14"/>
        <v/>
      </c>
      <c r="D255" s="264"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f>
        <v/>
      </c>
      <c r="BD255" s="258" t="str">
        <f ca="1">IF(AND(A255&lt;=MaxRows,BE255&lt;&gt;"Yes"),'Demand background (hide)'!X246+IF(Setup!$I$15="Yes",'Demand background (hide)'!AJ246,0),"")</f>
        <v/>
      </c>
      <c r="BE255" s="208"/>
    </row>
    <row r="256" spans="1:57" ht="15" x14ac:dyDescent="0.25">
      <c r="A256" t="str">
        <f t="shared" ca="1" si="12"/>
        <v/>
      </c>
      <c r="B256" s="263" t="str">
        <f t="shared" ca="1" si="13"/>
        <v xml:space="preserve"> </v>
      </c>
      <c r="C256" s="264" t="str">
        <f t="shared" ca="1" si="14"/>
        <v/>
      </c>
      <c r="D256" s="264"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f>
        <v/>
      </c>
      <c r="BD256" s="258" t="str">
        <f ca="1">IF(AND(A256&lt;=MaxRows,BE256&lt;&gt;"Yes"),'Demand background (hide)'!X247+IF(Setup!$I$15="Yes",'Demand background (hide)'!AJ247,0),"")</f>
        <v/>
      </c>
      <c r="BE256" s="208"/>
    </row>
    <row r="257" spans="1:57" ht="15" x14ac:dyDescent="0.25">
      <c r="A257" t="str">
        <f t="shared" ca="1" si="12"/>
        <v/>
      </c>
      <c r="B257" s="263" t="str">
        <f t="shared" ca="1" si="13"/>
        <v xml:space="preserve"> </v>
      </c>
      <c r="C257" s="264" t="str">
        <f t="shared" ca="1" si="14"/>
        <v/>
      </c>
      <c r="D257" s="264"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f>
        <v/>
      </c>
      <c r="BD257" s="258" t="str">
        <f ca="1">IF(AND(A257&lt;=MaxRows,BE257&lt;&gt;"Yes"),'Demand background (hide)'!X248+IF(Setup!$I$15="Yes",'Demand background (hide)'!AJ248,0),"")</f>
        <v/>
      </c>
      <c r="BE257" s="208"/>
    </row>
    <row r="258" spans="1:57" ht="15" x14ac:dyDescent="0.25">
      <c r="A258" t="str">
        <f t="shared" ca="1" si="12"/>
        <v/>
      </c>
      <c r="B258" s="263" t="str">
        <f t="shared" ca="1" si="13"/>
        <v xml:space="preserve"> </v>
      </c>
      <c r="C258" s="264" t="str">
        <f t="shared" ca="1" si="14"/>
        <v/>
      </c>
      <c r="D258" s="264"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f>
        <v/>
      </c>
      <c r="BD258" s="258" t="str">
        <f ca="1">IF(AND(A258&lt;=MaxRows,BE258&lt;&gt;"Yes"),'Demand background (hide)'!X249+IF(Setup!$I$15="Yes",'Demand background (hide)'!AJ249,0),"")</f>
        <v/>
      </c>
      <c r="BE258" s="208"/>
    </row>
    <row r="259" spans="1:57" ht="15" x14ac:dyDescent="0.25">
      <c r="A259" t="str">
        <f t="shared" ca="1" si="12"/>
        <v/>
      </c>
      <c r="B259" s="263" t="str">
        <f t="shared" ca="1" si="13"/>
        <v xml:space="preserve"> </v>
      </c>
      <c r="C259" s="264" t="str">
        <f t="shared" ca="1" si="14"/>
        <v/>
      </c>
      <c r="D259" s="264"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f>
        <v/>
      </c>
      <c r="BD259" s="258" t="str">
        <f ca="1">IF(AND(A259&lt;=MaxRows,BE259&lt;&gt;"Yes"),'Demand background (hide)'!X250+IF(Setup!$I$15="Yes",'Demand background (hide)'!AJ250,0),"")</f>
        <v/>
      </c>
      <c r="BE259" s="208"/>
    </row>
    <row r="260" spans="1:57" ht="15" x14ac:dyDescent="0.25">
      <c r="A260" t="str">
        <f t="shared" ca="1" si="12"/>
        <v/>
      </c>
      <c r="B260" s="263" t="str">
        <f t="shared" ca="1" si="13"/>
        <v xml:space="preserve"> </v>
      </c>
      <c r="C260" s="264" t="str">
        <f t="shared" ca="1" si="14"/>
        <v/>
      </c>
      <c r="D260" s="264"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f>
        <v/>
      </c>
      <c r="BD260" s="258" t="str">
        <f ca="1">IF(AND(A260&lt;=MaxRows,BE260&lt;&gt;"Yes"),'Demand background (hide)'!X251+IF(Setup!$I$15="Yes",'Demand background (hide)'!AJ251,0),"")</f>
        <v/>
      </c>
      <c r="BE260" s="208"/>
    </row>
    <row r="261" spans="1:57" ht="15" x14ac:dyDescent="0.25">
      <c r="A261" t="str">
        <f t="shared" ca="1" si="12"/>
        <v/>
      </c>
      <c r="B261" s="263" t="str">
        <f t="shared" ca="1" si="13"/>
        <v xml:space="preserve"> </v>
      </c>
      <c r="C261" s="264" t="str">
        <f t="shared" ca="1" si="14"/>
        <v/>
      </c>
      <c r="D261" s="264"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f>
        <v/>
      </c>
      <c r="BD261" s="258" t="str">
        <f ca="1">IF(AND(A261&lt;=MaxRows,BE261&lt;&gt;"Yes"),'Demand background (hide)'!X252+IF(Setup!$I$15="Yes",'Demand background (hide)'!AJ252,0),"")</f>
        <v/>
      </c>
      <c r="BE261" s="208"/>
    </row>
    <row r="262" spans="1:57" ht="15" x14ac:dyDescent="0.25">
      <c r="A262" t="str">
        <f t="shared" ca="1" si="12"/>
        <v/>
      </c>
      <c r="B262" s="263" t="str">
        <f t="shared" ca="1" si="13"/>
        <v xml:space="preserve"> </v>
      </c>
      <c r="C262" s="264" t="str">
        <f t="shared" ca="1" si="14"/>
        <v/>
      </c>
      <c r="D262" s="264"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f>
        <v/>
      </c>
      <c r="BD262" s="258" t="str">
        <f ca="1">IF(AND(A262&lt;=MaxRows,BE262&lt;&gt;"Yes"),'Demand background (hide)'!X253+IF(Setup!$I$15="Yes",'Demand background (hide)'!AJ253,0),"")</f>
        <v/>
      </c>
      <c r="BE262" s="208"/>
    </row>
    <row r="263" spans="1:57" ht="15" x14ac:dyDescent="0.25">
      <c r="A263" t="str">
        <f t="shared" ca="1" si="12"/>
        <v/>
      </c>
      <c r="B263" s="263" t="str">
        <f t="shared" ca="1" si="13"/>
        <v xml:space="preserve"> </v>
      </c>
      <c r="C263" s="264" t="str">
        <f t="shared" ca="1" si="14"/>
        <v/>
      </c>
      <c r="D263" s="264"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f>
        <v/>
      </c>
      <c r="BD263" s="258" t="str">
        <f ca="1">IF(AND(A263&lt;=MaxRows,BE263&lt;&gt;"Yes"),'Demand background (hide)'!X254+IF(Setup!$I$15="Yes",'Demand background (hide)'!AJ254,0),"")</f>
        <v/>
      </c>
      <c r="BE263" s="208"/>
    </row>
    <row r="264" spans="1:57" ht="15" x14ac:dyDescent="0.25">
      <c r="A264" t="str">
        <f t="shared" ca="1" si="12"/>
        <v/>
      </c>
      <c r="B264" s="263" t="str">
        <f t="shared" ca="1" si="13"/>
        <v xml:space="preserve"> </v>
      </c>
      <c r="C264" s="264" t="str">
        <f t="shared" ca="1" si="14"/>
        <v/>
      </c>
      <c r="D264" s="264"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f>
        <v/>
      </c>
      <c r="BD264" s="258" t="str">
        <f ca="1">IF(AND(A264&lt;=MaxRows,BE264&lt;&gt;"Yes"),'Demand background (hide)'!X255+IF(Setup!$I$15="Yes",'Demand background (hide)'!AJ255,0),"")</f>
        <v/>
      </c>
      <c r="BE264" s="208"/>
    </row>
    <row r="265" spans="1:57" ht="15" x14ac:dyDescent="0.25">
      <c r="A265" t="str">
        <f t="shared" ca="1" si="12"/>
        <v/>
      </c>
      <c r="B265" s="263" t="str">
        <f t="shared" ca="1" si="13"/>
        <v xml:space="preserve"> </v>
      </c>
      <c r="C265" s="264" t="str">
        <f t="shared" ca="1" si="14"/>
        <v/>
      </c>
      <c r="D265" s="264"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f>
        <v/>
      </c>
      <c r="BD265" s="258" t="str">
        <f ca="1">IF(AND(A265&lt;=MaxRows,BE265&lt;&gt;"Yes"),'Demand background (hide)'!X256+IF(Setup!$I$15="Yes",'Demand background (hide)'!AJ256,0),"")</f>
        <v/>
      </c>
      <c r="BE265" s="208"/>
    </row>
    <row r="266" spans="1:57" ht="15" x14ac:dyDescent="0.25">
      <c r="A266" t="str">
        <f t="shared" ca="1" si="12"/>
        <v/>
      </c>
      <c r="B266" s="263" t="str">
        <f t="shared" ca="1" si="13"/>
        <v xml:space="preserve"> </v>
      </c>
      <c r="C266" s="264" t="str">
        <f t="shared" ca="1" si="14"/>
        <v/>
      </c>
      <c r="D266" s="264"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f>
        <v/>
      </c>
      <c r="BD266" s="258" t="str">
        <f ca="1">IF(AND(A266&lt;=MaxRows,BE266&lt;&gt;"Yes"),'Demand background (hide)'!X257+IF(Setup!$I$15="Yes",'Demand background (hide)'!AJ257,0),"")</f>
        <v/>
      </c>
      <c r="BE266" s="208"/>
    </row>
    <row r="267" spans="1:57" ht="15" x14ac:dyDescent="0.25">
      <c r="A267" t="str">
        <f t="shared" ca="1" si="12"/>
        <v/>
      </c>
      <c r="B267" s="263" t="str">
        <f t="shared" ca="1" si="13"/>
        <v xml:space="preserve"> </v>
      </c>
      <c r="C267" s="264" t="str">
        <f t="shared" ca="1" si="14"/>
        <v/>
      </c>
      <c r="D267" s="264"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f>
        <v/>
      </c>
      <c r="BD267" s="258" t="str">
        <f ca="1">IF(AND(A267&lt;=MaxRows,BE267&lt;&gt;"Yes"),'Demand background (hide)'!X258+IF(Setup!$I$15="Yes",'Demand background (hide)'!AJ258,0),"")</f>
        <v/>
      </c>
      <c r="BE267" s="208"/>
    </row>
    <row r="268" spans="1:57" ht="15" x14ac:dyDescent="0.25">
      <c r="A268" t="str">
        <f t="shared" ca="1" si="12"/>
        <v/>
      </c>
      <c r="B268" s="263" t="str">
        <f t="shared" ca="1" si="13"/>
        <v xml:space="preserve"> </v>
      </c>
      <c r="C268" s="264" t="str">
        <f t="shared" ca="1" si="14"/>
        <v/>
      </c>
      <c r="D268" s="264"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f>
        <v/>
      </c>
      <c r="BD268" s="258" t="str">
        <f ca="1">IF(AND(A268&lt;=MaxRows,BE268&lt;&gt;"Yes"),'Demand background (hide)'!X259+IF(Setup!$I$15="Yes",'Demand background (hide)'!AJ259,0),"")</f>
        <v/>
      </c>
      <c r="BE268" s="208"/>
    </row>
    <row r="269" spans="1:57" ht="15" x14ac:dyDescent="0.25">
      <c r="A269" t="str">
        <f t="shared" ref="A269:A272" ca="1" si="16">IF(BC269&lt;&gt;"",ROW(A257),"")</f>
        <v/>
      </c>
      <c r="B269" s="263" t="str">
        <f t="shared" ca="1" si="13"/>
        <v xml:space="preserve"> </v>
      </c>
      <c r="C269" s="264" t="str">
        <f t="shared" ca="1" si="14"/>
        <v/>
      </c>
      <c r="D269" s="264"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f>
        <v/>
      </c>
      <c r="BD269" s="258" t="str">
        <f ca="1">IF(AND(A269&lt;=MaxRows,BE269&lt;&gt;"Yes"),'Demand background (hide)'!X260+IF(Setup!$I$15="Yes",'Demand background (hide)'!AJ260,0),"")</f>
        <v/>
      </c>
      <c r="BE269" s="208"/>
    </row>
    <row r="270" spans="1:57" ht="15"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264"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f>
        <v/>
      </c>
      <c r="BD270" s="258" t="str">
        <f ca="1">IF(AND(A270&lt;=MaxRows,BE270&lt;&gt;"Yes"),'Demand background (hide)'!X261+IF(Setup!$I$15="Yes",'Demand background (hide)'!AJ261,0),"")</f>
        <v/>
      </c>
      <c r="BE270" s="208"/>
    </row>
    <row r="271" spans="1:57" ht="15" x14ac:dyDescent="0.25">
      <c r="A271" t="str">
        <f t="shared" ca="1" si="16"/>
        <v/>
      </c>
      <c r="B271" s="263" t="str">
        <f t="shared" ca="1" si="17"/>
        <v xml:space="preserve"> </v>
      </c>
      <c r="C271" s="264" t="str">
        <f t="shared" ca="1" si="18"/>
        <v/>
      </c>
      <c r="D271" s="264"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f>
        <v/>
      </c>
      <c r="BD271" s="258" t="str">
        <f ca="1">IF(AND(A271&lt;=MaxRows,BE271&lt;&gt;"Yes"),'Demand background (hide)'!X262+IF(Setup!$I$15="Yes",'Demand background (hide)'!AJ262,0),"")</f>
        <v/>
      </c>
      <c r="BE271" s="208"/>
    </row>
    <row r="272" spans="1:57" ht="15" x14ac:dyDescent="0.25">
      <c r="A272" t="str">
        <f t="shared" ca="1" si="16"/>
        <v/>
      </c>
      <c r="B272" s="263" t="str">
        <f t="shared" ca="1" si="17"/>
        <v xml:space="preserve"> </v>
      </c>
      <c r="C272" s="264" t="str">
        <f t="shared" ca="1" si="18"/>
        <v/>
      </c>
      <c r="D272" s="264"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f>
        <v/>
      </c>
      <c r="BD272" s="258" t="str">
        <f ca="1">IF(AND(A272&lt;=MaxRows,BE272&lt;&gt;"Yes"),'Demand background (hide)'!X263+IF(Setup!$I$15="Yes",'Demand background (hide)'!AJ263,0),"")</f>
        <v/>
      </c>
      <c r="BE272" s="208"/>
    </row>
  </sheetData>
  <sheetProtection algorithmName="SHA-512" hashValue="aH5DVmUP6K5dM4YyqzdKZlCVL23abIV0xTpm60ZnRY/zzIUFg7lhL0T2AYINVMEO+lCjcHy0XyigPee+h6ggLA==" saltValue="1LE65KE+TN+ikSWSRawHkg=="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52" priority="4">
      <formula>IF(ROW(C65)-12&lt;=$A$6,TRUE,FALSE)</formula>
    </cfRule>
  </conditionalFormatting>
  <conditionalFormatting sqref="BC65:BE272">
    <cfRule type="expression" dxfId="51" priority="3">
      <formula>IF(ROW(A65)-12&lt;=$A$6,TRUE,FALSE)</formula>
    </cfRule>
  </conditionalFormatting>
  <conditionalFormatting sqref="C65:BB272">
    <cfRule type="expression" dxfId="50"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4.25" x14ac:dyDescent="0.2"/>
  <cols>
    <col min="1" max="11" width="11.25" customWidth="1"/>
    <col min="14" max="18" width="9.25" bestFit="1" customWidth="1"/>
    <col min="19" max="19" width="9" customWidth="1"/>
    <col min="20" max="24" width="9.25" bestFit="1" customWidth="1"/>
    <col min="38" max="38" width="16.625" customWidth="1"/>
    <col min="39" max="39" width="10.25" bestFit="1" customWidth="1"/>
    <col min="40" max="41" width="10.25" customWidth="1"/>
    <col min="42" max="42" width="10.25" style="36" customWidth="1"/>
    <col min="43" max="45" width="10.25" customWidth="1"/>
    <col min="46" max="46" width="12.25" bestFit="1" customWidth="1"/>
    <col min="103" max="103" width="10.125" customWidth="1"/>
    <col min="118" max="118" width="9.75" bestFit="1" customWidth="1"/>
    <col min="124" max="124" width="8.75" style="67"/>
    <col min="126" max="130" width="8.75" style="67"/>
    <col min="131" max="131" width="9.75" style="67" bestFit="1" customWidth="1"/>
    <col min="132" max="132" width="8.75" style="67"/>
  </cols>
  <sheetData>
    <row r="1" spans="1:135" x14ac:dyDescent="0.2">
      <c r="B1" t="s">
        <v>62</v>
      </c>
      <c r="M1" t="s">
        <v>65</v>
      </c>
      <c r="N1" t="str">
        <f>"Modifier: "&amp;Setup!$I$17</f>
        <v>Modifier: Minutes</v>
      </c>
      <c r="Z1" t="s">
        <v>66</v>
      </c>
      <c r="AL1" t="s">
        <v>285</v>
      </c>
      <c r="AP1" s="36" t="s">
        <v>129</v>
      </c>
      <c r="BQ1" t="s">
        <v>432</v>
      </c>
      <c r="CV1" t="s">
        <v>215</v>
      </c>
      <c r="CW1" t="s">
        <v>216</v>
      </c>
      <c r="DN1" t="s">
        <v>1190</v>
      </c>
    </row>
    <row r="2" spans="1:135" x14ac:dyDescent="0.2">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2">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0</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0</v>
      </c>
      <c r="ED3" t="s">
        <v>1225</v>
      </c>
      <c r="EE3" t="s">
        <v>1195</v>
      </c>
    </row>
    <row r="4" spans="1:135" s="5" customFormat="1" x14ac:dyDescent="0.2">
      <c r="A4" s="5">
        <f t="shared" ref="A4:A35" ca="1" si="3">SUM(OFFSET(B4,0,0,1,Num_Modalities))</f>
        <v>1</v>
      </c>
      <c r="B4" s="5">
        <f ca="1">COUNTBLANK(OFFSET(Demand!$I13,0,(COLUMN(A1)-1)*5,1,1))</f>
        <v>1</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0</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0</v>
      </c>
      <c r="Y4" s="5">
        <f t="shared" ref="Y4:Y67" ca="1" si="5">SUM(OFFSET(N4,0,0,1,Num_Modalities))</f>
        <v>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0</v>
      </c>
      <c r="AM4" s="5">
        <f ca="1">IF(AN4&lt;&gt;"","",AJ4)</f>
        <v>0</v>
      </c>
      <c r="AN4" s="5" t="str">
        <f>IF(Demand!BE13="Yes","Yes","")</f>
        <v/>
      </c>
      <c r="AP4" s="36">
        <f>Demand!B13</f>
        <v>1</v>
      </c>
      <c r="AQ4" s="5" t="str">
        <f>TEXT(Demand!D13,"MMM")</f>
        <v/>
      </c>
      <c r="AV4" s="5" t="s">
        <v>71</v>
      </c>
      <c r="AW4" s="44">
        <f ca="1">IFERROR(AVERAGE(OFFSET($AT$4,'SPC background (hide)'!$C$4-1,0,'SPC background (hide)'!$H$5,1)),0)</f>
        <v>0</v>
      </c>
      <c r="BB4"/>
      <c r="BC4"/>
      <c r="BD4"/>
      <c r="BE4"/>
      <c r="BF4" t="s">
        <v>199</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0</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21</v>
      </c>
      <c r="DN4" s="317">
        <f>'Demand adjustments for Covid'!F12</f>
        <v>43969</v>
      </c>
      <c r="DO4" s="5" t="e">
        <f ca="1">VLOOKUP(IF($DM4&lt;53,$DM4,52),'Summary Calculations (hide)'!$D$15:$F$67,2,0)</f>
        <v>#N/A</v>
      </c>
      <c r="DP4" s="5" t="e">
        <f ca="1">VLOOKUP(IF($DM4&lt;53,$DM4,52),'Summary Calculations (hide)'!$D$15:$F$67,3,0)</f>
        <v>#N/A</v>
      </c>
      <c r="DQ4" s="5">
        <f>IF(AND(DN4&gt;='Demand adjustments for Covid'!$F$12,DN4&lt;'Demand adjustments for Covid'!$F$17),'Demand adjustments for Covid'!$F$13,DO4)</f>
        <v>200</v>
      </c>
      <c r="DR4" s="5">
        <f t="shared" ref="DR4:DR35" si="7">IF(AND(ROW(A1)&gt;=$EE$4,ROW(A1)&lt;=$EE$5),1,0)</f>
        <v>0</v>
      </c>
      <c r="DS4" s="5" t="e">
        <f ca="1">IF('Demand adjustments for Covid'!$F$9="Yes",IF(DR4=0,DQ4,((SUM(DR$4:DR4)-1)*$EE$8)+'Demand adjustments for Covid'!F$13),'Demand background (hide)'!DO4)</f>
        <v>#N/A</v>
      </c>
      <c r="DT4" s="5" t="e">
        <f ca="1">IF(AND('Demand adjustments for Covid'!$F$9="Yes",MaxRows&gt;=10),IF(OR(AND(DN4&gt;='Demand adjustments for Covid'!$F$12,DN4&lt;'Demand adjustments for Covid'!$F$17),DR4=1),DS4+3,DP4),'Demand background (hide)'!DP4)</f>
        <v>#N/A</v>
      </c>
      <c r="DU4" s="5" t="e">
        <f ca="1">IF(DS4&lt;='Demand adjustments for Covid'!$F$17,DO4-DS4,0)</f>
        <v>#N/A</v>
      </c>
      <c r="DV4" s="5">
        <f ca="1">IF(AND(ROW(A1)&gt;$EE$5,ROW(A1)&lt;=$EA$5),OFFSET('Demand adjustments for Covid'!$F$35,0,ROW(A1)-'Demand background (hide)'!$EE$5,1,1),0)</f>
        <v>0</v>
      </c>
      <c r="DW4" s="5">
        <f ca="1">IF(AND(ROW(A1)&gt;$EE$5,ROW(A1)&lt;=$EA$5),OFFSET('Demand adjustments for Covid'!$F$36,0,ROW(A1)-'Demand background (hide)'!$EE$5,1,1),0)</f>
        <v>0</v>
      </c>
      <c r="DX4" s="5" t="e">
        <f ca="1">SUM(DV4:DW4,DT4)</f>
        <v>#N/A</v>
      </c>
      <c r="ED4" s="5" t="s">
        <v>1193</v>
      </c>
      <c r="EE4" s="5">
        <f>MATCH('Demand adjustments for Covid'!$F$17,$DN$4:$DN$55,0)</f>
        <v>7</v>
      </c>
    </row>
    <row r="5" spans="1:135" s="5" customFormat="1" x14ac:dyDescent="0.2">
      <c r="A5" s="5">
        <f t="shared" ca="1" si="3"/>
        <v>1</v>
      </c>
      <c r="B5" s="5">
        <f ca="1">COUNTBLANK(OFFSET(Demand!$I14,0,(COLUMN(A2)-1)*5,1,1))</f>
        <v>1</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0</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0</v>
      </c>
      <c r="Y5" s="5">
        <f t="shared" ca="1" si="5"/>
        <v>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0</v>
      </c>
      <c r="AM5" s="5">
        <f t="shared" ref="AM5:AM68" ca="1" si="9">IF(AN5&lt;&gt;"","",AJ5)</f>
        <v>0</v>
      </c>
      <c r="AN5" s="5" t="str">
        <f>IF(Demand!BE14="Yes","Yes","")</f>
        <v/>
      </c>
      <c r="AP5" s="36" t="str">
        <f ca="1">Demand!B14</f>
        <v xml:space="preserve"> </v>
      </c>
      <c r="AQ5" s="5" t="str">
        <f ca="1">IF(TEXT(Demand!D14,"MMM")&lt;&gt;TEXT(Demand!D13,"MMM"),TEXT(Demand!D14,"MMM"),"")</f>
        <v/>
      </c>
      <c r="AT5" s="5">
        <f ca="1">IF(OR(AL5="",AL4=""),"",ABS(AL5-AL4))</f>
        <v>0</v>
      </c>
      <c r="AV5" s="5" t="s">
        <v>70</v>
      </c>
      <c r="AW5" s="44">
        <f ca="1">AW4/1.128</f>
        <v>0</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0</v>
      </c>
      <c r="BS5">
        <f ca="1">IF($AN5="",OFFSET(Demand!$A$13,ROW(C2)-1,4+((QUOTIENT(COLUMN(BS$2)-69,3))*5)+MOD(COLUMN(BS$2),3),1,1),"")</f>
        <v>0</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22</v>
      </c>
      <c r="DN5" s="317">
        <f>DN4+7</f>
        <v>43976</v>
      </c>
      <c r="DO5" s="5" t="e">
        <f ca="1">VLOOKUP(IF($DM5&lt;53,$DM5,52),'Summary Calculations (hide)'!$D$15:$F$67,2,0)</f>
        <v>#N/A</v>
      </c>
      <c r="DP5" s="5" t="e">
        <f ca="1">VLOOKUP(IF($DM5&lt;53,$DM5,52),'Summary Calculations (hide)'!$D$15:$F$67,3,0)</f>
        <v>#N/A</v>
      </c>
      <c r="DQ5" s="5">
        <f>IF(AND(DN5&gt;='Demand adjustments for Covid'!$F$12,DN5&lt;'Demand adjustments for Covid'!$F$17),'Demand adjustments for Covid'!$F$13,DO5)</f>
        <v>200</v>
      </c>
      <c r="DR5" s="5">
        <f t="shared" si="7"/>
        <v>0</v>
      </c>
      <c r="DS5" s="5" t="e">
        <f ca="1">IF('Demand adjustments for Covid'!$F$9="Yes",IF(DR5=0,DQ5,((SUM(DR$4:DR5)-1)*$EE$8)+'Demand adjustments for Covid'!F$13),'Demand background (hide)'!DO5)</f>
        <v>#N/A</v>
      </c>
      <c r="DT5" s="5" t="e">
        <f ca="1">IF('Demand adjustments for Covid'!$F$9="Yes",IF(OR(AND(DN5&gt;='Demand adjustments for Covid'!$F$12,DN5&lt;'Demand adjustments for Covid'!$F$17),DR5=1),DS5+3,DP5),'Demand background (hide)'!DP5)</f>
        <v>#N/A</v>
      </c>
      <c r="DU5" s="5" t="e">
        <f ca="1">IF(DS5&lt;='Demand adjustments for Covid'!$F$17,DO5-DS5,0)</f>
        <v>#N/A</v>
      </c>
      <c r="DV5" s="5">
        <f ca="1">IF(AND(ROW(A2)&gt;$EE$5,ROW(A2)&lt;=$EA$5),OFFSET('Demand adjustments for Covid'!$F$35,0,ROW(A2)-'Demand background (hide)'!$EE$5,1,1),0)</f>
        <v>0</v>
      </c>
      <c r="DW5" s="5">
        <f ca="1">IF(AND(ROW(A2)&gt;$EE$5,ROW(A2)&lt;=$EA$5),OFFSET('Demand adjustments for Covid'!$F$36,0,ROW(A2)-'Demand background (hide)'!$EE$5,1,1),0)</f>
        <v>0</v>
      </c>
      <c r="DX5" s="5" t="e">
        <f t="shared" ref="DX5:DX55" ca="1" si="11">SUM(DV5:DW5,DT5)</f>
        <v>#N/A</v>
      </c>
      <c r="DZ5" s="5" t="s">
        <v>1226</v>
      </c>
      <c r="EA5" s="5">
        <f>MATCH('Demand adjustments for Covid'!F17,'Demand background (hide)'!DN4:DN55,0)+'Demand adjustments for Covid'!F18+12</f>
        <v>39</v>
      </c>
      <c r="ED5" s="5" t="s">
        <v>1194</v>
      </c>
      <c r="EE5" s="5">
        <f>EE4+'Demand adjustments for Covid'!$F$18</f>
        <v>27</v>
      </c>
    </row>
    <row r="6" spans="1:135" s="5" customFormat="1" x14ac:dyDescent="0.2">
      <c r="A6" s="5">
        <f t="shared" ca="1" si="3"/>
        <v>1</v>
      </c>
      <c r="B6" s="5">
        <f ca="1">COUNTBLANK(OFFSET(Demand!$I15,0,(COLUMN(A3)-1)*5,1,1))</f>
        <v>1</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0</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0</v>
      </c>
      <c r="Y6" s="5">
        <f t="shared" ca="1" si="5"/>
        <v>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0</v>
      </c>
      <c r="AM6" s="5">
        <f t="shared" ca="1" si="9"/>
        <v>0</v>
      </c>
      <c r="AN6" s="5" t="str">
        <f>IF(Demand!BE15="Yes","Yes","")</f>
        <v/>
      </c>
      <c r="AP6" s="36" t="str">
        <f ca="1">Demand!B15</f>
        <v xml:space="preserve"> </v>
      </c>
      <c r="AQ6" s="5" t="str">
        <f ca="1">IF(TEXT(Demand!D15,"MMM")&lt;&gt;TEXT(Demand!D14,"MMM"),TEXT(Demand!D15,"MMM"),"")</f>
        <v/>
      </c>
      <c r="AT6" s="5">
        <f t="shared" ref="AT6:AT69" ca="1" si="12">IF(OR(AL6="",AL5=""),"",ABS(AL6-AL5))</f>
        <v>0</v>
      </c>
      <c r="AV6" s="5" t="s">
        <v>137</v>
      </c>
      <c r="AW6" s="44">
        <f ca="1">PERCENTILE(OFFSET(AL$4,'SPC background (hide)'!$C$4-1,0,'SPC background (hide)'!$H$5,1),'Control sheet (hide)'!$I$9)</f>
        <v>0</v>
      </c>
      <c r="AX6" s="5">
        <f ca="1">PERCENTILE(OFFSET(AM$4,'SPC background (hide)'!$C$4-1,0,'SPC background (hide)'!$H$5,1),'Control sheet (hide)'!$I$9)</f>
        <v>0</v>
      </c>
      <c r="BB6" t="str">
        <f>'Control sheet (hide)'!AA3</f>
        <v>Test name 1</v>
      </c>
      <c r="BC6" s="46" t="str">
        <f t="shared" ref="BC6:BC15" ca="1" si="13">IFERROR(IF(ROW(A1)&lt;=Num_Modalities,BJ6/$BM6,""),"")</f>
        <v/>
      </c>
      <c r="BD6" s="46" t="str">
        <f t="shared" ref="BD6:BD15" ca="1" si="14">IFERROR(IF(ROW(B1)&lt;=Num_Modalities,BK6/$BM6,""),"")</f>
        <v/>
      </c>
      <c r="BE6" s="46" t="str">
        <f t="shared" ref="BE6:BE15" ca="1" si="15">IFERROR(IF(ROW(C1)&lt;=Num_Modalities,BL6/$BM6,""),"")</f>
        <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0</v>
      </c>
      <c r="BI6" s="5">
        <f ca="1">SUM(BF6:BH6)</f>
        <v>0</v>
      </c>
      <c r="BJ6" s="5">
        <f ca="1">BF6*OFFSET($N$2,0,ROW(A1)-1,1,1)</f>
        <v>0</v>
      </c>
      <c r="BK6" s="5">
        <f t="shared" ref="BK6:BL6" ca="1" si="16">BG6*OFFSET($N$2,0,ROW(B1)-1,1,1)</f>
        <v>0</v>
      </c>
      <c r="BL6" s="5">
        <f t="shared" ca="1" si="16"/>
        <v>0</v>
      </c>
      <c r="BM6" s="5">
        <f ca="1">SUM(BJ6:BL6)</f>
        <v>0</v>
      </c>
      <c r="BN6" s="5">
        <f ca="1">OFFSET($N$2,0,ROW(A1)-1,1,1)</f>
        <v>30</v>
      </c>
      <c r="BO6" s="84" t="e">
        <f ca="1">BM6/$BM$16</f>
        <v>#DIV/0!</v>
      </c>
      <c r="BQ6">
        <f ca="1">IF($AN6="",OFFSET(Demand!$A$13,ROW(A3)-1,4+((QUOTIENT(COLUMN(BQ$2)-69,3))*5)+MOD(COLUMN(BQ$2),3),1,1),"")</f>
        <v>0</v>
      </c>
      <c r="BR6">
        <f ca="1">IF($AN6="",OFFSET(Demand!$A$13,ROW(B3)-1,4+((QUOTIENT(COLUMN(BR$2)-69,3))*5)+MOD(COLUMN(BR$2),3),1,1),"")</f>
        <v>0</v>
      </c>
      <c r="BS6">
        <f ca="1">IF($AN6="",OFFSET(Demand!$A$13,ROW(C3)-1,4+((QUOTIENT(COLUMN(BS$2)-69,3))*5)+MOD(COLUMN(BS$2),3),1,1),"")</f>
        <v>0</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23</v>
      </c>
      <c r="DN6" s="317">
        <f t="shared" ref="DN6:DN56" si="17">DN5+7</f>
        <v>43983</v>
      </c>
      <c r="DO6" s="5" t="e">
        <f ca="1">VLOOKUP(IF($DM6&lt;53,$DM6,52),'Summary Calculations (hide)'!$D$15:$F$67,2,0)</f>
        <v>#N/A</v>
      </c>
      <c r="DP6" s="5" t="e">
        <f ca="1">VLOOKUP(IF($DM6&lt;53,$DM6,52),'Summary Calculations (hide)'!$D$15:$F$67,3,0)</f>
        <v>#N/A</v>
      </c>
      <c r="DQ6" s="5">
        <f>IF(AND(DN6&gt;='Demand adjustments for Covid'!$F$12,DN6&lt;'Demand adjustments for Covid'!$F$17),'Demand adjustments for Covid'!$F$13,DO6)</f>
        <v>200</v>
      </c>
      <c r="DR6" s="5">
        <f t="shared" si="7"/>
        <v>0</v>
      </c>
      <c r="DS6" s="5" t="e">
        <f ca="1">IF('Demand adjustments for Covid'!$F$9="Yes",IF(DR6=0,DQ6,((SUM(DR$4:DR6)-1)*$EE$8)+'Demand adjustments for Covid'!F$13),'Demand background (hide)'!DO6)</f>
        <v>#N/A</v>
      </c>
      <c r="DT6" s="5" t="e">
        <f ca="1">IF('Demand adjustments for Covid'!$F$9="Yes",IF(OR(AND(DN6&gt;='Demand adjustments for Covid'!$F$12,DN6&lt;'Demand adjustments for Covid'!$F$17),DR6=1),DS6+3,DP6),'Demand background (hide)'!DP6)</f>
        <v>#N/A</v>
      </c>
      <c r="DU6" s="5" t="e">
        <f ca="1">IF(DS6&lt;='Demand adjustments for Covid'!$F$17,DO6-DS6,0)</f>
        <v>#N/A</v>
      </c>
      <c r="DV6" s="5">
        <f ca="1">IF(AND(ROW(A3)&gt;$EE$5,ROW(A3)&lt;=$EA$5),OFFSET('Demand adjustments for Covid'!$F$35,0,ROW(A3)-'Demand background (hide)'!$EE$5,1,1),0)</f>
        <v>0</v>
      </c>
      <c r="DW6" s="5">
        <f ca="1">IF(AND(ROW(A3)&gt;$EE$5,ROW(A3)&lt;=$EA$5),OFFSET('Demand adjustments for Covid'!$F$36,0,ROW(A3)-'Demand background (hide)'!$EE$5,1,1),0)</f>
        <v>0</v>
      </c>
      <c r="DX6" s="5" t="e">
        <f t="shared" ca="1" si="11"/>
        <v>#N/A</v>
      </c>
      <c r="EA6" s="317"/>
    </row>
    <row r="7" spans="1:135" s="5" customFormat="1" x14ac:dyDescent="0.2">
      <c r="A7" s="5">
        <f t="shared" ca="1" si="3"/>
        <v>1</v>
      </c>
      <c r="B7" s="5">
        <f ca="1">COUNTBLANK(OFFSET(Demand!$I16,0,(COLUMN(A4)-1)*5,1,1))</f>
        <v>1</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0</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0</v>
      </c>
      <c r="Y7" s="5">
        <f t="shared" ca="1" si="5"/>
        <v>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0</v>
      </c>
      <c r="AM7" s="5">
        <f t="shared" ca="1" si="9"/>
        <v>0</v>
      </c>
      <c r="AN7" s="5" t="str">
        <f>IF(Demand!BE16="Yes","Yes","")</f>
        <v/>
      </c>
      <c r="AP7" s="36" t="str">
        <f ca="1">Demand!B16</f>
        <v xml:space="preserve"> </v>
      </c>
      <c r="AQ7" s="5" t="str">
        <f ca="1">IF(TEXT(Demand!D16,"MMM")&lt;&gt;TEXT(Demand!D15,"MMM"),TEXT(Demand!D16,"MMM"),"")</f>
        <v/>
      </c>
      <c r="AT7" s="5">
        <f t="shared" ca="1" si="12"/>
        <v>0</v>
      </c>
      <c r="AV7" s="5" t="s">
        <v>138</v>
      </c>
      <c r="AW7" s="44">
        <f ca="1">PERCENTILE(OFFSET(AL$4,'SPC background (hide)'!$C$4-1,0,'SPC background (hide)'!$H$5,1),'Control sheet (hide)'!$I$10)</f>
        <v>0</v>
      </c>
      <c r="AX7" s="5">
        <f ca="1">PERCENTILE(OFFSET(AM$4,'SPC background (hide)'!$C$4-1,0,'SPC background (hide)'!$H$5,1),'Control sheet (hide)'!$I$10)</f>
        <v>0</v>
      </c>
      <c r="BB7" t="str">
        <f>'Control sheet (hide)'!AA4</f>
        <v>Test name 2</v>
      </c>
      <c r="BC7" s="46" t="str">
        <f t="shared" si="13"/>
        <v/>
      </c>
      <c r="BD7" s="46" t="str">
        <f t="shared" si="14"/>
        <v/>
      </c>
      <c r="BE7" s="46" t="str">
        <f t="shared" si="15"/>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8">SUM(BF7:BH7)</f>
        <v>0</v>
      </c>
      <c r="BJ7" s="5">
        <f t="shared" ref="BJ7:BL7" ca="1" si="19">BF7*OFFSET($N$2,0,ROW(A2)-1,1,1)</f>
        <v>0</v>
      </c>
      <c r="BK7" s="5">
        <f t="shared" ca="1" si="19"/>
        <v>0</v>
      </c>
      <c r="BL7" s="5">
        <f t="shared" ca="1" si="19"/>
        <v>0</v>
      </c>
      <c r="BM7" s="5">
        <f t="shared" ref="BM7:BM15" ca="1" si="20">SUM(BJ7:BL7)</f>
        <v>0</v>
      </c>
      <c r="BN7" s="5">
        <f t="shared" ref="BN7:BN15" ca="1" si="21">OFFSET($N$2,0,ROW(A2)-1,1,1)</f>
        <v>40</v>
      </c>
      <c r="BO7" s="84" t="e">
        <f t="shared" ref="BO7:BO15" ca="1" si="22">BM7/$BM$16</f>
        <v>#DIV/0!</v>
      </c>
      <c r="BQ7">
        <f ca="1">IF($AN7="",OFFSET(Demand!$A$13,ROW(A4)-1,4+((QUOTIENT(COLUMN(BQ$2)-69,3))*5)+MOD(COLUMN(BQ$2),3),1,1),"")</f>
        <v>0</v>
      </c>
      <c r="BR7">
        <f ca="1">IF($AN7="",OFFSET(Demand!$A$13,ROW(B4)-1,4+((QUOTIENT(COLUMN(BR$2)-69,3))*5)+MOD(COLUMN(BR$2),3),1,1),"")</f>
        <v>0</v>
      </c>
      <c r="BS7">
        <f ca="1">IF($AN7="",OFFSET(Demand!$A$13,ROW(C4)-1,4+((QUOTIENT(COLUMN(BS$2)-69,3))*5)+MOD(COLUMN(BS$2),3),1,1),"")</f>
        <v>0</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24</v>
      </c>
      <c r="DN7" s="317">
        <f t="shared" si="17"/>
        <v>43990</v>
      </c>
      <c r="DO7" s="5" t="e">
        <f ca="1">VLOOKUP(IF($DM7&lt;53,$DM7,52),'Summary Calculations (hide)'!$D$15:$F$67,2,0)</f>
        <v>#N/A</v>
      </c>
      <c r="DP7" s="5" t="e">
        <f ca="1">VLOOKUP(IF($DM7&lt;53,$DM7,52),'Summary Calculations (hide)'!$D$15:$F$67,3,0)</f>
        <v>#N/A</v>
      </c>
      <c r="DQ7" s="5">
        <f>IF(AND(DN7&gt;='Demand adjustments for Covid'!$F$12,DN7&lt;'Demand adjustments for Covid'!$F$17),'Demand adjustments for Covid'!$F$13,DO7)</f>
        <v>200</v>
      </c>
      <c r="DR7" s="5">
        <f t="shared" si="7"/>
        <v>0</v>
      </c>
      <c r="DS7" s="5" t="e">
        <f ca="1">IF('Demand adjustments for Covid'!$F$9="Yes",IF(DR7=0,DQ7,((SUM(DR$4:DR7)-1)*$EE$8)+'Demand adjustments for Covid'!F$13),'Demand background (hide)'!DO7)</f>
        <v>#N/A</v>
      </c>
      <c r="DT7" s="5" t="e">
        <f ca="1">IF('Demand adjustments for Covid'!$F$9="Yes",IF(OR(AND(DN7&gt;='Demand adjustments for Covid'!$F$12,DN7&lt;'Demand adjustments for Covid'!$F$17),DR7=1),DS7+3,DP7),'Demand background (hide)'!DP7)</f>
        <v>#N/A</v>
      </c>
      <c r="DU7" s="5" t="e">
        <f ca="1">IF(DS7&lt;='Demand adjustments for Covid'!$F$17,DO7-DS7,0)</f>
        <v>#N/A</v>
      </c>
      <c r="DV7" s="5">
        <f ca="1">IF(AND(ROW(A4)&gt;$EE$5,ROW(A4)&lt;=$EA$5),OFFSET('Demand adjustments for Covid'!$F$35,0,ROW(A4)-'Demand background (hide)'!$EE$5,1,1),0)</f>
        <v>0</v>
      </c>
      <c r="DW7" s="5">
        <f ca="1">IF(AND(ROW(A4)&gt;$EE$5,ROW(A4)&lt;=$EA$5),OFFSET('Demand adjustments for Covid'!$F$36,0,ROW(A4)-'Demand background (hide)'!$EE$5,1,1),0)</f>
        <v>0</v>
      </c>
      <c r="DX7" s="5" t="e">
        <f t="shared" ca="1" si="11"/>
        <v>#N/A</v>
      </c>
      <c r="ED7" s="5" t="s">
        <v>1196</v>
      </c>
      <c r="EE7" s="5" t="e">
        <f ca="1">INDEX($DO$4:$DO$55,EE5)</f>
        <v>#N/A</v>
      </c>
    </row>
    <row r="8" spans="1:135" s="5" customFormat="1" x14ac:dyDescent="0.2">
      <c r="A8" s="5">
        <f t="shared" ca="1" si="3"/>
        <v>1</v>
      </c>
      <c r="B8" s="5">
        <f ca="1">COUNTBLANK(OFFSET(Demand!$I17,0,(COLUMN(A5)-1)*5,1,1))</f>
        <v>1</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0</v>
      </c>
      <c r="Y8" s="5">
        <f t="shared" ca="1" si="5"/>
        <v>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0</v>
      </c>
      <c r="AM8" s="5">
        <f t="shared" ca="1" si="9"/>
        <v>0</v>
      </c>
      <c r="AN8" s="5" t="str">
        <f>IF(Demand!BE17="Yes","Yes","")</f>
        <v/>
      </c>
      <c r="AP8" s="36" t="str">
        <f ca="1">Demand!B17</f>
        <v xml:space="preserve"> </v>
      </c>
      <c r="AQ8" s="5" t="str">
        <f ca="1">IF(TEXT(Demand!D17,"MMM")&lt;&gt;TEXT(Demand!D16,"MMM"),TEXT(Demand!D17,"MMM"),"")</f>
        <v/>
      </c>
      <c r="AT8" s="5">
        <f t="shared" ca="1" si="12"/>
        <v>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t="e">
        <f t="shared" ca="1" si="22"/>
        <v>#DIV/0!</v>
      </c>
      <c r="BQ8">
        <f ca="1">IF($AN8="",OFFSET(Demand!$A$13,ROW(A5)-1,4+((QUOTIENT(COLUMN(BQ$2)-69,3))*5)+MOD(COLUMN(BQ$2),3),1,1),"")</f>
        <v>0</v>
      </c>
      <c r="BR8">
        <f ca="1">IF($AN8="",OFFSET(Demand!$A$13,ROW(B5)-1,4+((QUOTIENT(COLUMN(BR$2)-69,3))*5)+MOD(COLUMN(BR$2),3),1,1),"")</f>
        <v>0</v>
      </c>
      <c r="BS8">
        <f ca="1">IF($AN8="",OFFSET(Demand!$A$13,ROW(C5)-1,4+((QUOTIENT(COLUMN(BS$2)-69,3))*5)+MOD(COLUMN(BS$2),3),1,1),"")</f>
        <v>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25</v>
      </c>
      <c r="DN8" s="317">
        <f t="shared" si="17"/>
        <v>43997</v>
      </c>
      <c r="DO8" s="5" t="e">
        <f ca="1">VLOOKUP(IF($DM8&lt;53,$DM8,52),'Summary Calculations (hide)'!$D$15:$F$67,2,0)</f>
        <v>#N/A</v>
      </c>
      <c r="DP8" s="5" t="e">
        <f ca="1">VLOOKUP(IF($DM8&lt;53,$DM8,52),'Summary Calculations (hide)'!$D$15:$F$67,3,0)</f>
        <v>#N/A</v>
      </c>
      <c r="DQ8" s="5">
        <f>IF(AND(DN8&gt;='Demand adjustments for Covid'!$F$12,DN8&lt;'Demand adjustments for Covid'!$F$17),'Demand adjustments for Covid'!$F$13,DO8)</f>
        <v>200</v>
      </c>
      <c r="DR8" s="5">
        <f t="shared" si="7"/>
        <v>0</v>
      </c>
      <c r="DS8" s="5" t="e">
        <f ca="1">IF('Demand adjustments for Covid'!$F$9="Yes",IF(DR8=0,DQ8,((SUM(DR$4:DR8)-1)*$EE$8)+'Demand adjustments for Covid'!F$13),'Demand background (hide)'!DO8)</f>
        <v>#N/A</v>
      </c>
      <c r="DT8" s="5" t="e">
        <f ca="1">IF('Demand adjustments for Covid'!$F$9="Yes",IF(OR(AND(DN8&gt;='Demand adjustments for Covid'!$F$12,DN8&lt;'Demand adjustments for Covid'!$F$17),DR8=1),DS8+3,DP8),'Demand background (hide)'!DP8)</f>
        <v>#N/A</v>
      </c>
      <c r="DU8" s="5" t="e">
        <f ca="1">IF(DS8&lt;='Demand adjustments for Covid'!$F$17,DO8-DS8,0)</f>
        <v>#N/A</v>
      </c>
      <c r="DV8" s="5">
        <f ca="1">IF(AND(ROW(A5)&gt;$EE$5,ROW(A5)&lt;=$EA$5),OFFSET('Demand adjustments for Covid'!$F$35,0,ROW(A5)-'Demand background (hide)'!$EE$5,1,1),0)</f>
        <v>0</v>
      </c>
      <c r="DW8" s="5">
        <f ca="1">IF(AND(ROW(A5)&gt;$EE$5,ROW(A5)&lt;=$EA$5),OFFSET('Demand adjustments for Covid'!$F$36,0,ROW(A5)-'Demand background (hide)'!$EE$5,1,1),0)</f>
        <v>0</v>
      </c>
      <c r="DX8" s="5" t="e">
        <f t="shared" ca="1" si="11"/>
        <v>#N/A</v>
      </c>
      <c r="ED8" s="5" t="s">
        <v>1197</v>
      </c>
      <c r="EE8" s="5" t="e">
        <f ca="1">IF('Demand adjustments for Covid'!F18&gt;0,(EE7-'Demand adjustments for Covid'!F13)/'Demand adjustments for Covid'!F18,0)</f>
        <v>#N/A</v>
      </c>
    </row>
    <row r="9" spans="1:135" s="5" customFormat="1" x14ac:dyDescent="0.2">
      <c r="A9" s="5">
        <f t="shared" ca="1" si="3"/>
        <v>1</v>
      </c>
      <c r="B9" s="5">
        <f ca="1">COUNTBLANK(OFFSET(Demand!$I18,0,(COLUMN(A6)-1)*5,1,1))</f>
        <v>1</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0</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0</v>
      </c>
      <c r="Y9" s="5">
        <f t="shared" ca="1" si="5"/>
        <v>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0</v>
      </c>
      <c r="AM9" s="5">
        <f t="shared" ca="1" si="9"/>
        <v>0</v>
      </c>
      <c r="AN9" s="5" t="str">
        <f>IF(Demand!BE18="Yes","Yes","")</f>
        <v/>
      </c>
      <c r="AP9" s="36" t="str">
        <f ca="1">Demand!B18</f>
        <v xml:space="preserve"> </v>
      </c>
      <c r="AQ9" s="5" t="str">
        <f ca="1">IF(TEXT(Demand!D18,"MMM")&lt;&gt;TEXT(Demand!D17,"MMM"),TEXT(Demand!D18,"MMM"),"")</f>
        <v/>
      </c>
      <c r="AT9" s="5">
        <f t="shared" ca="1" si="12"/>
        <v>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t="e">
        <f t="shared" ca="1" si="22"/>
        <v>#DIV/0!</v>
      </c>
      <c r="BQ9">
        <f ca="1">IF($AN9="",OFFSET(Demand!$A$13,ROW(A6)-1,4+((QUOTIENT(COLUMN(BQ$2)-69,3))*5)+MOD(COLUMN(BQ$2),3),1,1),"")</f>
        <v>0</v>
      </c>
      <c r="BR9">
        <f ca="1">IF($AN9="",OFFSET(Demand!$A$13,ROW(B6)-1,4+((QUOTIENT(COLUMN(BR$2)-69,3))*5)+MOD(COLUMN(BR$2),3),1,1),"")</f>
        <v>0</v>
      </c>
      <c r="BS9">
        <f ca="1">IF($AN9="",OFFSET(Demand!$A$13,ROW(C6)-1,4+((QUOTIENT(COLUMN(BS$2)-69,3))*5)+MOD(COLUMN(BS$2),3),1,1),"")</f>
        <v>0</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26</v>
      </c>
      <c r="DN9" s="317">
        <f t="shared" si="17"/>
        <v>44004</v>
      </c>
      <c r="DO9" s="5" t="e">
        <f ca="1">VLOOKUP(IF($DM9&lt;53,$DM9,52),'Summary Calculations (hide)'!$D$15:$F$67,2,0)</f>
        <v>#N/A</v>
      </c>
      <c r="DP9" s="5" t="e">
        <f ca="1">VLOOKUP(IF($DM9&lt;53,$DM9,52),'Summary Calculations (hide)'!$D$15:$F$67,3,0)</f>
        <v>#N/A</v>
      </c>
      <c r="DQ9" s="5">
        <f>IF(AND(DN9&gt;='Demand adjustments for Covid'!$F$12,DN9&lt;'Demand adjustments for Covid'!$F$17),'Demand adjustments for Covid'!$F$13,DO9)</f>
        <v>200</v>
      </c>
      <c r="DR9" s="5">
        <f t="shared" si="7"/>
        <v>0</v>
      </c>
      <c r="DS9" s="5" t="e">
        <f ca="1">IF('Demand adjustments for Covid'!$F$9="Yes",IF(DR9=0,DQ9,((SUM(DR$4:DR9)-1)*$EE$8)+'Demand adjustments for Covid'!F$13),'Demand background (hide)'!DO9)</f>
        <v>#N/A</v>
      </c>
      <c r="DT9" s="5" t="e">
        <f ca="1">IF('Demand adjustments for Covid'!$F$9="Yes",IF(OR(AND(DN9&gt;='Demand adjustments for Covid'!$F$12,DN9&lt;'Demand adjustments for Covid'!$F$17),DR9=1),DS9+3,DP9),'Demand background (hide)'!DP9)</f>
        <v>#N/A</v>
      </c>
      <c r="DU9" s="5" t="e">
        <f ca="1">IF(DS9&lt;='Demand adjustments for Covid'!$F$17,DO9-DS9,0)</f>
        <v>#N/A</v>
      </c>
      <c r="DV9" s="5">
        <f ca="1">IF(AND(ROW(A6)&gt;$EE$5,ROW(A6)&lt;=$EA$5),OFFSET('Demand adjustments for Covid'!$F$35,0,ROW(A6)-'Demand background (hide)'!$EE$5,1,1),0)</f>
        <v>0</v>
      </c>
      <c r="DW9" s="5">
        <f ca="1">IF(AND(ROW(A6)&gt;$EE$5,ROW(A6)&lt;=$EA$5),OFFSET('Demand adjustments for Covid'!$F$36,0,ROW(A6)-'Demand background (hide)'!$EE$5,1,1),0)</f>
        <v>0</v>
      </c>
      <c r="DX9" s="5" t="e">
        <f t="shared" ca="1" si="11"/>
        <v>#N/A</v>
      </c>
    </row>
    <row r="10" spans="1:135" s="5" customFormat="1" x14ac:dyDescent="0.2">
      <c r="A10" s="5">
        <f t="shared" ca="1" si="3"/>
        <v>1</v>
      </c>
      <c r="B10" s="5">
        <f ca="1">COUNTBLANK(OFFSET(Demand!$I19,0,(COLUMN(A7)-1)*5,1,1))</f>
        <v>1</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0</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0</v>
      </c>
      <c r="Y10" s="5">
        <f t="shared" ca="1" si="5"/>
        <v>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0</v>
      </c>
      <c r="AM10" s="5">
        <f t="shared" ca="1" si="9"/>
        <v>0</v>
      </c>
      <c r="AN10" s="5" t="str">
        <f>IF(Demand!BE19="Yes","Yes","")</f>
        <v/>
      </c>
      <c r="AP10" s="36" t="str">
        <f ca="1">Demand!B19</f>
        <v xml:space="preserve"> </v>
      </c>
      <c r="AQ10" s="5" t="str">
        <f ca="1">IF(TEXT(Demand!D19,"MMM")&lt;&gt;TEXT(Demand!D18,"MMM"),TEXT(Demand!D19,"MMM"),"")</f>
        <v/>
      </c>
      <c r="AT10" s="5">
        <f t="shared" ca="1" si="12"/>
        <v>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t="e">
        <f t="shared" ca="1" si="22"/>
        <v>#DIV/0!</v>
      </c>
      <c r="BQ10">
        <f ca="1">IF($AN10="",OFFSET(Demand!$A$13,ROW(A7)-1,4+((QUOTIENT(COLUMN(BQ$2)-69,3))*5)+MOD(COLUMN(BQ$2),3),1,1),"")</f>
        <v>0</v>
      </c>
      <c r="BR10">
        <f ca="1">IF($AN10="",OFFSET(Demand!$A$13,ROW(B7)-1,4+((QUOTIENT(COLUMN(BR$2)-69,3))*5)+MOD(COLUMN(BR$2),3),1,1),"")</f>
        <v>0</v>
      </c>
      <c r="BS10">
        <f ca="1">IF($AN10="",OFFSET(Demand!$A$13,ROW(C7)-1,4+((QUOTIENT(COLUMN(BS$2)-69,3))*5)+MOD(COLUMN(BS$2),3),1,1),"")</f>
        <v>0</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27</v>
      </c>
      <c r="DN10" s="317">
        <f t="shared" si="17"/>
        <v>44011</v>
      </c>
      <c r="DO10" s="5" t="e">
        <f ca="1">VLOOKUP(IF($DM10&lt;53,$DM10,52),'Summary Calculations (hide)'!$D$15:$F$67,2,0)</f>
        <v>#N/A</v>
      </c>
      <c r="DP10" s="5" t="e">
        <f ca="1">VLOOKUP(IF($DM10&lt;53,$DM10,52),'Summary Calculations (hide)'!$D$15:$F$67,3,0)</f>
        <v>#N/A</v>
      </c>
      <c r="DQ10" s="5" t="e">
        <f ca="1">IF(AND(DN10&gt;='Demand adjustments for Covid'!$F$12,DN10&lt;'Demand adjustments for Covid'!$F$17),'Demand adjustments for Covid'!$F$13,DO10)</f>
        <v>#N/A</v>
      </c>
      <c r="DR10" s="5">
        <f t="shared" si="7"/>
        <v>1</v>
      </c>
      <c r="DS10" s="5" t="e">
        <f ca="1">IF('Demand adjustments for Covid'!$F$9="Yes",IF(DR10=0,DQ10,((SUM(DR$4:DR10)-1)*$EE$8)+'Demand adjustments for Covid'!F$13),'Demand background (hide)'!DO10)</f>
        <v>#N/A</v>
      </c>
      <c r="DT10" s="5" t="e">
        <f ca="1">IF('Demand adjustments for Covid'!$F$9="Yes",IF(OR(AND(DN10&gt;='Demand adjustments for Covid'!$F$12,DN10&lt;'Demand adjustments for Covid'!$F$17),DR10=1),DS10+3,DP10),'Demand background (hide)'!DP10)</f>
        <v>#N/A</v>
      </c>
      <c r="DU10" s="5" t="e">
        <f ca="1">IF(DS10&lt;='Demand adjustments for Covid'!$F$17,DO10-DS10,0)</f>
        <v>#N/A</v>
      </c>
      <c r="DV10" s="5">
        <f ca="1">IF(AND(ROW(A7)&gt;$EE$5,ROW(A7)&lt;=$EA$5),OFFSET('Demand adjustments for Covid'!$F$35,0,ROW(A7)-'Demand background (hide)'!$EE$5,1,1),0)</f>
        <v>0</v>
      </c>
      <c r="DW10" s="5">
        <f ca="1">IF(AND(ROW(A7)&gt;$EE$5,ROW(A7)&lt;=$EA$5),OFFSET('Demand adjustments for Covid'!$F$36,0,ROW(A7)-'Demand background (hide)'!$EE$5,1,1),0)</f>
        <v>0</v>
      </c>
      <c r="DX10" s="5" t="e">
        <f t="shared" ca="1" si="11"/>
        <v>#N/A</v>
      </c>
      <c r="ED10" s="5" t="s">
        <v>1200</v>
      </c>
      <c r="EE10" s="5" t="e">
        <f ca="1">SUM(DU4:DU55)</f>
        <v>#N/A</v>
      </c>
    </row>
    <row r="11" spans="1:135" s="5" customFormat="1" x14ac:dyDescent="0.2">
      <c r="A11" s="5">
        <f t="shared" ca="1" si="3"/>
        <v>1</v>
      </c>
      <c r="B11" s="5">
        <f ca="1">COUNTBLANK(OFFSET(Demand!$I20,0,(COLUMN(A8)-1)*5,1,1))</f>
        <v>1</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0</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0</v>
      </c>
      <c r="Y11" s="5">
        <f t="shared" ca="1" si="5"/>
        <v>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0</v>
      </c>
      <c r="AM11" s="5">
        <f t="shared" ca="1" si="9"/>
        <v>0</v>
      </c>
      <c r="AN11" s="5" t="str">
        <f>IF(Demand!BE20="Yes","Yes","")</f>
        <v/>
      </c>
      <c r="AP11" s="36" t="str">
        <f ca="1">Demand!B20</f>
        <v xml:space="preserve"> </v>
      </c>
      <c r="AQ11" s="5" t="str">
        <f ca="1">IF(TEXT(Demand!D20,"MMM")&lt;&gt;TEXT(Demand!D19,"MMM"),TEXT(Demand!D20,"MMM"),"")</f>
        <v/>
      </c>
      <c r="AT11" s="5">
        <f t="shared" ca="1" si="12"/>
        <v>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t="e">
        <f t="shared" ca="1" si="22"/>
        <v>#DIV/0!</v>
      </c>
      <c r="BQ11">
        <f ca="1">IF($AN11="",OFFSET(Demand!$A$13,ROW(A8)-1,4+((QUOTIENT(COLUMN(BQ$2)-69,3))*5)+MOD(COLUMN(BQ$2),3),1,1),"")</f>
        <v>0</v>
      </c>
      <c r="BR11">
        <f ca="1">IF($AN11="",OFFSET(Demand!$A$13,ROW(B8)-1,4+((QUOTIENT(COLUMN(BR$2)-69,3))*5)+MOD(COLUMN(BR$2),3),1,1),"")</f>
        <v>0</v>
      </c>
      <c r="BS11">
        <f ca="1">IF($AN11="",OFFSET(Demand!$A$13,ROW(C8)-1,4+((QUOTIENT(COLUMN(BS$2)-69,3))*5)+MOD(COLUMN(BS$2),3),1,1),"")</f>
        <v>0</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28</v>
      </c>
      <c r="DN11" s="317">
        <f t="shared" si="17"/>
        <v>44018</v>
      </c>
      <c r="DO11" s="5" t="e">
        <f ca="1">VLOOKUP(IF($DM11&lt;53,$DM11,52),'Summary Calculations (hide)'!$D$15:$F$67,2,0)</f>
        <v>#N/A</v>
      </c>
      <c r="DP11" s="5" t="e">
        <f ca="1">VLOOKUP(IF($DM11&lt;53,$DM11,52),'Summary Calculations (hide)'!$D$15:$F$67,3,0)</f>
        <v>#N/A</v>
      </c>
      <c r="DQ11" s="5" t="e">
        <f ca="1">IF(AND(DN11&gt;='Demand adjustments for Covid'!$F$12,DN11&lt;'Demand adjustments for Covid'!$F$17),'Demand adjustments for Covid'!$F$13,DO11)</f>
        <v>#N/A</v>
      </c>
      <c r="DR11" s="5">
        <f t="shared" si="7"/>
        <v>1</v>
      </c>
      <c r="DS11" s="5" t="e">
        <f ca="1">IF('Demand adjustments for Covid'!$F$9="Yes",IF(DR11=0,DQ11,((SUM(DR$4:DR11)-1)*$EE$8)+'Demand adjustments for Covid'!F$13),'Demand background (hide)'!DO11)</f>
        <v>#N/A</v>
      </c>
      <c r="DT11" s="5" t="e">
        <f ca="1">IF('Demand adjustments for Covid'!$F$9="Yes",IF(OR(AND(DN11&gt;='Demand adjustments for Covid'!$F$12,DN11&lt;'Demand adjustments for Covid'!$F$17),DR11=1),DS11+3,DP11),'Demand background (hide)'!DP11)</f>
        <v>#N/A</v>
      </c>
      <c r="DU11" s="5" t="e">
        <f ca="1">IF(DS11&lt;='Demand adjustments for Covid'!$F$17,DO11-DS11,0)</f>
        <v>#N/A</v>
      </c>
      <c r="DV11" s="5">
        <f ca="1">IF(AND(ROW(A8)&gt;$EE$5,ROW(A8)&lt;=$EA$5),OFFSET('Demand adjustments for Covid'!$F$35,0,ROW(A8)-'Demand background (hide)'!$EE$5,1,1),0)</f>
        <v>0</v>
      </c>
      <c r="DW11" s="5">
        <f ca="1">IF(AND(ROW(A8)&gt;$EE$5,ROW(A8)&lt;=$EA$5),OFFSET('Demand adjustments for Covid'!$F$36,0,ROW(A8)-'Demand background (hide)'!$EE$5,1,1),0)</f>
        <v>0</v>
      </c>
      <c r="DX11" s="5" t="e">
        <f t="shared" ca="1" si="11"/>
        <v>#N/A</v>
      </c>
    </row>
    <row r="12" spans="1:135" s="5" customFormat="1" x14ac:dyDescent="0.2">
      <c r="A12" s="5">
        <f t="shared" ca="1" si="3"/>
        <v>1</v>
      </c>
      <c r="B12" s="5">
        <f ca="1">COUNTBLANK(OFFSET(Demand!$I21,0,(COLUMN(A9)-1)*5,1,1))</f>
        <v>1</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0</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0</v>
      </c>
      <c r="Y12" s="5">
        <f t="shared" ca="1" si="5"/>
        <v>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0</v>
      </c>
      <c r="AM12" s="5">
        <f t="shared" ca="1" si="9"/>
        <v>0</v>
      </c>
      <c r="AN12" s="5" t="str">
        <f>IF(Demand!BE21="Yes","Yes","")</f>
        <v/>
      </c>
      <c r="AP12" s="36" t="str">
        <f ca="1">Demand!B21</f>
        <v xml:space="preserve"> </v>
      </c>
      <c r="AQ12" s="5" t="str">
        <f ca="1">IF(TEXT(Demand!D21,"MMM")&lt;&gt;TEXT(Demand!D20,"MMM"),TEXT(Demand!D21,"MMM"),"")</f>
        <v/>
      </c>
      <c r="AT12" s="5">
        <f t="shared" ca="1" si="12"/>
        <v>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t="e">
        <f t="shared" ca="1" si="22"/>
        <v>#DIV/0!</v>
      </c>
      <c r="BQ12">
        <f ca="1">IF($AN12="",OFFSET(Demand!$A$13,ROW(A9)-1,4+((QUOTIENT(COLUMN(BQ$2)-69,3))*5)+MOD(COLUMN(BQ$2),3),1,1),"")</f>
        <v>0</v>
      </c>
      <c r="BR12">
        <f ca="1">IF($AN12="",OFFSET(Demand!$A$13,ROW(B9)-1,4+((QUOTIENT(COLUMN(BR$2)-69,3))*5)+MOD(COLUMN(BR$2),3),1,1),"")</f>
        <v>0</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29</v>
      </c>
      <c r="DN12" s="317">
        <f t="shared" si="17"/>
        <v>44025</v>
      </c>
      <c r="DO12" s="5" t="e">
        <f ca="1">VLOOKUP(IF($DM12&lt;53,$DM12,52),'Summary Calculations (hide)'!$D$15:$F$67,2,0)</f>
        <v>#N/A</v>
      </c>
      <c r="DP12" s="5" t="e">
        <f ca="1">VLOOKUP(IF($DM12&lt;53,$DM12,52),'Summary Calculations (hide)'!$D$15:$F$67,3,0)</f>
        <v>#N/A</v>
      </c>
      <c r="DQ12" s="5" t="e">
        <f ca="1">IF(AND(DN12&gt;='Demand adjustments for Covid'!$F$12,DN12&lt;'Demand adjustments for Covid'!$F$17),'Demand adjustments for Covid'!$F$13,DO12)</f>
        <v>#N/A</v>
      </c>
      <c r="DR12" s="5">
        <f t="shared" si="7"/>
        <v>1</v>
      </c>
      <c r="DS12" s="5" t="e">
        <f ca="1">IF('Demand adjustments for Covid'!$F$9="Yes",IF(DR12=0,DQ12,((SUM(DR$4:DR12)-1)*$EE$8)+'Demand adjustments for Covid'!F$13),'Demand background (hide)'!DO12)</f>
        <v>#N/A</v>
      </c>
      <c r="DT12" s="5" t="e">
        <f ca="1">IF('Demand adjustments for Covid'!$F$9="Yes",IF(OR(AND(DN12&gt;='Demand adjustments for Covid'!$F$12,DN12&lt;'Demand adjustments for Covid'!$F$17),DR12=1),DS12+3,DP12),'Demand background (hide)'!DP12)</f>
        <v>#N/A</v>
      </c>
      <c r="DU12" s="5" t="e">
        <f ca="1">IF(DS12&lt;='Demand adjustments for Covid'!$F$17,DO12-DS12,0)</f>
        <v>#N/A</v>
      </c>
      <c r="DV12" s="5">
        <f ca="1">IF(AND(ROW(A9)&gt;$EE$5,ROW(A9)&lt;=$EA$5),OFFSET('Demand adjustments for Covid'!$F$35,0,ROW(A9)-'Demand background (hide)'!$EE$5,1,1),0)</f>
        <v>0</v>
      </c>
      <c r="DW12" s="5">
        <f ca="1">IF(AND(ROW(A9)&gt;$EE$5,ROW(A9)&lt;=$EA$5),OFFSET('Demand adjustments for Covid'!$F$36,0,ROW(A9)-'Demand background (hide)'!$EE$5,1,1),0)</f>
        <v>0</v>
      </c>
      <c r="DX12" s="5" t="e">
        <f t="shared" ca="1" si="11"/>
        <v>#N/A</v>
      </c>
    </row>
    <row r="13" spans="1:135" s="5" customFormat="1" x14ac:dyDescent="0.2">
      <c r="A13" s="5">
        <f t="shared" ca="1" si="3"/>
        <v>1</v>
      </c>
      <c r="B13" s="5">
        <f ca="1">COUNTBLANK(OFFSET(Demand!$I22,0,(COLUMN(A10)-1)*5,1,1))</f>
        <v>1</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0</v>
      </c>
      <c r="Y13" s="5">
        <f t="shared" ca="1" si="5"/>
        <v>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0</v>
      </c>
      <c r="AM13" s="5">
        <f t="shared" ca="1" si="9"/>
        <v>0</v>
      </c>
      <c r="AN13" s="5" t="str">
        <f>IF(Demand!BE22="Yes","Yes","")</f>
        <v/>
      </c>
      <c r="AP13" s="36" t="str">
        <f ca="1">Demand!B22</f>
        <v xml:space="preserve"> </v>
      </c>
      <c r="AQ13" s="5" t="str">
        <f ca="1">IF(TEXT(Demand!D22,"MMM")&lt;&gt;TEXT(Demand!D21,"MMM"),TEXT(Demand!D22,"MMM"),"")</f>
        <v/>
      </c>
      <c r="AT13" s="5">
        <f t="shared" ca="1" si="12"/>
        <v>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t="e">
        <f t="shared" ca="1" si="22"/>
        <v>#DIV/0!</v>
      </c>
      <c r="BQ13">
        <f ca="1">IF($AN13="",OFFSET(Demand!$A$13,ROW(A10)-1,4+((QUOTIENT(COLUMN(BQ$2)-69,3))*5)+MOD(COLUMN(BQ$2),3),1,1),"")</f>
        <v>0</v>
      </c>
      <c r="BR13">
        <f ca="1">IF($AN13="",OFFSET(Demand!$A$13,ROW(B10)-1,4+((QUOTIENT(COLUMN(BR$2)-69,3))*5)+MOD(COLUMN(BR$2),3),1,1),"")</f>
        <v>0</v>
      </c>
      <c r="BS13">
        <f ca="1">IF($AN13="",OFFSET(Demand!$A$13,ROW(C10)-1,4+((QUOTIENT(COLUMN(BS$2)-69,3))*5)+MOD(COLUMN(BS$2),3),1,1),"")</f>
        <v>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30</v>
      </c>
      <c r="DN13" s="317">
        <f t="shared" si="17"/>
        <v>44032</v>
      </c>
      <c r="DO13" s="5" t="e">
        <f ca="1">VLOOKUP(IF($DM13&lt;53,$DM13,52),'Summary Calculations (hide)'!$D$15:$F$67,2,0)</f>
        <v>#N/A</v>
      </c>
      <c r="DP13" s="5" t="e">
        <f ca="1">VLOOKUP(IF($DM13&lt;53,$DM13,52),'Summary Calculations (hide)'!$D$15:$F$67,3,0)</f>
        <v>#N/A</v>
      </c>
      <c r="DQ13" s="5" t="e">
        <f ca="1">IF(AND(DN13&gt;='Demand adjustments for Covid'!$F$12,DN13&lt;'Demand adjustments for Covid'!$F$17),'Demand adjustments for Covid'!$F$13,DO13)</f>
        <v>#N/A</v>
      </c>
      <c r="DR13" s="5">
        <f t="shared" si="7"/>
        <v>1</v>
      </c>
      <c r="DS13" s="5" t="e">
        <f ca="1">IF('Demand adjustments for Covid'!$F$9="Yes",IF(DR13=0,DQ13,((SUM(DR$4:DR13)-1)*$EE$8)+'Demand adjustments for Covid'!F$13),'Demand background (hide)'!DO13)</f>
        <v>#N/A</v>
      </c>
      <c r="DT13" s="5" t="e">
        <f ca="1">IF('Demand adjustments for Covid'!$F$9="Yes",IF(OR(AND(DN13&gt;='Demand adjustments for Covid'!$F$12,DN13&lt;'Demand adjustments for Covid'!$F$17),DR13=1),DS13+3,DP13),'Demand background (hide)'!DP13)</f>
        <v>#N/A</v>
      </c>
      <c r="DU13" s="5" t="e">
        <f ca="1">IF(DS13&lt;='Demand adjustments for Covid'!$F$17,DO13-DS13,0)</f>
        <v>#N/A</v>
      </c>
      <c r="DV13" s="5">
        <f ca="1">IF(AND(ROW(A10)&gt;$EE$5,ROW(A10)&lt;=$EA$5),OFFSET('Demand adjustments for Covid'!$F$35,0,ROW(A10)-'Demand background (hide)'!$EE$5,1,1),0)</f>
        <v>0</v>
      </c>
      <c r="DW13" s="5">
        <f ca="1">IF(AND(ROW(A10)&gt;$EE$5,ROW(A10)&lt;=$EA$5),OFFSET('Demand adjustments for Covid'!$F$36,0,ROW(A10)-'Demand background (hide)'!$EE$5,1,1),0)</f>
        <v>0</v>
      </c>
      <c r="DX13" s="5" t="e">
        <f t="shared" ca="1" si="11"/>
        <v>#N/A</v>
      </c>
    </row>
    <row r="14" spans="1:135" s="5" customFormat="1" x14ac:dyDescent="0.2">
      <c r="A14" s="5">
        <f t="shared" ca="1" si="3"/>
        <v>1</v>
      </c>
      <c r="B14" s="5">
        <f ca="1">COUNTBLANK(OFFSET(Demand!$I23,0,(COLUMN(A11)-1)*5,1,1))</f>
        <v>1</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0</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0</v>
      </c>
      <c r="Y14" s="5">
        <f t="shared" ca="1" si="5"/>
        <v>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0</v>
      </c>
      <c r="AM14" s="5">
        <f t="shared" ca="1" si="9"/>
        <v>0</v>
      </c>
      <c r="AN14" s="5" t="str">
        <f>IF(Demand!BE23="Yes","Yes","")</f>
        <v/>
      </c>
      <c r="AP14" s="36" t="str">
        <f ca="1">Demand!B23</f>
        <v xml:space="preserve"> </v>
      </c>
      <c r="AQ14" s="5" t="str">
        <f ca="1">IF(TEXT(Demand!D23,"MMM")&lt;&gt;TEXT(Demand!D22,"MMM"),TEXT(Demand!D23,"MMM"),"")</f>
        <v/>
      </c>
      <c r="AT14" s="5">
        <f t="shared" ca="1" si="12"/>
        <v>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t="e">
        <f t="shared" ca="1" si="22"/>
        <v>#DIV/0!</v>
      </c>
      <c r="BQ14">
        <f ca="1">IF($AN14="",OFFSET(Demand!$A$13,ROW(A11)-1,4+((QUOTIENT(COLUMN(BQ$2)-69,3))*5)+MOD(COLUMN(BQ$2),3),1,1),"")</f>
        <v>0</v>
      </c>
      <c r="BR14">
        <f ca="1">IF($AN14="",OFFSET(Demand!$A$13,ROW(B11)-1,4+((QUOTIENT(COLUMN(BR$2)-69,3))*5)+MOD(COLUMN(BR$2),3),1,1),"")</f>
        <v>0</v>
      </c>
      <c r="BS14">
        <f ca="1">IF($AN14="",OFFSET(Demand!$A$13,ROW(C11)-1,4+((QUOTIENT(COLUMN(BS$2)-69,3))*5)+MOD(COLUMN(BS$2),3),1,1),"")</f>
        <v>0</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31</v>
      </c>
      <c r="DN14" s="317">
        <f t="shared" si="17"/>
        <v>44039</v>
      </c>
      <c r="DO14" s="5" t="e">
        <f ca="1">VLOOKUP(IF($DM14&lt;53,$DM14,52),'Summary Calculations (hide)'!$D$15:$F$67,2,0)</f>
        <v>#N/A</v>
      </c>
      <c r="DP14" s="5" t="e">
        <f ca="1">VLOOKUP(IF($DM14&lt;53,$DM14,52),'Summary Calculations (hide)'!$D$15:$F$67,3,0)</f>
        <v>#N/A</v>
      </c>
      <c r="DQ14" s="5" t="e">
        <f ca="1">IF(AND(DN14&gt;='Demand adjustments for Covid'!$F$12,DN14&lt;'Demand adjustments for Covid'!$F$17),'Demand adjustments for Covid'!$F$13,DO14)</f>
        <v>#N/A</v>
      </c>
      <c r="DR14" s="5">
        <f t="shared" si="7"/>
        <v>1</v>
      </c>
      <c r="DS14" s="5" t="e">
        <f ca="1">IF('Demand adjustments for Covid'!$F$9="Yes",IF(DR14=0,DQ14,((SUM(DR$4:DR14)-1)*$EE$8)+'Demand adjustments for Covid'!F$13),'Demand background (hide)'!DO14)</f>
        <v>#N/A</v>
      </c>
      <c r="DT14" s="5" t="e">
        <f ca="1">IF('Demand adjustments for Covid'!$F$9="Yes",IF(OR(AND(DN14&gt;='Demand adjustments for Covid'!$F$12,DN14&lt;'Demand adjustments for Covid'!$F$17),DR14=1),DS14+3,DP14),'Demand background (hide)'!DP14)</f>
        <v>#N/A</v>
      </c>
      <c r="DU14" s="5" t="e">
        <f ca="1">IF(DS14&lt;='Demand adjustments for Covid'!$F$17,DO14-DS14,0)</f>
        <v>#N/A</v>
      </c>
      <c r="DV14" s="5">
        <f ca="1">IF(AND(ROW(A11)&gt;$EE$5,ROW(A11)&lt;=$EA$5),OFFSET('Demand adjustments for Covid'!$F$35,0,ROW(A11)-'Demand background (hide)'!$EE$5,1,1),0)</f>
        <v>0</v>
      </c>
      <c r="DW14" s="5">
        <f ca="1">IF(AND(ROW(A11)&gt;$EE$5,ROW(A11)&lt;=$EA$5),OFFSET('Demand adjustments for Covid'!$F$36,0,ROW(A11)-'Demand background (hide)'!$EE$5,1,1),0)</f>
        <v>0</v>
      </c>
      <c r="DX14" s="5" t="e">
        <f t="shared" ca="1" si="11"/>
        <v>#N/A</v>
      </c>
    </row>
    <row r="15" spans="1:135" s="5" customFormat="1" x14ac:dyDescent="0.2">
      <c r="A15" s="5">
        <f t="shared" ca="1" si="3"/>
        <v>1</v>
      </c>
      <c r="B15" s="5">
        <f ca="1">COUNTBLANK(OFFSET(Demand!$I24,0,(COLUMN(A12)-1)*5,1,1))</f>
        <v>1</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0</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0</v>
      </c>
      <c r="Y15" s="5">
        <f t="shared" ca="1" si="5"/>
        <v>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0</v>
      </c>
      <c r="AM15" s="5">
        <f t="shared" ca="1" si="9"/>
        <v>0</v>
      </c>
      <c r="AN15" s="5" t="str">
        <f>IF(Demand!BE24="Yes","Yes","")</f>
        <v/>
      </c>
      <c r="AP15" s="36" t="str">
        <f ca="1">Demand!B24</f>
        <v xml:space="preserve"> </v>
      </c>
      <c r="AQ15" s="5" t="str">
        <f ca="1">IF(TEXT(Demand!D24,"MMM")&lt;&gt;TEXT(Demand!D23,"MMM"),TEXT(Demand!D24,"MMM"),"")</f>
        <v/>
      </c>
      <c r="AT15" s="5">
        <f t="shared" ca="1" si="12"/>
        <v>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t="e">
        <f t="shared" ca="1" si="22"/>
        <v>#DIV/0!</v>
      </c>
      <c r="BQ15">
        <f ca="1">IF($AN15="",OFFSET(Demand!$A$13,ROW(A12)-1,4+((QUOTIENT(COLUMN(BQ$2)-69,3))*5)+MOD(COLUMN(BQ$2),3),1,1),"")</f>
        <v>0</v>
      </c>
      <c r="BR15">
        <f ca="1">IF($AN15="",OFFSET(Demand!$A$13,ROW(B12)-1,4+((QUOTIENT(COLUMN(BR$2)-69,3))*5)+MOD(COLUMN(BR$2),3),1,1),"")</f>
        <v>0</v>
      </c>
      <c r="BS15">
        <f ca="1">IF($AN15="",OFFSET(Demand!$A$13,ROW(C12)-1,4+((QUOTIENT(COLUMN(BS$2)-69,3))*5)+MOD(COLUMN(BS$2),3),1,1),"")</f>
        <v>0</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32</v>
      </c>
      <c r="DN15" s="317">
        <f t="shared" si="17"/>
        <v>44046</v>
      </c>
      <c r="DO15" s="5" t="e">
        <f ca="1">VLOOKUP(IF($DM15&lt;53,$DM15,52),'Summary Calculations (hide)'!$D$15:$F$67,2,0)</f>
        <v>#N/A</v>
      </c>
      <c r="DP15" s="5" t="e">
        <f ca="1">VLOOKUP(IF($DM15&lt;53,$DM15,52),'Summary Calculations (hide)'!$D$15:$F$67,3,0)</f>
        <v>#N/A</v>
      </c>
      <c r="DQ15" s="5" t="e">
        <f ca="1">IF(AND(DN15&gt;='Demand adjustments for Covid'!$F$12,DN15&lt;'Demand adjustments for Covid'!$F$17),'Demand adjustments for Covid'!$F$13,DO15)</f>
        <v>#N/A</v>
      </c>
      <c r="DR15" s="5">
        <f t="shared" si="7"/>
        <v>1</v>
      </c>
      <c r="DS15" s="5" t="e">
        <f ca="1">IF('Demand adjustments for Covid'!$F$9="Yes",IF(DR15=0,DQ15,((SUM(DR$4:DR15)-1)*$EE$8)+'Demand adjustments for Covid'!F$13),'Demand background (hide)'!DO15)</f>
        <v>#N/A</v>
      </c>
      <c r="DT15" s="5" t="e">
        <f ca="1">IF('Demand adjustments for Covid'!$F$9="Yes",IF(OR(AND(DN15&gt;='Demand adjustments for Covid'!$F$12,DN15&lt;'Demand adjustments for Covid'!$F$17),DR15=1),DS15+3,DP15),'Demand background (hide)'!DP15)</f>
        <v>#N/A</v>
      </c>
      <c r="DU15" s="5" t="e">
        <f ca="1">IF(DS15&lt;='Demand adjustments for Covid'!$F$17,DO15-DS15,0)</f>
        <v>#N/A</v>
      </c>
      <c r="DV15" s="5">
        <f ca="1">IF(AND(ROW(A12)&gt;$EE$5,ROW(A12)&lt;=$EA$5),OFFSET('Demand adjustments for Covid'!$F$35,0,ROW(A12)-'Demand background (hide)'!$EE$5,1,1),0)</f>
        <v>0</v>
      </c>
      <c r="DW15" s="5">
        <f ca="1">IF(AND(ROW(A12)&gt;$EE$5,ROW(A12)&lt;=$EA$5),OFFSET('Demand adjustments for Covid'!$F$36,0,ROW(A12)-'Demand background (hide)'!$EE$5,1,1),0)</f>
        <v>0</v>
      </c>
      <c r="DX15" s="5" t="e">
        <f t="shared" ca="1" si="11"/>
        <v>#N/A</v>
      </c>
    </row>
    <row r="16" spans="1:135" s="5" customFormat="1" x14ac:dyDescent="0.2">
      <c r="A16" s="5">
        <f t="shared" ca="1" si="3"/>
        <v>1</v>
      </c>
      <c r="B16" s="5">
        <f ca="1">COUNTBLANK(OFFSET(Demand!$I25,0,(COLUMN(A13)-1)*5,1,1))</f>
        <v>1</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0</v>
      </c>
      <c r="Y16" s="5">
        <f t="shared" ca="1" si="5"/>
        <v>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0</v>
      </c>
      <c r="AM16" s="5">
        <f t="shared" ca="1" si="9"/>
        <v>0</v>
      </c>
      <c r="AN16" s="5" t="str">
        <f>IF(Demand!BE25="Yes","Yes","")</f>
        <v/>
      </c>
      <c r="AP16" s="36" t="str">
        <f ca="1">Demand!B25</f>
        <v xml:space="preserve"> </v>
      </c>
      <c r="AQ16" s="5" t="str">
        <f ca="1">IF(TEXT(Demand!D25,"MMM")&lt;&gt;TEXT(Demand!D24,"MMM"),TEXT(Demand!D25,"MMM"),"")</f>
        <v/>
      </c>
      <c r="AT16" s="5">
        <f t="shared" ca="1" si="12"/>
        <v>0</v>
      </c>
      <c r="BB16" s="5" t="s">
        <v>24</v>
      </c>
      <c r="BC16" s="46" t="e">
        <f ca="1">BJ16/$BM16</f>
        <v>#DIV/0!</v>
      </c>
      <c r="BD16" s="46" t="e">
        <f ca="1">BK16/$BM16</f>
        <v>#DIV/0!</v>
      </c>
      <c r="BE16" s="46" t="e">
        <f ca="1">BL16/$BM16</f>
        <v>#DIV/0!</v>
      </c>
      <c r="BF16" s="5">
        <f t="shared" ref="BF16:BM16" ca="1" si="31">SUM(OFFSET(BF$6,0,0,Num_Modalities,1))</f>
        <v>0</v>
      </c>
      <c r="BG16" s="5">
        <f t="shared" ca="1" si="31"/>
        <v>0</v>
      </c>
      <c r="BH16" s="5">
        <f t="shared" ca="1" si="31"/>
        <v>0</v>
      </c>
      <c r="BI16" s="5">
        <f t="shared" ca="1" si="31"/>
        <v>0</v>
      </c>
      <c r="BJ16" s="5">
        <f t="shared" ca="1" si="31"/>
        <v>0</v>
      </c>
      <c r="BK16" s="5">
        <f t="shared" ca="1" si="31"/>
        <v>0</v>
      </c>
      <c r="BL16" s="5">
        <f t="shared" ca="1" si="31"/>
        <v>0</v>
      </c>
      <c r="BM16" s="5">
        <f t="shared" ca="1" si="31"/>
        <v>0</v>
      </c>
      <c r="BN16" s="5">
        <f ca="1">IF(BI16=0,1,BM16/BI16)</f>
        <v>1</v>
      </c>
      <c r="BQ16">
        <f ca="1">IF($AN16="",OFFSET(Demand!$A$13,ROW(A13)-1,4+((QUOTIENT(COLUMN(BQ$2)-69,3))*5)+MOD(COLUMN(BQ$2),3),1,1),"")</f>
        <v>0</v>
      </c>
      <c r="BR16">
        <f ca="1">IF($AN16="",OFFSET(Demand!$A$13,ROW(B13)-1,4+((QUOTIENT(COLUMN(BR$2)-69,3))*5)+MOD(COLUMN(BR$2),3),1,1),"")</f>
        <v>0</v>
      </c>
      <c r="BS16">
        <f ca="1">IF($AN16="",OFFSET(Demand!$A$13,ROW(C13)-1,4+((QUOTIENT(COLUMN(BS$2)-69,3))*5)+MOD(COLUMN(BS$2),3),1,1),"")</f>
        <v>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33</v>
      </c>
      <c r="DN16" s="317">
        <f t="shared" si="17"/>
        <v>44053</v>
      </c>
      <c r="DO16" s="5" t="e">
        <f ca="1">VLOOKUP(IF($DM16&lt;53,$DM16,52),'Summary Calculations (hide)'!$D$15:$F$67,2,0)</f>
        <v>#N/A</v>
      </c>
      <c r="DP16" s="5" t="e">
        <f ca="1">VLOOKUP(IF($DM16&lt;53,$DM16,52),'Summary Calculations (hide)'!$D$15:$F$67,3,0)</f>
        <v>#N/A</v>
      </c>
      <c r="DQ16" s="5" t="e">
        <f ca="1">IF(AND(DN16&gt;='Demand adjustments for Covid'!$F$12,DN16&lt;'Demand adjustments for Covid'!$F$17),'Demand adjustments for Covid'!$F$13,DO16)</f>
        <v>#N/A</v>
      </c>
      <c r="DR16" s="5">
        <f t="shared" si="7"/>
        <v>1</v>
      </c>
      <c r="DS16" s="5" t="e">
        <f ca="1">IF('Demand adjustments for Covid'!$F$9="Yes",IF(DR16=0,DQ16,((SUM(DR$4:DR16)-1)*$EE$8)+'Demand adjustments for Covid'!F$13),'Demand background (hide)'!DO16)</f>
        <v>#N/A</v>
      </c>
      <c r="DT16" s="5" t="e">
        <f ca="1">IF('Demand adjustments for Covid'!$F$9="Yes",IF(OR(AND(DN16&gt;='Demand adjustments for Covid'!$F$12,DN16&lt;'Demand adjustments for Covid'!$F$17),DR16=1),DS16+3,DP16),'Demand background (hide)'!DP16)</f>
        <v>#N/A</v>
      </c>
      <c r="DU16" s="5" t="e">
        <f ca="1">IF(DS16&lt;='Demand adjustments for Covid'!$F$17,DO16-DS16,0)</f>
        <v>#N/A</v>
      </c>
      <c r="DV16" s="5">
        <f ca="1">IF(AND(ROW(A13)&gt;$EE$5,ROW(A13)&lt;=$EA$5),OFFSET('Demand adjustments for Covid'!$F$35,0,ROW(A13)-'Demand background (hide)'!$EE$5,1,1),0)</f>
        <v>0</v>
      </c>
      <c r="DW16" s="5">
        <f ca="1">IF(AND(ROW(A13)&gt;$EE$5,ROW(A13)&lt;=$EA$5),OFFSET('Demand adjustments for Covid'!$F$36,0,ROW(A13)-'Demand background (hide)'!$EE$5,1,1),0)</f>
        <v>0</v>
      </c>
      <c r="DX16" s="5" t="e">
        <f t="shared" ca="1" si="11"/>
        <v>#N/A</v>
      </c>
    </row>
    <row r="17" spans="1:128" s="5" customFormat="1" x14ac:dyDescent="0.2">
      <c r="A17" s="5">
        <f t="shared" ca="1" si="3"/>
        <v>1</v>
      </c>
      <c r="B17" s="5">
        <f ca="1">COUNTBLANK(OFFSET(Demand!$I26,0,(COLUMN(A14)-1)*5,1,1))</f>
        <v>1</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0</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0</v>
      </c>
      <c r="Y17" s="5">
        <f t="shared" ca="1" si="5"/>
        <v>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0</v>
      </c>
      <c r="AM17" s="5">
        <f t="shared" ca="1" si="9"/>
        <v>0</v>
      </c>
      <c r="AN17" s="5" t="str">
        <f>IF(Demand!BE26="Yes","Yes","")</f>
        <v/>
      </c>
      <c r="AP17" s="36" t="str">
        <f ca="1">Demand!B26</f>
        <v xml:space="preserve"> </v>
      </c>
      <c r="AQ17" s="5" t="str">
        <f ca="1">IF(TEXT(Demand!D26,"MMM")&lt;&gt;TEXT(Demand!D25,"MMM"),TEXT(Demand!D26,"MMM"),"")</f>
        <v/>
      </c>
      <c r="AT17" s="5">
        <f t="shared" ca="1" si="12"/>
        <v>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0</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34</v>
      </c>
      <c r="DN17" s="317">
        <f t="shared" si="17"/>
        <v>44060</v>
      </c>
      <c r="DO17" s="5" t="e">
        <f ca="1">VLOOKUP(IF($DM17&lt;53,$DM17,52),'Summary Calculations (hide)'!$D$15:$F$67,2,0)</f>
        <v>#N/A</v>
      </c>
      <c r="DP17" s="5" t="e">
        <f ca="1">VLOOKUP(IF($DM17&lt;53,$DM17,52),'Summary Calculations (hide)'!$D$15:$F$67,3,0)</f>
        <v>#N/A</v>
      </c>
      <c r="DQ17" s="5" t="e">
        <f ca="1">IF(AND(DN17&gt;='Demand adjustments for Covid'!$F$12,DN17&lt;'Demand adjustments for Covid'!$F$17),'Demand adjustments for Covid'!$F$13,DO17)</f>
        <v>#N/A</v>
      </c>
      <c r="DR17" s="5">
        <f t="shared" si="7"/>
        <v>1</v>
      </c>
      <c r="DS17" s="5" t="e">
        <f ca="1">IF('Demand adjustments for Covid'!$F$9="Yes",IF(DR17=0,DQ17,((SUM(DR$4:DR17)-1)*$EE$8)+'Demand adjustments for Covid'!F$13),'Demand background (hide)'!DO17)</f>
        <v>#N/A</v>
      </c>
      <c r="DT17" s="5" t="e">
        <f ca="1">IF('Demand adjustments for Covid'!$F$9="Yes",IF(OR(AND(DN17&gt;='Demand adjustments for Covid'!$F$12,DN17&lt;'Demand adjustments for Covid'!$F$17),DR17=1),DS17+3,DP17),'Demand background (hide)'!DP17)</f>
        <v>#N/A</v>
      </c>
      <c r="DU17" s="5" t="e">
        <f ca="1">IF(DS17&lt;='Demand adjustments for Covid'!$F$17,DO17-DS17,0)</f>
        <v>#N/A</v>
      </c>
      <c r="DV17" s="5">
        <f ca="1">IF(AND(ROW(A14)&gt;$EE$5,ROW(A14)&lt;=$EA$5),OFFSET('Demand adjustments for Covid'!$F$35,0,ROW(A14)-'Demand background (hide)'!$EE$5,1,1),0)</f>
        <v>0</v>
      </c>
      <c r="DW17" s="5">
        <f ca="1">IF(AND(ROW(A14)&gt;$EE$5,ROW(A14)&lt;=$EA$5),OFFSET('Demand adjustments for Covid'!$F$36,0,ROW(A14)-'Demand background (hide)'!$EE$5,1,1),0)</f>
        <v>0</v>
      </c>
      <c r="DX17" s="5" t="e">
        <f t="shared" ca="1" si="11"/>
        <v>#N/A</v>
      </c>
    </row>
    <row r="18" spans="1:128" s="5" customFormat="1" x14ac:dyDescent="0.2">
      <c r="A18" s="5">
        <f t="shared" ca="1" si="3"/>
        <v>1</v>
      </c>
      <c r="B18" s="5">
        <f ca="1">COUNTBLANK(OFFSET(Demand!$I27,0,(COLUMN(A15)-1)*5,1,1))</f>
        <v>1</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0</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0</v>
      </c>
      <c r="Y18" s="5">
        <f t="shared" ca="1" si="5"/>
        <v>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0</v>
      </c>
      <c r="AM18" s="5">
        <f t="shared" ca="1" si="9"/>
        <v>0</v>
      </c>
      <c r="AN18" s="5" t="str">
        <f>IF(Demand!BE27="Yes","Yes","")</f>
        <v/>
      </c>
      <c r="AP18" s="36" t="str">
        <f ca="1">Demand!B27</f>
        <v xml:space="preserve"> </v>
      </c>
      <c r="AQ18" s="5" t="str">
        <f ca="1">IF(TEXT(Demand!D27,"MMM")&lt;&gt;TEXT(Demand!D26,"MMM"),TEXT(Demand!D27,"MMM"),"")</f>
        <v/>
      </c>
      <c r="AT18" s="5">
        <f t="shared" ca="1" si="12"/>
        <v>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0</v>
      </c>
      <c r="BH18" s="5">
        <f ca="1">BH16/MAX('SPC background (hide)'!$I$5:$I$11)</f>
        <v>0</v>
      </c>
      <c r="BI18" s="5">
        <f ca="1">BI16/MAX('SPC background (hide)'!$I$5:$I$11)</f>
        <v>0</v>
      </c>
      <c r="BJ18" s="5">
        <f ca="1">BJ16/MAX('SPC background (hide)'!$I$5:$I$11)</f>
        <v>0</v>
      </c>
      <c r="BK18" s="5">
        <f ca="1">BK16/MAX('SPC background (hide)'!$I$5:$I$11)</f>
        <v>0</v>
      </c>
      <c r="BL18" s="5">
        <f ca="1">BL16/MAX('SPC background (hide)'!$I$5:$I$11)</f>
        <v>0</v>
      </c>
      <c r="BM18" s="5">
        <f ca="1">BM16/MAX('SPC background (hide)'!$I$5:$I$11)</f>
        <v>0</v>
      </c>
      <c r="BQ18">
        <f ca="1">IF($AN18="",OFFSET(Demand!$A$13,ROW(A15)-1,4+((QUOTIENT(COLUMN(BQ$2)-69,3))*5)+MOD(COLUMN(BQ$2),3),1,1),"")</f>
        <v>0</v>
      </c>
      <c r="BR18">
        <f ca="1">IF($AN18="",OFFSET(Demand!$A$13,ROW(B15)-1,4+((QUOTIENT(COLUMN(BR$2)-69,3))*5)+MOD(COLUMN(BR$2),3),1,1),"")</f>
        <v>0</v>
      </c>
      <c r="BS18">
        <f ca="1">IF($AN18="",OFFSET(Demand!$A$13,ROW(C15)-1,4+((QUOTIENT(COLUMN(BS$2)-69,3))*5)+MOD(COLUMN(BS$2),3),1,1),"")</f>
        <v>0</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35</v>
      </c>
      <c r="DN18" s="317">
        <f t="shared" si="17"/>
        <v>44067</v>
      </c>
      <c r="DO18" s="5" t="e">
        <f ca="1">VLOOKUP(IF($DM18&lt;53,$DM18,52),'Summary Calculations (hide)'!$D$15:$F$67,2,0)</f>
        <v>#N/A</v>
      </c>
      <c r="DP18" s="5" t="e">
        <f ca="1">VLOOKUP(IF($DM18&lt;53,$DM18,52),'Summary Calculations (hide)'!$D$15:$F$67,3,0)</f>
        <v>#N/A</v>
      </c>
      <c r="DQ18" s="5" t="e">
        <f ca="1">IF(AND(DN18&gt;='Demand adjustments for Covid'!$F$12,DN18&lt;'Demand adjustments for Covid'!$F$17),'Demand adjustments for Covid'!$F$13,DO18)</f>
        <v>#N/A</v>
      </c>
      <c r="DR18" s="5">
        <f t="shared" si="7"/>
        <v>1</v>
      </c>
      <c r="DS18" s="5" t="e">
        <f ca="1">IF('Demand adjustments for Covid'!$F$9="Yes",IF(DR18=0,DQ18,((SUM(DR$4:DR18)-1)*$EE$8)+'Demand adjustments for Covid'!F$13),'Demand background (hide)'!DO18)</f>
        <v>#N/A</v>
      </c>
      <c r="DT18" s="5" t="e">
        <f ca="1">IF('Demand adjustments for Covid'!$F$9="Yes",IF(OR(AND(DN18&gt;='Demand adjustments for Covid'!$F$12,DN18&lt;'Demand adjustments for Covid'!$F$17),DR18=1),DS18+3,DP18),'Demand background (hide)'!DP18)</f>
        <v>#N/A</v>
      </c>
      <c r="DU18" s="5" t="e">
        <f ca="1">IF(DS18&lt;='Demand adjustments for Covid'!$F$17,DO18-DS18,0)</f>
        <v>#N/A</v>
      </c>
      <c r="DV18" s="5">
        <f ca="1">IF(AND(ROW(A15)&gt;$EE$5,ROW(A15)&lt;=$EA$5),OFFSET('Demand adjustments for Covid'!$F$35,0,ROW(A15)-'Demand background (hide)'!$EE$5,1,1),0)</f>
        <v>0</v>
      </c>
      <c r="DW18" s="5">
        <f ca="1">IF(AND(ROW(A15)&gt;$EE$5,ROW(A15)&lt;=$EA$5),OFFSET('Demand adjustments for Covid'!$F$36,0,ROW(A15)-'Demand background (hide)'!$EE$5,1,1),0)</f>
        <v>0</v>
      </c>
      <c r="DX18" s="5" t="e">
        <f t="shared" ca="1" si="11"/>
        <v>#N/A</v>
      </c>
    </row>
    <row r="19" spans="1:128" s="5" customFormat="1" x14ac:dyDescent="0.2">
      <c r="A19" s="5">
        <f t="shared" ca="1" si="3"/>
        <v>1</v>
      </c>
      <c r="B19" s="5">
        <f ca="1">COUNTBLANK(OFFSET(Demand!$I28,0,(COLUMN(A16)-1)*5,1,1))</f>
        <v>1</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0</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0</v>
      </c>
      <c r="Y19" s="5">
        <f t="shared" ca="1" si="5"/>
        <v>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0</v>
      </c>
      <c r="AM19" s="5">
        <f t="shared" ca="1" si="9"/>
        <v>0</v>
      </c>
      <c r="AN19" s="5" t="str">
        <f>IF(Demand!BE28="Yes","Yes","")</f>
        <v/>
      </c>
      <c r="AP19" s="36" t="str">
        <f ca="1">Demand!B28</f>
        <v xml:space="preserve"> </v>
      </c>
      <c r="AQ19" s="5" t="str">
        <f ca="1">IF(TEXT(Demand!D28,"MMM")&lt;&gt;TEXT(Demand!D27,"MMM"),TEXT(Demand!D28,"MMM"),"")</f>
        <v/>
      </c>
      <c r="AT19" s="5">
        <f t="shared" ca="1" si="12"/>
        <v>0</v>
      </c>
      <c r="AV19" s="5" t="s">
        <v>107</v>
      </c>
      <c r="AW19" s="44"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0</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36</v>
      </c>
      <c r="DN19" s="317">
        <f t="shared" si="17"/>
        <v>44074</v>
      </c>
      <c r="DO19" s="5" t="e">
        <f ca="1">VLOOKUP(IF($DM19&lt;53,$DM19,52),'Summary Calculations (hide)'!$D$15:$F$67,2,0)</f>
        <v>#N/A</v>
      </c>
      <c r="DP19" s="5" t="e">
        <f ca="1">VLOOKUP(IF($DM19&lt;53,$DM19,52),'Summary Calculations (hide)'!$D$15:$F$67,3,0)</f>
        <v>#N/A</v>
      </c>
      <c r="DQ19" s="5" t="e">
        <f ca="1">IF(AND(DN19&gt;='Demand adjustments for Covid'!$F$12,DN19&lt;'Demand adjustments for Covid'!$F$17),'Demand adjustments for Covid'!$F$13,DO19)</f>
        <v>#N/A</v>
      </c>
      <c r="DR19" s="5">
        <f t="shared" si="7"/>
        <v>1</v>
      </c>
      <c r="DS19" s="5" t="e">
        <f ca="1">IF('Demand adjustments for Covid'!$F$9="Yes",IF(DR19=0,DQ19,((SUM(DR$4:DR19)-1)*$EE$8)+'Demand adjustments for Covid'!F$13),'Demand background (hide)'!DO19)</f>
        <v>#N/A</v>
      </c>
      <c r="DT19" s="5" t="e">
        <f ca="1">IF('Demand adjustments for Covid'!$F$9="Yes",IF(OR(AND(DN19&gt;='Demand adjustments for Covid'!$F$12,DN19&lt;'Demand adjustments for Covid'!$F$17),DR19=1),DS19+3,DP19),'Demand background (hide)'!DP19)</f>
        <v>#N/A</v>
      </c>
      <c r="DU19" s="5" t="e">
        <f ca="1">IF(DS19&lt;='Demand adjustments for Covid'!$F$17,DO19-DS19,0)</f>
        <v>#N/A</v>
      </c>
      <c r="DV19" s="5">
        <f ca="1">IF(AND(ROW(A16)&gt;$EE$5,ROW(A16)&lt;=$EA$5),OFFSET('Demand adjustments for Covid'!$F$35,0,ROW(A16)-'Demand background (hide)'!$EE$5,1,1),0)</f>
        <v>0</v>
      </c>
      <c r="DW19" s="5">
        <f ca="1">IF(AND(ROW(A16)&gt;$EE$5,ROW(A16)&lt;=$EA$5),OFFSET('Demand adjustments for Covid'!$F$36,0,ROW(A16)-'Demand background (hide)'!$EE$5,1,1),0)</f>
        <v>0</v>
      </c>
      <c r="DX19" s="5" t="e">
        <f t="shared" ca="1" si="11"/>
        <v>#N/A</v>
      </c>
    </row>
    <row r="20" spans="1:128" s="5" customFormat="1" x14ac:dyDescent="0.2">
      <c r="A20" s="5">
        <f t="shared" ca="1" si="3"/>
        <v>1</v>
      </c>
      <c r="B20" s="5">
        <f ca="1">COUNTBLANK(OFFSET(Demand!$I29,0,(COLUMN(A17)-1)*5,1,1))</f>
        <v>1</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0</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0</v>
      </c>
      <c r="Y20" s="5">
        <f t="shared" ca="1" si="5"/>
        <v>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0</v>
      </c>
      <c r="AM20" s="5">
        <f t="shared" ca="1" si="9"/>
        <v>0</v>
      </c>
      <c r="AN20" s="5" t="str">
        <f>IF(Demand!BE29="Yes","Yes","")</f>
        <v/>
      </c>
      <c r="AP20" s="36" t="str">
        <f ca="1">Demand!B29</f>
        <v xml:space="preserve"> </v>
      </c>
      <c r="AQ20" s="5" t="str">
        <f ca="1">IF(TEXT(Demand!D29,"MMM")&lt;&gt;TEXT(Demand!D28,"MMM"),TEXT(Demand!D29,"MMM"),"")</f>
        <v/>
      </c>
      <c r="AT20" s="5">
        <f t="shared" ca="1" si="12"/>
        <v>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t="e">
        <f ca="1">BJ18/BM18</f>
        <v>#DIV/0!</v>
      </c>
      <c r="BK20" s="46" t="e">
        <f ca="1">BK18/BM18</f>
        <v>#DIV/0!</v>
      </c>
      <c r="BL20" s="46" t="e">
        <f ca="1">BL18/BM18</f>
        <v>#DIV/0!</v>
      </c>
      <c r="BQ20">
        <f ca="1">IF($AN20="",OFFSET(Demand!$A$13,ROW(A17)-1,4+((QUOTIENT(COLUMN(BQ$2)-69,3))*5)+MOD(COLUMN(BQ$2),3),1,1),"")</f>
        <v>0</v>
      </c>
      <c r="BR20">
        <f ca="1">IF($AN20="",OFFSET(Demand!$A$13,ROW(B17)-1,4+((QUOTIENT(COLUMN(BR$2)-69,3))*5)+MOD(COLUMN(BR$2),3),1,1),"")</f>
        <v>0</v>
      </c>
      <c r="BS20">
        <f ca="1">IF($AN20="",OFFSET(Demand!$A$13,ROW(C17)-1,4+((QUOTIENT(COLUMN(BS$2)-69,3))*5)+MOD(COLUMN(BS$2),3),1,1),"")</f>
        <v>0</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37</v>
      </c>
      <c r="DN20" s="317">
        <f t="shared" si="17"/>
        <v>44081</v>
      </c>
      <c r="DO20" s="5" t="e">
        <f ca="1">VLOOKUP(IF($DM20&lt;53,$DM20,52),'Summary Calculations (hide)'!$D$15:$F$67,2,0)</f>
        <v>#N/A</v>
      </c>
      <c r="DP20" s="5" t="e">
        <f ca="1">VLOOKUP(IF($DM20&lt;53,$DM20,52),'Summary Calculations (hide)'!$D$15:$F$67,3,0)</f>
        <v>#N/A</v>
      </c>
      <c r="DQ20" s="5" t="e">
        <f ca="1">IF(AND(DN20&gt;='Demand adjustments for Covid'!$F$12,DN20&lt;'Demand adjustments for Covid'!$F$17),'Demand adjustments for Covid'!$F$13,DO20)</f>
        <v>#N/A</v>
      </c>
      <c r="DR20" s="5">
        <f t="shared" si="7"/>
        <v>1</v>
      </c>
      <c r="DS20" s="5" t="e">
        <f ca="1">IF('Demand adjustments for Covid'!$F$9="Yes",IF(DR20=0,DQ20,((SUM(DR$4:DR20)-1)*$EE$8)+'Demand adjustments for Covid'!F$13),'Demand background (hide)'!DO20)</f>
        <v>#N/A</v>
      </c>
      <c r="DT20" s="5" t="e">
        <f ca="1">IF('Demand adjustments for Covid'!$F$9="Yes",IF(OR(AND(DN20&gt;='Demand adjustments for Covid'!$F$12,DN20&lt;'Demand adjustments for Covid'!$F$17),DR20=1),DS20+3,DP20),'Demand background (hide)'!DP20)</f>
        <v>#N/A</v>
      </c>
      <c r="DU20" s="5" t="e">
        <f ca="1">IF(DS20&lt;='Demand adjustments for Covid'!$F$17,DO20-DS20,0)</f>
        <v>#N/A</v>
      </c>
      <c r="DV20" s="5">
        <f ca="1">IF(AND(ROW(A17)&gt;$EE$5,ROW(A17)&lt;=$EA$5),OFFSET('Demand adjustments for Covid'!$F$35,0,ROW(A17)-'Demand background (hide)'!$EE$5,1,1),0)</f>
        <v>0</v>
      </c>
      <c r="DW20" s="5">
        <f ca="1">IF(AND(ROW(A17)&gt;$EE$5,ROW(A17)&lt;=$EA$5),OFFSET('Demand adjustments for Covid'!$F$36,0,ROW(A17)-'Demand background (hide)'!$EE$5,1,1),0)</f>
        <v>0</v>
      </c>
      <c r="DX20" s="5" t="e">
        <f t="shared" ca="1" si="11"/>
        <v>#N/A</v>
      </c>
    </row>
    <row r="21" spans="1:128" s="5" customFormat="1" x14ac:dyDescent="0.2">
      <c r="A21" s="5">
        <f t="shared" ca="1" si="3"/>
        <v>1</v>
      </c>
      <c r="B21" s="5">
        <f ca="1">COUNTBLANK(OFFSET(Demand!$I30,0,(COLUMN(A18)-1)*5,1,1))</f>
        <v>1</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0</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0</v>
      </c>
      <c r="Y21" s="5">
        <f t="shared" ca="1" si="5"/>
        <v>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0</v>
      </c>
      <c r="AM21" s="5">
        <f t="shared" ca="1" si="9"/>
        <v>0</v>
      </c>
      <c r="AN21" s="5" t="str">
        <f>IF(Demand!BE30="Yes","Yes","")</f>
        <v/>
      </c>
      <c r="AP21" s="36" t="str">
        <f ca="1">Demand!B30</f>
        <v xml:space="preserve"> </v>
      </c>
      <c r="AQ21" s="5" t="str">
        <f ca="1">IF(TEXT(Demand!D30,"MMM")&lt;&gt;TEXT(Demand!D29,"MMM"),TEXT(Demand!D30,"MMM"),"")</f>
        <v/>
      </c>
      <c r="AT21" s="5">
        <f t="shared" ca="1" si="12"/>
        <v>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0</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38</v>
      </c>
      <c r="DN21" s="317">
        <f t="shared" si="17"/>
        <v>44088</v>
      </c>
      <c r="DO21" s="5" t="e">
        <f ca="1">VLOOKUP(IF($DM21&lt;53,$DM21,52),'Summary Calculations (hide)'!$D$15:$F$67,2,0)</f>
        <v>#N/A</v>
      </c>
      <c r="DP21" s="5" t="e">
        <f ca="1">VLOOKUP(IF($DM21&lt;53,$DM21,52),'Summary Calculations (hide)'!$D$15:$F$67,3,0)</f>
        <v>#N/A</v>
      </c>
      <c r="DQ21" s="5" t="e">
        <f ca="1">IF(AND(DN21&gt;='Demand adjustments for Covid'!$F$12,DN21&lt;'Demand adjustments for Covid'!$F$17),'Demand adjustments for Covid'!$F$13,DO21)</f>
        <v>#N/A</v>
      </c>
      <c r="DR21" s="5">
        <f t="shared" si="7"/>
        <v>1</v>
      </c>
      <c r="DS21" s="5" t="e">
        <f ca="1">IF('Demand adjustments for Covid'!$F$9="Yes",IF(DR21=0,DQ21,((SUM(DR$4:DR21)-1)*$EE$8)+'Demand adjustments for Covid'!F$13),'Demand background (hide)'!DO21)</f>
        <v>#N/A</v>
      </c>
      <c r="DT21" s="5" t="e">
        <f ca="1">IF('Demand adjustments for Covid'!$F$9="Yes",IF(OR(AND(DN21&gt;='Demand adjustments for Covid'!$F$12,DN21&lt;'Demand adjustments for Covid'!$F$17),DR21=1),DS21+3,DP21),'Demand background (hide)'!DP21)</f>
        <v>#N/A</v>
      </c>
      <c r="DU21" s="5" t="e">
        <f ca="1">IF(DS21&lt;='Demand adjustments for Covid'!$F$17,DO21-DS21,0)</f>
        <v>#N/A</v>
      </c>
      <c r="DV21" s="5">
        <f ca="1">IF(AND(ROW(A18)&gt;$EE$5,ROW(A18)&lt;=$EA$5),OFFSET('Demand adjustments for Covid'!$F$35,0,ROW(A18)-'Demand background (hide)'!$EE$5,1,1),0)</f>
        <v>0</v>
      </c>
      <c r="DW21" s="5">
        <f ca="1">IF(AND(ROW(A18)&gt;$EE$5,ROW(A18)&lt;=$EA$5),OFFSET('Demand adjustments for Covid'!$F$36,0,ROW(A18)-'Demand background (hide)'!$EE$5,1,1),0)</f>
        <v>0</v>
      </c>
      <c r="DX21" s="5" t="e">
        <f t="shared" ca="1" si="11"/>
        <v>#N/A</v>
      </c>
    </row>
    <row r="22" spans="1:128" s="5" customFormat="1" x14ac:dyDescent="0.2">
      <c r="A22" s="5">
        <f t="shared" ca="1" si="3"/>
        <v>1</v>
      </c>
      <c r="B22" s="5">
        <f ca="1">COUNTBLANK(OFFSET(Demand!$I31,0,(COLUMN(A19)-1)*5,1,1))</f>
        <v>1</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0</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0</v>
      </c>
      <c r="Y22" s="5">
        <f t="shared" ca="1" si="5"/>
        <v>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0</v>
      </c>
      <c r="AM22" s="5">
        <f t="shared" ca="1" si="9"/>
        <v>0</v>
      </c>
      <c r="AN22" s="5" t="str">
        <f>IF(Demand!BE31="Yes","Yes","")</f>
        <v/>
      </c>
      <c r="AP22" s="36" t="str">
        <f ca="1">Demand!B31</f>
        <v xml:space="preserve"> </v>
      </c>
      <c r="AQ22" s="5" t="str">
        <f ca="1">IF(TEXT(Demand!D31,"MMM")&lt;&gt;TEXT(Demand!D30,"MMM"),TEXT(Demand!D31,"MMM"),"")</f>
        <v/>
      </c>
      <c r="AT22" s="5">
        <f t="shared" ca="1" si="12"/>
        <v>0</v>
      </c>
      <c r="BQ22">
        <f ca="1">IF($AN22="",OFFSET(Demand!$A$13,ROW(A19)-1,4+((QUOTIENT(COLUMN(BQ$2)-69,3))*5)+MOD(COLUMN(BQ$2),3),1,1),"")</f>
        <v>0</v>
      </c>
      <c r="BR22">
        <f ca="1">IF($AN22="",OFFSET(Demand!$A$13,ROW(B19)-1,4+((QUOTIENT(COLUMN(BR$2)-69,3))*5)+MOD(COLUMN(BR$2),3),1,1),"")</f>
        <v>0</v>
      </c>
      <c r="BS22">
        <f ca="1">IF($AN22="",OFFSET(Demand!$A$13,ROW(C19)-1,4+((QUOTIENT(COLUMN(BS$2)-69,3))*5)+MOD(COLUMN(BS$2),3),1,1),"")</f>
        <v>0</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39</v>
      </c>
      <c r="DN22" s="317">
        <f t="shared" si="17"/>
        <v>44095</v>
      </c>
      <c r="DO22" s="5" t="e">
        <f ca="1">VLOOKUP(IF($DM22&lt;53,$DM22,52),'Summary Calculations (hide)'!$D$15:$F$67,2,0)</f>
        <v>#N/A</v>
      </c>
      <c r="DP22" s="5" t="e">
        <f ca="1">VLOOKUP(IF($DM22&lt;53,$DM22,52),'Summary Calculations (hide)'!$D$15:$F$67,3,0)</f>
        <v>#N/A</v>
      </c>
      <c r="DQ22" s="5" t="e">
        <f ca="1">IF(AND(DN22&gt;='Demand adjustments for Covid'!$F$12,DN22&lt;'Demand adjustments for Covid'!$F$17),'Demand adjustments for Covid'!$F$13,DO22)</f>
        <v>#N/A</v>
      </c>
      <c r="DR22" s="5">
        <f t="shared" si="7"/>
        <v>1</v>
      </c>
      <c r="DS22" s="5" t="e">
        <f ca="1">IF('Demand adjustments for Covid'!$F$9="Yes",IF(DR22=0,DQ22,((SUM(DR$4:DR22)-1)*$EE$8)+'Demand adjustments for Covid'!F$13),'Demand background (hide)'!DO22)</f>
        <v>#N/A</v>
      </c>
      <c r="DT22" s="5" t="e">
        <f ca="1">IF('Demand adjustments for Covid'!$F$9="Yes",IF(OR(AND(DN22&gt;='Demand adjustments for Covid'!$F$12,DN22&lt;'Demand adjustments for Covid'!$F$17),DR22=1),DS22+3,DP22),'Demand background (hide)'!DP22)</f>
        <v>#N/A</v>
      </c>
      <c r="DU22" s="5" t="e">
        <f ca="1">IF(DS22&lt;='Demand adjustments for Covid'!$F$17,DO22-DS22,0)</f>
        <v>#N/A</v>
      </c>
      <c r="DV22" s="5">
        <f ca="1">IF(AND(ROW(A19)&gt;$EE$5,ROW(A19)&lt;=$EA$5),OFFSET('Demand adjustments for Covid'!$F$35,0,ROW(A19)-'Demand background (hide)'!$EE$5,1,1),0)</f>
        <v>0</v>
      </c>
      <c r="DW22" s="5">
        <f ca="1">IF(AND(ROW(A19)&gt;$EE$5,ROW(A19)&lt;=$EA$5),OFFSET('Demand adjustments for Covid'!$F$36,0,ROW(A19)-'Demand background (hide)'!$EE$5,1,1),0)</f>
        <v>0</v>
      </c>
      <c r="DX22" s="5" t="e">
        <f t="shared" ca="1" si="11"/>
        <v>#N/A</v>
      </c>
    </row>
    <row r="23" spans="1:128" s="5" customFormat="1" x14ac:dyDescent="0.2">
      <c r="A23" s="5">
        <f t="shared" ca="1" si="3"/>
        <v>1</v>
      </c>
      <c r="B23" s="5">
        <f ca="1">COUNTBLANK(OFFSET(Demand!$I32,0,(COLUMN(A20)-1)*5,1,1))</f>
        <v>1</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0</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0</v>
      </c>
      <c r="Y23" s="5">
        <f t="shared" ca="1" si="5"/>
        <v>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0</v>
      </c>
      <c r="AM23" s="5">
        <f t="shared" ca="1" si="9"/>
        <v>0</v>
      </c>
      <c r="AN23" s="5" t="str">
        <f>IF(Demand!BE32="Yes","Yes","")</f>
        <v/>
      </c>
      <c r="AP23" s="36" t="str">
        <f ca="1">Demand!B32</f>
        <v xml:space="preserve"> </v>
      </c>
      <c r="AQ23" s="5" t="str">
        <f ca="1">IF(TEXT(Demand!D32,"MMM")&lt;&gt;TEXT(Demand!D31,"MMM"),TEXT(Demand!D32,"MMM"),"")</f>
        <v/>
      </c>
      <c r="AT23" s="5">
        <f t="shared" ca="1" si="12"/>
        <v>0</v>
      </c>
      <c r="BQ23">
        <f ca="1">IF($AN23="",OFFSET(Demand!$A$13,ROW(A20)-1,4+((QUOTIENT(COLUMN(BQ$2)-69,3))*5)+MOD(COLUMN(BQ$2),3),1,1),"")</f>
        <v>0</v>
      </c>
      <c r="BR23">
        <f ca="1">IF($AN23="",OFFSET(Demand!$A$13,ROW(B20)-1,4+((QUOTIENT(COLUMN(BR$2)-69,3))*5)+MOD(COLUMN(BR$2),3),1,1),"")</f>
        <v>0</v>
      </c>
      <c r="BS23">
        <f ca="1">IF($AN23="",OFFSET(Demand!$A$13,ROW(C20)-1,4+((QUOTIENT(COLUMN(BS$2)-69,3))*5)+MOD(COLUMN(BS$2),3),1,1),"")</f>
        <v>0</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40</v>
      </c>
      <c r="DN23" s="317">
        <f t="shared" si="17"/>
        <v>44102</v>
      </c>
      <c r="DO23" s="5" t="e">
        <f ca="1">VLOOKUP(IF($DM23&lt;53,$DM23,52),'Summary Calculations (hide)'!$D$15:$F$67,2,0)</f>
        <v>#N/A</v>
      </c>
      <c r="DP23" s="5" t="e">
        <f ca="1">VLOOKUP(IF($DM23&lt;53,$DM23,52),'Summary Calculations (hide)'!$D$15:$F$67,3,0)</f>
        <v>#N/A</v>
      </c>
      <c r="DQ23" s="5" t="e">
        <f ca="1">IF(AND(DN23&gt;='Demand adjustments for Covid'!$F$12,DN23&lt;'Demand adjustments for Covid'!$F$17),'Demand adjustments for Covid'!$F$13,DO23)</f>
        <v>#N/A</v>
      </c>
      <c r="DR23" s="5">
        <f t="shared" si="7"/>
        <v>1</v>
      </c>
      <c r="DS23" s="5" t="e">
        <f ca="1">IF('Demand adjustments for Covid'!$F$9="Yes",IF(DR23=0,DQ23,((SUM(DR$4:DR23)-1)*$EE$8)+'Demand adjustments for Covid'!F$13),'Demand background (hide)'!DO23)</f>
        <v>#N/A</v>
      </c>
      <c r="DT23" s="5" t="e">
        <f ca="1">IF('Demand adjustments for Covid'!$F$9="Yes",IF(OR(AND(DN23&gt;='Demand adjustments for Covid'!$F$12,DN23&lt;'Demand adjustments for Covid'!$F$17),DR23=1),DS23+3,DP23),'Demand background (hide)'!DP23)</f>
        <v>#N/A</v>
      </c>
      <c r="DU23" s="5" t="e">
        <f ca="1">IF(DS23&lt;='Demand adjustments for Covid'!$F$17,DO23-DS23,0)</f>
        <v>#N/A</v>
      </c>
      <c r="DV23" s="5">
        <f ca="1">IF(AND(ROW(A20)&gt;$EE$5,ROW(A20)&lt;=$EA$5),OFFSET('Demand adjustments for Covid'!$F$35,0,ROW(A20)-'Demand background (hide)'!$EE$5,1,1),0)</f>
        <v>0</v>
      </c>
      <c r="DW23" s="5">
        <f ca="1">IF(AND(ROW(A20)&gt;$EE$5,ROW(A20)&lt;=$EA$5),OFFSET('Demand adjustments for Covid'!$F$36,0,ROW(A20)-'Demand background (hide)'!$EE$5,1,1),0)</f>
        <v>0</v>
      </c>
      <c r="DX23" s="5" t="e">
        <f t="shared" ca="1" si="11"/>
        <v>#N/A</v>
      </c>
    </row>
    <row r="24" spans="1:128" s="5" customFormat="1" x14ac:dyDescent="0.2">
      <c r="A24" s="5">
        <f t="shared" ca="1" si="3"/>
        <v>1</v>
      </c>
      <c r="B24" s="5">
        <f ca="1">COUNTBLANK(OFFSET(Demand!$I33,0,(COLUMN(A21)-1)*5,1,1))</f>
        <v>1</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0</v>
      </c>
      <c r="Y24" s="5">
        <f t="shared" ca="1" si="5"/>
        <v>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0</v>
      </c>
      <c r="AM24" s="5">
        <f t="shared" ca="1" si="9"/>
        <v>0</v>
      </c>
      <c r="AN24" s="5" t="str">
        <f>IF(Demand!BE33="Yes","Yes","")</f>
        <v/>
      </c>
      <c r="AP24" s="36" t="str">
        <f ca="1">Demand!B33</f>
        <v xml:space="preserve"> </v>
      </c>
      <c r="AQ24" s="5" t="str">
        <f ca="1">IF(TEXT(Demand!D33,"MMM")&lt;&gt;TEXT(Demand!D32,"MMM"),TEXT(Demand!D33,"MMM"),"")</f>
        <v/>
      </c>
      <c r="AT24" s="5">
        <f t="shared" ca="1" si="12"/>
        <v>0</v>
      </c>
      <c r="BQ24">
        <f ca="1">IF($AN24="",OFFSET(Demand!$A$13,ROW(A21)-1,4+((QUOTIENT(COLUMN(BQ$2)-69,3))*5)+MOD(COLUMN(BQ$2),3),1,1),"")</f>
        <v>0</v>
      </c>
      <c r="BR24">
        <f ca="1">IF($AN24="",OFFSET(Demand!$A$13,ROW(B21)-1,4+((QUOTIENT(COLUMN(BR$2)-69,3))*5)+MOD(COLUMN(BR$2),3),1,1),"")</f>
        <v>0</v>
      </c>
      <c r="BS24">
        <f ca="1">IF($AN24="",OFFSET(Demand!$A$13,ROW(C21)-1,4+((QUOTIENT(COLUMN(BS$2)-69,3))*5)+MOD(COLUMN(BS$2),3),1,1),"")</f>
        <v>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41</v>
      </c>
      <c r="DN24" s="317">
        <f t="shared" si="17"/>
        <v>44109</v>
      </c>
      <c r="DO24" s="5" t="e">
        <f ca="1">VLOOKUP(IF($DM24&lt;53,$DM24,52),'Summary Calculations (hide)'!$D$15:$F$67,2,0)</f>
        <v>#N/A</v>
      </c>
      <c r="DP24" s="5" t="e">
        <f ca="1">VLOOKUP(IF($DM24&lt;53,$DM24,52),'Summary Calculations (hide)'!$D$15:$F$67,3,0)</f>
        <v>#N/A</v>
      </c>
      <c r="DQ24" s="5" t="e">
        <f ca="1">IF(AND(DN24&gt;='Demand adjustments for Covid'!$F$12,DN24&lt;'Demand adjustments for Covid'!$F$17),'Demand adjustments for Covid'!$F$13,DO24)</f>
        <v>#N/A</v>
      </c>
      <c r="DR24" s="5">
        <f t="shared" si="7"/>
        <v>1</v>
      </c>
      <c r="DS24" s="5" t="e">
        <f ca="1">IF('Demand adjustments for Covid'!$F$9="Yes",IF(DR24=0,DQ24,((SUM(DR$4:DR24)-1)*$EE$8)+'Demand adjustments for Covid'!F$13),'Demand background (hide)'!DO24)</f>
        <v>#N/A</v>
      </c>
      <c r="DT24" s="5" t="e">
        <f ca="1">IF('Demand adjustments for Covid'!$F$9="Yes",IF(OR(AND(DN24&gt;='Demand adjustments for Covid'!$F$12,DN24&lt;'Demand adjustments for Covid'!$F$17),DR24=1),DS24+3,DP24),'Demand background (hide)'!DP24)</f>
        <v>#N/A</v>
      </c>
      <c r="DU24" s="5" t="e">
        <f ca="1">IF(DS24&lt;='Demand adjustments for Covid'!$F$17,DO24-DS24,0)</f>
        <v>#N/A</v>
      </c>
      <c r="DV24" s="5">
        <f ca="1">IF(AND(ROW(A21)&gt;$EE$5,ROW(A21)&lt;=$EA$5),OFFSET('Demand adjustments for Covid'!$F$35,0,ROW(A21)-'Demand background (hide)'!$EE$5,1,1),0)</f>
        <v>0</v>
      </c>
      <c r="DW24" s="5">
        <f ca="1">IF(AND(ROW(A21)&gt;$EE$5,ROW(A21)&lt;=$EA$5),OFFSET('Demand adjustments for Covid'!$F$36,0,ROW(A21)-'Demand background (hide)'!$EE$5,1,1),0)</f>
        <v>0</v>
      </c>
      <c r="DX24" s="5" t="e">
        <f t="shared" ca="1" si="11"/>
        <v>#N/A</v>
      </c>
    </row>
    <row r="25" spans="1:128" s="5" customFormat="1" x14ac:dyDescent="0.2">
      <c r="A25" s="5">
        <f t="shared" ca="1" si="3"/>
        <v>1</v>
      </c>
      <c r="B25" s="5">
        <f ca="1">COUNTBLANK(OFFSET(Demand!$I34,0,(COLUMN(A22)-1)*5,1,1))</f>
        <v>1</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0</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0</v>
      </c>
      <c r="Y25" s="5">
        <f t="shared" ca="1" si="5"/>
        <v>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0</v>
      </c>
      <c r="AM25" s="5">
        <f t="shared" ca="1" si="9"/>
        <v>0</v>
      </c>
      <c r="AN25" s="5" t="str">
        <f>IF(Demand!BE34="Yes","Yes","")</f>
        <v/>
      </c>
      <c r="AP25" s="36" t="str">
        <f ca="1">Demand!B34</f>
        <v xml:space="preserve"> </v>
      </c>
      <c r="AQ25" s="5" t="str">
        <f ca="1">IF(TEXT(Demand!D34,"MMM")&lt;&gt;TEXT(Demand!D33,"MMM"),TEXT(Demand!D34,"MMM"),"")</f>
        <v/>
      </c>
      <c r="AT25" s="5">
        <f t="shared" ca="1" si="12"/>
        <v>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0</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42</v>
      </c>
      <c r="DN25" s="317">
        <f t="shared" si="17"/>
        <v>44116</v>
      </c>
      <c r="DO25" s="5" t="e">
        <f ca="1">VLOOKUP(IF($DM25&lt;53,$DM25,52),'Summary Calculations (hide)'!$D$15:$F$67,2,0)</f>
        <v>#N/A</v>
      </c>
      <c r="DP25" s="5" t="e">
        <f ca="1">VLOOKUP(IF($DM25&lt;53,$DM25,52),'Summary Calculations (hide)'!$D$15:$F$67,3,0)</f>
        <v>#N/A</v>
      </c>
      <c r="DQ25" s="5" t="e">
        <f ca="1">IF(AND(DN25&gt;='Demand adjustments for Covid'!$F$12,DN25&lt;'Demand adjustments for Covid'!$F$17),'Demand adjustments for Covid'!$F$13,DO25)</f>
        <v>#N/A</v>
      </c>
      <c r="DR25" s="5">
        <f t="shared" si="7"/>
        <v>1</v>
      </c>
      <c r="DS25" s="5" t="e">
        <f ca="1">IF('Demand adjustments for Covid'!$F$9="Yes",IF(DR25=0,DQ25,((SUM(DR$4:DR25)-1)*$EE$8)+'Demand adjustments for Covid'!F$13),'Demand background (hide)'!DO25)</f>
        <v>#N/A</v>
      </c>
      <c r="DT25" s="5" t="e">
        <f ca="1">IF('Demand adjustments for Covid'!$F$9="Yes",IF(OR(AND(DN25&gt;='Demand adjustments for Covid'!$F$12,DN25&lt;'Demand adjustments for Covid'!$F$17),DR25=1),DS25+3,DP25),'Demand background (hide)'!DP25)</f>
        <v>#N/A</v>
      </c>
      <c r="DU25" s="5" t="e">
        <f ca="1">IF(DS25&lt;='Demand adjustments for Covid'!$F$17,DO25-DS25,0)</f>
        <v>#N/A</v>
      </c>
      <c r="DV25" s="5">
        <f ca="1">IF(AND(ROW(A22)&gt;$EE$5,ROW(A22)&lt;=$EA$5),OFFSET('Demand adjustments for Covid'!$F$35,0,ROW(A22)-'Demand background (hide)'!$EE$5,1,1),0)</f>
        <v>0</v>
      </c>
      <c r="DW25" s="5">
        <f ca="1">IF(AND(ROW(A22)&gt;$EE$5,ROW(A22)&lt;=$EA$5),OFFSET('Demand adjustments for Covid'!$F$36,0,ROW(A22)-'Demand background (hide)'!$EE$5,1,1),0)</f>
        <v>0</v>
      </c>
      <c r="DX25" s="5" t="e">
        <f t="shared" ca="1" si="11"/>
        <v>#N/A</v>
      </c>
    </row>
    <row r="26" spans="1:128" s="5" customFormat="1" x14ac:dyDescent="0.2">
      <c r="A26" s="5">
        <f t="shared" ca="1" si="3"/>
        <v>1</v>
      </c>
      <c r="B26" s="5">
        <f ca="1">COUNTBLANK(OFFSET(Demand!$I35,0,(COLUMN(A23)-1)*5,1,1))</f>
        <v>1</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0</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0</v>
      </c>
      <c r="Y26" s="5">
        <f t="shared" ca="1" si="5"/>
        <v>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0</v>
      </c>
      <c r="AM26" s="5">
        <f t="shared" ca="1" si="9"/>
        <v>0</v>
      </c>
      <c r="AN26" s="5" t="str">
        <f>IF(Demand!BE35="Yes","Yes","")</f>
        <v/>
      </c>
      <c r="AP26" s="36" t="str">
        <f ca="1">Demand!B35</f>
        <v xml:space="preserve"> </v>
      </c>
      <c r="AQ26" s="5" t="str">
        <f ca="1">IF(TEXT(Demand!D35,"MMM")&lt;&gt;TEXT(Demand!D34,"MMM"),TEXT(Demand!D35,"MMM"),"")</f>
        <v/>
      </c>
      <c r="AT26" s="5">
        <f t="shared" ca="1" si="12"/>
        <v>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0</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43</v>
      </c>
      <c r="DN26" s="317">
        <f t="shared" si="17"/>
        <v>44123</v>
      </c>
      <c r="DO26" s="5" t="e">
        <f ca="1">VLOOKUP(IF($DM26&lt;53,$DM26,52),'Summary Calculations (hide)'!$D$15:$F$67,2,0)</f>
        <v>#N/A</v>
      </c>
      <c r="DP26" s="5" t="e">
        <f ca="1">VLOOKUP(IF($DM26&lt;53,$DM26,52),'Summary Calculations (hide)'!$D$15:$F$67,3,0)</f>
        <v>#N/A</v>
      </c>
      <c r="DQ26" s="5" t="e">
        <f ca="1">IF(AND(DN26&gt;='Demand adjustments for Covid'!$F$12,DN26&lt;'Demand adjustments for Covid'!$F$17),'Demand adjustments for Covid'!$F$13,DO26)</f>
        <v>#N/A</v>
      </c>
      <c r="DR26" s="5">
        <f t="shared" si="7"/>
        <v>1</v>
      </c>
      <c r="DS26" s="5" t="e">
        <f ca="1">IF('Demand adjustments for Covid'!$F$9="Yes",IF(DR26=0,DQ26,((SUM(DR$4:DR26)-1)*$EE$8)+'Demand adjustments for Covid'!F$13),'Demand background (hide)'!DO26)</f>
        <v>#N/A</v>
      </c>
      <c r="DT26" s="5" t="e">
        <f ca="1">IF('Demand adjustments for Covid'!$F$9="Yes",IF(OR(AND(DN26&gt;='Demand adjustments for Covid'!$F$12,DN26&lt;'Demand adjustments for Covid'!$F$17),DR26=1),DS26+3,DP26),'Demand background (hide)'!DP26)</f>
        <v>#N/A</v>
      </c>
      <c r="DU26" s="5" t="e">
        <f ca="1">IF(DS26&lt;='Demand adjustments for Covid'!$F$17,DO26-DS26,0)</f>
        <v>#N/A</v>
      </c>
      <c r="DV26" s="5">
        <f ca="1">IF(AND(ROW(A23)&gt;$EE$5,ROW(A23)&lt;=$EA$5),OFFSET('Demand adjustments for Covid'!$F$35,0,ROW(A23)-'Demand background (hide)'!$EE$5,1,1),0)</f>
        <v>0</v>
      </c>
      <c r="DW26" s="5">
        <f ca="1">IF(AND(ROW(A23)&gt;$EE$5,ROW(A23)&lt;=$EA$5),OFFSET('Demand adjustments for Covid'!$F$36,0,ROW(A23)-'Demand background (hide)'!$EE$5,1,1),0)</f>
        <v>0</v>
      </c>
      <c r="DX26" s="5" t="e">
        <f t="shared" ca="1" si="11"/>
        <v>#N/A</v>
      </c>
    </row>
    <row r="27" spans="1:128" s="5" customFormat="1" x14ac:dyDescent="0.2">
      <c r="A27" s="5">
        <f t="shared" ca="1" si="3"/>
        <v>1</v>
      </c>
      <c r="B27" s="5">
        <f ca="1">COUNTBLANK(OFFSET(Demand!$I36,0,(COLUMN(A24)-1)*5,1,1))</f>
        <v>1</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0</v>
      </c>
      <c r="Y27" s="5">
        <f t="shared" ca="1" si="5"/>
        <v>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0</v>
      </c>
      <c r="AM27" s="5">
        <f t="shared" ca="1" si="9"/>
        <v>0</v>
      </c>
      <c r="AN27" s="5" t="str">
        <f>IF(Demand!BE36="Yes","Yes","")</f>
        <v/>
      </c>
      <c r="AP27" s="36" t="str">
        <f ca="1">Demand!B36</f>
        <v xml:space="preserve"> </v>
      </c>
      <c r="AQ27" s="5" t="str">
        <f ca="1">IF(TEXT(Demand!D36,"MMM")&lt;&gt;TEXT(Demand!D35,"MMM"),TEXT(Demand!D36,"MMM"),"")</f>
        <v/>
      </c>
      <c r="AT27" s="5">
        <f t="shared" ca="1" si="12"/>
        <v>0</v>
      </c>
      <c r="AV27" s="5" t="s">
        <v>109</v>
      </c>
      <c r="AW27" s="44"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0</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44</v>
      </c>
      <c r="DN27" s="317">
        <f t="shared" si="17"/>
        <v>44130</v>
      </c>
      <c r="DO27" s="5" t="e">
        <f ca="1">VLOOKUP(IF($DM27&lt;53,$DM27,52),'Summary Calculations (hide)'!$D$15:$F$67,2,0)</f>
        <v>#N/A</v>
      </c>
      <c r="DP27" s="5" t="e">
        <f ca="1">VLOOKUP(IF($DM27&lt;53,$DM27,52),'Summary Calculations (hide)'!$D$15:$F$67,3,0)</f>
        <v>#N/A</v>
      </c>
      <c r="DQ27" s="5" t="e">
        <f ca="1">IF(AND(DN27&gt;='Demand adjustments for Covid'!$F$12,DN27&lt;'Demand adjustments for Covid'!$F$17),'Demand adjustments for Covid'!$F$13,DO27)</f>
        <v>#N/A</v>
      </c>
      <c r="DR27" s="5">
        <f t="shared" si="7"/>
        <v>1</v>
      </c>
      <c r="DS27" s="5" t="e">
        <f ca="1">IF('Demand adjustments for Covid'!$F$9="Yes",IF(DR27=0,DQ27,((SUM(DR$4:DR27)-1)*$EE$8)+'Demand adjustments for Covid'!F$13),'Demand background (hide)'!DO27)</f>
        <v>#N/A</v>
      </c>
      <c r="DT27" s="5" t="e">
        <f ca="1">IF('Demand adjustments for Covid'!$F$9="Yes",IF(OR(AND(DN27&gt;='Demand adjustments for Covid'!$F$12,DN27&lt;'Demand adjustments for Covid'!$F$17),DR27=1),DS27+3,DP27),'Demand background (hide)'!DP27)</f>
        <v>#N/A</v>
      </c>
      <c r="DU27" s="5" t="e">
        <f ca="1">IF(DS27&lt;='Demand adjustments for Covid'!$F$17,DO27-DS27,0)</f>
        <v>#N/A</v>
      </c>
      <c r="DV27" s="5">
        <f ca="1">IF(AND(ROW(A24)&gt;$EE$5,ROW(A24)&lt;=$EA$5),OFFSET('Demand adjustments for Covid'!$F$35,0,ROW(A24)-'Demand background (hide)'!$EE$5,1,1),0)</f>
        <v>0</v>
      </c>
      <c r="DW27" s="5">
        <f ca="1">IF(AND(ROW(A24)&gt;$EE$5,ROW(A24)&lt;=$EA$5),OFFSET('Demand adjustments for Covid'!$F$36,0,ROW(A24)-'Demand background (hide)'!$EE$5,1,1),0)</f>
        <v>0</v>
      </c>
      <c r="DX27" s="5" t="e">
        <f t="shared" ca="1" si="11"/>
        <v>#N/A</v>
      </c>
    </row>
    <row r="28" spans="1:128" s="5" customFormat="1" x14ac:dyDescent="0.2">
      <c r="A28" s="5">
        <f t="shared" ca="1" si="3"/>
        <v>1</v>
      </c>
      <c r="B28" s="5">
        <f ca="1">COUNTBLANK(OFFSET(Demand!$I37,0,(COLUMN(A25)-1)*5,1,1))</f>
        <v>1</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0</v>
      </c>
      <c r="Y28" s="5">
        <f t="shared" ca="1" si="5"/>
        <v>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0</v>
      </c>
      <c r="AM28" s="5">
        <f t="shared" ca="1" si="9"/>
        <v>0</v>
      </c>
      <c r="AN28" s="5" t="str">
        <f>IF(Demand!BE37="Yes","Yes","")</f>
        <v/>
      </c>
      <c r="AP28" s="36" t="str">
        <f ca="1">Demand!B37</f>
        <v xml:space="preserve"> </v>
      </c>
      <c r="AQ28" s="5" t="str">
        <f ca="1">IF(TEXT(Demand!D37,"MMM")&lt;&gt;TEXT(Demand!D36,"MMM"),TEXT(Demand!D37,"MMM"),"")</f>
        <v/>
      </c>
      <c r="AT28" s="5">
        <f t="shared" ca="1" si="12"/>
        <v>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0</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45</v>
      </c>
      <c r="DN28" s="317">
        <f t="shared" si="17"/>
        <v>44137</v>
      </c>
      <c r="DO28" s="5" t="e">
        <f ca="1">VLOOKUP(IF($DM28&lt;53,$DM28,52),'Summary Calculations (hide)'!$D$15:$F$67,2,0)</f>
        <v>#N/A</v>
      </c>
      <c r="DP28" s="5" t="e">
        <f ca="1">VLOOKUP(IF($DM28&lt;53,$DM28,52),'Summary Calculations (hide)'!$D$15:$F$67,3,0)</f>
        <v>#N/A</v>
      </c>
      <c r="DQ28" s="5" t="e">
        <f ca="1">IF(AND(DN28&gt;='Demand adjustments for Covid'!$F$12,DN28&lt;'Demand adjustments for Covid'!$F$17),'Demand adjustments for Covid'!$F$13,DO28)</f>
        <v>#N/A</v>
      </c>
      <c r="DR28" s="5">
        <f t="shared" si="7"/>
        <v>1</v>
      </c>
      <c r="DS28" s="5" t="e">
        <f ca="1">IF('Demand adjustments for Covid'!$F$9="Yes",IF(DR28=0,DQ28,((SUM(DR$4:DR28)-1)*$EE$8)+'Demand adjustments for Covid'!F$13),'Demand background (hide)'!DO28)</f>
        <v>#N/A</v>
      </c>
      <c r="DT28" s="5" t="e">
        <f ca="1">IF('Demand adjustments for Covid'!$F$9="Yes",IF(OR(AND(DN28&gt;='Demand adjustments for Covid'!$F$12,DN28&lt;'Demand adjustments for Covid'!$F$17),DR28=1),DS28+3,DP28),'Demand background (hide)'!DP28)</f>
        <v>#N/A</v>
      </c>
      <c r="DU28" s="5" t="e">
        <f ca="1">IF(DS28&lt;='Demand adjustments for Covid'!$F$17,DO28-DS28,0)</f>
        <v>#N/A</v>
      </c>
      <c r="DV28" s="5">
        <f ca="1">IF(AND(ROW(A25)&gt;$EE$5,ROW(A25)&lt;=$EA$5),OFFSET('Demand adjustments for Covid'!$F$35,0,ROW(A25)-'Demand background (hide)'!$EE$5,1,1),0)</f>
        <v>0</v>
      </c>
      <c r="DW28" s="5">
        <f ca="1">IF(AND(ROW(A25)&gt;$EE$5,ROW(A25)&lt;=$EA$5),OFFSET('Demand adjustments for Covid'!$F$36,0,ROW(A25)-'Demand background (hide)'!$EE$5,1,1),0)</f>
        <v>0</v>
      </c>
      <c r="DX28" s="5" t="e">
        <f t="shared" ca="1" si="11"/>
        <v>#N/A</v>
      </c>
    </row>
    <row r="29" spans="1:128" s="5" customFormat="1" x14ac:dyDescent="0.2">
      <c r="A29" s="5">
        <f t="shared" ca="1" si="3"/>
        <v>1</v>
      </c>
      <c r="B29" s="5">
        <f ca="1">COUNTBLANK(OFFSET(Demand!$I38,0,(COLUMN(A26)-1)*5,1,1))</f>
        <v>1</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0</v>
      </c>
      <c r="Y29" s="5">
        <f t="shared" ca="1" si="5"/>
        <v>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0</v>
      </c>
      <c r="AM29" s="5">
        <f t="shared" ca="1" si="9"/>
        <v>0</v>
      </c>
      <c r="AN29" s="5" t="str">
        <f>IF(Demand!BE38="Yes","Yes","")</f>
        <v/>
      </c>
      <c r="AP29" s="36" t="str">
        <f ca="1">Demand!B38</f>
        <v xml:space="preserve"> </v>
      </c>
      <c r="AQ29" s="5" t="str">
        <f ca="1">IF(TEXT(Demand!D38,"MMM")&lt;&gt;TEXT(Demand!D37,"MMM"),TEXT(Demand!D38,"MMM"),"")</f>
        <v/>
      </c>
      <c r="AT29" s="5">
        <f t="shared" ca="1" si="12"/>
        <v>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46</v>
      </c>
      <c r="DN29" s="317">
        <f t="shared" si="17"/>
        <v>44144</v>
      </c>
      <c r="DO29" s="5" t="e">
        <f ca="1">VLOOKUP(IF($DM29&lt;53,$DM29,52),'Summary Calculations (hide)'!$D$15:$F$67,2,0)</f>
        <v>#N/A</v>
      </c>
      <c r="DP29" s="5" t="e">
        <f ca="1">VLOOKUP(IF($DM29&lt;53,$DM29,52),'Summary Calculations (hide)'!$D$15:$F$67,3,0)</f>
        <v>#N/A</v>
      </c>
      <c r="DQ29" s="5" t="e">
        <f ca="1">IF(AND(DN29&gt;='Demand adjustments for Covid'!$F$12,DN29&lt;'Demand adjustments for Covid'!$F$17),'Demand adjustments for Covid'!$F$13,DO29)</f>
        <v>#N/A</v>
      </c>
      <c r="DR29" s="5">
        <f t="shared" si="7"/>
        <v>1</v>
      </c>
      <c r="DS29" s="5" t="e">
        <f ca="1">IF('Demand adjustments for Covid'!$F$9="Yes",IF(DR29=0,DQ29,((SUM(DR$4:DR29)-1)*$EE$8)+'Demand adjustments for Covid'!F$13),'Demand background (hide)'!DO29)</f>
        <v>#N/A</v>
      </c>
      <c r="DT29" s="5" t="e">
        <f ca="1">IF('Demand adjustments for Covid'!$F$9="Yes",IF(OR(AND(DN29&gt;='Demand adjustments for Covid'!$F$12,DN29&lt;'Demand adjustments for Covid'!$F$17),DR29=1),DS29+3,DP29),'Demand background (hide)'!DP29)</f>
        <v>#N/A</v>
      </c>
      <c r="DU29" s="5" t="e">
        <f ca="1">IF(DS29&lt;='Demand adjustments for Covid'!$F$17,DO29-DS29,0)</f>
        <v>#N/A</v>
      </c>
      <c r="DV29" s="5">
        <f ca="1">IF(AND(ROW(A26)&gt;$EE$5,ROW(A26)&lt;=$EA$5),OFFSET('Demand adjustments for Covid'!$F$35,0,ROW(A26)-'Demand background (hide)'!$EE$5,1,1),0)</f>
        <v>0</v>
      </c>
      <c r="DW29" s="5">
        <f ca="1">IF(AND(ROW(A26)&gt;$EE$5,ROW(A26)&lt;=$EA$5),OFFSET('Demand adjustments for Covid'!$F$36,0,ROW(A26)-'Demand background (hide)'!$EE$5,1,1),0)</f>
        <v>0</v>
      </c>
      <c r="DX29" s="5" t="e">
        <f t="shared" ca="1" si="11"/>
        <v>#N/A</v>
      </c>
    </row>
    <row r="30" spans="1:128" s="5" customFormat="1" x14ac:dyDescent="0.2">
      <c r="A30" s="5">
        <f t="shared" ca="1" si="3"/>
        <v>1</v>
      </c>
      <c r="B30" s="5">
        <f ca="1">COUNTBLANK(OFFSET(Demand!$I39,0,(COLUMN(A27)-1)*5,1,1))</f>
        <v>1</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0</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0</v>
      </c>
      <c r="Y30" s="5">
        <f t="shared" ca="1" si="5"/>
        <v>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0</v>
      </c>
      <c r="AM30" s="5">
        <f t="shared" ca="1" si="9"/>
        <v>0</v>
      </c>
      <c r="AN30" s="5" t="str">
        <f>IF(Demand!BE39="Yes","Yes","")</f>
        <v/>
      </c>
      <c r="AP30" s="36" t="str">
        <f ca="1">Demand!B39</f>
        <v xml:space="preserve"> </v>
      </c>
      <c r="AQ30" s="5" t="str">
        <f ca="1">IF(TEXT(Demand!D39,"MMM")&lt;&gt;TEXT(Demand!D38,"MMM"),TEXT(Demand!D39,"MMM"),"")</f>
        <v/>
      </c>
      <c r="AT30" s="5">
        <f t="shared" ca="1" si="12"/>
        <v>0</v>
      </c>
      <c r="BQ30">
        <f ca="1">IF($AN30="",OFFSET(Demand!$A$13,ROW(A27)-1,4+((QUOTIENT(COLUMN(BQ$2)-69,3))*5)+MOD(COLUMN(BQ$2),3),1,1),"")</f>
        <v>0</v>
      </c>
      <c r="BR30">
        <f ca="1">IF($AN30="",OFFSET(Demand!$A$13,ROW(B27)-1,4+((QUOTIENT(COLUMN(BR$2)-69,3))*5)+MOD(COLUMN(BR$2),3),1,1),"")</f>
        <v>0</v>
      </c>
      <c r="BS30">
        <f ca="1">IF($AN30="",OFFSET(Demand!$A$13,ROW(C27)-1,4+((QUOTIENT(COLUMN(BS$2)-69,3))*5)+MOD(COLUMN(BS$2),3),1,1),"")</f>
        <v>0</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47</v>
      </c>
      <c r="DN30" s="317">
        <f t="shared" si="17"/>
        <v>44151</v>
      </c>
      <c r="DO30" s="5" t="e">
        <f ca="1">VLOOKUP(IF($DM30&lt;53,$DM30,52),'Summary Calculations (hide)'!$D$15:$F$67,2,0)</f>
        <v>#N/A</v>
      </c>
      <c r="DP30" s="5" t="e">
        <f ca="1">VLOOKUP(IF($DM30&lt;53,$DM30,52),'Summary Calculations (hide)'!$D$15:$F$67,3,0)</f>
        <v>#N/A</v>
      </c>
      <c r="DQ30" s="5" t="e">
        <f ca="1">IF(AND(DN30&gt;='Demand adjustments for Covid'!$F$12,DN30&lt;'Demand adjustments for Covid'!$F$17),'Demand adjustments for Covid'!$F$13,DO30)</f>
        <v>#N/A</v>
      </c>
      <c r="DR30" s="5">
        <f t="shared" si="7"/>
        <v>1</v>
      </c>
      <c r="DS30" s="5" t="e">
        <f ca="1">IF('Demand adjustments for Covid'!$F$9="Yes",IF(DR30=0,DQ30,((SUM(DR$4:DR30)-1)*$EE$8)+'Demand adjustments for Covid'!F$13),'Demand background (hide)'!DO30)</f>
        <v>#N/A</v>
      </c>
      <c r="DT30" s="5" t="e">
        <f ca="1">IF('Demand adjustments for Covid'!$F$9="Yes",IF(OR(AND(DN30&gt;='Demand adjustments for Covid'!$F$12,DN30&lt;'Demand adjustments for Covid'!$F$17),DR30=1),DS30+3,DP30),'Demand background (hide)'!DP30)</f>
        <v>#N/A</v>
      </c>
      <c r="DU30" s="5" t="e">
        <f ca="1">IF(DS30&lt;='Demand adjustments for Covid'!$F$17,DO30-DS30,0)</f>
        <v>#N/A</v>
      </c>
      <c r="DV30" s="5">
        <f ca="1">IF(AND(ROW(A27)&gt;$EE$5,ROW(A27)&lt;=$EA$5),OFFSET('Demand adjustments for Covid'!$F$35,0,ROW(A27)-'Demand background (hide)'!$EE$5,1,1),0)</f>
        <v>0</v>
      </c>
      <c r="DW30" s="5">
        <f ca="1">IF(AND(ROW(A27)&gt;$EE$5,ROW(A27)&lt;=$EA$5),OFFSET('Demand adjustments for Covid'!$F$36,0,ROW(A27)-'Demand background (hide)'!$EE$5,1,1),0)</f>
        <v>0</v>
      </c>
      <c r="DX30" s="5" t="e">
        <f t="shared" ca="1" si="11"/>
        <v>#N/A</v>
      </c>
    </row>
    <row r="31" spans="1:128" s="5" customFormat="1" x14ac:dyDescent="0.2">
      <c r="A31" s="5">
        <f t="shared" ca="1" si="3"/>
        <v>1</v>
      </c>
      <c r="B31" s="5">
        <f ca="1">COUNTBLANK(OFFSET(Demand!$I40,0,(COLUMN(A28)-1)*5,1,1))</f>
        <v>1</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0</v>
      </c>
      <c r="Y31" s="5">
        <f t="shared" ca="1" si="5"/>
        <v>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0</v>
      </c>
      <c r="AM31" s="5">
        <f t="shared" ca="1" si="9"/>
        <v>0</v>
      </c>
      <c r="AN31" s="5" t="str">
        <f>IF(Demand!BE40="Yes","Yes","")</f>
        <v/>
      </c>
      <c r="AP31" s="36" t="str">
        <f ca="1">Demand!B40</f>
        <v xml:space="preserve"> </v>
      </c>
      <c r="AQ31" s="5" t="str">
        <f ca="1">IF(TEXT(Demand!D40,"MMM")&lt;&gt;TEXT(Demand!D39,"MMM"),TEXT(Demand!D40,"MMM"),"")</f>
        <v/>
      </c>
      <c r="AT31" s="5">
        <f t="shared" ca="1" si="12"/>
        <v>0</v>
      </c>
      <c r="BQ31">
        <f ca="1">IF($AN31="",OFFSET(Demand!$A$13,ROW(A28)-1,4+((QUOTIENT(COLUMN(BQ$2)-69,3))*5)+MOD(COLUMN(BQ$2),3),1,1),"")</f>
        <v>0</v>
      </c>
      <c r="BR31">
        <f ca="1">IF($AN31="",OFFSET(Demand!$A$13,ROW(B28)-1,4+((QUOTIENT(COLUMN(BR$2)-69,3))*5)+MOD(COLUMN(BR$2),3),1,1),"")</f>
        <v>0</v>
      </c>
      <c r="BS31">
        <f ca="1">IF($AN31="",OFFSET(Demand!$A$13,ROW(C28)-1,4+((QUOTIENT(COLUMN(BS$2)-69,3))*5)+MOD(COLUMN(BS$2),3),1,1),"")</f>
        <v>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48</v>
      </c>
      <c r="DN31" s="317">
        <f t="shared" si="17"/>
        <v>44158</v>
      </c>
      <c r="DO31" s="5" t="e">
        <f ca="1">VLOOKUP(IF($DM31&lt;53,$DM31,52),'Summary Calculations (hide)'!$D$15:$F$67,2,0)</f>
        <v>#N/A</v>
      </c>
      <c r="DP31" s="5" t="e">
        <f ca="1">VLOOKUP(IF($DM31&lt;53,$DM31,52),'Summary Calculations (hide)'!$D$15:$F$67,3,0)</f>
        <v>#N/A</v>
      </c>
      <c r="DQ31" s="5" t="e">
        <f ca="1">IF(AND(DN31&gt;='Demand adjustments for Covid'!$F$12,DN31&lt;'Demand adjustments for Covid'!$F$17),'Demand adjustments for Covid'!$F$13,DO31)</f>
        <v>#N/A</v>
      </c>
      <c r="DR31" s="5">
        <f t="shared" si="7"/>
        <v>0</v>
      </c>
      <c r="DS31" s="5" t="e">
        <f ca="1">IF('Demand adjustments for Covid'!$F$9="Yes",IF(DR31=0,DQ31,((SUM(DR$4:DR31)-1)*$EE$8)+'Demand adjustments for Covid'!F$13),'Demand background (hide)'!DO31)</f>
        <v>#N/A</v>
      </c>
      <c r="DT31" s="5" t="e">
        <f ca="1">IF('Demand adjustments for Covid'!$F$9="Yes",IF(OR(AND(DN31&gt;='Demand adjustments for Covid'!$F$12,DN31&lt;'Demand adjustments for Covid'!$F$17),DR31=1),DS31+3,DP31),'Demand background (hide)'!DP31)</f>
        <v>#N/A</v>
      </c>
      <c r="DU31" s="5" t="e">
        <f ca="1">IF(DS31&lt;='Demand adjustments for Covid'!$F$17,DO31-DS31,0)</f>
        <v>#N/A</v>
      </c>
      <c r="DV31" s="5">
        <f ca="1">IF(AND(ROW(A28)&gt;$EE$5,ROW(A28)&lt;=$EA$5),OFFSET('Demand adjustments for Covid'!$F$35,0,ROW(A28)-'Demand background (hide)'!$EE$5,1,1),0)</f>
        <v>200</v>
      </c>
      <c r="DW31" s="5">
        <f ca="1">IF(AND(ROW(A28)&gt;$EE$5,ROW(A28)&lt;=$EA$5),OFFSET('Demand adjustments for Covid'!$F$36,0,ROW(A28)-'Demand background (hide)'!$EE$5,1,1),0)</f>
        <v>300</v>
      </c>
      <c r="DX31" s="5" t="e">
        <f t="shared" ca="1" si="11"/>
        <v>#N/A</v>
      </c>
    </row>
    <row r="32" spans="1:128" s="5" customFormat="1" x14ac:dyDescent="0.2">
      <c r="A32" s="5">
        <f t="shared" ca="1" si="3"/>
        <v>1</v>
      </c>
      <c r="B32" s="5">
        <f ca="1">COUNTBLANK(OFFSET(Demand!$I41,0,(COLUMN(A29)-1)*5,1,1))</f>
        <v>1</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0</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0</v>
      </c>
      <c r="Y32" s="5">
        <f t="shared" ca="1" si="5"/>
        <v>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0</v>
      </c>
      <c r="AM32" s="5">
        <f t="shared" ca="1" si="9"/>
        <v>0</v>
      </c>
      <c r="AN32" s="5" t="str">
        <f>IF(Demand!BE41="Yes","Yes","")</f>
        <v/>
      </c>
      <c r="AP32" s="36" t="str">
        <f ca="1">Demand!B41</f>
        <v xml:space="preserve"> </v>
      </c>
      <c r="AQ32" s="5" t="str">
        <f ca="1">IF(TEXT(Demand!D41,"MMM")&lt;&gt;TEXT(Demand!D40,"MMM"),TEXT(Demand!D41,"MMM"),"")</f>
        <v/>
      </c>
      <c r="AT32" s="5">
        <f t="shared" ca="1" si="12"/>
        <v>0</v>
      </c>
      <c r="BQ32">
        <f ca="1">IF($AN32="",OFFSET(Demand!$A$13,ROW(A29)-1,4+((QUOTIENT(COLUMN(BQ$2)-69,3))*5)+MOD(COLUMN(BQ$2),3),1,1),"")</f>
        <v>0</v>
      </c>
      <c r="BR32">
        <f ca="1">IF($AN32="",OFFSET(Demand!$A$13,ROW(B29)-1,4+((QUOTIENT(COLUMN(BR$2)-69,3))*5)+MOD(COLUMN(BR$2),3),1,1),"")</f>
        <v>0</v>
      </c>
      <c r="BS32">
        <f ca="1">IF($AN32="",OFFSET(Demand!$A$13,ROW(C29)-1,4+((QUOTIENT(COLUMN(BS$2)-69,3))*5)+MOD(COLUMN(BS$2),3),1,1),"")</f>
        <v>0</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49</v>
      </c>
      <c r="DN32" s="317">
        <f t="shared" si="17"/>
        <v>44165</v>
      </c>
      <c r="DO32" s="5" t="e">
        <f ca="1">VLOOKUP(IF($DM32&lt;53,$DM32,52),'Summary Calculations (hide)'!$D$15:$F$67,2,0)</f>
        <v>#N/A</v>
      </c>
      <c r="DP32" s="5" t="e">
        <f ca="1">VLOOKUP(IF($DM32&lt;53,$DM32,52),'Summary Calculations (hide)'!$D$15:$F$67,3,0)</f>
        <v>#N/A</v>
      </c>
      <c r="DQ32" s="5" t="e">
        <f ca="1">IF(AND(DN32&gt;='Demand adjustments for Covid'!$F$12,DN32&lt;'Demand adjustments for Covid'!$F$17),'Demand adjustments for Covid'!$F$13,DO32)</f>
        <v>#N/A</v>
      </c>
      <c r="DR32" s="5">
        <f t="shared" si="7"/>
        <v>0</v>
      </c>
      <c r="DS32" s="5" t="e">
        <f ca="1">IF('Demand adjustments for Covid'!$F$9="Yes",IF(DR32=0,DQ32,((SUM(DR$4:DR32)-1)*$EE$8)+'Demand adjustments for Covid'!F$13),'Demand background (hide)'!DO32)</f>
        <v>#N/A</v>
      </c>
      <c r="DT32" s="5" t="e">
        <f ca="1">IF('Demand adjustments for Covid'!$F$9="Yes",IF(OR(AND(DN32&gt;='Demand adjustments for Covid'!$F$12,DN32&lt;'Demand adjustments for Covid'!$F$17),DR32=1),DS32+3,DP32),'Demand background (hide)'!DP32)</f>
        <v>#N/A</v>
      </c>
      <c r="DU32" s="5" t="e">
        <f ca="1">IF(DS32&lt;='Demand adjustments for Covid'!$F$17,DO32-DS32,0)</f>
        <v>#N/A</v>
      </c>
      <c r="DV32" s="5">
        <f ca="1">IF(AND(ROW(A29)&gt;$EE$5,ROW(A29)&lt;=$EA$5),OFFSET('Demand adjustments for Covid'!$F$35,0,ROW(A29)-'Demand background (hide)'!$EE$5,1,1),0)</f>
        <v>200</v>
      </c>
      <c r="DW32" s="5">
        <f ca="1">IF(AND(ROW(A29)&gt;$EE$5,ROW(A29)&lt;=$EA$5),OFFSET('Demand adjustments for Covid'!$F$36,0,ROW(A29)-'Demand background (hide)'!$EE$5,1,1),0)</f>
        <v>300</v>
      </c>
      <c r="DX32" s="5" t="e">
        <f t="shared" ca="1" si="11"/>
        <v>#N/A</v>
      </c>
    </row>
    <row r="33" spans="1:128" s="5" customFormat="1" x14ac:dyDescent="0.2">
      <c r="A33" s="5">
        <f t="shared" ca="1" si="3"/>
        <v>1</v>
      </c>
      <c r="B33" s="5">
        <f ca="1">COUNTBLANK(OFFSET(Demand!$I42,0,(COLUMN(A30)-1)*5,1,1))</f>
        <v>1</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0</v>
      </c>
      <c r="Y33" s="5">
        <f t="shared" ca="1" si="5"/>
        <v>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0</v>
      </c>
      <c r="AM33" s="5">
        <f t="shared" ca="1" si="9"/>
        <v>0</v>
      </c>
      <c r="AN33" s="5" t="str">
        <f>IF(Demand!BE42="Yes","Yes","")</f>
        <v/>
      </c>
      <c r="AP33" s="36" t="str">
        <f ca="1">Demand!B42</f>
        <v xml:space="preserve"> </v>
      </c>
      <c r="AQ33" s="5" t="str">
        <f ca="1">IF(TEXT(Demand!D42,"MMM")&lt;&gt;TEXT(Demand!D41,"MMM"),TEXT(Demand!D42,"MMM"),"")</f>
        <v/>
      </c>
      <c r="AT33" s="5">
        <f t="shared" ca="1" si="12"/>
        <v>0</v>
      </c>
      <c r="BQ33">
        <f ca="1">IF($AN33="",OFFSET(Demand!$A$13,ROW(A30)-1,4+((QUOTIENT(COLUMN(BQ$2)-69,3))*5)+MOD(COLUMN(BQ$2),3),1,1),"")</f>
        <v>0</v>
      </c>
      <c r="BR33">
        <f ca="1">IF($AN33="",OFFSET(Demand!$A$13,ROW(B30)-1,4+((QUOTIENT(COLUMN(BR$2)-69,3))*5)+MOD(COLUMN(BR$2),3),1,1),"")</f>
        <v>0</v>
      </c>
      <c r="BS33">
        <f ca="1">IF($AN33="",OFFSET(Demand!$A$13,ROW(C30)-1,4+((QUOTIENT(COLUMN(BS$2)-69,3))*5)+MOD(COLUMN(BS$2),3),1,1),"")</f>
        <v>0</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50</v>
      </c>
      <c r="DN33" s="317">
        <f t="shared" si="17"/>
        <v>44172</v>
      </c>
      <c r="DO33" s="5" t="e">
        <f ca="1">VLOOKUP(IF($DM33&lt;53,$DM33,52),'Summary Calculations (hide)'!$D$15:$F$67,2,0)</f>
        <v>#N/A</v>
      </c>
      <c r="DP33" s="5" t="e">
        <f ca="1">VLOOKUP(IF($DM33&lt;53,$DM33,52),'Summary Calculations (hide)'!$D$15:$F$67,3,0)</f>
        <v>#N/A</v>
      </c>
      <c r="DQ33" s="5" t="e">
        <f ca="1">IF(AND(DN33&gt;='Demand adjustments for Covid'!$F$12,DN33&lt;'Demand adjustments for Covid'!$F$17),'Demand adjustments for Covid'!$F$13,DO33)</f>
        <v>#N/A</v>
      </c>
      <c r="DR33" s="5">
        <f t="shared" si="7"/>
        <v>0</v>
      </c>
      <c r="DS33" s="5" t="e">
        <f ca="1">IF('Demand adjustments for Covid'!$F$9="Yes",IF(DR33=0,DQ33,((SUM(DR$4:DR33)-1)*$EE$8)+'Demand adjustments for Covid'!F$13),'Demand background (hide)'!DO33)</f>
        <v>#N/A</v>
      </c>
      <c r="DT33" s="5" t="e">
        <f ca="1">IF('Demand adjustments for Covid'!$F$9="Yes",IF(OR(AND(DN33&gt;='Demand adjustments for Covid'!$F$12,DN33&lt;'Demand adjustments for Covid'!$F$17),DR33=1),DS33+3,DP33),'Demand background (hide)'!DP33)</f>
        <v>#N/A</v>
      </c>
      <c r="DU33" s="5" t="e">
        <f ca="1">IF(DS33&lt;='Demand adjustments for Covid'!$F$17,DO33-DS33,0)</f>
        <v>#N/A</v>
      </c>
      <c r="DV33" s="5">
        <f ca="1">IF(AND(ROW(A30)&gt;$EE$5,ROW(A30)&lt;=$EA$5),OFFSET('Demand adjustments for Covid'!$F$35,0,ROW(A30)-'Demand background (hide)'!$EE$5,1,1),0)</f>
        <v>200</v>
      </c>
      <c r="DW33" s="5">
        <f ca="1">IF(AND(ROW(A30)&gt;$EE$5,ROW(A30)&lt;=$EA$5),OFFSET('Demand adjustments for Covid'!$F$36,0,ROW(A30)-'Demand background (hide)'!$EE$5,1,1),0)</f>
        <v>300</v>
      </c>
      <c r="DX33" s="5" t="e">
        <f t="shared" ca="1" si="11"/>
        <v>#N/A</v>
      </c>
    </row>
    <row r="34" spans="1:128" s="5" customFormat="1" x14ac:dyDescent="0.2">
      <c r="A34" s="5">
        <f t="shared" ca="1" si="3"/>
        <v>1</v>
      </c>
      <c r="B34" s="5">
        <f ca="1">COUNTBLANK(OFFSET(Demand!$I43,0,(COLUMN(A31)-1)*5,1,1))</f>
        <v>1</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0</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0</v>
      </c>
      <c r="Y34" s="5">
        <f t="shared" ca="1" si="5"/>
        <v>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0</v>
      </c>
      <c r="AM34" s="5">
        <f t="shared" ca="1" si="9"/>
        <v>0</v>
      </c>
      <c r="AN34" s="5" t="str">
        <f>IF(Demand!BE43="Yes","Yes","")</f>
        <v/>
      </c>
      <c r="AP34" s="36" t="str">
        <f ca="1">Demand!B43</f>
        <v xml:space="preserve"> </v>
      </c>
      <c r="AQ34" s="5" t="str">
        <f ca="1">IF(TEXT(Demand!D43,"MMM")&lt;&gt;TEXT(Demand!D42,"MMM"),TEXT(Demand!D43,"MMM"),"")</f>
        <v/>
      </c>
      <c r="AT34" s="5">
        <f t="shared" ca="1" si="12"/>
        <v>0</v>
      </c>
      <c r="BQ34">
        <f ca="1">IF($AN34="",OFFSET(Demand!$A$13,ROW(A31)-1,4+((QUOTIENT(COLUMN(BQ$2)-69,3))*5)+MOD(COLUMN(BQ$2),3),1,1),"")</f>
        <v>0</v>
      </c>
      <c r="BR34">
        <f ca="1">IF($AN34="",OFFSET(Demand!$A$13,ROW(B31)-1,4+((QUOTIENT(COLUMN(BR$2)-69,3))*5)+MOD(COLUMN(BR$2),3),1,1),"")</f>
        <v>0</v>
      </c>
      <c r="BS34">
        <f ca="1">IF($AN34="",OFFSET(Demand!$A$13,ROW(C31)-1,4+((QUOTIENT(COLUMN(BS$2)-69,3))*5)+MOD(COLUMN(BS$2),3),1,1),"")</f>
        <v>0</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51</v>
      </c>
      <c r="DN34" s="317">
        <f t="shared" si="17"/>
        <v>44179</v>
      </c>
      <c r="DO34" s="5" t="e">
        <f ca="1">VLOOKUP(IF($DM34&lt;53,$DM34,52),'Summary Calculations (hide)'!$D$15:$F$67,2,0)</f>
        <v>#N/A</v>
      </c>
      <c r="DP34" s="5" t="e">
        <f ca="1">VLOOKUP(IF($DM34&lt;53,$DM34,52),'Summary Calculations (hide)'!$D$15:$F$67,3,0)</f>
        <v>#N/A</v>
      </c>
      <c r="DQ34" s="5" t="e">
        <f ca="1">IF(AND(DN34&gt;='Demand adjustments for Covid'!$F$12,DN34&lt;'Demand adjustments for Covid'!$F$17),'Demand adjustments for Covid'!$F$13,DO34)</f>
        <v>#N/A</v>
      </c>
      <c r="DR34" s="5">
        <f t="shared" si="7"/>
        <v>0</v>
      </c>
      <c r="DS34" s="5" t="e">
        <f ca="1">IF('Demand adjustments for Covid'!$F$9="Yes",IF(DR34=0,DQ34,((SUM(DR$4:DR34)-1)*$EE$8)+'Demand adjustments for Covid'!F$13),'Demand background (hide)'!DO34)</f>
        <v>#N/A</v>
      </c>
      <c r="DT34" s="5" t="e">
        <f ca="1">IF('Demand adjustments for Covid'!$F$9="Yes",IF(OR(AND(DN34&gt;='Demand adjustments for Covid'!$F$12,DN34&lt;'Demand adjustments for Covid'!$F$17),DR34=1),DS34+3,DP34),'Demand background (hide)'!DP34)</f>
        <v>#N/A</v>
      </c>
      <c r="DU34" s="5" t="e">
        <f ca="1">IF(DS34&lt;='Demand adjustments for Covid'!$F$17,DO34-DS34,0)</f>
        <v>#N/A</v>
      </c>
      <c r="DV34" s="5">
        <f ca="1">IF(AND(ROW(A31)&gt;$EE$5,ROW(A31)&lt;=$EA$5),OFFSET('Demand adjustments for Covid'!$F$35,0,ROW(A31)-'Demand background (hide)'!$EE$5,1,1),0)</f>
        <v>200</v>
      </c>
      <c r="DW34" s="5">
        <f ca="1">IF(AND(ROW(A31)&gt;$EE$5,ROW(A31)&lt;=$EA$5),OFFSET('Demand adjustments for Covid'!$F$36,0,ROW(A31)-'Demand background (hide)'!$EE$5,1,1),0)</f>
        <v>300</v>
      </c>
      <c r="DX34" s="5" t="e">
        <f t="shared" ca="1" si="11"/>
        <v>#N/A</v>
      </c>
    </row>
    <row r="35" spans="1:128" s="5" customFormat="1" x14ac:dyDescent="0.2">
      <c r="A35" s="5">
        <f t="shared" ca="1" si="3"/>
        <v>1</v>
      </c>
      <c r="B35" s="5">
        <f ca="1">COUNTBLANK(OFFSET(Demand!$I44,0,(COLUMN(A32)-1)*5,1,1))</f>
        <v>1</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0</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0</v>
      </c>
      <c r="Y35" s="5">
        <f t="shared" ca="1" si="5"/>
        <v>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0</v>
      </c>
      <c r="AM35" s="5">
        <f t="shared" ca="1" si="9"/>
        <v>0</v>
      </c>
      <c r="AN35" s="5" t="str">
        <f>IF(Demand!BE44="Yes","Yes","")</f>
        <v/>
      </c>
      <c r="AP35" s="36" t="str">
        <f ca="1">Demand!B44</f>
        <v xml:space="preserve"> </v>
      </c>
      <c r="AQ35" s="5" t="str">
        <f ca="1">IF(TEXT(Demand!D44,"MMM")&lt;&gt;TEXT(Demand!D43,"MMM"),TEXT(Demand!D44,"MMM"),"")</f>
        <v/>
      </c>
      <c r="AT35" s="5">
        <f t="shared" ca="1" si="12"/>
        <v>0</v>
      </c>
      <c r="BQ35">
        <f ca="1">IF($AN35="",OFFSET(Demand!$A$13,ROW(A32)-1,4+((QUOTIENT(COLUMN(BQ$2)-69,3))*5)+MOD(COLUMN(BQ$2),3),1,1),"")</f>
        <v>0</v>
      </c>
      <c r="BR35">
        <f ca="1">IF($AN35="",OFFSET(Demand!$A$13,ROW(B32)-1,4+((QUOTIENT(COLUMN(BR$2)-69,3))*5)+MOD(COLUMN(BR$2),3),1,1),"")</f>
        <v>0</v>
      </c>
      <c r="BS35">
        <f ca="1">IF($AN35="",OFFSET(Demand!$A$13,ROW(C32)-1,4+((QUOTIENT(COLUMN(BS$2)-69,3))*5)+MOD(COLUMN(BS$2),3),1,1),"")</f>
        <v>0</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52</v>
      </c>
      <c r="DN35" s="317">
        <f t="shared" si="17"/>
        <v>44186</v>
      </c>
      <c r="DO35" s="5" t="e">
        <f ca="1">VLOOKUP(IF($DM35&lt;53,$DM35,52),'Summary Calculations (hide)'!$D$15:$F$67,2,0)</f>
        <v>#N/A</v>
      </c>
      <c r="DP35" s="5" t="e">
        <f ca="1">VLOOKUP(IF($DM35&lt;53,$DM35,52),'Summary Calculations (hide)'!$D$15:$F$67,3,0)</f>
        <v>#N/A</v>
      </c>
      <c r="DQ35" s="5" t="e">
        <f ca="1">IF(AND(DN35&gt;='Demand adjustments for Covid'!$F$12,DN35&lt;'Demand adjustments for Covid'!$F$17),'Demand adjustments for Covid'!$F$13,DO35)</f>
        <v>#N/A</v>
      </c>
      <c r="DR35" s="5">
        <f t="shared" si="7"/>
        <v>0</v>
      </c>
      <c r="DS35" s="5" t="e">
        <f ca="1">IF('Demand adjustments for Covid'!$F$9="Yes",IF(DR35=0,DQ35,((SUM(DR$4:DR35)-1)*$EE$8)+'Demand adjustments for Covid'!F$13),'Demand background (hide)'!DO35)</f>
        <v>#N/A</v>
      </c>
      <c r="DT35" s="5" t="e">
        <f ca="1">IF('Demand adjustments for Covid'!$F$9="Yes",IF(OR(AND(DN35&gt;='Demand adjustments for Covid'!$F$12,DN35&lt;'Demand adjustments for Covid'!$F$17),DR35=1),DS35+3,DP35),'Demand background (hide)'!DP35)</f>
        <v>#N/A</v>
      </c>
      <c r="DU35" s="5" t="e">
        <f ca="1">IF(DS35&lt;='Demand adjustments for Covid'!$F$17,DO35-DS35,0)</f>
        <v>#N/A</v>
      </c>
      <c r="DV35" s="5">
        <f ca="1">IF(AND(ROW(A32)&gt;$EE$5,ROW(A32)&lt;=$EA$5),OFFSET('Demand adjustments for Covid'!$F$35,0,ROW(A32)-'Demand background (hide)'!$EE$5,1,1),0)</f>
        <v>200</v>
      </c>
      <c r="DW35" s="5">
        <f ca="1">IF(AND(ROW(A32)&gt;$EE$5,ROW(A32)&lt;=$EA$5),OFFSET('Demand adjustments for Covid'!$F$36,0,ROW(A32)-'Demand background (hide)'!$EE$5,1,1),0)</f>
        <v>300</v>
      </c>
      <c r="DX35" s="5" t="e">
        <f t="shared" ca="1" si="11"/>
        <v>#N/A</v>
      </c>
    </row>
    <row r="36" spans="1:128" s="5" customFormat="1" x14ac:dyDescent="0.2">
      <c r="A36" s="5">
        <f t="shared" ref="A36:A55" ca="1" si="32">SUM(OFFSET(B36,0,0,1,Num_Modalities))</f>
        <v>1</v>
      </c>
      <c r="B36" s="5">
        <f ca="1">COUNTBLANK(OFFSET(Demand!$I45,0,(COLUMN(A33)-1)*5,1,1))</f>
        <v>1</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0</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0</v>
      </c>
      <c r="Y36" s="5">
        <f t="shared" ca="1" si="5"/>
        <v>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0</v>
      </c>
      <c r="AM36" s="5">
        <f t="shared" ca="1" si="9"/>
        <v>0</v>
      </c>
      <c r="AN36" s="5" t="str">
        <f>IF(Demand!BE45="Yes","Yes","")</f>
        <v/>
      </c>
      <c r="AP36" s="36" t="str">
        <f ca="1">Demand!B45</f>
        <v xml:space="preserve"> </v>
      </c>
      <c r="AQ36" s="5" t="str">
        <f ca="1">IF(TEXT(Demand!D45,"MMM")&lt;&gt;TEXT(Demand!D44,"MMM"),TEXT(Demand!D45,"MMM"),"")</f>
        <v/>
      </c>
      <c r="AT36" s="5">
        <f t="shared" ca="1" si="12"/>
        <v>0</v>
      </c>
      <c r="BQ36">
        <f ca="1">IF($AN36="",OFFSET(Demand!$A$13,ROW(A33)-1,4+((QUOTIENT(COLUMN(BQ$2)-69,3))*5)+MOD(COLUMN(BQ$2),3),1,1),"")</f>
        <v>0</v>
      </c>
      <c r="BR36">
        <f ca="1">IF($AN36="",OFFSET(Demand!$A$13,ROW(B33)-1,4+((QUOTIENT(COLUMN(BR$2)-69,3))*5)+MOD(COLUMN(BR$2),3),1,1),"")</f>
        <v>0</v>
      </c>
      <c r="BS36">
        <f ca="1">IF($AN36="",OFFSET(Demand!$A$13,ROW(C33)-1,4+((QUOTIENT(COLUMN(BS$2)-69,3))*5)+MOD(COLUMN(BS$2),3),1,1),"")</f>
        <v>0</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53</v>
      </c>
      <c r="DN36" s="317">
        <f t="shared" si="17"/>
        <v>44193</v>
      </c>
      <c r="DO36" s="5" t="e">
        <f ca="1">VLOOKUP(IF($DM36&lt;53,$DM36,52),'Summary Calculations (hide)'!$D$15:$F$67,2,0)</f>
        <v>#N/A</v>
      </c>
      <c r="DP36" s="5" t="e">
        <f ca="1">VLOOKUP(IF($DM36&lt;53,$DM36,52),'Summary Calculations (hide)'!$D$15:$F$67,3,0)</f>
        <v>#N/A</v>
      </c>
      <c r="DQ36" s="5" t="e">
        <f ca="1">IF(AND(DN36&gt;='Demand adjustments for Covid'!$F$12,DN36&lt;'Demand adjustments for Covid'!$F$17),'Demand adjustments for Covid'!$F$13,DO36)</f>
        <v>#N/A</v>
      </c>
      <c r="DR36" s="5">
        <f t="shared" ref="DR36:DR55" si="33">IF(AND(ROW(A33)&gt;=$EE$4,ROW(A33)&lt;=$EE$5),1,0)</f>
        <v>0</v>
      </c>
      <c r="DS36" s="5" t="e">
        <f ca="1">IF('Demand adjustments for Covid'!$F$9="Yes",IF(DR36=0,DQ36,((SUM(DR$4:DR36)-1)*$EE$8)+'Demand adjustments for Covid'!F$13),'Demand background (hide)'!DO36)</f>
        <v>#N/A</v>
      </c>
      <c r="DT36" s="5" t="e">
        <f ca="1">IF('Demand adjustments for Covid'!$F$9="Yes",IF(OR(AND(DN36&gt;='Demand adjustments for Covid'!$F$12,DN36&lt;'Demand adjustments for Covid'!$F$17),DR36=1),DS36+3,DP36),'Demand background (hide)'!DP36)</f>
        <v>#N/A</v>
      </c>
      <c r="DU36" s="5" t="e">
        <f ca="1">IF(DS36&lt;='Demand adjustments for Covid'!$F$17,DO36-DS36,0)</f>
        <v>#N/A</v>
      </c>
      <c r="DV36" s="5">
        <f ca="1">IF(AND(ROW(A33)&gt;$EE$5,ROW(A33)&lt;=$EA$5),OFFSET('Demand adjustments for Covid'!$F$35,0,ROW(A33)-'Demand background (hide)'!$EE$5,1,1),0)</f>
        <v>200</v>
      </c>
      <c r="DW36" s="5">
        <f ca="1">IF(AND(ROW(A33)&gt;$EE$5,ROW(A33)&lt;=$EA$5),OFFSET('Demand adjustments for Covid'!$F$36,0,ROW(A33)-'Demand background (hide)'!$EE$5,1,1),0)</f>
        <v>300</v>
      </c>
      <c r="DX36" s="5" t="e">
        <f t="shared" ca="1" si="11"/>
        <v>#N/A</v>
      </c>
    </row>
    <row r="37" spans="1:128" s="5" customFormat="1" x14ac:dyDescent="0.2">
      <c r="A37" s="5">
        <f t="shared" ca="1" si="32"/>
        <v>1</v>
      </c>
      <c r="B37" s="5">
        <f ca="1">COUNTBLANK(OFFSET(Demand!$I46,0,(COLUMN(A34)-1)*5,1,1))</f>
        <v>1</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0</v>
      </c>
      <c r="Y37" s="5">
        <f t="shared" ca="1" si="5"/>
        <v>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0</v>
      </c>
      <c r="AM37" s="5">
        <f t="shared" ca="1" si="9"/>
        <v>0</v>
      </c>
      <c r="AN37" s="5" t="str">
        <f>IF(Demand!BE46="Yes","Yes","")</f>
        <v/>
      </c>
      <c r="AP37" s="36" t="str">
        <f ca="1">Demand!B46</f>
        <v xml:space="preserve"> </v>
      </c>
      <c r="AQ37" s="5" t="str">
        <f ca="1">IF(TEXT(Demand!D46,"MMM")&lt;&gt;TEXT(Demand!D45,"MMM"),TEXT(Demand!D46,"MMM"),"")</f>
        <v/>
      </c>
      <c r="AT37" s="5">
        <f t="shared" ca="1" si="12"/>
        <v>0</v>
      </c>
      <c r="BQ37">
        <f ca="1">IF($AN37="",OFFSET(Demand!$A$13,ROW(A34)-1,4+((QUOTIENT(COLUMN(BQ$2)-69,3))*5)+MOD(COLUMN(BQ$2),3),1,1),"")</f>
        <v>0</v>
      </c>
      <c r="BR37">
        <f ca="1">IF($AN37="",OFFSET(Demand!$A$13,ROW(B34)-1,4+((QUOTIENT(COLUMN(BR$2)-69,3))*5)+MOD(COLUMN(BR$2),3),1,1),"")</f>
        <v>0</v>
      </c>
      <c r="BS37">
        <f ca="1">IF($AN37="",OFFSET(Demand!$A$13,ROW(C34)-1,4+((QUOTIENT(COLUMN(BS$2)-69,3))*5)+MOD(COLUMN(BS$2),3),1,1),"")</f>
        <v>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1</v>
      </c>
      <c r="DN37" s="317">
        <f t="shared" si="17"/>
        <v>44200</v>
      </c>
      <c r="DO37" s="5" t="e">
        <f ca="1">VLOOKUP(IF($DM37&lt;53,$DM37,52),'Summary Calculations (hide)'!$D$15:$F$67,2,0)</f>
        <v>#N/A</v>
      </c>
      <c r="DP37" s="5" t="e">
        <f ca="1">VLOOKUP(IF($DM37&lt;53,$DM37,52),'Summary Calculations (hide)'!$D$15:$F$67,3,0)</f>
        <v>#N/A</v>
      </c>
      <c r="DQ37" s="5" t="e">
        <f ca="1">IF(AND(DN37&gt;='Demand adjustments for Covid'!$F$12,DN37&lt;'Demand adjustments for Covid'!$F$17),'Demand adjustments for Covid'!$F$13,DO37)</f>
        <v>#N/A</v>
      </c>
      <c r="DR37" s="5">
        <f t="shared" si="33"/>
        <v>0</v>
      </c>
      <c r="DS37" s="5" t="e">
        <f ca="1">IF('Demand adjustments for Covid'!$F$9="Yes",IF(DR37=0,DQ37,((SUM(DR$4:DR37)-1)*$EE$8)+'Demand adjustments for Covid'!F$13),'Demand background (hide)'!DO37)</f>
        <v>#N/A</v>
      </c>
      <c r="DT37" s="5" t="e">
        <f ca="1">IF('Demand adjustments for Covid'!$F$9="Yes",IF(OR(AND(DN37&gt;='Demand adjustments for Covid'!$F$12,DN37&lt;'Demand adjustments for Covid'!$F$17),DR37=1),DS37+3,DP37),'Demand background (hide)'!DP37)</f>
        <v>#N/A</v>
      </c>
      <c r="DU37" s="5" t="e">
        <f ca="1">IF(DS37&lt;='Demand adjustments for Covid'!$F$17,DO37-DS37,0)</f>
        <v>#N/A</v>
      </c>
      <c r="DV37" s="5">
        <f ca="1">IF(AND(ROW(A34)&gt;$EE$5,ROW(A34)&lt;=$EA$5),OFFSET('Demand adjustments for Covid'!$F$35,0,ROW(A34)-'Demand background (hide)'!$EE$5,1,1),0)</f>
        <v>200</v>
      </c>
      <c r="DW37" s="5">
        <f ca="1">IF(AND(ROW(A34)&gt;$EE$5,ROW(A34)&lt;=$EA$5),OFFSET('Demand adjustments for Covid'!$F$36,0,ROW(A34)-'Demand background (hide)'!$EE$5,1,1),0)</f>
        <v>300</v>
      </c>
      <c r="DX37" s="5" t="e">
        <f t="shared" ca="1" si="11"/>
        <v>#N/A</v>
      </c>
    </row>
    <row r="38" spans="1:128" s="5" customFormat="1" x14ac:dyDescent="0.2">
      <c r="A38" s="5">
        <f t="shared" ca="1" si="32"/>
        <v>1</v>
      </c>
      <c r="B38" s="5">
        <f ca="1">COUNTBLANK(OFFSET(Demand!$I47,0,(COLUMN(A35)-1)*5,1,1))</f>
        <v>1</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0</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0</v>
      </c>
      <c r="Y38" s="5">
        <f t="shared" ca="1" si="5"/>
        <v>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0</v>
      </c>
      <c r="AM38" s="5">
        <f t="shared" ca="1" si="9"/>
        <v>0</v>
      </c>
      <c r="AN38" s="5" t="str">
        <f>IF(Demand!BE47="Yes","Yes","")</f>
        <v/>
      </c>
      <c r="AP38" s="36" t="str">
        <f ca="1">Demand!B47</f>
        <v xml:space="preserve"> </v>
      </c>
      <c r="AQ38" s="5" t="str">
        <f ca="1">IF(TEXT(Demand!D47,"MMM")&lt;&gt;TEXT(Demand!D46,"MMM"),TEXT(Demand!D47,"MMM"),"")</f>
        <v/>
      </c>
      <c r="AT38" s="5">
        <f t="shared" ca="1" si="12"/>
        <v>0</v>
      </c>
      <c r="BQ38">
        <f ca="1">IF($AN38="",OFFSET(Demand!$A$13,ROW(A35)-1,4+((QUOTIENT(COLUMN(BQ$2)-69,3))*5)+MOD(COLUMN(BQ$2),3),1,1),"")</f>
        <v>0</v>
      </c>
      <c r="BR38">
        <f ca="1">IF($AN38="",OFFSET(Demand!$A$13,ROW(B35)-1,4+((QUOTIENT(COLUMN(BR$2)-69,3))*5)+MOD(COLUMN(BR$2),3),1,1),"")</f>
        <v>0</v>
      </c>
      <c r="BS38">
        <f ca="1">IF($AN38="",OFFSET(Demand!$A$13,ROW(C35)-1,4+((QUOTIENT(COLUMN(BS$2)-69,3))*5)+MOD(COLUMN(BS$2),3),1,1),"")</f>
        <v>0</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2</v>
      </c>
      <c r="DN38" s="317">
        <f t="shared" si="17"/>
        <v>44207</v>
      </c>
      <c r="DO38" s="5" t="e">
        <f ca="1">VLOOKUP(IF($DM38&lt;53,$DM38,52),'Summary Calculations (hide)'!$D$15:$F$67,2,0)</f>
        <v>#N/A</v>
      </c>
      <c r="DP38" s="5" t="e">
        <f ca="1">VLOOKUP(IF($DM38&lt;53,$DM38,52),'Summary Calculations (hide)'!$D$15:$F$67,3,0)</f>
        <v>#N/A</v>
      </c>
      <c r="DQ38" s="5" t="e">
        <f ca="1">IF(AND(DN38&gt;='Demand adjustments for Covid'!$F$12,DN38&lt;'Demand adjustments for Covid'!$F$17),'Demand adjustments for Covid'!$F$13,DO38)</f>
        <v>#N/A</v>
      </c>
      <c r="DR38" s="5">
        <f t="shared" si="33"/>
        <v>0</v>
      </c>
      <c r="DS38" s="5" t="e">
        <f ca="1">IF('Demand adjustments for Covid'!$F$9="Yes",IF(DR38=0,DQ38,((SUM(DR$4:DR38)-1)*$EE$8)+'Demand adjustments for Covid'!F$13),'Demand background (hide)'!DO38)</f>
        <v>#N/A</v>
      </c>
      <c r="DT38" s="5" t="e">
        <f ca="1">IF('Demand adjustments for Covid'!$F$9="Yes",IF(OR(AND(DN38&gt;='Demand adjustments for Covid'!$F$12,DN38&lt;'Demand adjustments for Covid'!$F$17),DR38=1),DS38+3,DP38),'Demand background (hide)'!DP38)</f>
        <v>#N/A</v>
      </c>
      <c r="DU38" s="5" t="e">
        <f ca="1">IF(DS38&lt;='Demand adjustments for Covid'!$F$17,DO38-DS38,0)</f>
        <v>#N/A</v>
      </c>
      <c r="DV38" s="5">
        <f ca="1">IF(AND(ROW(A35)&gt;$EE$5,ROW(A35)&lt;=$EA$5),OFFSET('Demand adjustments for Covid'!$F$35,0,ROW(A35)-'Demand background (hide)'!$EE$5,1,1),0)</f>
        <v>200</v>
      </c>
      <c r="DW38" s="5">
        <f ca="1">IF(AND(ROW(A35)&gt;$EE$5,ROW(A35)&lt;=$EA$5),OFFSET('Demand adjustments for Covid'!$F$36,0,ROW(A35)-'Demand background (hide)'!$EE$5,1,1),0)</f>
        <v>300</v>
      </c>
      <c r="DX38" s="5" t="e">
        <f t="shared" ca="1" si="11"/>
        <v>#N/A</v>
      </c>
    </row>
    <row r="39" spans="1:128" s="5" customFormat="1" x14ac:dyDescent="0.2">
      <c r="A39" s="5">
        <f t="shared" ca="1" si="32"/>
        <v>1</v>
      </c>
      <c r="B39" s="5">
        <f ca="1">COUNTBLANK(OFFSET(Demand!$I48,0,(COLUMN(A36)-1)*5,1,1))</f>
        <v>1</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0</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0</v>
      </c>
      <c r="Y39" s="5">
        <f t="shared" ca="1" si="5"/>
        <v>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0</v>
      </c>
      <c r="AM39" s="5">
        <f t="shared" ca="1" si="9"/>
        <v>0</v>
      </c>
      <c r="AN39" s="5" t="str">
        <f>IF(Demand!BE48="Yes","Yes","")</f>
        <v/>
      </c>
      <c r="AP39" s="36" t="str">
        <f ca="1">Demand!B48</f>
        <v xml:space="preserve"> </v>
      </c>
      <c r="AQ39" s="5" t="str">
        <f ca="1">IF(TEXT(Demand!D48,"MMM")&lt;&gt;TEXT(Demand!D47,"MMM"),TEXT(Demand!D48,"MMM"),"")</f>
        <v/>
      </c>
      <c r="AT39" s="5">
        <f t="shared" ca="1" si="12"/>
        <v>0</v>
      </c>
      <c r="BQ39">
        <f ca="1">IF($AN39="",OFFSET(Demand!$A$13,ROW(A36)-1,4+((QUOTIENT(COLUMN(BQ$2)-69,3))*5)+MOD(COLUMN(BQ$2),3),1,1),"")</f>
        <v>0</v>
      </c>
      <c r="BR39">
        <f ca="1">IF($AN39="",OFFSET(Demand!$A$13,ROW(B36)-1,4+((QUOTIENT(COLUMN(BR$2)-69,3))*5)+MOD(COLUMN(BR$2),3),1,1),"")</f>
        <v>0</v>
      </c>
      <c r="BS39">
        <f ca="1">IF($AN39="",OFFSET(Demand!$A$13,ROW(C36)-1,4+((QUOTIENT(COLUMN(BS$2)-69,3))*5)+MOD(COLUMN(BS$2),3),1,1),"")</f>
        <v>0</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3</v>
      </c>
      <c r="DN39" s="317">
        <f t="shared" si="17"/>
        <v>44214</v>
      </c>
      <c r="DO39" s="5" t="e">
        <f ca="1">VLOOKUP(IF($DM39&lt;53,$DM39,52),'Summary Calculations (hide)'!$D$15:$F$67,2,0)</f>
        <v>#N/A</v>
      </c>
      <c r="DP39" s="5" t="e">
        <f ca="1">VLOOKUP(IF($DM39&lt;53,$DM39,52),'Summary Calculations (hide)'!$D$15:$F$67,3,0)</f>
        <v>#N/A</v>
      </c>
      <c r="DQ39" s="5" t="e">
        <f ca="1">IF(AND(DN39&gt;='Demand adjustments for Covid'!$F$12,DN39&lt;'Demand adjustments for Covid'!$F$17),'Demand adjustments for Covid'!$F$13,DO39)</f>
        <v>#N/A</v>
      </c>
      <c r="DR39" s="5">
        <f t="shared" si="33"/>
        <v>0</v>
      </c>
      <c r="DS39" s="5" t="e">
        <f ca="1">IF('Demand adjustments for Covid'!$F$9="Yes",IF(DR39=0,DQ39,((SUM(DR$4:DR39)-1)*$EE$8)+'Demand adjustments for Covid'!F$13),'Demand background (hide)'!DO39)</f>
        <v>#N/A</v>
      </c>
      <c r="DT39" s="5" t="e">
        <f ca="1">IF('Demand adjustments for Covid'!$F$9="Yes",IF(OR(AND(DN39&gt;='Demand adjustments for Covid'!$F$12,DN39&lt;'Demand adjustments for Covid'!$F$17),DR39=1),DS39+3,DP39),'Demand background (hide)'!DP39)</f>
        <v>#N/A</v>
      </c>
      <c r="DU39" s="5" t="e">
        <f ca="1">IF(DS39&lt;='Demand adjustments for Covid'!$F$17,DO39-DS39,0)</f>
        <v>#N/A</v>
      </c>
      <c r="DV39" s="5">
        <f ca="1">IF(AND(ROW(A36)&gt;$EE$5,ROW(A36)&lt;=$EA$5),OFFSET('Demand adjustments for Covid'!$F$35,0,ROW(A36)-'Demand background (hide)'!$EE$5,1,1),0)</f>
        <v>200</v>
      </c>
      <c r="DW39" s="5">
        <f ca="1">IF(AND(ROW(A36)&gt;$EE$5,ROW(A36)&lt;=$EA$5),OFFSET('Demand adjustments for Covid'!$F$36,0,ROW(A36)-'Demand background (hide)'!$EE$5,1,1),0)</f>
        <v>300</v>
      </c>
      <c r="DX39" s="5" t="e">
        <f t="shared" ca="1" si="11"/>
        <v>#N/A</v>
      </c>
    </row>
    <row r="40" spans="1:128" s="5" customFormat="1" x14ac:dyDescent="0.2">
      <c r="A40" s="5">
        <f t="shared" ca="1" si="32"/>
        <v>1</v>
      </c>
      <c r="B40" s="5">
        <f ca="1">COUNTBLANK(OFFSET(Demand!$I49,0,(COLUMN(A37)-1)*5,1,1))</f>
        <v>1</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0</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0</v>
      </c>
      <c r="Y40" s="5">
        <f t="shared" ca="1" si="5"/>
        <v>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0</v>
      </c>
      <c r="AM40" s="5">
        <f t="shared" ca="1" si="9"/>
        <v>0</v>
      </c>
      <c r="AN40" s="5" t="str">
        <f>IF(Demand!BE49="Yes","Yes","")</f>
        <v/>
      </c>
      <c r="AP40" s="36" t="str">
        <f ca="1">Demand!B49</f>
        <v xml:space="preserve"> </v>
      </c>
      <c r="AQ40" s="5" t="str">
        <f ca="1">IF(TEXT(Demand!D49,"MMM")&lt;&gt;TEXT(Demand!D48,"MMM"),TEXT(Demand!D49,"MMM"),"")</f>
        <v/>
      </c>
      <c r="AT40" s="5">
        <f t="shared" ca="1" si="12"/>
        <v>0</v>
      </c>
      <c r="BQ40">
        <f ca="1">IF($AN40="",OFFSET(Demand!$A$13,ROW(A37)-1,4+((QUOTIENT(COLUMN(BQ$2)-69,3))*5)+MOD(COLUMN(BQ$2),3),1,1),"")</f>
        <v>0</v>
      </c>
      <c r="BR40">
        <f ca="1">IF($AN40="",OFFSET(Demand!$A$13,ROW(B37)-1,4+((QUOTIENT(COLUMN(BR$2)-69,3))*5)+MOD(COLUMN(BR$2),3),1,1),"")</f>
        <v>0</v>
      </c>
      <c r="BS40">
        <f ca="1">IF($AN40="",OFFSET(Demand!$A$13,ROW(C37)-1,4+((QUOTIENT(COLUMN(BS$2)-69,3))*5)+MOD(COLUMN(BS$2),3),1,1),"")</f>
        <v>0</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v>
      </c>
      <c r="DN40" s="317">
        <f t="shared" si="17"/>
        <v>44221</v>
      </c>
      <c r="DO40" s="5" t="e">
        <f ca="1">VLOOKUP(IF($DM40&lt;53,$DM40,52),'Summary Calculations (hide)'!$D$15:$F$67,2,0)</f>
        <v>#N/A</v>
      </c>
      <c r="DP40" s="5" t="e">
        <f ca="1">VLOOKUP(IF($DM40&lt;53,$DM40,52),'Summary Calculations (hide)'!$D$15:$F$67,3,0)</f>
        <v>#N/A</v>
      </c>
      <c r="DQ40" s="5" t="e">
        <f ca="1">IF(AND(DN40&gt;='Demand adjustments for Covid'!$F$12,DN40&lt;'Demand adjustments for Covid'!$F$17),'Demand adjustments for Covid'!$F$13,DO40)</f>
        <v>#N/A</v>
      </c>
      <c r="DR40" s="5">
        <f t="shared" si="33"/>
        <v>0</v>
      </c>
      <c r="DS40" s="5" t="e">
        <f ca="1">IF('Demand adjustments for Covid'!$F$9="Yes",IF(DR40=0,DQ40,((SUM(DR$4:DR40)-1)*$EE$8)+'Demand adjustments for Covid'!F$13),'Demand background (hide)'!DO40)</f>
        <v>#N/A</v>
      </c>
      <c r="DT40" s="5" t="e">
        <f ca="1">IF('Demand adjustments for Covid'!$F$9="Yes",IF(OR(AND(DN40&gt;='Demand adjustments for Covid'!$F$12,DN40&lt;'Demand adjustments for Covid'!$F$17),DR40=1),DS40+3,DP40),'Demand background (hide)'!DP40)</f>
        <v>#N/A</v>
      </c>
      <c r="DU40" s="5" t="e">
        <f ca="1">IF(DS40&lt;='Demand adjustments for Covid'!$F$17,DO40-DS40,0)</f>
        <v>#N/A</v>
      </c>
      <c r="DV40" s="5">
        <f ca="1">IF(AND(ROW(A37)&gt;$EE$5,ROW(A37)&lt;=$EA$5),OFFSET('Demand adjustments for Covid'!$F$35,0,ROW(A37)-'Demand background (hide)'!$EE$5,1,1),0)</f>
        <v>200</v>
      </c>
      <c r="DW40" s="5">
        <f ca="1">IF(AND(ROW(A37)&gt;$EE$5,ROW(A37)&lt;=$EA$5),OFFSET('Demand adjustments for Covid'!$F$36,0,ROW(A37)-'Demand background (hide)'!$EE$5,1,1),0)</f>
        <v>300</v>
      </c>
      <c r="DX40" s="5" t="e">
        <f t="shared" ca="1" si="11"/>
        <v>#N/A</v>
      </c>
    </row>
    <row r="41" spans="1:128" s="5" customFormat="1" x14ac:dyDescent="0.2">
      <c r="A41" s="5">
        <f t="shared" ca="1" si="32"/>
        <v>1</v>
      </c>
      <c r="B41" s="5">
        <f ca="1">COUNTBLANK(OFFSET(Demand!$I50,0,(COLUMN(A38)-1)*5,1,1))</f>
        <v>1</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0</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0</v>
      </c>
      <c r="Y41" s="5">
        <f t="shared" ca="1" si="5"/>
        <v>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0</v>
      </c>
      <c r="AM41" s="5">
        <f t="shared" ca="1" si="9"/>
        <v>0</v>
      </c>
      <c r="AN41" s="5" t="str">
        <f>IF(Demand!BE50="Yes","Yes","")</f>
        <v/>
      </c>
      <c r="AP41" s="36" t="str">
        <f ca="1">Demand!B50</f>
        <v xml:space="preserve"> </v>
      </c>
      <c r="AQ41" s="5" t="str">
        <f ca="1">IF(TEXT(Demand!D50,"MMM")&lt;&gt;TEXT(Demand!D49,"MMM"),TEXT(Demand!D50,"MMM"),"")</f>
        <v/>
      </c>
      <c r="AT41" s="5">
        <f t="shared" ca="1" si="12"/>
        <v>0</v>
      </c>
      <c r="BQ41">
        <f ca="1">IF($AN41="",OFFSET(Demand!$A$13,ROW(A38)-1,4+((QUOTIENT(COLUMN(BQ$2)-69,3))*5)+MOD(COLUMN(BQ$2),3),1,1),"")</f>
        <v>0</v>
      </c>
      <c r="BR41">
        <f ca="1">IF($AN41="",OFFSET(Demand!$A$13,ROW(B38)-1,4+((QUOTIENT(COLUMN(BR$2)-69,3))*5)+MOD(COLUMN(BR$2),3),1,1),"")</f>
        <v>0</v>
      </c>
      <c r="BS41">
        <f ca="1">IF($AN41="",OFFSET(Demand!$A$13,ROW(C38)-1,4+((QUOTIENT(COLUMN(BS$2)-69,3))*5)+MOD(COLUMN(BS$2),3),1,1),"")</f>
        <v>0</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v>
      </c>
      <c r="DN41" s="317">
        <f t="shared" si="17"/>
        <v>44228</v>
      </c>
      <c r="DO41" s="5" t="e">
        <f ca="1">VLOOKUP(IF($DM41&lt;53,$DM41,52),'Summary Calculations (hide)'!$D$15:$F$67,2,0)</f>
        <v>#N/A</v>
      </c>
      <c r="DP41" s="5" t="e">
        <f ca="1">VLOOKUP(IF($DM41&lt;53,$DM41,52),'Summary Calculations (hide)'!$D$15:$F$67,3,0)</f>
        <v>#N/A</v>
      </c>
      <c r="DQ41" s="5" t="e">
        <f ca="1">IF(AND(DN41&gt;='Demand adjustments for Covid'!$F$12,DN41&lt;'Demand adjustments for Covid'!$F$17),'Demand adjustments for Covid'!$F$13,DO41)</f>
        <v>#N/A</v>
      </c>
      <c r="DR41" s="5">
        <f t="shared" si="33"/>
        <v>0</v>
      </c>
      <c r="DS41" s="5" t="e">
        <f ca="1">IF('Demand adjustments for Covid'!$F$9="Yes",IF(DR41=0,DQ41,((SUM(DR$4:DR41)-1)*$EE$8)+'Demand adjustments for Covid'!F$13),'Demand background (hide)'!DO41)</f>
        <v>#N/A</v>
      </c>
      <c r="DT41" s="5" t="e">
        <f ca="1">IF('Demand adjustments for Covid'!$F$9="Yes",IF(OR(AND(DN41&gt;='Demand adjustments for Covid'!$F$12,DN41&lt;'Demand adjustments for Covid'!$F$17),DR41=1),DS41+3,DP41),'Demand background (hide)'!DP41)</f>
        <v>#N/A</v>
      </c>
      <c r="DU41" s="5" t="e">
        <f ca="1">IF(DS41&lt;='Demand adjustments for Covid'!$F$17,DO41-DS41,0)</f>
        <v>#N/A</v>
      </c>
      <c r="DV41" s="5">
        <f ca="1">IF(AND(ROW(A38)&gt;$EE$5,ROW(A38)&lt;=$EA$5),OFFSET('Demand adjustments for Covid'!$F$35,0,ROW(A38)-'Demand background (hide)'!$EE$5,1,1),0)</f>
        <v>0</v>
      </c>
      <c r="DW41" s="5">
        <f ca="1">IF(AND(ROW(A38)&gt;$EE$5,ROW(A38)&lt;=$EA$5),OFFSET('Demand adjustments for Covid'!$F$36,0,ROW(A38)-'Demand background (hide)'!$EE$5,1,1),0)</f>
        <v>0</v>
      </c>
      <c r="DX41" s="5" t="e">
        <f t="shared" ca="1" si="11"/>
        <v>#N/A</v>
      </c>
    </row>
    <row r="42" spans="1:128" s="5" customFormat="1" x14ac:dyDescent="0.2">
      <c r="A42" s="5">
        <f t="shared" ca="1" si="32"/>
        <v>1</v>
      </c>
      <c r="B42" s="5">
        <f ca="1">COUNTBLANK(OFFSET(Demand!$I51,0,(COLUMN(A39)-1)*5,1,1))</f>
        <v>1</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0</v>
      </c>
      <c r="Y42" s="5">
        <f t="shared" ca="1" si="5"/>
        <v>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0</v>
      </c>
      <c r="AM42" s="5">
        <f t="shared" ca="1" si="9"/>
        <v>0</v>
      </c>
      <c r="AN42" s="5" t="str">
        <f>IF(Demand!BE51="Yes","Yes","")</f>
        <v/>
      </c>
      <c r="AP42" s="36" t="str">
        <f ca="1">Demand!B51</f>
        <v xml:space="preserve"> </v>
      </c>
      <c r="AQ42" s="5" t="str">
        <f ca="1">IF(TEXT(Demand!D51,"MMM")&lt;&gt;TEXT(Demand!D50,"MMM"),TEXT(Demand!D51,"MMM"),"")</f>
        <v/>
      </c>
      <c r="AT42" s="5">
        <f t="shared" ca="1" si="12"/>
        <v>0</v>
      </c>
      <c r="BQ42">
        <f ca="1">IF($AN42="",OFFSET(Demand!$A$13,ROW(A39)-1,4+((QUOTIENT(COLUMN(BQ$2)-69,3))*5)+MOD(COLUMN(BQ$2),3),1,1),"")</f>
        <v>0</v>
      </c>
      <c r="BR42">
        <f ca="1">IF($AN42="",OFFSET(Demand!$A$13,ROW(B39)-1,4+((QUOTIENT(COLUMN(BR$2)-69,3))*5)+MOD(COLUMN(BR$2),3),1,1),"")</f>
        <v>0</v>
      </c>
      <c r="BS42">
        <f ca="1">IF($AN42="",OFFSET(Demand!$A$13,ROW(C39)-1,4+((QUOTIENT(COLUMN(BS$2)-69,3))*5)+MOD(COLUMN(BS$2),3),1,1),"")</f>
        <v>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6</v>
      </c>
      <c r="DN42" s="317">
        <f t="shared" si="17"/>
        <v>44235</v>
      </c>
      <c r="DO42" s="5" t="e">
        <f ca="1">VLOOKUP(IF($DM42&lt;53,$DM42,52),'Summary Calculations (hide)'!$D$15:$F$67,2,0)</f>
        <v>#N/A</v>
      </c>
      <c r="DP42" s="5" t="e">
        <f ca="1">VLOOKUP(IF($DM42&lt;53,$DM42,52),'Summary Calculations (hide)'!$D$15:$F$67,3,0)</f>
        <v>#N/A</v>
      </c>
      <c r="DQ42" s="5" t="e">
        <f ca="1">IF(AND(DN42&gt;='Demand adjustments for Covid'!$F$12,DN42&lt;'Demand adjustments for Covid'!$F$17),'Demand adjustments for Covid'!$F$13,DO42)</f>
        <v>#N/A</v>
      </c>
      <c r="DR42" s="5">
        <f t="shared" si="33"/>
        <v>0</v>
      </c>
      <c r="DS42" s="5" t="e">
        <f ca="1">IF('Demand adjustments for Covid'!$F$9="Yes",IF(DR42=0,DQ42,((SUM(DR$4:DR42)-1)*$EE$8)+'Demand adjustments for Covid'!F$13),'Demand background (hide)'!DO42)</f>
        <v>#N/A</v>
      </c>
      <c r="DT42" s="5" t="e">
        <f ca="1">IF('Demand adjustments for Covid'!$F$9="Yes",IF(OR(AND(DN42&gt;='Demand adjustments for Covid'!$F$12,DN42&lt;'Demand adjustments for Covid'!$F$17),DR42=1),DS42+3,DP42),'Demand background (hide)'!DP42)</f>
        <v>#N/A</v>
      </c>
      <c r="DU42" s="5" t="e">
        <f ca="1">IF(DS42&lt;='Demand adjustments for Covid'!$F$17,DO42-DS42,0)</f>
        <v>#N/A</v>
      </c>
      <c r="DV42" s="5">
        <f ca="1">IF(AND(ROW(A39)&gt;$EE$5,ROW(A39)&lt;=$EA$5),OFFSET('Demand adjustments for Covid'!$F$35,0,ROW(A39)-'Demand background (hide)'!$EE$5,1,1),0)</f>
        <v>0</v>
      </c>
      <c r="DW42" s="5">
        <f ca="1">IF(AND(ROW(A39)&gt;$EE$5,ROW(A39)&lt;=$EA$5),OFFSET('Demand adjustments for Covid'!$F$36,0,ROW(A39)-'Demand background (hide)'!$EE$5,1,1),0)</f>
        <v>0</v>
      </c>
      <c r="DX42" s="5" t="e">
        <f t="shared" ca="1" si="11"/>
        <v>#N/A</v>
      </c>
    </row>
    <row r="43" spans="1:128" s="5" customFormat="1" x14ac:dyDescent="0.2">
      <c r="A43" s="5">
        <f t="shared" ca="1" si="32"/>
        <v>1</v>
      </c>
      <c r="B43" s="5">
        <f ca="1">COUNTBLANK(OFFSET(Demand!$I52,0,(COLUMN(A40)-1)*5,1,1))</f>
        <v>1</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0</v>
      </c>
      <c r="Y43" s="5">
        <f t="shared" ca="1" si="5"/>
        <v>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0</v>
      </c>
      <c r="AM43" s="5">
        <f t="shared" ca="1" si="9"/>
        <v>0</v>
      </c>
      <c r="AN43" s="5" t="str">
        <f>IF(Demand!BE52="Yes","Yes","")</f>
        <v/>
      </c>
      <c r="AP43" s="36" t="str">
        <f ca="1">Demand!B52</f>
        <v xml:space="preserve"> </v>
      </c>
      <c r="AQ43" s="5" t="str">
        <f ca="1">IF(TEXT(Demand!D52,"MMM")&lt;&gt;TEXT(Demand!D51,"MMM"),TEXT(Demand!D52,"MMM"),"")</f>
        <v/>
      </c>
      <c r="AT43" s="5">
        <f t="shared" ca="1" si="12"/>
        <v>0</v>
      </c>
      <c r="BQ43">
        <f ca="1">IF($AN43="",OFFSET(Demand!$A$13,ROW(A40)-1,4+((QUOTIENT(COLUMN(BQ$2)-69,3))*5)+MOD(COLUMN(BQ$2),3),1,1),"")</f>
        <v>0</v>
      </c>
      <c r="BR43">
        <f ca="1">IF($AN43="",OFFSET(Demand!$A$13,ROW(B40)-1,4+((QUOTIENT(COLUMN(BR$2)-69,3))*5)+MOD(COLUMN(BR$2),3),1,1),"")</f>
        <v>0</v>
      </c>
      <c r="BS43">
        <f ca="1">IF($AN43="",OFFSET(Demand!$A$13,ROW(C40)-1,4+((QUOTIENT(COLUMN(BS$2)-69,3))*5)+MOD(COLUMN(BS$2),3),1,1),"")</f>
        <v>0</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7</v>
      </c>
      <c r="DN43" s="317">
        <f t="shared" si="17"/>
        <v>44242</v>
      </c>
      <c r="DO43" s="5" t="e">
        <f ca="1">VLOOKUP(IF($DM43&lt;53,$DM43,52),'Summary Calculations (hide)'!$D$15:$F$67,2,0)</f>
        <v>#N/A</v>
      </c>
      <c r="DP43" s="5" t="e">
        <f ca="1">VLOOKUP(IF($DM43&lt;53,$DM43,52),'Summary Calculations (hide)'!$D$15:$F$67,3,0)</f>
        <v>#N/A</v>
      </c>
      <c r="DQ43" s="5" t="e">
        <f ca="1">IF(AND(DN43&gt;='Demand adjustments for Covid'!$F$12,DN43&lt;'Demand adjustments for Covid'!$F$17),'Demand adjustments for Covid'!$F$13,DO43)</f>
        <v>#N/A</v>
      </c>
      <c r="DR43" s="5">
        <f t="shared" si="33"/>
        <v>0</v>
      </c>
      <c r="DS43" s="5" t="e">
        <f ca="1">IF('Demand adjustments for Covid'!$F$9="Yes",IF(DR43=0,DQ43,((SUM(DR$4:DR43)-1)*$EE$8)+'Demand adjustments for Covid'!F$13),'Demand background (hide)'!DO43)</f>
        <v>#N/A</v>
      </c>
      <c r="DT43" s="5" t="e">
        <f ca="1">IF('Demand adjustments for Covid'!$F$9="Yes",IF(OR(AND(DN43&gt;='Demand adjustments for Covid'!$F$12,DN43&lt;'Demand adjustments for Covid'!$F$17),DR43=1),DS43+3,DP43),'Demand background (hide)'!DP43)</f>
        <v>#N/A</v>
      </c>
      <c r="DU43" s="5" t="e">
        <f ca="1">IF(DS43&lt;='Demand adjustments for Covid'!$F$17,DO43-DS43,0)</f>
        <v>#N/A</v>
      </c>
      <c r="DV43" s="5">
        <f ca="1">IF(AND(ROW(A40)&gt;$EE$5,ROW(A40)&lt;=$EA$5),OFFSET('Demand adjustments for Covid'!$F$35,0,ROW(A40)-'Demand background (hide)'!$EE$5,1,1),0)</f>
        <v>0</v>
      </c>
      <c r="DW43" s="5">
        <f ca="1">IF(AND(ROW(A40)&gt;$EE$5,ROW(A40)&lt;=$EA$5),OFFSET('Demand adjustments for Covid'!$F$36,0,ROW(A40)-'Demand background (hide)'!$EE$5,1,1),0)</f>
        <v>0</v>
      </c>
      <c r="DX43" s="5" t="e">
        <f t="shared" ca="1" si="11"/>
        <v>#N/A</v>
      </c>
    </row>
    <row r="44" spans="1:128" s="5" customFormat="1" x14ac:dyDescent="0.2">
      <c r="A44" s="5">
        <f t="shared" ca="1" si="32"/>
        <v>1</v>
      </c>
      <c r="B44" s="5">
        <f ca="1">COUNTBLANK(OFFSET(Demand!$I53,0,(COLUMN(A41)-1)*5,1,1))</f>
        <v>1</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0</v>
      </c>
      <c r="Y44" s="5">
        <f t="shared" ca="1" si="5"/>
        <v>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0</v>
      </c>
      <c r="AM44" s="5">
        <f t="shared" ca="1" si="9"/>
        <v>0</v>
      </c>
      <c r="AN44" s="5" t="str">
        <f>IF(Demand!BE53="Yes","Yes","")</f>
        <v/>
      </c>
      <c r="AP44" s="36" t="str">
        <f ca="1">Demand!B53</f>
        <v xml:space="preserve"> </v>
      </c>
      <c r="AQ44" s="5" t="str">
        <f ca="1">IF(TEXT(Demand!D53,"MMM")&lt;&gt;TEXT(Demand!D52,"MMM"),TEXT(Demand!D53,"MMM"),"")</f>
        <v/>
      </c>
      <c r="AT44" s="5">
        <f t="shared" ca="1" si="12"/>
        <v>0</v>
      </c>
      <c r="BQ44">
        <f ca="1">IF($AN44="",OFFSET(Demand!$A$13,ROW(A41)-1,4+((QUOTIENT(COLUMN(BQ$2)-69,3))*5)+MOD(COLUMN(BQ$2),3),1,1),"")</f>
        <v>0</v>
      </c>
      <c r="BR44">
        <f ca="1">IF($AN44="",OFFSET(Demand!$A$13,ROW(B41)-1,4+((QUOTIENT(COLUMN(BR$2)-69,3))*5)+MOD(COLUMN(BR$2),3),1,1),"")</f>
        <v>0</v>
      </c>
      <c r="BS44">
        <f ca="1">IF($AN44="",OFFSET(Demand!$A$13,ROW(C41)-1,4+((QUOTIENT(COLUMN(BS$2)-69,3))*5)+MOD(COLUMN(BS$2),3),1,1),"")</f>
        <v>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8</v>
      </c>
      <c r="DN44" s="317">
        <f t="shared" si="17"/>
        <v>44249</v>
      </c>
      <c r="DO44" s="5" t="e">
        <f ca="1">VLOOKUP(IF($DM44&lt;53,$DM44,52),'Summary Calculations (hide)'!$D$15:$F$67,2,0)</f>
        <v>#N/A</v>
      </c>
      <c r="DP44" s="5" t="e">
        <f ca="1">VLOOKUP(IF($DM44&lt;53,$DM44,52),'Summary Calculations (hide)'!$D$15:$F$67,3,0)</f>
        <v>#N/A</v>
      </c>
      <c r="DQ44" s="5" t="e">
        <f ca="1">IF(AND(DN44&gt;='Demand adjustments for Covid'!$F$12,DN44&lt;'Demand adjustments for Covid'!$F$17),'Demand adjustments for Covid'!$F$13,DO44)</f>
        <v>#N/A</v>
      </c>
      <c r="DR44" s="5">
        <f t="shared" si="33"/>
        <v>0</v>
      </c>
      <c r="DS44" s="5" t="e">
        <f ca="1">IF('Demand adjustments for Covid'!$F$9="Yes",IF(DR44=0,DQ44,((SUM(DR$4:DR44)-1)*$EE$8)+'Demand adjustments for Covid'!F$13),'Demand background (hide)'!DO44)</f>
        <v>#N/A</v>
      </c>
      <c r="DT44" s="5" t="e">
        <f ca="1">IF('Demand adjustments for Covid'!$F$9="Yes",IF(OR(AND(DN44&gt;='Demand adjustments for Covid'!$F$12,DN44&lt;'Demand adjustments for Covid'!$F$17),DR44=1),DS44+3,DP44),'Demand background (hide)'!DP44)</f>
        <v>#N/A</v>
      </c>
      <c r="DU44" s="5" t="e">
        <f ca="1">IF(DS44&lt;='Demand adjustments for Covid'!$F$17,DO44-DS44,0)</f>
        <v>#N/A</v>
      </c>
      <c r="DV44" s="5">
        <f ca="1">IF(AND(ROW(A41)&gt;$EE$5,ROW(A41)&lt;=$EA$5),OFFSET('Demand adjustments for Covid'!$F$35,0,ROW(A41)-'Demand background (hide)'!$EE$5,1,1),0)</f>
        <v>0</v>
      </c>
      <c r="DW44" s="5">
        <f ca="1">IF(AND(ROW(A41)&gt;$EE$5,ROW(A41)&lt;=$EA$5),OFFSET('Demand adjustments for Covid'!$F$36,0,ROW(A41)-'Demand background (hide)'!$EE$5,1,1),0)</f>
        <v>0</v>
      </c>
      <c r="DX44" s="5" t="e">
        <f t="shared" ca="1" si="11"/>
        <v>#N/A</v>
      </c>
    </row>
    <row r="45" spans="1:128" s="5" customFormat="1" x14ac:dyDescent="0.2">
      <c r="A45" s="5">
        <f t="shared" ca="1" si="32"/>
        <v>1</v>
      </c>
      <c r="B45" s="5">
        <f ca="1">COUNTBLANK(OFFSET(Demand!$I54,0,(COLUMN(A42)-1)*5,1,1))</f>
        <v>1</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0</v>
      </c>
      <c r="Y45" s="5">
        <f t="shared" ca="1" si="5"/>
        <v>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0</v>
      </c>
      <c r="AM45" s="5">
        <f t="shared" ca="1" si="9"/>
        <v>0</v>
      </c>
      <c r="AN45" s="5" t="str">
        <f>IF(Demand!BE54="Yes","Yes","")</f>
        <v/>
      </c>
      <c r="AP45" s="36" t="str">
        <f ca="1">Demand!B54</f>
        <v xml:space="preserve"> </v>
      </c>
      <c r="AQ45" s="5" t="str">
        <f ca="1">IF(TEXT(Demand!D54,"MMM")&lt;&gt;TEXT(Demand!D53,"MMM"),TEXT(Demand!D54,"MMM"),"")</f>
        <v/>
      </c>
      <c r="AT45" s="5">
        <f t="shared" ca="1" si="12"/>
        <v>0</v>
      </c>
      <c r="BQ45">
        <f ca="1">IF($AN45="",OFFSET(Demand!$A$13,ROW(A42)-1,4+((QUOTIENT(COLUMN(BQ$2)-69,3))*5)+MOD(COLUMN(BQ$2),3),1,1),"")</f>
        <v>0</v>
      </c>
      <c r="BR45">
        <f ca="1">IF($AN45="",OFFSET(Demand!$A$13,ROW(B42)-1,4+((QUOTIENT(COLUMN(BR$2)-69,3))*5)+MOD(COLUMN(BR$2),3),1,1),"")</f>
        <v>0</v>
      </c>
      <c r="BS45">
        <f ca="1">IF($AN45="",OFFSET(Demand!$A$13,ROW(C42)-1,4+((QUOTIENT(COLUMN(BS$2)-69,3))*5)+MOD(COLUMN(BS$2),3),1,1),"")</f>
        <v>0</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9</v>
      </c>
      <c r="DN45" s="317">
        <f t="shared" si="17"/>
        <v>44256</v>
      </c>
      <c r="DO45" s="5" t="e">
        <f ca="1">VLOOKUP(IF($DM45&lt;53,$DM45,52),'Summary Calculations (hide)'!$D$15:$F$67,2,0)</f>
        <v>#N/A</v>
      </c>
      <c r="DP45" s="5" t="e">
        <f ca="1">VLOOKUP(IF($DM45&lt;53,$DM45,52),'Summary Calculations (hide)'!$D$15:$F$67,3,0)</f>
        <v>#N/A</v>
      </c>
      <c r="DQ45" s="5" t="e">
        <f ca="1">IF(AND(DN45&gt;='Demand adjustments for Covid'!$F$12,DN45&lt;'Demand adjustments for Covid'!$F$17),'Demand adjustments for Covid'!$F$13,DO45)</f>
        <v>#N/A</v>
      </c>
      <c r="DR45" s="5">
        <f t="shared" si="33"/>
        <v>0</v>
      </c>
      <c r="DS45" s="5" t="e">
        <f ca="1">IF('Demand adjustments for Covid'!$F$9="Yes",IF(DR45=0,DQ45,((SUM(DR$4:DR45)-1)*$EE$8)+'Demand adjustments for Covid'!F$13),'Demand background (hide)'!DO45)</f>
        <v>#N/A</v>
      </c>
      <c r="DT45" s="5" t="e">
        <f ca="1">IF('Demand adjustments for Covid'!$F$9="Yes",IF(OR(AND(DN45&gt;='Demand adjustments for Covid'!$F$12,DN45&lt;'Demand adjustments for Covid'!$F$17),DR45=1),DS45+3,DP45),'Demand background (hide)'!DP45)</f>
        <v>#N/A</v>
      </c>
      <c r="DU45" s="5" t="e">
        <f ca="1">IF(DS45&lt;='Demand adjustments for Covid'!$F$17,DO45-DS45,0)</f>
        <v>#N/A</v>
      </c>
      <c r="DV45" s="5">
        <f ca="1">IF(AND(ROW(A42)&gt;$EE$5,ROW(A42)&lt;=$EA$5),OFFSET('Demand adjustments for Covid'!$F$35,0,ROW(A42)-'Demand background (hide)'!$EE$5,1,1),0)</f>
        <v>0</v>
      </c>
      <c r="DW45" s="5">
        <f ca="1">IF(AND(ROW(A42)&gt;$EE$5,ROW(A42)&lt;=$EA$5),OFFSET('Demand adjustments for Covid'!$F$36,0,ROW(A42)-'Demand background (hide)'!$EE$5,1,1),0)</f>
        <v>0</v>
      </c>
      <c r="DX45" s="5" t="e">
        <f t="shared" ca="1" si="11"/>
        <v>#N/A</v>
      </c>
    </row>
    <row r="46" spans="1:128" s="5" customFormat="1" x14ac:dyDescent="0.2">
      <c r="A46" s="5">
        <f t="shared" ca="1" si="32"/>
        <v>1</v>
      </c>
      <c r="B46" s="5">
        <f ca="1">COUNTBLANK(OFFSET(Demand!$I55,0,(COLUMN(A43)-1)*5,1,1))</f>
        <v>1</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0</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0</v>
      </c>
      <c r="Y46" s="5">
        <f t="shared" ca="1" si="5"/>
        <v>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0</v>
      </c>
      <c r="AM46" s="5">
        <f t="shared" ca="1" si="9"/>
        <v>0</v>
      </c>
      <c r="AN46" s="5" t="str">
        <f>IF(Demand!BE55="Yes","Yes","")</f>
        <v/>
      </c>
      <c r="AP46" s="36" t="str">
        <f ca="1">Demand!B55</f>
        <v xml:space="preserve"> </v>
      </c>
      <c r="AQ46" s="5" t="str">
        <f ca="1">IF(TEXT(Demand!D55,"MMM")&lt;&gt;TEXT(Demand!D54,"MMM"),TEXT(Demand!D55,"MMM"),"")</f>
        <v/>
      </c>
      <c r="AT46" s="5">
        <f t="shared" ca="1" si="12"/>
        <v>0</v>
      </c>
      <c r="BQ46">
        <f ca="1">IF($AN46="",OFFSET(Demand!$A$13,ROW(A43)-1,4+((QUOTIENT(COLUMN(BQ$2)-69,3))*5)+MOD(COLUMN(BQ$2),3),1,1),"")</f>
        <v>0</v>
      </c>
      <c r="BR46">
        <f ca="1">IF($AN46="",OFFSET(Demand!$A$13,ROW(B43)-1,4+((QUOTIENT(COLUMN(BR$2)-69,3))*5)+MOD(COLUMN(BR$2),3),1,1),"")</f>
        <v>0</v>
      </c>
      <c r="BS46">
        <f ca="1">IF($AN46="",OFFSET(Demand!$A$13,ROW(C43)-1,4+((QUOTIENT(COLUMN(BS$2)-69,3))*5)+MOD(COLUMN(BS$2),3),1,1),"")</f>
        <v>0</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10</v>
      </c>
      <c r="DN46" s="317">
        <f t="shared" si="17"/>
        <v>44263</v>
      </c>
      <c r="DO46" s="5" t="e">
        <f ca="1">VLOOKUP(IF($DM46&lt;53,$DM46,52),'Summary Calculations (hide)'!$D$15:$F$67,2,0)</f>
        <v>#N/A</v>
      </c>
      <c r="DP46" s="5" t="e">
        <f ca="1">VLOOKUP(IF($DM46&lt;53,$DM46,52),'Summary Calculations (hide)'!$D$15:$F$67,3,0)</f>
        <v>#N/A</v>
      </c>
      <c r="DQ46" s="5" t="e">
        <f ca="1">IF(AND(DN46&gt;='Demand adjustments for Covid'!$F$12,DN46&lt;'Demand adjustments for Covid'!$F$17),'Demand adjustments for Covid'!$F$13,DO46)</f>
        <v>#N/A</v>
      </c>
      <c r="DR46" s="5">
        <f t="shared" si="33"/>
        <v>0</v>
      </c>
      <c r="DS46" s="5" t="e">
        <f ca="1">IF('Demand adjustments for Covid'!$F$9="Yes",IF(DR46=0,DQ46,((SUM(DR$4:DR46)-1)*$EE$8)+'Demand adjustments for Covid'!F$13),'Demand background (hide)'!DO46)</f>
        <v>#N/A</v>
      </c>
      <c r="DT46" s="5" t="e">
        <f ca="1">IF('Demand adjustments for Covid'!$F$9="Yes",IF(OR(AND(DN46&gt;='Demand adjustments for Covid'!$F$12,DN46&lt;'Demand adjustments for Covid'!$F$17),DR46=1),DS46+3,DP46),'Demand background (hide)'!DP46)</f>
        <v>#N/A</v>
      </c>
      <c r="DU46" s="5" t="e">
        <f ca="1">IF(DS46&lt;='Demand adjustments for Covid'!$F$17,DO46-DS46,0)</f>
        <v>#N/A</v>
      </c>
      <c r="DV46" s="5">
        <f ca="1">IF(AND(ROW(A43)&gt;$EE$5,ROW(A43)&lt;=$EA$5),OFFSET('Demand adjustments for Covid'!$F$35,0,ROW(A43)-'Demand background (hide)'!$EE$5,1,1),0)</f>
        <v>0</v>
      </c>
      <c r="DW46" s="5">
        <f ca="1">IF(AND(ROW(A43)&gt;$EE$5,ROW(A43)&lt;=$EA$5),OFFSET('Demand adjustments for Covid'!$F$36,0,ROW(A43)-'Demand background (hide)'!$EE$5,1,1),0)</f>
        <v>0</v>
      </c>
      <c r="DX46" s="5" t="e">
        <f t="shared" ca="1" si="11"/>
        <v>#N/A</v>
      </c>
    </row>
    <row r="47" spans="1:128" s="5" customFormat="1" x14ac:dyDescent="0.2">
      <c r="A47" s="5">
        <f t="shared" ca="1" si="32"/>
        <v>1</v>
      </c>
      <c r="B47" s="5">
        <f ca="1">COUNTBLANK(OFFSET(Demand!$I56,0,(COLUMN(A44)-1)*5,1,1))</f>
        <v>1</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0</v>
      </c>
      <c r="Y47" s="5">
        <f t="shared" ca="1" si="5"/>
        <v>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0</v>
      </c>
      <c r="AM47" s="5">
        <f t="shared" ca="1" si="9"/>
        <v>0</v>
      </c>
      <c r="AN47" s="5" t="str">
        <f>IF(Demand!BE56="Yes","Yes","")</f>
        <v/>
      </c>
      <c r="AP47" s="36" t="str">
        <f ca="1">Demand!B56</f>
        <v xml:space="preserve"> </v>
      </c>
      <c r="AQ47" s="5" t="str">
        <f ca="1">IF(TEXT(Demand!D56,"MMM")&lt;&gt;TEXT(Demand!D55,"MMM"),TEXT(Demand!D56,"MMM"),"")</f>
        <v/>
      </c>
      <c r="AT47" s="5">
        <f t="shared" ca="1" si="12"/>
        <v>0</v>
      </c>
      <c r="BQ47">
        <f ca="1">IF($AN47="",OFFSET(Demand!$A$13,ROW(A44)-1,4+((QUOTIENT(COLUMN(BQ$2)-69,3))*5)+MOD(COLUMN(BQ$2),3),1,1),"")</f>
        <v>0</v>
      </c>
      <c r="BR47">
        <f ca="1">IF($AN47="",OFFSET(Demand!$A$13,ROW(B44)-1,4+((QUOTIENT(COLUMN(BR$2)-69,3))*5)+MOD(COLUMN(BR$2),3),1,1),"")</f>
        <v>0</v>
      </c>
      <c r="BS47">
        <f ca="1">IF($AN47="",OFFSET(Demand!$A$13,ROW(C44)-1,4+((QUOTIENT(COLUMN(BS$2)-69,3))*5)+MOD(COLUMN(BS$2),3),1,1),"")</f>
        <v>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11</v>
      </c>
      <c r="DN47" s="317">
        <f t="shared" si="17"/>
        <v>44270</v>
      </c>
      <c r="DO47" s="5" t="e">
        <f ca="1">VLOOKUP(IF($DM47&lt;53,$DM47,52),'Summary Calculations (hide)'!$D$15:$F$67,2,0)</f>
        <v>#N/A</v>
      </c>
      <c r="DP47" s="5" t="e">
        <f ca="1">VLOOKUP(IF($DM47&lt;53,$DM47,52),'Summary Calculations (hide)'!$D$15:$F$67,3,0)</f>
        <v>#N/A</v>
      </c>
      <c r="DQ47" s="5" t="e">
        <f ca="1">IF(AND(DN47&gt;='Demand adjustments for Covid'!$F$12,DN47&lt;'Demand adjustments for Covid'!$F$17),'Demand adjustments for Covid'!$F$13,DO47)</f>
        <v>#N/A</v>
      </c>
      <c r="DR47" s="5">
        <f t="shared" si="33"/>
        <v>0</v>
      </c>
      <c r="DS47" s="5" t="e">
        <f ca="1">IF('Demand adjustments for Covid'!$F$9="Yes",IF(DR47=0,DQ47,((SUM(DR$4:DR47)-1)*$EE$8)+'Demand adjustments for Covid'!F$13),'Demand background (hide)'!DO47)</f>
        <v>#N/A</v>
      </c>
      <c r="DT47" s="5" t="e">
        <f ca="1">IF('Demand adjustments for Covid'!$F$9="Yes",IF(OR(AND(DN47&gt;='Demand adjustments for Covid'!$F$12,DN47&lt;'Demand adjustments for Covid'!$F$17),DR47=1),DS47+3,DP47),'Demand background (hide)'!DP47)</f>
        <v>#N/A</v>
      </c>
      <c r="DU47" s="5" t="e">
        <f ca="1">IF(DS47&lt;='Demand adjustments for Covid'!$F$17,DO47-DS47,0)</f>
        <v>#N/A</v>
      </c>
      <c r="DV47" s="5">
        <f ca="1">IF(AND(ROW(A44)&gt;$EE$5,ROW(A44)&lt;=$EA$5),OFFSET('Demand adjustments for Covid'!$F$35,0,ROW(A44)-'Demand background (hide)'!$EE$5,1,1),0)</f>
        <v>0</v>
      </c>
      <c r="DW47" s="5">
        <f ca="1">IF(AND(ROW(A44)&gt;$EE$5,ROW(A44)&lt;=$EA$5),OFFSET('Demand adjustments for Covid'!$F$36,0,ROW(A44)-'Demand background (hide)'!$EE$5,1,1),0)</f>
        <v>0</v>
      </c>
      <c r="DX47" s="5" t="e">
        <f t="shared" ca="1" si="11"/>
        <v>#N/A</v>
      </c>
    </row>
    <row r="48" spans="1:128" s="5" customFormat="1" x14ac:dyDescent="0.2">
      <c r="A48" s="5">
        <f t="shared" ca="1" si="32"/>
        <v>1</v>
      </c>
      <c r="B48" s="5">
        <f ca="1">COUNTBLANK(OFFSET(Demand!$I57,0,(COLUMN(A45)-1)*5,1,1))</f>
        <v>1</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0</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0</v>
      </c>
      <c r="Y48" s="5">
        <f t="shared" ca="1" si="5"/>
        <v>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0</v>
      </c>
      <c r="AM48" s="5">
        <f t="shared" ca="1" si="9"/>
        <v>0</v>
      </c>
      <c r="AN48" s="5" t="str">
        <f>IF(Demand!BE57="Yes","Yes","")</f>
        <v/>
      </c>
      <c r="AP48" s="36" t="str">
        <f ca="1">Demand!B57</f>
        <v xml:space="preserve"> </v>
      </c>
      <c r="AQ48" s="5" t="str">
        <f ca="1">IF(TEXT(Demand!D57,"MMM")&lt;&gt;TEXT(Demand!D56,"MMM"),TEXT(Demand!D57,"MMM"),"")</f>
        <v/>
      </c>
      <c r="AT48" s="5">
        <f t="shared" ca="1" si="12"/>
        <v>0</v>
      </c>
      <c r="BQ48">
        <f ca="1">IF($AN48="",OFFSET(Demand!$A$13,ROW(A45)-1,4+((QUOTIENT(COLUMN(BQ$2)-69,3))*5)+MOD(COLUMN(BQ$2),3),1,1),"")</f>
        <v>0</v>
      </c>
      <c r="BR48">
        <f ca="1">IF($AN48="",OFFSET(Demand!$A$13,ROW(B45)-1,4+((QUOTIENT(COLUMN(BR$2)-69,3))*5)+MOD(COLUMN(BR$2),3),1,1),"")</f>
        <v>0</v>
      </c>
      <c r="BS48">
        <f ca="1">IF($AN48="",OFFSET(Demand!$A$13,ROW(C45)-1,4+((QUOTIENT(COLUMN(BS$2)-69,3))*5)+MOD(COLUMN(BS$2),3),1,1),"")</f>
        <v>0</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12</v>
      </c>
      <c r="DN48" s="317">
        <f t="shared" si="17"/>
        <v>44277</v>
      </c>
      <c r="DO48" s="5" t="e">
        <f ca="1">VLOOKUP(IF($DM48&lt;53,$DM48,52),'Summary Calculations (hide)'!$D$15:$F$67,2,0)</f>
        <v>#N/A</v>
      </c>
      <c r="DP48" s="5" t="e">
        <f ca="1">VLOOKUP(IF($DM48&lt;53,$DM48,52),'Summary Calculations (hide)'!$D$15:$F$67,3,0)</f>
        <v>#N/A</v>
      </c>
      <c r="DQ48" s="5" t="e">
        <f ca="1">IF(AND(DN48&gt;='Demand adjustments for Covid'!$F$12,DN48&lt;'Demand adjustments for Covid'!$F$17),'Demand adjustments for Covid'!$F$13,DO48)</f>
        <v>#N/A</v>
      </c>
      <c r="DR48" s="5">
        <f t="shared" si="33"/>
        <v>0</v>
      </c>
      <c r="DS48" s="5" t="e">
        <f ca="1">IF('Demand adjustments for Covid'!$F$9="Yes",IF(DR48=0,DQ48,((SUM(DR$4:DR48)-1)*$EE$8)+'Demand adjustments for Covid'!F$13),'Demand background (hide)'!DO48)</f>
        <v>#N/A</v>
      </c>
      <c r="DT48" s="5" t="e">
        <f ca="1">IF('Demand adjustments for Covid'!$F$9="Yes",IF(OR(AND(DN48&gt;='Demand adjustments for Covid'!$F$12,DN48&lt;'Demand adjustments for Covid'!$F$17),DR48=1),DS48+3,DP48),'Demand background (hide)'!DP48)</f>
        <v>#N/A</v>
      </c>
      <c r="DU48" s="5" t="e">
        <f ca="1">IF(DS48&lt;='Demand adjustments for Covid'!$F$17,DO48-DS48,0)</f>
        <v>#N/A</v>
      </c>
      <c r="DV48" s="5">
        <f ca="1">IF(AND(ROW(A45)&gt;$EE$5,ROW(A45)&lt;=$EA$5),OFFSET('Demand adjustments for Covid'!$F$35,0,ROW(A45)-'Demand background (hide)'!$EE$5,1,1),0)</f>
        <v>0</v>
      </c>
      <c r="DW48" s="5">
        <f ca="1">IF(AND(ROW(A45)&gt;$EE$5,ROW(A45)&lt;=$EA$5),OFFSET('Demand adjustments for Covid'!$F$36,0,ROW(A45)-'Demand background (hide)'!$EE$5,1,1),0)</f>
        <v>0</v>
      </c>
      <c r="DX48" s="5" t="e">
        <f t="shared" ca="1" si="11"/>
        <v>#N/A</v>
      </c>
    </row>
    <row r="49" spans="1:132" s="5" customFormat="1" x14ac:dyDescent="0.2">
      <c r="A49" s="5">
        <f t="shared" ca="1" si="32"/>
        <v>1</v>
      </c>
      <c r="B49" s="5">
        <f ca="1">COUNTBLANK(OFFSET(Demand!$I58,0,(COLUMN(A46)-1)*5,1,1))</f>
        <v>1</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0</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0</v>
      </c>
      <c r="Y49" s="5">
        <f t="shared" ca="1" si="5"/>
        <v>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0</v>
      </c>
      <c r="AM49" s="5">
        <f t="shared" ca="1" si="9"/>
        <v>0</v>
      </c>
      <c r="AN49" s="5" t="str">
        <f>IF(Demand!BE58="Yes","Yes","")</f>
        <v/>
      </c>
      <c r="AP49" s="36" t="str">
        <f ca="1">Demand!B58</f>
        <v xml:space="preserve"> </v>
      </c>
      <c r="AQ49" s="5" t="str">
        <f ca="1">IF(TEXT(Demand!D58,"MMM")&lt;&gt;TEXT(Demand!D57,"MMM"),TEXT(Demand!D58,"MMM"),"")</f>
        <v/>
      </c>
      <c r="AT49" s="5">
        <f t="shared" ca="1" si="12"/>
        <v>0</v>
      </c>
      <c r="BQ49">
        <f ca="1">IF($AN49="",OFFSET(Demand!$A$13,ROW(A46)-1,4+((QUOTIENT(COLUMN(BQ$2)-69,3))*5)+MOD(COLUMN(BQ$2),3),1,1),"")</f>
        <v>0</v>
      </c>
      <c r="BR49">
        <f ca="1">IF($AN49="",OFFSET(Demand!$A$13,ROW(B46)-1,4+((QUOTIENT(COLUMN(BR$2)-69,3))*5)+MOD(COLUMN(BR$2),3),1,1),"")</f>
        <v>0</v>
      </c>
      <c r="BS49">
        <f ca="1">IF($AN49="",OFFSET(Demand!$A$13,ROW(C46)-1,4+((QUOTIENT(COLUMN(BS$2)-69,3))*5)+MOD(COLUMN(BS$2),3),1,1),"")</f>
        <v>0</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13</v>
      </c>
      <c r="DN49" s="317">
        <f t="shared" si="17"/>
        <v>44284</v>
      </c>
      <c r="DO49" s="5" t="e">
        <f ca="1">VLOOKUP(IF($DM49&lt;53,$DM49,52),'Summary Calculations (hide)'!$D$15:$F$67,2,0)</f>
        <v>#N/A</v>
      </c>
      <c r="DP49" s="5" t="e">
        <f ca="1">VLOOKUP(IF($DM49&lt;53,$DM49,52),'Summary Calculations (hide)'!$D$15:$F$67,3,0)</f>
        <v>#N/A</v>
      </c>
      <c r="DQ49" s="5" t="e">
        <f ca="1">IF(AND(DN49&gt;='Demand adjustments for Covid'!$F$12,DN49&lt;'Demand adjustments for Covid'!$F$17),'Demand adjustments for Covid'!$F$13,DO49)</f>
        <v>#N/A</v>
      </c>
      <c r="DR49" s="5">
        <f t="shared" si="33"/>
        <v>0</v>
      </c>
      <c r="DS49" s="5" t="e">
        <f ca="1">IF('Demand adjustments for Covid'!$F$9="Yes",IF(DR49=0,DQ49,((SUM(DR$4:DR49)-1)*$EE$8)+'Demand adjustments for Covid'!F$13),'Demand background (hide)'!DO49)</f>
        <v>#N/A</v>
      </c>
      <c r="DT49" s="5" t="e">
        <f ca="1">IF('Demand adjustments for Covid'!$F$9="Yes",IF(OR(AND(DN49&gt;='Demand adjustments for Covid'!$F$12,DN49&lt;'Demand adjustments for Covid'!$F$17),DR49=1),DS49+3,DP49),'Demand background (hide)'!DP49)</f>
        <v>#N/A</v>
      </c>
      <c r="DU49" s="5" t="e">
        <f ca="1">IF(DS49&lt;='Demand adjustments for Covid'!$F$17,DO49-DS49,0)</f>
        <v>#N/A</v>
      </c>
      <c r="DV49" s="5">
        <f ca="1">IF(AND(ROW(A46)&gt;$EE$5,ROW(A46)&lt;=$EA$5),OFFSET('Demand adjustments for Covid'!$F$35,0,ROW(A46)-'Demand background (hide)'!$EE$5,1,1),0)</f>
        <v>0</v>
      </c>
      <c r="DW49" s="5">
        <f ca="1">IF(AND(ROW(A46)&gt;$EE$5,ROW(A46)&lt;=$EA$5),OFFSET('Demand adjustments for Covid'!$F$36,0,ROW(A46)-'Demand background (hide)'!$EE$5,1,1),0)</f>
        <v>0</v>
      </c>
      <c r="DX49" s="5" t="e">
        <f t="shared" ca="1" si="11"/>
        <v>#N/A</v>
      </c>
    </row>
    <row r="50" spans="1:132" s="5" customFormat="1" x14ac:dyDescent="0.2">
      <c r="A50" s="5">
        <f t="shared" ca="1" si="32"/>
        <v>1</v>
      </c>
      <c r="B50" s="5">
        <f ca="1">COUNTBLANK(OFFSET(Demand!$I59,0,(COLUMN(A47)-1)*5,1,1))</f>
        <v>1</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0</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0</v>
      </c>
      <c r="Y50" s="5">
        <f t="shared" ca="1" si="5"/>
        <v>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0</v>
      </c>
      <c r="AM50" s="5">
        <f t="shared" ca="1" si="9"/>
        <v>0</v>
      </c>
      <c r="AN50" s="5" t="str">
        <f>IF(Demand!BE59="Yes","Yes","")</f>
        <v/>
      </c>
      <c r="AP50" s="36" t="str">
        <f ca="1">Demand!B59</f>
        <v xml:space="preserve"> </v>
      </c>
      <c r="AQ50" s="5" t="str">
        <f ca="1">IF(TEXT(Demand!D59,"MMM")&lt;&gt;TEXT(Demand!D58,"MMM"),TEXT(Demand!D59,"MMM"),"")</f>
        <v/>
      </c>
      <c r="AT50" s="5">
        <f t="shared" ca="1" si="12"/>
        <v>0</v>
      </c>
      <c r="BQ50">
        <f ca="1">IF($AN50="",OFFSET(Demand!$A$13,ROW(A47)-1,4+((QUOTIENT(COLUMN(BQ$2)-69,3))*5)+MOD(COLUMN(BQ$2),3),1,1),"")</f>
        <v>0</v>
      </c>
      <c r="BR50">
        <f ca="1">IF($AN50="",OFFSET(Demand!$A$13,ROW(B47)-1,4+((QUOTIENT(COLUMN(BR$2)-69,3))*5)+MOD(COLUMN(BR$2),3),1,1),"")</f>
        <v>0</v>
      </c>
      <c r="BS50">
        <f ca="1">IF($AN50="",OFFSET(Demand!$A$13,ROW(C47)-1,4+((QUOTIENT(COLUMN(BS$2)-69,3))*5)+MOD(COLUMN(BS$2),3),1,1),"")</f>
        <v>0</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14</v>
      </c>
      <c r="DN50" s="317">
        <f t="shared" si="17"/>
        <v>44291</v>
      </c>
      <c r="DO50" s="5" t="e">
        <f ca="1">VLOOKUP(IF($DM50&lt;53,$DM50,52),'Summary Calculations (hide)'!$D$15:$F$67,2,0)</f>
        <v>#N/A</v>
      </c>
      <c r="DP50" s="5" t="e">
        <f ca="1">VLOOKUP(IF($DM50&lt;53,$DM50,52),'Summary Calculations (hide)'!$D$15:$F$67,3,0)</f>
        <v>#N/A</v>
      </c>
      <c r="DQ50" s="5" t="e">
        <f ca="1">IF(AND(DN50&gt;='Demand adjustments for Covid'!$F$12,DN50&lt;'Demand adjustments for Covid'!$F$17),'Demand adjustments for Covid'!$F$13,DO50)</f>
        <v>#N/A</v>
      </c>
      <c r="DR50" s="5">
        <f t="shared" si="33"/>
        <v>0</v>
      </c>
      <c r="DS50" s="5" t="e">
        <f ca="1">IF('Demand adjustments for Covid'!$F$9="Yes",IF(DR50=0,DQ50,((SUM(DR$4:DR50)-1)*$EE$8)+'Demand adjustments for Covid'!F$13),'Demand background (hide)'!DO50)</f>
        <v>#N/A</v>
      </c>
      <c r="DT50" s="5" t="e">
        <f ca="1">IF('Demand adjustments for Covid'!$F$9="Yes",IF(OR(AND(DN50&gt;='Demand adjustments for Covid'!$F$12,DN50&lt;'Demand adjustments for Covid'!$F$17),DR50=1),DS50+3,DP50),'Demand background (hide)'!DP50)</f>
        <v>#N/A</v>
      </c>
      <c r="DU50" s="5" t="e">
        <f ca="1">IF(DS50&lt;='Demand adjustments for Covid'!$F$17,DO50-DS50,0)</f>
        <v>#N/A</v>
      </c>
      <c r="DV50" s="5">
        <f ca="1">IF(AND(ROW(A47)&gt;$EE$5,ROW(A47)&lt;=$EA$5),OFFSET('Demand adjustments for Covid'!$F$35,0,ROW(A47)-'Demand background (hide)'!$EE$5,1,1),0)</f>
        <v>0</v>
      </c>
      <c r="DW50" s="5">
        <f ca="1">IF(AND(ROW(A47)&gt;$EE$5,ROW(A47)&lt;=$EA$5),OFFSET('Demand adjustments for Covid'!$F$36,0,ROW(A47)-'Demand background (hide)'!$EE$5,1,1),0)</f>
        <v>0</v>
      </c>
      <c r="DX50" s="5" t="e">
        <f t="shared" ca="1" si="11"/>
        <v>#N/A</v>
      </c>
    </row>
    <row r="51" spans="1:132" s="5" customFormat="1" x14ac:dyDescent="0.2">
      <c r="A51" s="5">
        <f t="shared" ca="1" si="32"/>
        <v>1</v>
      </c>
      <c r="B51" s="5">
        <f ca="1">COUNTBLANK(OFFSET(Demand!$I60,0,(COLUMN(A48)-1)*5,1,1))</f>
        <v>1</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0</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0</v>
      </c>
      <c r="Y51" s="5">
        <f t="shared" ca="1" si="5"/>
        <v>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0</v>
      </c>
      <c r="AM51" s="5">
        <f t="shared" ca="1" si="9"/>
        <v>0</v>
      </c>
      <c r="AN51" s="5" t="str">
        <f>IF(Demand!BE60="Yes","Yes","")</f>
        <v/>
      </c>
      <c r="AP51" s="36" t="str">
        <f ca="1">Demand!B60</f>
        <v xml:space="preserve"> </v>
      </c>
      <c r="AQ51" s="5" t="str">
        <f ca="1">IF(TEXT(Demand!D60,"MMM")&lt;&gt;TEXT(Demand!D59,"MMM"),TEXT(Demand!D60,"MMM"),"")</f>
        <v/>
      </c>
      <c r="AT51" s="5">
        <f t="shared" ca="1" si="12"/>
        <v>0</v>
      </c>
      <c r="BQ51">
        <f ca="1">IF($AN51="",OFFSET(Demand!$A$13,ROW(A48)-1,4+((QUOTIENT(COLUMN(BQ$2)-69,3))*5)+MOD(COLUMN(BQ$2),3),1,1),"")</f>
        <v>0</v>
      </c>
      <c r="BR51">
        <f ca="1">IF($AN51="",OFFSET(Demand!$A$13,ROW(B48)-1,4+((QUOTIENT(COLUMN(BR$2)-69,3))*5)+MOD(COLUMN(BR$2),3),1,1),"")</f>
        <v>0</v>
      </c>
      <c r="BS51">
        <f ca="1">IF($AN51="",OFFSET(Demand!$A$13,ROW(C48)-1,4+((QUOTIENT(COLUMN(BS$2)-69,3))*5)+MOD(COLUMN(BS$2),3),1,1),"")</f>
        <v>0</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15</v>
      </c>
      <c r="DN51" s="317">
        <f t="shared" si="17"/>
        <v>44298</v>
      </c>
      <c r="DO51" s="5" t="e">
        <f ca="1">VLOOKUP(IF($DM51&lt;53,$DM51,52),'Summary Calculations (hide)'!$D$15:$F$67,2,0)</f>
        <v>#N/A</v>
      </c>
      <c r="DP51" s="5" t="e">
        <f ca="1">VLOOKUP(IF($DM51&lt;53,$DM51,52),'Summary Calculations (hide)'!$D$15:$F$67,3,0)</f>
        <v>#N/A</v>
      </c>
      <c r="DQ51" s="5" t="e">
        <f ca="1">IF(AND(DN51&gt;='Demand adjustments for Covid'!$F$12,DN51&lt;'Demand adjustments for Covid'!$F$17),'Demand adjustments for Covid'!$F$13,DO51)</f>
        <v>#N/A</v>
      </c>
      <c r="DR51" s="5">
        <f t="shared" si="33"/>
        <v>0</v>
      </c>
      <c r="DS51" s="5" t="e">
        <f ca="1">IF('Demand adjustments for Covid'!$F$9="Yes",IF(DR51=0,DQ51,((SUM(DR$4:DR51)-1)*$EE$8)+'Demand adjustments for Covid'!F$13),'Demand background (hide)'!DO51)</f>
        <v>#N/A</v>
      </c>
      <c r="DT51" s="5" t="e">
        <f ca="1">IF('Demand adjustments for Covid'!$F$9="Yes",IF(OR(AND(DN51&gt;='Demand adjustments for Covid'!$F$12,DN51&lt;'Demand adjustments for Covid'!$F$17),DR51=1),DS51+3,DP51),'Demand background (hide)'!DP51)</f>
        <v>#N/A</v>
      </c>
      <c r="DU51" s="5" t="e">
        <f ca="1">IF(DS51&lt;='Demand adjustments for Covid'!$F$17,DO51-DS51,0)</f>
        <v>#N/A</v>
      </c>
      <c r="DV51" s="5">
        <f ca="1">IF(AND(ROW(A48)&gt;$EE$5,ROW(A48)&lt;=$EA$5),OFFSET('Demand adjustments for Covid'!$F$35,0,ROW(A48)-'Demand background (hide)'!$EE$5,1,1),0)</f>
        <v>0</v>
      </c>
      <c r="DW51" s="5">
        <f ca="1">IF(AND(ROW(A48)&gt;$EE$5,ROW(A48)&lt;=$EA$5),OFFSET('Demand adjustments for Covid'!$F$36,0,ROW(A48)-'Demand background (hide)'!$EE$5,1,1),0)</f>
        <v>0</v>
      </c>
      <c r="DX51" s="5" t="e">
        <f t="shared" ca="1" si="11"/>
        <v>#N/A</v>
      </c>
    </row>
    <row r="52" spans="1:132" s="5" customFormat="1" x14ac:dyDescent="0.2">
      <c r="A52" s="5">
        <f t="shared" ca="1" si="32"/>
        <v>1</v>
      </c>
      <c r="B52" s="5">
        <f ca="1">COUNTBLANK(OFFSET(Demand!$I61,0,(COLUMN(A49)-1)*5,1,1))</f>
        <v>1</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0</v>
      </c>
      <c r="Y52" s="5">
        <f t="shared" ca="1" si="5"/>
        <v>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0</v>
      </c>
      <c r="AM52" s="5">
        <f t="shared" ca="1" si="9"/>
        <v>0</v>
      </c>
      <c r="AN52" s="5" t="str">
        <f>IF(Demand!BE61="Yes","Yes","")</f>
        <v/>
      </c>
      <c r="AP52" s="36" t="str">
        <f ca="1">Demand!B61</f>
        <v xml:space="preserve"> </v>
      </c>
      <c r="AQ52" s="5" t="str">
        <f ca="1">IF(TEXT(Demand!D61,"MMM")&lt;&gt;TEXT(Demand!D60,"MMM"),TEXT(Demand!D61,"MMM"),"")</f>
        <v/>
      </c>
      <c r="AT52" s="5">
        <f t="shared" ca="1" si="12"/>
        <v>0</v>
      </c>
      <c r="BQ52">
        <f ca="1">IF($AN52="",OFFSET(Demand!$A$13,ROW(A49)-1,4+((QUOTIENT(COLUMN(BQ$2)-69,3))*5)+MOD(COLUMN(BQ$2),3),1,1),"")</f>
        <v>0</v>
      </c>
      <c r="BR52">
        <f ca="1">IF($AN52="",OFFSET(Demand!$A$13,ROW(B49)-1,4+((QUOTIENT(COLUMN(BR$2)-69,3))*5)+MOD(COLUMN(BR$2),3),1,1),"")</f>
        <v>0</v>
      </c>
      <c r="BS52">
        <f ca="1">IF($AN52="",OFFSET(Demand!$A$13,ROW(C49)-1,4+((QUOTIENT(COLUMN(BS$2)-69,3))*5)+MOD(COLUMN(BS$2),3),1,1),"")</f>
        <v>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16</v>
      </c>
      <c r="DN52" s="317">
        <f t="shared" si="17"/>
        <v>44305</v>
      </c>
      <c r="DO52" s="5" t="e">
        <f ca="1">VLOOKUP(IF($DM52&lt;53,$DM52,52),'Summary Calculations (hide)'!$D$15:$F$67,2,0)</f>
        <v>#N/A</v>
      </c>
      <c r="DP52" s="5" t="e">
        <f ca="1">VLOOKUP(IF($DM52&lt;53,$DM52,52),'Summary Calculations (hide)'!$D$15:$F$67,3,0)</f>
        <v>#N/A</v>
      </c>
      <c r="DQ52" s="5" t="e">
        <f ca="1">IF(AND(DN52&gt;='Demand adjustments for Covid'!$F$12,DN52&lt;'Demand adjustments for Covid'!$F$17),'Demand adjustments for Covid'!$F$13,DO52)</f>
        <v>#N/A</v>
      </c>
      <c r="DR52" s="5">
        <f t="shared" si="33"/>
        <v>0</v>
      </c>
      <c r="DS52" s="5" t="e">
        <f ca="1">IF('Demand adjustments for Covid'!$F$9="Yes",IF(DR52=0,DQ52,((SUM(DR$4:DR52)-1)*$EE$8)+'Demand adjustments for Covid'!F$13),'Demand background (hide)'!DO52)</f>
        <v>#N/A</v>
      </c>
      <c r="DT52" s="5" t="e">
        <f ca="1">IF('Demand adjustments for Covid'!$F$9="Yes",IF(OR(AND(DN52&gt;='Demand adjustments for Covid'!$F$12,DN52&lt;'Demand adjustments for Covid'!$F$17),DR52=1),DS52+3,DP52),'Demand background (hide)'!DP52)</f>
        <v>#N/A</v>
      </c>
      <c r="DU52" s="5" t="e">
        <f ca="1">IF(DS52&lt;='Demand adjustments for Covid'!$F$17,DO52-DS52,0)</f>
        <v>#N/A</v>
      </c>
      <c r="DV52" s="5">
        <f ca="1">IF(AND(ROW(A49)&gt;$EE$5,ROW(A49)&lt;=$EA$5),OFFSET('Demand adjustments for Covid'!$F$35,0,ROW(A49)-'Demand background (hide)'!$EE$5,1,1),0)</f>
        <v>0</v>
      </c>
      <c r="DW52" s="5">
        <f ca="1">IF(AND(ROW(A49)&gt;$EE$5,ROW(A49)&lt;=$EA$5),OFFSET('Demand adjustments for Covid'!$F$36,0,ROW(A49)-'Demand background (hide)'!$EE$5,1,1),0)</f>
        <v>0</v>
      </c>
      <c r="DX52" s="5" t="e">
        <f t="shared" ca="1" si="11"/>
        <v>#N/A</v>
      </c>
    </row>
    <row r="53" spans="1:132" s="5" customFormat="1" x14ac:dyDescent="0.2">
      <c r="A53" s="5">
        <f t="shared" ca="1" si="32"/>
        <v>1</v>
      </c>
      <c r="B53" s="5">
        <f ca="1">COUNTBLANK(OFFSET(Demand!$I62,0,(COLUMN(A50)-1)*5,1,1))</f>
        <v>1</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0</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0</v>
      </c>
      <c r="Y53" s="5">
        <f t="shared" ca="1" si="5"/>
        <v>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0</v>
      </c>
      <c r="AM53" s="5">
        <f t="shared" ca="1" si="9"/>
        <v>0</v>
      </c>
      <c r="AN53" s="5" t="str">
        <f>IF(Demand!BE62="Yes","Yes","")</f>
        <v/>
      </c>
      <c r="AP53" s="36" t="str">
        <f ca="1">Demand!B62</f>
        <v xml:space="preserve"> </v>
      </c>
      <c r="AQ53" s="5" t="str">
        <f ca="1">IF(TEXT(Demand!D62,"MMM")&lt;&gt;TEXT(Demand!D61,"MMM"),TEXT(Demand!D62,"MMM"),"")</f>
        <v/>
      </c>
      <c r="AT53" s="5">
        <f t="shared" ca="1" si="12"/>
        <v>0</v>
      </c>
      <c r="BQ53">
        <f ca="1">IF($AN53="",OFFSET(Demand!$A$13,ROW(A50)-1,4+((QUOTIENT(COLUMN(BQ$2)-69,3))*5)+MOD(COLUMN(BQ$2),3),1,1),"")</f>
        <v>0</v>
      </c>
      <c r="BR53">
        <f ca="1">IF($AN53="",OFFSET(Demand!$A$13,ROW(B50)-1,4+((QUOTIENT(COLUMN(BR$2)-69,3))*5)+MOD(COLUMN(BR$2),3),1,1),"")</f>
        <v>0</v>
      </c>
      <c r="BS53">
        <f ca="1">IF($AN53="",OFFSET(Demand!$A$13,ROW(C50)-1,4+((QUOTIENT(COLUMN(BS$2)-69,3))*5)+MOD(COLUMN(BS$2),3),1,1),"")</f>
        <v>0</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17</v>
      </c>
      <c r="DN53" s="317">
        <f t="shared" si="17"/>
        <v>44312</v>
      </c>
      <c r="DO53" s="5" t="e">
        <f ca="1">VLOOKUP(IF($DM53&lt;53,$DM53,52),'Summary Calculations (hide)'!$D$15:$F$67,2,0)</f>
        <v>#N/A</v>
      </c>
      <c r="DP53" s="5" t="e">
        <f ca="1">VLOOKUP(IF($DM53&lt;53,$DM53,52),'Summary Calculations (hide)'!$D$15:$F$67,3,0)</f>
        <v>#N/A</v>
      </c>
      <c r="DQ53" s="5" t="e">
        <f ca="1">IF(AND(DN53&gt;='Demand adjustments for Covid'!$F$12,DN53&lt;'Demand adjustments for Covid'!$F$17),'Demand adjustments for Covid'!$F$13,DO53)</f>
        <v>#N/A</v>
      </c>
      <c r="DR53" s="5">
        <f t="shared" si="33"/>
        <v>0</v>
      </c>
      <c r="DS53" s="5" t="e">
        <f ca="1">IF('Demand adjustments for Covid'!$F$9="Yes",IF(DR53=0,DQ53,((SUM(DR$4:DR53)-1)*$EE$8)+'Demand adjustments for Covid'!F$13),'Demand background (hide)'!DO53)</f>
        <v>#N/A</v>
      </c>
      <c r="DT53" s="5" t="e">
        <f ca="1">IF('Demand adjustments for Covid'!$F$9="Yes",IF(OR(AND(DN53&gt;='Demand adjustments for Covid'!$F$12,DN53&lt;'Demand adjustments for Covid'!$F$17),DR53=1),DS53+3,DP53),'Demand background (hide)'!DP53)</f>
        <v>#N/A</v>
      </c>
      <c r="DU53" s="5" t="e">
        <f ca="1">IF(DS53&lt;='Demand adjustments for Covid'!$F$17,DO53-DS53,0)</f>
        <v>#N/A</v>
      </c>
      <c r="DV53" s="5">
        <f ca="1">IF(AND(ROW(A50)&gt;$EE$5,ROW(A50)&lt;=$EA$5),OFFSET('Demand adjustments for Covid'!$F$35,0,ROW(A50)-'Demand background (hide)'!$EE$5,1,1),0)</f>
        <v>0</v>
      </c>
      <c r="DW53" s="5">
        <f ca="1">IF(AND(ROW(A50)&gt;$EE$5,ROW(A50)&lt;=$EA$5),OFFSET('Demand adjustments for Covid'!$F$36,0,ROW(A50)-'Demand background (hide)'!$EE$5,1,1),0)</f>
        <v>0</v>
      </c>
      <c r="DX53" s="5" t="e">
        <f t="shared" ca="1" si="11"/>
        <v>#N/A</v>
      </c>
    </row>
    <row r="54" spans="1:132" s="5" customFormat="1" x14ac:dyDescent="0.2">
      <c r="A54" s="5">
        <f t="shared" ca="1" si="32"/>
        <v>1</v>
      </c>
      <c r="B54" s="5">
        <f ca="1">COUNTBLANK(OFFSET(Demand!$I63,0,(COLUMN(A51)-1)*5,1,1))</f>
        <v>1</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0</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0</v>
      </c>
      <c r="Y54" s="5">
        <f t="shared" ca="1" si="5"/>
        <v>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0</v>
      </c>
      <c r="AM54" s="5">
        <f t="shared" ca="1" si="9"/>
        <v>0</v>
      </c>
      <c r="AN54" s="5" t="str">
        <f>IF(Demand!BE63="Yes","Yes","")</f>
        <v/>
      </c>
      <c r="AP54" s="36" t="str">
        <f ca="1">Demand!B63</f>
        <v xml:space="preserve"> </v>
      </c>
      <c r="AQ54" s="5" t="str">
        <f ca="1">IF(TEXT(Demand!D63,"MMM")&lt;&gt;TEXT(Demand!D62,"MMM"),TEXT(Demand!D63,"MMM"),"")</f>
        <v/>
      </c>
      <c r="AT54" s="5">
        <f t="shared" ca="1" si="12"/>
        <v>0</v>
      </c>
      <c r="BQ54">
        <f ca="1">IF($AN54="",OFFSET(Demand!$A$13,ROW(A51)-1,4+((QUOTIENT(COLUMN(BQ$2)-69,3))*5)+MOD(COLUMN(BQ$2),3),1,1),"")</f>
        <v>0</v>
      </c>
      <c r="BR54">
        <f ca="1">IF($AN54="",OFFSET(Demand!$A$13,ROW(B51)-1,4+((QUOTIENT(COLUMN(BR$2)-69,3))*5)+MOD(COLUMN(BR$2),3),1,1),"")</f>
        <v>0</v>
      </c>
      <c r="BS54">
        <f ca="1">IF($AN54="",OFFSET(Demand!$A$13,ROW(C51)-1,4+((QUOTIENT(COLUMN(BS$2)-69,3))*5)+MOD(COLUMN(BS$2),3),1,1),"")</f>
        <v>0</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18</v>
      </c>
      <c r="DN54" s="317">
        <f t="shared" si="17"/>
        <v>44319</v>
      </c>
      <c r="DO54" s="5" t="e">
        <f ca="1">VLOOKUP(IF($DM54&lt;53,$DM54,52),'Summary Calculations (hide)'!$D$15:$F$67,2,0)</f>
        <v>#N/A</v>
      </c>
      <c r="DP54" s="5" t="e">
        <f ca="1">VLOOKUP(IF($DM54&lt;53,$DM54,52),'Summary Calculations (hide)'!$D$15:$F$67,3,0)</f>
        <v>#N/A</v>
      </c>
      <c r="DQ54" s="5" t="e">
        <f ca="1">IF(AND(DN54&gt;='Demand adjustments for Covid'!$F$12,DN54&lt;'Demand adjustments for Covid'!$F$17),'Demand adjustments for Covid'!$F$13,DO54)</f>
        <v>#N/A</v>
      </c>
      <c r="DR54" s="5">
        <f t="shared" si="33"/>
        <v>0</v>
      </c>
      <c r="DS54" s="5" t="e">
        <f ca="1">IF('Demand adjustments for Covid'!$F$9="Yes",IF(DR54=0,DQ54,((SUM(DR$4:DR54)-1)*$EE$8)+'Demand adjustments for Covid'!F$13),'Demand background (hide)'!DO54)</f>
        <v>#N/A</v>
      </c>
      <c r="DT54" s="5" t="e">
        <f ca="1">IF('Demand adjustments for Covid'!$F$9="Yes",IF(OR(AND(DN54&gt;='Demand adjustments for Covid'!$F$12,DN54&lt;'Demand adjustments for Covid'!$F$17),DR54=1),DS54+3,DP54),'Demand background (hide)'!DP54)</f>
        <v>#N/A</v>
      </c>
      <c r="DU54" s="5" t="e">
        <f ca="1">IF(DS54&lt;='Demand adjustments for Covid'!$F$17,DO54-DS54,0)</f>
        <v>#N/A</v>
      </c>
      <c r="DV54" s="5">
        <f ca="1">IF(AND(ROW(A51)&gt;$EE$5,ROW(A51)&lt;=$EA$5),OFFSET('Demand adjustments for Covid'!$F$35,0,ROW(A51)-'Demand background (hide)'!$EE$5,1,1),0)</f>
        <v>0</v>
      </c>
      <c r="DW54" s="5">
        <f ca="1">IF(AND(ROW(A51)&gt;$EE$5,ROW(A51)&lt;=$EA$5),OFFSET('Demand adjustments for Covid'!$F$36,0,ROW(A51)-'Demand background (hide)'!$EE$5,1,1),0)</f>
        <v>0</v>
      </c>
      <c r="DX54" s="5" t="e">
        <f t="shared" ca="1" si="11"/>
        <v>#N/A</v>
      </c>
    </row>
    <row r="55" spans="1:132" s="5" customFormat="1" x14ac:dyDescent="0.2">
      <c r="A55" s="5">
        <f t="shared" ca="1" si="32"/>
        <v>1</v>
      </c>
      <c r="B55" s="5">
        <f ca="1">COUNTBLANK(OFFSET(Demand!$I64,0,(COLUMN(A52)-1)*5,1,1))</f>
        <v>1</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0</v>
      </c>
      <c r="Y55" s="5">
        <f t="shared" ca="1" si="5"/>
        <v>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0</v>
      </c>
      <c r="AM55" s="5">
        <f t="shared" ca="1" si="9"/>
        <v>0</v>
      </c>
      <c r="AN55" s="5" t="str">
        <f>IF(Demand!BE64="Yes","Yes","")</f>
        <v/>
      </c>
      <c r="AP55" s="36" t="str">
        <f ca="1">Demand!B64</f>
        <v xml:space="preserve"> </v>
      </c>
      <c r="AQ55" s="5" t="str">
        <f ca="1">IF(TEXT(Demand!D64,"MMM")&lt;&gt;TEXT(Demand!D63,"MMM"),TEXT(Demand!D64,"MMM"),"")</f>
        <v/>
      </c>
      <c r="AT55" s="5">
        <f t="shared" ca="1" si="12"/>
        <v>0</v>
      </c>
      <c r="BQ55">
        <f ca="1">IF($AN55="",OFFSET(Demand!$A$13,ROW(A52)-1,4+((QUOTIENT(COLUMN(BQ$2)-69,3))*5)+MOD(COLUMN(BQ$2),3),1,1),"")</f>
        <v>0</v>
      </c>
      <c r="BR55">
        <f ca="1">IF($AN55="",OFFSET(Demand!$A$13,ROW(B52)-1,4+((QUOTIENT(COLUMN(BR$2)-69,3))*5)+MOD(COLUMN(BR$2),3),1,1),"")</f>
        <v>0</v>
      </c>
      <c r="BS55">
        <f ca="1">IF($AN55="",OFFSET(Demand!$A$13,ROW(C52)-1,4+((QUOTIENT(COLUMN(BS$2)-69,3))*5)+MOD(COLUMN(BS$2),3),1,1),"")</f>
        <v>0</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19</v>
      </c>
      <c r="DN55" s="317">
        <f t="shared" si="17"/>
        <v>44326</v>
      </c>
      <c r="DO55" s="5" t="e">
        <f ca="1">VLOOKUP(IF($DM55&lt;53,$DM55,52),'Summary Calculations (hide)'!$D$15:$F$67,2,0)</f>
        <v>#N/A</v>
      </c>
      <c r="DP55" s="5" t="e">
        <f ca="1">VLOOKUP(IF($DM55&lt;53,$DM55,52),'Summary Calculations (hide)'!$D$15:$F$67,3,0)</f>
        <v>#N/A</v>
      </c>
      <c r="DQ55" s="5" t="e">
        <f ca="1">IF(AND(DN55&gt;='Demand adjustments for Covid'!$F$12,DN55&lt;'Demand adjustments for Covid'!$F$17),'Demand adjustments for Covid'!$F$13,DO55)</f>
        <v>#N/A</v>
      </c>
      <c r="DR55" s="5">
        <f t="shared" si="33"/>
        <v>0</v>
      </c>
      <c r="DS55" s="5" t="e">
        <f ca="1">IF('Demand adjustments for Covid'!$F$9="Yes",IF(DR55=0,DQ55,((SUM(DR$4:DR55)-1)*$EE$8)+'Demand adjustments for Covid'!F$13),'Demand background (hide)'!DO55)</f>
        <v>#N/A</v>
      </c>
      <c r="DT55" s="5" t="e">
        <f ca="1">IF('Demand adjustments for Covid'!$F$9="Yes",IF(OR(AND(DN55&gt;='Demand adjustments for Covid'!$F$12,DN55&lt;'Demand adjustments for Covid'!$F$17),DR55=1),DS55+3,DP55),'Demand background (hide)'!DP55)</f>
        <v>#N/A</v>
      </c>
      <c r="DU55" s="5" t="e">
        <f ca="1">IF(DS55&lt;='Demand adjustments for Covid'!$F$17,DO55-DS55,0)</f>
        <v>#N/A</v>
      </c>
      <c r="DV55" s="5">
        <f ca="1">IF(AND(ROW(A52)&gt;$EE$5,ROW(A52)&lt;=$EA$5),OFFSET('Demand adjustments for Covid'!$F$35,0,ROW(A52)-'Demand background (hide)'!$EE$5,1,1),0)</f>
        <v>0</v>
      </c>
      <c r="DW55" s="5">
        <f ca="1">IF(AND(ROW(A52)&gt;$EE$5,ROW(A52)&lt;=$EA$5),OFFSET('Demand adjustments for Covid'!$F$36,0,ROW(A52)-'Demand background (hide)'!$EE$5,1,1),0)</f>
        <v>0</v>
      </c>
      <c r="DX55" s="5" t="e">
        <f t="shared" ca="1" si="11"/>
        <v>#N/A</v>
      </c>
    </row>
    <row r="56" spans="1:132" x14ac:dyDescent="0.2">
      <c r="A56" s="5">
        <f t="shared" ref="A56:A119" ca="1" si="34">SUM(OFFSET(B56,0,0,1,Num_Modalities))</f>
        <v>1</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6" t="str">
        <f ca="1">Demand!B65</f>
        <v xml:space="preserve"> </v>
      </c>
      <c r="AQ56" t="str">
        <f ca="1">IF(TEXT(Demand!D65,"MMM")&lt;&gt;TEXT(Demand!D64,"MMM"),TEXT(Demand!D65,"MMM"),"")</f>
        <v/>
      </c>
      <c r="AT56" s="5">
        <f t="shared" ca="1" si="12"/>
        <v>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20</v>
      </c>
      <c r="DN56" s="317">
        <f t="shared" si="17"/>
        <v>44333</v>
      </c>
      <c r="DO56" s="5" t="e">
        <f ca="1">VLOOKUP(IF($DM56&lt;53,$DM56,52),'Summary Calculations (hide)'!$D$15:$F$67,2,0)</f>
        <v>#N/A</v>
      </c>
      <c r="DP56" s="5" t="e">
        <f ca="1">VLOOKUP(IF($DM56&lt;53,$DM56,52),'Summary Calculations (hide)'!$D$15:$F$67,3,0)</f>
        <v>#N/A</v>
      </c>
      <c r="DQ56" s="5" t="e">
        <f ca="1">IF(AND(DN56&gt;='Demand adjustments for Covid'!$F$12,DN56&lt;'Demand adjustments for Covid'!$F$17),'Demand adjustments for Covid'!$F$13,DO56)</f>
        <v>#N/A</v>
      </c>
      <c r="DR56" s="5">
        <f t="shared" ref="DR56" si="35">IF(AND(ROW(A53)&gt;=$EE$4,ROW(A53)&lt;=$EE$5),1,0)</f>
        <v>0</v>
      </c>
      <c r="DS56" s="5" t="e">
        <f ca="1">IF('Demand adjustments for Covid'!$F$9="Yes",IF(DR56=0,DQ56,((SUM(DR$4:DR56)-1)*$EE$8)+'Demand adjustments for Covid'!F$13),'Demand background (hide)'!DO56)</f>
        <v>#N/A</v>
      </c>
      <c r="DT56" s="5" t="e">
        <f ca="1">IF('Demand adjustments for Covid'!$F$9="Yes",IF(OR(AND(DN56&gt;='Demand adjustments for Covid'!$F$12,DN56&lt;'Demand adjustments for Covid'!$F$17),DR56=1),DS56+3,DP56),'Demand background (hide)'!DP56)</f>
        <v>#N/A</v>
      </c>
      <c r="DU56" s="5" t="e">
        <f ca="1">IF(DS56&lt;='Demand adjustments for Covid'!$F$17,DO56-DS56,0)</f>
        <v>#N/A</v>
      </c>
      <c r="DV56" s="5">
        <f ca="1">IF(AND(ROW(A53)&gt;$EE$5,ROW(A53)&lt;=$EA$5),OFFSET('Demand adjustments for Covid'!$F$35,0,ROW(A53)-'Demand background (hide)'!$EE$5,1,1),0)</f>
        <v>0</v>
      </c>
      <c r="DW56" s="5">
        <f ca="1">IF(AND(ROW(A53)&gt;$EE$5,ROW(A53)&lt;=$EA$5),OFFSET('Demand adjustments for Covid'!$F$36,0,ROW(A53)-'Demand background (hide)'!$EE$5,1,1),0)</f>
        <v>0</v>
      </c>
      <c r="DX56" s="5" t="e">
        <f t="shared" ref="DX56" ca="1" si="36">SUM(DV56:DW56,DT56)</f>
        <v>#N/A</v>
      </c>
      <c r="DY56" s="5"/>
      <c r="DZ56" s="5"/>
      <c r="EA56" s="5"/>
      <c r="EB56" s="5"/>
    </row>
    <row r="57" spans="1:132" x14ac:dyDescent="0.2">
      <c r="A57" s="5">
        <f t="shared" ca="1" si="34"/>
        <v>1</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6" t="str">
        <f ca="1">Demand!B66</f>
        <v xml:space="preserve"> </v>
      </c>
      <c r="AQ57" t="str">
        <f ca="1">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
      <c r="A58" s="5">
        <f t="shared" ca="1" si="34"/>
        <v>1</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6" t="str">
        <f ca="1">Demand!B67</f>
        <v xml:space="preserve"> </v>
      </c>
      <c r="AQ58" t="str">
        <f ca="1">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
      <c r="A59" s="5">
        <f t="shared" ca="1" si="34"/>
        <v>1</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6" t="str">
        <f ca="1">Demand!B68</f>
        <v xml:space="preserve"> </v>
      </c>
      <c r="AQ59" t="str">
        <f ca="1">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
      <c r="A60" s="5">
        <f t="shared" ca="1" si="34"/>
        <v>1</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6" t="str">
        <f ca="1">Demand!B69</f>
        <v xml:space="preserve"> </v>
      </c>
      <c r="AQ60" t="str">
        <f ca="1">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
      <c r="A61" s="5">
        <f t="shared" ca="1" si="34"/>
        <v>1</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6" t="str">
        <f ca="1">Demand!B70</f>
        <v xml:space="preserve"> </v>
      </c>
      <c r="AQ61" t="str">
        <f ca="1">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
      <c r="A62" s="5">
        <f t="shared" ca="1" si="34"/>
        <v>1</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6" t="str">
        <f ca="1">Demand!B71</f>
        <v xml:space="preserve"> </v>
      </c>
      <c r="AQ62" t="str">
        <f ca="1">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
      <c r="A63" s="5">
        <f t="shared" ca="1" si="34"/>
        <v>1</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6" t="str">
        <f ca="1">Demand!B72</f>
        <v xml:space="preserve"> </v>
      </c>
      <c r="AQ63" t="str">
        <f ca="1">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
      <c r="A64" s="5">
        <f t="shared" ca="1" si="34"/>
        <v>1</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6" t="str">
        <f ca="1">Demand!B73</f>
        <v xml:space="preserve"> </v>
      </c>
      <c r="AQ64" t="str">
        <f ca="1">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
      <c r="A65" s="5">
        <f t="shared" ca="1" si="34"/>
        <v>1</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6" t="str">
        <f ca="1">Demand!B74</f>
        <v xml:space="preserve"> </v>
      </c>
      <c r="AQ65" t="str">
        <f ca="1">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
      <c r="A66" s="5">
        <f t="shared" ca="1" si="34"/>
        <v>1</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6" t="str">
        <f ca="1">Demand!B75</f>
        <v xml:space="preserve"> </v>
      </c>
      <c r="AQ66" t="str">
        <f ca="1">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
      <c r="A67" s="5">
        <f t="shared" ca="1" si="34"/>
        <v>1</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6" t="str">
        <f ca="1">Demand!B76</f>
        <v xml:space="preserve"> </v>
      </c>
      <c r="AQ67" t="str">
        <f ca="1">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
      <c r="A68" s="5">
        <f t="shared" ca="1" si="34"/>
        <v>1</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0</v>
      </c>
      <c r="Y68">
        <f t="shared" ref="Y68:Y131" ca="1" si="38">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0</v>
      </c>
      <c r="AM68" s="5">
        <f t="shared" ca="1" si="9"/>
        <v>0</v>
      </c>
      <c r="AN68" s="5" t="str">
        <f>IF(Demand!BE77="Yes","Yes","")</f>
        <v/>
      </c>
      <c r="AP68" s="36" t="str">
        <f ca="1">Demand!B77</f>
        <v xml:space="preserve"> </v>
      </c>
      <c r="AQ68" t="str">
        <f ca="1">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
      <c r="A69" s="5">
        <f t="shared" ca="1" si="34"/>
        <v>1</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0</v>
      </c>
      <c r="Y69">
        <f t="shared" ca="1" si="38"/>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0</v>
      </c>
      <c r="AM69" s="5">
        <f t="shared" ref="AM69:AM132" ca="1" si="41">IF(AN69&lt;&gt;"","",AJ69)</f>
        <v>0</v>
      </c>
      <c r="AN69" s="5" t="str">
        <f>IF(Demand!BE78="Yes","Yes","")</f>
        <v/>
      </c>
      <c r="AP69" s="36" t="str">
        <f ca="1">Demand!B78</f>
        <v xml:space="preserve"> </v>
      </c>
      <c r="AQ69" t="str">
        <f ca="1">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
      <c r="A70" s="5">
        <f t="shared" ca="1" si="34"/>
        <v>1</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0</v>
      </c>
      <c r="Y70">
        <f t="shared" ca="1" si="38"/>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0</v>
      </c>
      <c r="AM70" s="5">
        <f t="shared" ca="1" si="41"/>
        <v>0</v>
      </c>
      <c r="AN70" s="5" t="str">
        <f>IF(Demand!BE79="Yes","Yes","")</f>
        <v/>
      </c>
      <c r="AP70" s="36" t="str">
        <f ca="1">Demand!B79</f>
        <v xml:space="preserve"> </v>
      </c>
      <c r="AQ70" t="str">
        <f ca="1">IF(TEXT(Demand!D79,"MMM")&lt;&gt;TEXT(Demand!D78,"MMM"),TEXT(Demand!D79,"MMM"),"")</f>
        <v/>
      </c>
      <c r="AT70" s="5">
        <f t="shared" ref="AT70:AT133" ca="1" si="42">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
      <c r="A71" s="5">
        <f t="shared" ca="1" si="34"/>
        <v>1</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0</v>
      </c>
      <c r="Y71">
        <f t="shared" ca="1" si="38"/>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0</v>
      </c>
      <c r="AM71" s="5">
        <f t="shared" ca="1" si="41"/>
        <v>0</v>
      </c>
      <c r="AN71" s="5" t="str">
        <f>IF(Demand!BE80="Yes","Yes","")</f>
        <v/>
      </c>
      <c r="AP71" s="36" t="str">
        <f ca="1">Demand!B80</f>
        <v xml:space="preserve"> </v>
      </c>
      <c r="AQ71" t="str">
        <f ca="1">IF(TEXT(Demand!D80,"MMM")&lt;&gt;TEXT(Demand!D79,"MMM"),TEXT(Demand!D80,"MMM"),"")</f>
        <v/>
      </c>
      <c r="AT71" s="5">
        <f t="shared" ca="1" si="42"/>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
      <c r="A72" s="5">
        <f t="shared" ca="1" si="34"/>
        <v>1</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0</v>
      </c>
      <c r="Y72">
        <f t="shared" ca="1" si="38"/>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0</v>
      </c>
      <c r="AM72" s="5">
        <f t="shared" ca="1" si="41"/>
        <v>0</v>
      </c>
      <c r="AN72" s="5" t="str">
        <f>IF(Demand!BE81="Yes","Yes","")</f>
        <v/>
      </c>
      <c r="AP72" s="36" t="str">
        <f ca="1">Demand!B81</f>
        <v xml:space="preserve"> </v>
      </c>
      <c r="AQ72" t="str">
        <f ca="1">IF(TEXT(Demand!D81,"MMM")&lt;&gt;TEXT(Demand!D80,"MMM"),TEXT(Demand!D81,"MMM"),"")</f>
        <v/>
      </c>
      <c r="AT72" s="5">
        <f t="shared" ca="1" si="42"/>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
      <c r="A73" s="5">
        <f t="shared" ca="1" si="34"/>
        <v>1</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0</v>
      </c>
      <c r="Y73">
        <f t="shared" ca="1" si="38"/>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0</v>
      </c>
      <c r="AM73" s="5">
        <f t="shared" ca="1" si="41"/>
        <v>0</v>
      </c>
      <c r="AN73" s="5" t="str">
        <f>IF(Demand!BE82="Yes","Yes","")</f>
        <v/>
      </c>
      <c r="AP73" s="36" t="str">
        <f ca="1">Demand!B82</f>
        <v xml:space="preserve"> </v>
      </c>
      <c r="AQ73" t="str">
        <f ca="1">IF(TEXT(Demand!D82,"MMM")&lt;&gt;TEXT(Demand!D81,"MMM"),TEXT(Demand!D82,"MMM"),"")</f>
        <v/>
      </c>
      <c r="AT73" s="5">
        <f t="shared" ca="1" si="42"/>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
      <c r="A74" s="5">
        <f t="shared" ca="1" si="34"/>
        <v>1</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0</v>
      </c>
      <c r="Y74">
        <f t="shared" ca="1" si="38"/>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0</v>
      </c>
      <c r="AM74" s="5">
        <f t="shared" ca="1" si="41"/>
        <v>0</v>
      </c>
      <c r="AN74" s="5" t="str">
        <f>IF(Demand!BE83="Yes","Yes","")</f>
        <v/>
      </c>
      <c r="AP74" s="36" t="str">
        <f ca="1">Demand!B83</f>
        <v xml:space="preserve"> </v>
      </c>
      <c r="AQ74" t="str">
        <f ca="1">IF(TEXT(Demand!D83,"MMM")&lt;&gt;TEXT(Demand!D82,"MMM"),TEXT(Demand!D83,"MMM"),"")</f>
        <v/>
      </c>
      <c r="AT74" s="5">
        <f t="shared" ca="1" si="42"/>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
      <c r="A75" s="5">
        <f t="shared" ca="1" si="34"/>
        <v>1</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0</v>
      </c>
      <c r="Y75">
        <f t="shared" ca="1" si="38"/>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0</v>
      </c>
      <c r="AM75" s="5">
        <f t="shared" ca="1" si="41"/>
        <v>0</v>
      </c>
      <c r="AN75" s="5" t="str">
        <f>IF(Demand!BE84="Yes","Yes","")</f>
        <v/>
      </c>
      <c r="AP75" s="36" t="str">
        <f ca="1">Demand!B84</f>
        <v xml:space="preserve"> </v>
      </c>
      <c r="AQ75" t="str">
        <f ca="1">IF(TEXT(Demand!D84,"MMM")&lt;&gt;TEXT(Demand!D83,"MMM"),TEXT(Demand!D84,"MMM"),"")</f>
        <v/>
      </c>
      <c r="AT75" s="5">
        <f t="shared" ca="1" si="42"/>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
      <c r="A76" s="5">
        <f t="shared" ca="1" si="34"/>
        <v>1</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0</v>
      </c>
      <c r="Y76">
        <f t="shared" ca="1" si="38"/>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0</v>
      </c>
      <c r="AM76" s="5">
        <f t="shared" ca="1" si="41"/>
        <v>0</v>
      </c>
      <c r="AN76" s="5" t="str">
        <f>IF(Demand!BE85="Yes","Yes","")</f>
        <v/>
      </c>
      <c r="AP76" s="36" t="str">
        <f ca="1">Demand!B85</f>
        <v xml:space="preserve"> </v>
      </c>
      <c r="AQ76" t="str">
        <f ca="1">IF(TEXT(Demand!D85,"MMM")&lt;&gt;TEXT(Demand!D84,"MMM"),TEXT(Demand!D85,"MMM"),"")</f>
        <v/>
      </c>
      <c r="AT76" s="5">
        <f t="shared" ca="1" si="42"/>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
      <c r="A77" s="5">
        <f t="shared" ca="1" si="34"/>
        <v>1</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0</v>
      </c>
      <c r="Y77">
        <f t="shared" ca="1" si="38"/>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0</v>
      </c>
      <c r="AM77" s="5">
        <f t="shared" ca="1" si="41"/>
        <v>0</v>
      </c>
      <c r="AN77" s="5" t="str">
        <f>IF(Demand!BE86="Yes","Yes","")</f>
        <v/>
      </c>
      <c r="AP77" s="36" t="str">
        <f ca="1">Demand!B86</f>
        <v xml:space="preserve"> </v>
      </c>
      <c r="AQ77" t="str">
        <f ca="1">IF(TEXT(Demand!D86,"MMM")&lt;&gt;TEXT(Demand!D85,"MMM"),TEXT(Demand!D86,"MMM"),"")</f>
        <v/>
      </c>
      <c r="AT77" s="5">
        <f t="shared" ca="1" si="42"/>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
      <c r="A78" s="5">
        <f t="shared" ca="1" si="34"/>
        <v>1</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0</v>
      </c>
      <c r="Y78">
        <f t="shared" ca="1" si="38"/>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0</v>
      </c>
      <c r="AM78" s="5">
        <f t="shared" ca="1" si="41"/>
        <v>0</v>
      </c>
      <c r="AN78" s="5" t="str">
        <f>IF(Demand!BE87="Yes","Yes","")</f>
        <v/>
      </c>
      <c r="AP78" s="36" t="str">
        <f ca="1">Demand!B87</f>
        <v xml:space="preserve"> </v>
      </c>
      <c r="AQ78" t="str">
        <f ca="1">IF(TEXT(Demand!D87,"MMM")&lt;&gt;TEXT(Demand!D86,"MMM"),TEXT(Demand!D87,"MMM"),"")</f>
        <v/>
      </c>
      <c r="AT78" s="5">
        <f t="shared" ca="1" si="42"/>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
      <c r="A79" s="5">
        <f t="shared" ca="1" si="34"/>
        <v>1</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0</v>
      </c>
      <c r="Y79">
        <f t="shared" ca="1" si="38"/>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0</v>
      </c>
      <c r="AM79" s="5">
        <f t="shared" ca="1" si="41"/>
        <v>0</v>
      </c>
      <c r="AN79" s="5" t="str">
        <f>IF(Demand!BE88="Yes","Yes","")</f>
        <v/>
      </c>
      <c r="AP79" s="36" t="str">
        <f ca="1">Demand!B88</f>
        <v xml:space="preserve"> </v>
      </c>
      <c r="AQ79" t="str">
        <f ca="1">IF(TEXT(Demand!D88,"MMM")&lt;&gt;TEXT(Demand!D87,"MMM"),TEXT(Demand!D88,"MMM"),"")</f>
        <v/>
      </c>
      <c r="AT79" s="5">
        <f t="shared" ca="1" si="42"/>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
      <c r="A80" s="5">
        <f t="shared" ca="1" si="34"/>
        <v>1</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0</v>
      </c>
      <c r="Y80">
        <f t="shared" ca="1" si="38"/>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0</v>
      </c>
      <c r="AM80" s="5">
        <f t="shared" ca="1" si="41"/>
        <v>0</v>
      </c>
      <c r="AN80" s="5" t="str">
        <f>IF(Demand!BE89="Yes","Yes","")</f>
        <v/>
      </c>
      <c r="AP80" s="36" t="str">
        <f ca="1">Demand!B89</f>
        <v xml:space="preserve"> </v>
      </c>
      <c r="AQ80" t="str">
        <f ca="1">IF(TEXT(Demand!D89,"MMM")&lt;&gt;TEXT(Demand!D88,"MMM"),TEXT(Demand!D89,"MMM"),"")</f>
        <v/>
      </c>
      <c r="AT80" s="5">
        <f t="shared" ca="1" si="42"/>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
      <c r="A81" s="5">
        <f t="shared" ca="1" si="34"/>
        <v>1</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0</v>
      </c>
      <c r="Y81">
        <f t="shared" ca="1" si="38"/>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0</v>
      </c>
      <c r="AM81" s="5">
        <f t="shared" ca="1" si="41"/>
        <v>0</v>
      </c>
      <c r="AN81" s="5" t="str">
        <f>IF(Demand!BE90="Yes","Yes","")</f>
        <v/>
      </c>
      <c r="AP81" s="36" t="str">
        <f ca="1">Demand!B90</f>
        <v xml:space="preserve"> </v>
      </c>
      <c r="AQ81" t="str">
        <f ca="1">IF(TEXT(Demand!D90,"MMM")&lt;&gt;TEXT(Demand!D89,"MMM"),TEXT(Demand!D90,"MMM"),"")</f>
        <v/>
      </c>
      <c r="AT81" s="5">
        <f t="shared" ca="1" si="42"/>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
      <c r="A82" s="5">
        <f t="shared" ca="1" si="34"/>
        <v>1</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0</v>
      </c>
      <c r="Y82">
        <f t="shared" ca="1" si="38"/>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0</v>
      </c>
      <c r="AM82" s="5">
        <f t="shared" ca="1" si="41"/>
        <v>0</v>
      </c>
      <c r="AN82" s="5" t="str">
        <f>IF(Demand!BE91="Yes","Yes","")</f>
        <v/>
      </c>
      <c r="AP82" s="36" t="str">
        <f ca="1">Demand!B91</f>
        <v xml:space="preserve"> </v>
      </c>
      <c r="AQ82" t="str">
        <f ca="1">IF(TEXT(Demand!D91,"MMM")&lt;&gt;TEXT(Demand!D90,"MMM"),TEXT(Demand!D91,"MMM"),"")</f>
        <v/>
      </c>
      <c r="AT82" s="5">
        <f t="shared" ca="1" si="42"/>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
      <c r="A83" s="5">
        <f t="shared" ca="1" si="34"/>
        <v>1</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0</v>
      </c>
      <c r="Y83">
        <f t="shared" ca="1" si="38"/>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0</v>
      </c>
      <c r="AM83" s="5">
        <f t="shared" ca="1" si="41"/>
        <v>0</v>
      </c>
      <c r="AN83" s="5" t="str">
        <f>IF(Demand!BE92="Yes","Yes","")</f>
        <v/>
      </c>
      <c r="AP83" s="36" t="str">
        <f ca="1">Demand!B92</f>
        <v xml:space="preserve"> </v>
      </c>
      <c r="AQ83" t="str">
        <f ca="1">IF(TEXT(Demand!D92,"MMM")&lt;&gt;TEXT(Demand!D91,"MMM"),TEXT(Demand!D92,"MMM"),"")</f>
        <v/>
      </c>
      <c r="AT83" s="5">
        <f t="shared" ca="1" si="42"/>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
      <c r="A84" s="5">
        <f t="shared" ca="1" si="34"/>
        <v>1</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0</v>
      </c>
      <c r="Y84">
        <f t="shared" ca="1" si="38"/>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0</v>
      </c>
      <c r="AM84" s="5">
        <f t="shared" ca="1" si="41"/>
        <v>0</v>
      </c>
      <c r="AN84" s="5" t="str">
        <f>IF(Demand!BE93="Yes","Yes","")</f>
        <v/>
      </c>
      <c r="AP84" s="36" t="str">
        <f ca="1">Demand!B93</f>
        <v xml:space="preserve"> </v>
      </c>
      <c r="AQ84" t="str">
        <f ca="1">IF(TEXT(Demand!D93,"MMM")&lt;&gt;TEXT(Demand!D92,"MMM"),TEXT(Demand!D93,"MMM"),"")</f>
        <v/>
      </c>
      <c r="AT84" s="5">
        <f t="shared" ca="1" si="42"/>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
      <c r="A85" s="5">
        <f t="shared" ca="1" si="34"/>
        <v>1</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0</v>
      </c>
      <c r="Y85">
        <f t="shared" ca="1" si="38"/>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0</v>
      </c>
      <c r="AM85" s="5">
        <f t="shared" ca="1" si="41"/>
        <v>0</v>
      </c>
      <c r="AN85" s="5" t="str">
        <f>IF(Demand!BE94="Yes","Yes","")</f>
        <v/>
      </c>
      <c r="AP85" s="36" t="str">
        <f ca="1">Demand!B94</f>
        <v xml:space="preserve"> </v>
      </c>
      <c r="AQ85" t="str">
        <f ca="1">IF(TEXT(Demand!D94,"MMM")&lt;&gt;TEXT(Demand!D93,"MMM"),TEXT(Demand!D94,"MMM"),"")</f>
        <v/>
      </c>
      <c r="AT85" s="5">
        <f t="shared" ca="1" si="42"/>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
      <c r="A86" s="5">
        <f t="shared" ca="1" si="34"/>
        <v>1</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0</v>
      </c>
      <c r="Y86">
        <f t="shared" ca="1" si="38"/>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0</v>
      </c>
      <c r="AM86" s="5">
        <f t="shared" ca="1" si="41"/>
        <v>0</v>
      </c>
      <c r="AN86" s="5" t="str">
        <f>IF(Demand!BE95="Yes","Yes","")</f>
        <v/>
      </c>
      <c r="AP86" s="36" t="str">
        <f ca="1">Demand!B95</f>
        <v xml:space="preserve"> </v>
      </c>
      <c r="AQ86" t="str">
        <f ca="1">IF(TEXT(Demand!D95,"MMM")&lt;&gt;TEXT(Demand!D94,"MMM"),TEXT(Demand!D95,"MMM"),"")</f>
        <v/>
      </c>
      <c r="AT86" s="5">
        <f t="shared" ca="1" si="42"/>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
      <c r="A87" s="5">
        <f t="shared" ca="1" si="34"/>
        <v>1</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0</v>
      </c>
      <c r="Y87">
        <f t="shared" ca="1" si="38"/>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0</v>
      </c>
      <c r="AM87" s="5">
        <f t="shared" ca="1" si="41"/>
        <v>0</v>
      </c>
      <c r="AN87" s="5" t="str">
        <f>IF(Demand!BE96="Yes","Yes","")</f>
        <v/>
      </c>
      <c r="AP87" s="36" t="str">
        <f ca="1">Demand!B96</f>
        <v xml:space="preserve"> </v>
      </c>
      <c r="AQ87" t="str">
        <f ca="1">IF(TEXT(Demand!D96,"MMM")&lt;&gt;TEXT(Demand!D95,"MMM"),TEXT(Demand!D96,"MMM"),"")</f>
        <v/>
      </c>
      <c r="AT87" s="5">
        <f t="shared" ca="1" si="42"/>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
      <c r="A88" s="5">
        <f t="shared" ca="1" si="34"/>
        <v>1</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0</v>
      </c>
      <c r="Y88">
        <f t="shared" ca="1" si="38"/>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0</v>
      </c>
      <c r="AM88" s="5">
        <f t="shared" ca="1" si="41"/>
        <v>0</v>
      </c>
      <c r="AN88" s="5" t="str">
        <f>IF(Demand!BE97="Yes","Yes","")</f>
        <v/>
      </c>
      <c r="AP88" s="36" t="str">
        <f ca="1">Demand!B97</f>
        <v xml:space="preserve"> </v>
      </c>
      <c r="AQ88" t="str">
        <f ca="1">IF(TEXT(Demand!D97,"MMM")&lt;&gt;TEXT(Demand!D96,"MMM"),TEXT(Demand!D97,"MMM"),"")</f>
        <v/>
      </c>
      <c r="AT88" s="5">
        <f t="shared" ca="1" si="42"/>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
      <c r="A89" s="5">
        <f t="shared" ca="1" si="34"/>
        <v>1</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0</v>
      </c>
      <c r="Y89">
        <f t="shared" ca="1" si="38"/>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0</v>
      </c>
      <c r="AM89" s="5">
        <f t="shared" ca="1" si="41"/>
        <v>0</v>
      </c>
      <c r="AN89" s="5" t="str">
        <f>IF(Demand!BE98="Yes","Yes","")</f>
        <v/>
      </c>
      <c r="AP89" s="36" t="str">
        <f ca="1">Demand!B98</f>
        <v xml:space="preserve"> </v>
      </c>
      <c r="AQ89" t="str">
        <f ca="1">IF(TEXT(Demand!D98,"MMM")&lt;&gt;TEXT(Demand!D97,"MMM"),TEXT(Demand!D98,"MMM"),"")</f>
        <v/>
      </c>
      <c r="AT89" s="5">
        <f t="shared" ca="1" si="42"/>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
      <c r="A90" s="5">
        <f t="shared" ca="1" si="34"/>
        <v>1</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0</v>
      </c>
      <c r="Y90">
        <f t="shared" ca="1" si="38"/>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0</v>
      </c>
      <c r="AM90" s="5">
        <f t="shared" ca="1" si="41"/>
        <v>0</v>
      </c>
      <c r="AN90" s="5" t="str">
        <f>IF(Demand!BE99="Yes","Yes","")</f>
        <v/>
      </c>
      <c r="AP90" s="36" t="str">
        <f ca="1">Demand!B99</f>
        <v xml:space="preserve"> </v>
      </c>
      <c r="AQ90" t="str">
        <f ca="1">IF(TEXT(Demand!D99,"MMM")&lt;&gt;TEXT(Demand!D98,"MMM"),TEXT(Demand!D99,"MMM"),"")</f>
        <v/>
      </c>
      <c r="AT90" s="5">
        <f t="shared" ca="1" si="42"/>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
      <c r="A91" s="5">
        <f t="shared" ca="1" si="34"/>
        <v>1</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0</v>
      </c>
      <c r="Y91">
        <f t="shared" ca="1" si="38"/>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0</v>
      </c>
      <c r="AM91" s="5">
        <f t="shared" ca="1" si="41"/>
        <v>0</v>
      </c>
      <c r="AN91" s="5" t="str">
        <f>IF(Demand!BE100="Yes","Yes","")</f>
        <v/>
      </c>
      <c r="AP91" s="36" t="str">
        <f ca="1">Demand!B100</f>
        <v xml:space="preserve"> </v>
      </c>
      <c r="AQ91" t="str">
        <f ca="1">IF(TEXT(Demand!D100,"MMM")&lt;&gt;TEXT(Demand!D99,"MMM"),TEXT(Demand!D100,"MMM"),"")</f>
        <v/>
      </c>
      <c r="AT91" s="5">
        <f t="shared" ca="1" si="42"/>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
      <c r="A92" s="5">
        <f t="shared" ca="1" si="34"/>
        <v>1</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0</v>
      </c>
      <c r="Y92">
        <f t="shared" ca="1" si="38"/>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0</v>
      </c>
      <c r="AM92" s="5">
        <f t="shared" ca="1" si="41"/>
        <v>0</v>
      </c>
      <c r="AN92" s="5" t="str">
        <f>IF(Demand!BE101="Yes","Yes","")</f>
        <v/>
      </c>
      <c r="AP92" s="36" t="str">
        <f ca="1">Demand!B101</f>
        <v xml:space="preserve"> </v>
      </c>
      <c r="AQ92" t="str">
        <f ca="1">IF(TEXT(Demand!D101,"MMM")&lt;&gt;TEXT(Demand!D100,"MMM"),TEXT(Demand!D101,"MMM"),"")</f>
        <v/>
      </c>
      <c r="AT92" s="5">
        <f t="shared" ca="1" si="42"/>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
      <c r="A93" s="5">
        <f t="shared" ca="1" si="34"/>
        <v>1</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0</v>
      </c>
      <c r="Y93">
        <f t="shared" ca="1" si="38"/>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
      <c r="A94" s="5">
        <f t="shared" ca="1" si="34"/>
        <v>1</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0</v>
      </c>
      <c r="Y94">
        <f t="shared" ca="1" si="38"/>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0</v>
      </c>
      <c r="AM94" s="5">
        <f t="shared" ca="1" si="41"/>
        <v>0</v>
      </c>
      <c r="AN94" s="5" t="str">
        <f>IF(Demand!BE103="Yes","Yes","")</f>
        <v/>
      </c>
      <c r="AP94" s="36" t="str">
        <f ca="1">Demand!B103</f>
        <v xml:space="preserve"> </v>
      </c>
      <c r="AQ94" t="str">
        <f ca="1">IF(TEXT(Demand!D103,"MMM")&lt;&gt;TEXT(Demand!D102,"MMM"),TEXT(Demand!D103,"MMM"),"")</f>
        <v/>
      </c>
      <c r="AT94" s="5">
        <f t="shared" ca="1" si="42"/>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
      <c r="A95" s="5">
        <f t="shared" ca="1" si="34"/>
        <v>1</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0</v>
      </c>
      <c r="Y95">
        <f t="shared" ca="1" si="38"/>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0</v>
      </c>
      <c r="AM95" s="5">
        <f t="shared" ca="1" si="41"/>
        <v>0</v>
      </c>
      <c r="AN95" s="5" t="str">
        <f>IF(Demand!BE104="Yes","Yes","")</f>
        <v/>
      </c>
      <c r="AP95" s="36" t="str">
        <f ca="1">Demand!B104</f>
        <v xml:space="preserve"> </v>
      </c>
      <c r="AQ95" t="str">
        <f ca="1">IF(TEXT(Demand!D104,"MMM")&lt;&gt;TEXT(Demand!D103,"MMM"),TEXT(Demand!D104,"MMM"),"")</f>
        <v/>
      </c>
      <c r="AT95" s="5">
        <f t="shared" ca="1" si="42"/>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
      <c r="A96" s="5">
        <f t="shared" ca="1" si="34"/>
        <v>1</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0</v>
      </c>
      <c r="Y96">
        <f t="shared" ca="1" si="38"/>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0</v>
      </c>
      <c r="AM96" s="5">
        <f t="shared" ca="1" si="41"/>
        <v>0</v>
      </c>
      <c r="AN96" s="5" t="str">
        <f>IF(Demand!BE105="Yes","Yes","")</f>
        <v/>
      </c>
      <c r="AP96" s="36" t="str">
        <f ca="1">Demand!B105</f>
        <v xml:space="preserve"> </v>
      </c>
      <c r="AQ96" t="str">
        <f ca="1">IF(TEXT(Demand!D105,"MMM")&lt;&gt;TEXT(Demand!D104,"MMM"),TEXT(Demand!D105,"MMM"),"")</f>
        <v/>
      </c>
      <c r="AT96" s="5">
        <f t="shared" ca="1" si="42"/>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
      <c r="A97" s="5">
        <f t="shared" ca="1" si="34"/>
        <v>1</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0</v>
      </c>
      <c r="Y97">
        <f t="shared" ca="1" si="38"/>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0</v>
      </c>
      <c r="AM97" s="5">
        <f t="shared" ca="1" si="41"/>
        <v>0</v>
      </c>
      <c r="AN97" s="5" t="str">
        <f>IF(Demand!BE106="Yes","Yes","")</f>
        <v/>
      </c>
      <c r="AP97" s="36" t="str">
        <f ca="1">Demand!B106</f>
        <v xml:space="preserve"> </v>
      </c>
      <c r="AQ97" t="str">
        <f ca="1">IF(TEXT(Demand!D106,"MMM")&lt;&gt;TEXT(Demand!D105,"MMM"),TEXT(Demand!D106,"MMM"),"")</f>
        <v/>
      </c>
      <c r="AT97" s="5">
        <f t="shared" ca="1" si="42"/>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
      <c r="A98" s="5">
        <f t="shared" ca="1" si="34"/>
        <v>1</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0</v>
      </c>
      <c r="Y98">
        <f t="shared" ca="1" si="38"/>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0</v>
      </c>
      <c r="AM98" s="5">
        <f t="shared" ca="1" si="41"/>
        <v>0</v>
      </c>
      <c r="AN98" s="5" t="str">
        <f>IF(Demand!BE107="Yes","Yes","")</f>
        <v/>
      </c>
      <c r="AP98" s="36" t="str">
        <f ca="1">Demand!B107</f>
        <v xml:space="preserve"> </v>
      </c>
      <c r="AQ98" t="str">
        <f ca="1">IF(TEXT(Demand!D107,"MMM")&lt;&gt;TEXT(Demand!D106,"MMM"),TEXT(Demand!D107,"MMM"),"")</f>
        <v/>
      </c>
      <c r="AT98" s="5">
        <f t="shared" ca="1" si="42"/>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
      <c r="A99" s="5">
        <f t="shared" ca="1" si="34"/>
        <v>1</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0</v>
      </c>
      <c r="Y99">
        <f t="shared" ca="1" si="38"/>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0</v>
      </c>
      <c r="AM99" s="5">
        <f t="shared" ca="1" si="41"/>
        <v>0</v>
      </c>
      <c r="AN99" s="5" t="str">
        <f>IF(Demand!BE108="Yes","Yes","")</f>
        <v/>
      </c>
      <c r="AP99" s="36" t="str">
        <f ca="1">Demand!B108</f>
        <v xml:space="preserve"> </v>
      </c>
      <c r="AQ99" t="str">
        <f ca="1">IF(TEXT(Demand!D108,"MMM")&lt;&gt;TEXT(Demand!D107,"MMM"),TEXT(Demand!D108,"MMM"),"")</f>
        <v/>
      </c>
      <c r="AT99" s="5">
        <f t="shared" ca="1" si="42"/>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
      <c r="A100" s="5">
        <f t="shared" ca="1" si="34"/>
        <v>1</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0</v>
      </c>
      <c r="Y100">
        <f t="shared" ca="1" si="38"/>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0</v>
      </c>
      <c r="AM100" s="5">
        <f t="shared" ca="1" si="41"/>
        <v>0</v>
      </c>
      <c r="AN100" s="5" t="str">
        <f>IF(Demand!BE109="Yes","Yes","")</f>
        <v/>
      </c>
      <c r="AP100" s="36" t="str">
        <f ca="1">Demand!B109</f>
        <v xml:space="preserve"> </v>
      </c>
      <c r="AQ100" t="str">
        <f ca="1">IF(TEXT(Demand!D109,"MMM")&lt;&gt;TEXT(Demand!D108,"MMM"),TEXT(Demand!D109,"MMM"),"")</f>
        <v/>
      </c>
      <c r="AT100" s="5">
        <f t="shared" ca="1" si="42"/>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
      <c r="A101" s="5">
        <f t="shared" ca="1" si="34"/>
        <v>1</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0</v>
      </c>
      <c r="Y101">
        <f t="shared" ca="1" si="38"/>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0</v>
      </c>
      <c r="AM101" s="5">
        <f t="shared" ca="1" si="41"/>
        <v>0</v>
      </c>
      <c r="AN101" s="5" t="str">
        <f>IF(Demand!BE110="Yes","Yes","")</f>
        <v/>
      </c>
      <c r="AP101" s="36" t="str">
        <f ca="1">Demand!B110</f>
        <v xml:space="preserve"> </v>
      </c>
      <c r="AQ101" t="str">
        <f ca="1">IF(TEXT(Demand!D110,"MMM")&lt;&gt;TEXT(Demand!D109,"MMM"),TEXT(Demand!D110,"MMM"),"")</f>
        <v/>
      </c>
      <c r="AT101" s="5">
        <f t="shared" ca="1" si="42"/>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
      <c r="A102" s="5">
        <f t="shared" ca="1" si="34"/>
        <v>1</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0</v>
      </c>
      <c r="Y102">
        <f t="shared" ca="1" si="38"/>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0</v>
      </c>
      <c r="AM102" s="5">
        <f t="shared" ca="1" si="41"/>
        <v>0</v>
      </c>
      <c r="AN102" s="5" t="str">
        <f>IF(Demand!BE111="Yes","Yes","")</f>
        <v/>
      </c>
      <c r="AP102" s="36" t="str">
        <f ca="1">Demand!B111</f>
        <v xml:space="preserve"> </v>
      </c>
      <c r="AQ102" t="str">
        <f ca="1">IF(TEXT(Demand!D111,"MMM")&lt;&gt;TEXT(Demand!D110,"MMM"),TEXT(Demand!D111,"MMM"),"")</f>
        <v/>
      </c>
      <c r="AT102" s="5">
        <f t="shared" ca="1" si="42"/>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
      <c r="A103" s="5">
        <f t="shared" ca="1" si="34"/>
        <v>1</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0</v>
      </c>
      <c r="Y103">
        <f t="shared" ca="1" si="38"/>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0</v>
      </c>
      <c r="AM103" s="5">
        <f t="shared" ca="1" si="41"/>
        <v>0</v>
      </c>
      <c r="AN103" s="5" t="str">
        <f>IF(Demand!BE112="Yes","Yes","")</f>
        <v/>
      </c>
      <c r="AP103" s="36" t="str">
        <f ca="1">Demand!B112</f>
        <v xml:space="preserve"> </v>
      </c>
      <c r="AQ103" t="str">
        <f ca="1">IF(TEXT(Demand!D112,"MMM")&lt;&gt;TEXT(Demand!D111,"MMM"),TEXT(Demand!D112,"MMM"),"")</f>
        <v/>
      </c>
      <c r="AT103" s="5">
        <f t="shared" ca="1" si="42"/>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
      <c r="A104" s="5">
        <f t="shared" ca="1" si="34"/>
        <v>1</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0</v>
      </c>
      <c r="Y104">
        <f t="shared" ca="1" si="38"/>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0</v>
      </c>
      <c r="AM104" s="5">
        <f t="shared" ca="1" si="41"/>
        <v>0</v>
      </c>
      <c r="AN104" s="5" t="str">
        <f>IF(Demand!BE113="Yes","Yes","")</f>
        <v/>
      </c>
      <c r="AP104" s="36" t="str">
        <f ca="1">Demand!B113</f>
        <v xml:space="preserve"> </v>
      </c>
      <c r="AQ104" t="str">
        <f ca="1">IF(TEXT(Demand!D113,"MMM")&lt;&gt;TEXT(Demand!D112,"MMM"),TEXT(Demand!D113,"MMM"),"")</f>
        <v/>
      </c>
      <c r="AT104" s="5">
        <f t="shared" ca="1" si="42"/>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
      <c r="A105" s="5">
        <f t="shared" ca="1" si="34"/>
        <v>1</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0</v>
      </c>
      <c r="Y105">
        <f t="shared" ca="1" si="38"/>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0</v>
      </c>
      <c r="AM105" s="5">
        <f t="shared" ca="1" si="41"/>
        <v>0</v>
      </c>
      <c r="AN105" s="5" t="str">
        <f>IF(Demand!BE114="Yes","Yes","")</f>
        <v/>
      </c>
      <c r="AP105" s="36" t="str">
        <f ca="1">Demand!B114</f>
        <v xml:space="preserve"> </v>
      </c>
      <c r="AQ105" t="str">
        <f ca="1">IF(TEXT(Demand!D114,"MMM")&lt;&gt;TEXT(Demand!D113,"MMM"),TEXT(Demand!D114,"MMM"),"")</f>
        <v/>
      </c>
      <c r="AT105" s="5">
        <f t="shared" ca="1" si="42"/>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
      <c r="A106" s="5">
        <f t="shared" ca="1" si="34"/>
        <v>1</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0</v>
      </c>
      <c r="Y106">
        <f t="shared" ca="1" si="38"/>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0</v>
      </c>
      <c r="AM106" s="5">
        <f t="shared" ca="1" si="41"/>
        <v>0</v>
      </c>
      <c r="AN106" s="5" t="str">
        <f>IF(Demand!BE115="Yes","Yes","")</f>
        <v/>
      </c>
      <c r="AP106" s="36" t="str">
        <f ca="1">Demand!B115</f>
        <v xml:space="preserve"> </v>
      </c>
      <c r="AQ106" t="str">
        <f ca="1">IF(TEXT(Demand!D115,"MMM")&lt;&gt;TEXT(Demand!D114,"MMM"),TEXT(Demand!D115,"MMM"),"")</f>
        <v/>
      </c>
      <c r="AT106" s="5">
        <f t="shared" ca="1" si="42"/>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
      <c r="A107" s="5">
        <f t="shared" ca="1" si="34"/>
        <v>1</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0</v>
      </c>
      <c r="Y107">
        <f t="shared" ca="1" si="38"/>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0</v>
      </c>
      <c r="AM107" s="5">
        <f t="shared" ca="1" si="41"/>
        <v>0</v>
      </c>
      <c r="AN107" s="5" t="str">
        <f>IF(Demand!BE116="Yes","Yes","")</f>
        <v/>
      </c>
      <c r="AP107" s="36" t="str">
        <f ca="1">Demand!B116</f>
        <v xml:space="preserve"> </v>
      </c>
      <c r="AQ107" t="str">
        <f ca="1">IF(TEXT(Demand!D116,"MMM")&lt;&gt;TEXT(Demand!D115,"MMM"),TEXT(Demand!D116,"MMM"),"")</f>
        <v/>
      </c>
      <c r="AT107" s="5">
        <f t="shared" ca="1" si="42"/>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
      <c r="A108" s="5">
        <f t="shared" ca="1" si="34"/>
        <v>1</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0</v>
      </c>
      <c r="Y108">
        <f t="shared" ca="1" si="38"/>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0</v>
      </c>
      <c r="AM108" s="5">
        <f t="shared" ca="1" si="41"/>
        <v>0</v>
      </c>
      <c r="AN108" s="5" t="str">
        <f>IF(Demand!BE117="Yes","Yes","")</f>
        <v/>
      </c>
      <c r="AP108" s="36" t="str">
        <f ca="1">Demand!B117</f>
        <v xml:space="preserve"> </v>
      </c>
      <c r="AQ108" t="str">
        <f ca="1">IF(TEXT(Demand!D117,"MMM")&lt;&gt;TEXT(Demand!D116,"MMM"),TEXT(Demand!D117,"MMM"),"")</f>
        <v/>
      </c>
      <c r="AT108" s="5">
        <f t="shared" ca="1" si="42"/>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
      <c r="A109" s="5">
        <f t="shared" ca="1" si="34"/>
        <v>1</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0</v>
      </c>
      <c r="Y109">
        <f t="shared" ca="1" si="38"/>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0</v>
      </c>
      <c r="AM109" s="5">
        <f t="shared" ca="1" si="41"/>
        <v>0</v>
      </c>
      <c r="AN109" s="5" t="str">
        <f>IF(Demand!BE118="Yes","Yes","")</f>
        <v/>
      </c>
      <c r="AP109" s="36" t="str">
        <f ca="1">Demand!B118</f>
        <v xml:space="preserve"> </v>
      </c>
      <c r="AQ109" t="str">
        <f ca="1">IF(TEXT(Demand!D118,"MMM")&lt;&gt;TEXT(Demand!D117,"MMM"),TEXT(Demand!D118,"MMM"),"")</f>
        <v/>
      </c>
      <c r="AT109" s="5">
        <f t="shared" ca="1" si="42"/>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
      <c r="A110" s="5">
        <f t="shared" ca="1" si="34"/>
        <v>1</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0</v>
      </c>
      <c r="Y110">
        <f t="shared" ca="1" si="38"/>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0</v>
      </c>
      <c r="AM110" s="5">
        <f t="shared" ca="1" si="41"/>
        <v>0</v>
      </c>
      <c r="AN110" s="5" t="str">
        <f>IF(Demand!BE119="Yes","Yes","")</f>
        <v/>
      </c>
      <c r="AP110" s="36" t="str">
        <f ca="1">Demand!B119</f>
        <v xml:space="preserve"> </v>
      </c>
      <c r="AQ110" t="str">
        <f ca="1">IF(TEXT(Demand!D119,"MMM")&lt;&gt;TEXT(Demand!D118,"MMM"),TEXT(Demand!D119,"MMM"),"")</f>
        <v/>
      </c>
      <c r="AT110" s="5">
        <f t="shared" ca="1" si="42"/>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
      <c r="A111" s="5">
        <f t="shared" ca="1" si="34"/>
        <v>1</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0</v>
      </c>
      <c r="Y111">
        <f t="shared" ca="1" si="38"/>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0</v>
      </c>
      <c r="AM111" s="5">
        <f t="shared" ca="1" si="41"/>
        <v>0</v>
      </c>
      <c r="AN111" s="5" t="str">
        <f>IF(Demand!BE120="Yes","Yes","")</f>
        <v/>
      </c>
      <c r="AP111" s="36" t="str">
        <f ca="1">Demand!B120</f>
        <v xml:space="preserve"> </v>
      </c>
      <c r="AQ111" t="str">
        <f ca="1">IF(TEXT(Demand!D120,"MMM")&lt;&gt;TEXT(Demand!D119,"MMM"),TEXT(Demand!D120,"MMM"),"")</f>
        <v/>
      </c>
      <c r="AT111" s="5">
        <f t="shared" ca="1" si="42"/>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
      <c r="A112" s="5">
        <f t="shared" ca="1" si="34"/>
        <v>1</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0</v>
      </c>
      <c r="Y112">
        <f t="shared" ca="1" si="38"/>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0</v>
      </c>
      <c r="AM112" s="5">
        <f t="shared" ca="1" si="41"/>
        <v>0</v>
      </c>
      <c r="AN112" s="5" t="str">
        <f>IF(Demand!BE121="Yes","Yes","")</f>
        <v/>
      </c>
      <c r="AP112" s="36" t="str">
        <f ca="1">Demand!B121</f>
        <v xml:space="preserve"> </v>
      </c>
      <c r="AQ112" t="str">
        <f ca="1">IF(TEXT(Demand!D121,"MMM")&lt;&gt;TEXT(Demand!D120,"MMM"),TEXT(Demand!D121,"MMM"),"")</f>
        <v/>
      </c>
      <c r="AT112" s="5">
        <f t="shared" ca="1" si="42"/>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
      <c r="A113" s="5">
        <f t="shared" ca="1" si="34"/>
        <v>1</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0</v>
      </c>
      <c r="Y113">
        <f t="shared" ca="1" si="38"/>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0</v>
      </c>
      <c r="AM113" s="5">
        <f t="shared" ca="1" si="41"/>
        <v>0</v>
      </c>
      <c r="AN113" s="5" t="str">
        <f>IF(Demand!BE122="Yes","Yes","")</f>
        <v/>
      </c>
      <c r="AP113" s="36" t="str">
        <f ca="1">Demand!B122</f>
        <v xml:space="preserve"> </v>
      </c>
      <c r="AQ113" t="str">
        <f ca="1">IF(TEXT(Demand!D122,"MMM")&lt;&gt;TEXT(Demand!D121,"MMM"),TEXT(Demand!D122,"MMM"),"")</f>
        <v/>
      </c>
      <c r="AT113" s="5">
        <f t="shared" ca="1" si="42"/>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
      <c r="A114" s="5">
        <f t="shared" ca="1" si="34"/>
        <v>1</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0</v>
      </c>
      <c r="Y114">
        <f t="shared" ca="1" si="38"/>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0</v>
      </c>
      <c r="AM114" s="5">
        <f t="shared" ca="1" si="41"/>
        <v>0</v>
      </c>
      <c r="AN114" s="5" t="str">
        <f>IF(Demand!BE123="Yes","Yes","")</f>
        <v/>
      </c>
      <c r="AP114" s="36" t="str">
        <f ca="1">Demand!B123</f>
        <v xml:space="preserve"> </v>
      </c>
      <c r="AQ114" t="str">
        <f ca="1">IF(TEXT(Demand!D123,"MMM")&lt;&gt;TEXT(Demand!D122,"MMM"),TEXT(Demand!D123,"MMM"),"")</f>
        <v/>
      </c>
      <c r="AT114" s="5">
        <f t="shared" ca="1" si="42"/>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
      <c r="A115" s="5">
        <f t="shared" ca="1" si="34"/>
        <v>1</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0</v>
      </c>
      <c r="Y115">
        <f t="shared" ca="1" si="38"/>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0</v>
      </c>
      <c r="AM115" s="5">
        <f t="shared" ca="1" si="41"/>
        <v>0</v>
      </c>
      <c r="AN115" s="5" t="str">
        <f>IF(Demand!BE124="Yes","Yes","")</f>
        <v/>
      </c>
      <c r="AP115" s="36" t="str">
        <f ca="1">Demand!B124</f>
        <v xml:space="preserve"> </v>
      </c>
      <c r="AQ115" t="str">
        <f ca="1">IF(TEXT(Demand!D124,"MMM")&lt;&gt;TEXT(Demand!D123,"MMM"),TEXT(Demand!D124,"MMM"),"")</f>
        <v/>
      </c>
      <c r="AT115" s="5">
        <f t="shared" ca="1" si="42"/>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
      <c r="A116" s="5">
        <f t="shared" ca="1" si="34"/>
        <v>1</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0</v>
      </c>
      <c r="Y116">
        <f t="shared" ca="1" si="38"/>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0</v>
      </c>
      <c r="AM116" s="5">
        <f t="shared" ca="1" si="41"/>
        <v>0</v>
      </c>
      <c r="AN116" s="5" t="str">
        <f>IF(Demand!BE125="Yes","Yes","")</f>
        <v/>
      </c>
      <c r="AP116" s="36" t="str">
        <f ca="1">Demand!B125</f>
        <v xml:space="preserve"> </v>
      </c>
      <c r="AQ116" t="str">
        <f ca="1">IF(TEXT(Demand!D125,"MMM")&lt;&gt;TEXT(Demand!D124,"MMM"),TEXT(Demand!D125,"MMM"),"")</f>
        <v/>
      </c>
      <c r="AT116" s="5">
        <f t="shared" ca="1" si="42"/>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
      <c r="A117" s="5">
        <f t="shared" ca="1" si="34"/>
        <v>1</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0</v>
      </c>
      <c r="Y117">
        <f t="shared" ca="1" si="38"/>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0</v>
      </c>
      <c r="AM117" s="5">
        <f t="shared" ca="1" si="41"/>
        <v>0</v>
      </c>
      <c r="AN117" s="5" t="str">
        <f>IF(Demand!BE126="Yes","Yes","")</f>
        <v/>
      </c>
      <c r="AP117" s="36" t="str">
        <f ca="1">Demand!B126</f>
        <v xml:space="preserve"> </v>
      </c>
      <c r="AQ117" t="str">
        <f ca="1">IF(TEXT(Demand!D126,"MMM")&lt;&gt;TEXT(Demand!D125,"MMM"),TEXT(Demand!D126,"MMM"),"")</f>
        <v/>
      </c>
      <c r="AT117" s="5">
        <f t="shared" ca="1" si="42"/>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
      <c r="A118" s="5">
        <f t="shared" ca="1" si="34"/>
        <v>1</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0</v>
      </c>
      <c r="Y118">
        <f t="shared" ca="1" si="38"/>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0</v>
      </c>
      <c r="AM118" s="5">
        <f t="shared" ca="1" si="41"/>
        <v>0</v>
      </c>
      <c r="AN118" s="5" t="str">
        <f>IF(Demand!BE127="Yes","Yes","")</f>
        <v/>
      </c>
      <c r="AP118" s="36" t="str">
        <f ca="1">Demand!B127</f>
        <v xml:space="preserve"> </v>
      </c>
      <c r="AQ118" t="str">
        <f ca="1">IF(TEXT(Demand!D127,"MMM")&lt;&gt;TEXT(Demand!D126,"MMM"),TEXT(Demand!D127,"MMM"),"")</f>
        <v/>
      </c>
      <c r="AT118" s="5">
        <f t="shared" ca="1" si="42"/>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
      <c r="A119" s="5">
        <f t="shared" ca="1" si="34"/>
        <v>1</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0</v>
      </c>
      <c r="Y119">
        <f t="shared" ca="1" si="38"/>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0</v>
      </c>
      <c r="AM119" s="5">
        <f t="shared" ca="1" si="41"/>
        <v>0</v>
      </c>
      <c r="AN119" s="5" t="str">
        <f>IF(Demand!BE128="Yes","Yes","")</f>
        <v/>
      </c>
      <c r="AP119" s="36" t="str">
        <f ca="1">Demand!B128</f>
        <v xml:space="preserve"> </v>
      </c>
      <c r="AQ119" t="str">
        <f ca="1">IF(TEXT(Demand!D128,"MMM")&lt;&gt;TEXT(Demand!D127,"MMM"),TEXT(Demand!D128,"MMM"),"")</f>
        <v/>
      </c>
      <c r="AT119" s="5">
        <f t="shared" ca="1" si="42"/>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
      <c r="A120" s="5">
        <f t="shared" ref="A120:A183" ca="1" si="43">SUM(OFFSET(B120,0,0,1,Num_Modalities))</f>
        <v>1</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0</v>
      </c>
      <c r="Y120">
        <f t="shared" ca="1" si="38"/>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0</v>
      </c>
      <c r="AM120" s="5">
        <f t="shared" ca="1" si="41"/>
        <v>0</v>
      </c>
      <c r="AN120" s="5" t="str">
        <f>IF(Demand!BE129="Yes","Yes","")</f>
        <v/>
      </c>
      <c r="AP120" s="36" t="str">
        <f ca="1">Demand!B129</f>
        <v xml:space="preserve"> </v>
      </c>
      <c r="AQ120" t="str">
        <f ca="1">IF(TEXT(Demand!D129,"MMM")&lt;&gt;TEXT(Demand!D128,"MMM"),TEXT(Demand!D129,"MMM"),"")</f>
        <v/>
      </c>
      <c r="AT120" s="5">
        <f t="shared" ca="1" si="42"/>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
      <c r="A121" s="5">
        <f t="shared" ca="1" si="43"/>
        <v>1</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0</v>
      </c>
      <c r="Y121">
        <f t="shared" ca="1" si="38"/>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0</v>
      </c>
      <c r="AM121" s="5">
        <f t="shared" ca="1" si="41"/>
        <v>0</v>
      </c>
      <c r="AN121" s="5" t="str">
        <f>IF(Demand!BE130="Yes","Yes","")</f>
        <v/>
      </c>
      <c r="AP121" s="36" t="str">
        <f ca="1">Demand!B130</f>
        <v xml:space="preserve"> </v>
      </c>
      <c r="AQ121" t="str">
        <f ca="1">IF(TEXT(Demand!D130,"MMM")&lt;&gt;TEXT(Demand!D129,"MMM"),TEXT(Demand!D130,"MMM"),"")</f>
        <v/>
      </c>
      <c r="AT121" s="5">
        <f t="shared" ca="1" si="42"/>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
      <c r="A122" s="5">
        <f t="shared" ca="1" si="43"/>
        <v>1</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0</v>
      </c>
      <c r="Y122">
        <f t="shared" ca="1" si="38"/>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0</v>
      </c>
      <c r="AM122" s="5">
        <f t="shared" ca="1" si="41"/>
        <v>0</v>
      </c>
      <c r="AN122" s="5" t="str">
        <f>IF(Demand!BE131="Yes","Yes","")</f>
        <v/>
      </c>
      <c r="AP122" s="36" t="str">
        <f ca="1">Demand!B131</f>
        <v xml:space="preserve"> </v>
      </c>
      <c r="AQ122" t="str">
        <f ca="1">IF(TEXT(Demand!D131,"MMM")&lt;&gt;TEXT(Demand!D130,"MMM"),TEXT(Demand!D131,"MMM"),"")</f>
        <v/>
      </c>
      <c r="AT122" s="5">
        <f t="shared" ca="1" si="42"/>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
      <c r="A123" s="5">
        <f t="shared" ca="1" si="43"/>
        <v>1</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0</v>
      </c>
      <c r="Y123">
        <f t="shared" ca="1" si="38"/>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0</v>
      </c>
      <c r="AM123" s="5">
        <f t="shared" ca="1" si="41"/>
        <v>0</v>
      </c>
      <c r="AN123" s="5" t="str">
        <f>IF(Demand!BE132="Yes","Yes","")</f>
        <v/>
      </c>
      <c r="AP123" s="36" t="str">
        <f ca="1">Demand!B132</f>
        <v xml:space="preserve"> </v>
      </c>
      <c r="AQ123" t="str">
        <f ca="1">IF(TEXT(Demand!D132,"MMM")&lt;&gt;TEXT(Demand!D131,"MMM"),TEXT(Demand!D132,"MMM"),"")</f>
        <v/>
      </c>
      <c r="AT123" s="5">
        <f t="shared" ca="1" si="42"/>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
      <c r="A124" s="5">
        <f t="shared" ca="1" si="43"/>
        <v>1</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0</v>
      </c>
      <c r="Y124">
        <f t="shared" ca="1" si="38"/>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0</v>
      </c>
      <c r="AM124" s="5">
        <f t="shared" ca="1" si="41"/>
        <v>0</v>
      </c>
      <c r="AN124" s="5" t="str">
        <f>IF(Demand!BE133="Yes","Yes","")</f>
        <v/>
      </c>
      <c r="AP124" s="36" t="str">
        <f ca="1">Demand!B133</f>
        <v xml:space="preserve"> </v>
      </c>
      <c r="AQ124" t="str">
        <f ca="1">IF(TEXT(Demand!D133,"MMM")&lt;&gt;TEXT(Demand!D132,"MMM"),TEXT(Demand!D133,"MMM"),"")</f>
        <v/>
      </c>
      <c r="AT124" s="5">
        <f t="shared" ca="1" si="42"/>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
      <c r="A125" s="5">
        <f t="shared" ca="1" si="43"/>
        <v>1</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0</v>
      </c>
      <c r="Y125">
        <f t="shared" ca="1" si="38"/>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0</v>
      </c>
      <c r="AM125" s="5">
        <f t="shared" ca="1" si="41"/>
        <v>0</v>
      </c>
      <c r="AN125" s="5" t="str">
        <f>IF(Demand!BE134="Yes","Yes","")</f>
        <v/>
      </c>
      <c r="AP125" s="36" t="str">
        <f ca="1">Demand!B134</f>
        <v xml:space="preserve"> </v>
      </c>
      <c r="AQ125" t="str">
        <f ca="1">IF(TEXT(Demand!D134,"MMM")&lt;&gt;TEXT(Demand!D133,"MMM"),TEXT(Demand!D134,"MMM"),"")</f>
        <v/>
      </c>
      <c r="AT125" s="5">
        <f t="shared" ca="1" si="42"/>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
      <c r="A126" s="5">
        <f t="shared" ca="1" si="43"/>
        <v>1</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0</v>
      </c>
      <c r="Y126">
        <f t="shared" ca="1" si="38"/>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0</v>
      </c>
      <c r="AM126" s="5">
        <f t="shared" ca="1" si="41"/>
        <v>0</v>
      </c>
      <c r="AN126" s="5" t="str">
        <f>IF(Demand!BE135="Yes","Yes","")</f>
        <v/>
      </c>
      <c r="AP126" s="36" t="str">
        <f ca="1">Demand!B135</f>
        <v xml:space="preserve"> </v>
      </c>
      <c r="AQ126" t="str">
        <f ca="1">IF(TEXT(Demand!D135,"MMM")&lt;&gt;TEXT(Demand!D134,"MMM"),TEXT(Demand!D135,"MMM"),"")</f>
        <v/>
      </c>
      <c r="AT126" s="5">
        <f t="shared" ca="1" si="42"/>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
      <c r="A127" s="5">
        <f t="shared" ca="1" si="43"/>
        <v>1</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0</v>
      </c>
      <c r="Y127">
        <f t="shared" ca="1" si="38"/>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0</v>
      </c>
      <c r="AM127" s="5">
        <f t="shared" ca="1" si="41"/>
        <v>0</v>
      </c>
      <c r="AN127" s="5" t="str">
        <f>IF(Demand!BE136="Yes","Yes","")</f>
        <v/>
      </c>
      <c r="AP127" s="36" t="str">
        <f ca="1">Demand!B136</f>
        <v xml:space="preserve"> </v>
      </c>
      <c r="AQ127" t="str">
        <f ca="1">IF(TEXT(Demand!D136,"MMM")&lt;&gt;TEXT(Demand!D135,"MMM"),TEXT(Demand!D136,"MMM"),"")</f>
        <v/>
      </c>
      <c r="AT127" s="5">
        <f t="shared" ca="1" si="42"/>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
      <c r="A128" s="5">
        <f t="shared" ca="1" si="43"/>
        <v>1</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0</v>
      </c>
      <c r="Y128">
        <f t="shared" ca="1" si="38"/>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0</v>
      </c>
      <c r="AM128" s="5">
        <f t="shared" ca="1" si="41"/>
        <v>0</v>
      </c>
      <c r="AN128" s="5" t="str">
        <f>IF(Demand!BE137="Yes","Yes","")</f>
        <v/>
      </c>
      <c r="AP128" s="36" t="str">
        <f ca="1">Demand!B137</f>
        <v xml:space="preserve"> </v>
      </c>
      <c r="AQ128" t="str">
        <f ca="1">IF(TEXT(Demand!D137,"MMM")&lt;&gt;TEXT(Demand!D136,"MMM"),TEXT(Demand!D137,"MMM"),"")</f>
        <v/>
      </c>
      <c r="AT128" s="5">
        <f t="shared" ca="1" si="42"/>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
      <c r="A129" s="5">
        <f t="shared" ca="1" si="43"/>
        <v>1</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0</v>
      </c>
      <c r="Y129">
        <f t="shared" ca="1" si="38"/>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0</v>
      </c>
      <c r="AM129" s="5">
        <f t="shared" ca="1" si="41"/>
        <v>0</v>
      </c>
      <c r="AN129" s="5" t="str">
        <f>IF(Demand!BE138="Yes","Yes","")</f>
        <v/>
      </c>
      <c r="AP129" s="36" t="str">
        <f ca="1">Demand!B138</f>
        <v xml:space="preserve"> </v>
      </c>
      <c r="AQ129" t="str">
        <f ca="1">IF(TEXT(Demand!D138,"MMM")&lt;&gt;TEXT(Demand!D137,"MMM"),TEXT(Demand!D138,"MMM"),"")</f>
        <v/>
      </c>
      <c r="AT129" s="5">
        <f t="shared" ca="1" si="42"/>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
      <c r="A130" s="5">
        <f t="shared" ca="1" si="43"/>
        <v>1</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0</v>
      </c>
      <c r="Y130">
        <f t="shared" ca="1" si="38"/>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0</v>
      </c>
      <c r="AM130" s="5">
        <f t="shared" ca="1" si="41"/>
        <v>0</v>
      </c>
      <c r="AN130" s="5" t="str">
        <f>IF(Demand!BE139="Yes","Yes","")</f>
        <v/>
      </c>
      <c r="AP130" s="36" t="str">
        <f ca="1">Demand!B139</f>
        <v xml:space="preserve"> </v>
      </c>
      <c r="AQ130" t="str">
        <f ca="1">IF(TEXT(Demand!D139,"MMM")&lt;&gt;TEXT(Demand!D138,"MMM"),TEXT(Demand!D139,"MMM"),"")</f>
        <v/>
      </c>
      <c r="AT130" s="5">
        <f t="shared" ca="1" si="42"/>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
      <c r="A131" s="5">
        <f t="shared" ca="1" si="43"/>
        <v>1</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0</v>
      </c>
      <c r="Y131">
        <f t="shared" ca="1" si="38"/>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0</v>
      </c>
      <c r="AM131" s="5">
        <f t="shared" ca="1" si="41"/>
        <v>0</v>
      </c>
      <c r="AN131" s="5" t="str">
        <f>IF(Demand!BE140="Yes","Yes","")</f>
        <v/>
      </c>
      <c r="AP131" s="36" t="str">
        <f ca="1">Demand!B140</f>
        <v xml:space="preserve"> </v>
      </c>
      <c r="AQ131" t="str">
        <f ca="1">IF(TEXT(Demand!D140,"MMM")&lt;&gt;TEXT(Demand!D139,"MMM"),TEXT(Demand!D140,"MMM"),"")</f>
        <v/>
      </c>
      <c r="AT131" s="5">
        <f t="shared" ca="1" si="42"/>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
      <c r="A132" s="5">
        <f t="shared" ca="1" si="43"/>
        <v>1</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0</v>
      </c>
      <c r="Y132">
        <f t="shared" ref="Y132:Y195" ca="1" si="45">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0</v>
      </c>
      <c r="AM132" s="5">
        <f t="shared" ca="1" si="41"/>
        <v>0</v>
      </c>
      <c r="AN132" s="5" t="str">
        <f>IF(Demand!BE141="Yes","Yes","")</f>
        <v/>
      </c>
      <c r="AP132" s="36" t="str">
        <f ca="1">Demand!B141</f>
        <v xml:space="preserve"> </v>
      </c>
      <c r="AQ132" t="str">
        <f ca="1">IF(TEXT(Demand!D141,"MMM")&lt;&gt;TEXT(Demand!D140,"MMM"),TEXT(Demand!D141,"MMM"),"")</f>
        <v/>
      </c>
      <c r="AT132" s="5">
        <f t="shared" ca="1" si="42"/>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
      <c r="A133" s="5">
        <f t="shared" ca="1" si="43"/>
        <v>1</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0</v>
      </c>
      <c r="Y133">
        <f t="shared" ca="1" si="45"/>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
      <c r="A134" s="5">
        <f t="shared" ca="1" si="43"/>
        <v>1</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0</v>
      </c>
      <c r="Y134">
        <f t="shared" ca="1" si="45"/>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
      <c r="A135" s="5">
        <f t="shared" ca="1" si="43"/>
        <v>1</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0</v>
      </c>
      <c r="Y135">
        <f t="shared" ca="1" si="45"/>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0</v>
      </c>
      <c r="AM135" s="5">
        <f t="shared" ca="1" si="48"/>
        <v>0</v>
      </c>
      <c r="AN135" s="5" t="str">
        <f>IF(Demand!BE144="Yes","Yes","")</f>
        <v/>
      </c>
      <c r="AP135" s="36" t="str">
        <f ca="1">Demand!B144</f>
        <v xml:space="preserve"> </v>
      </c>
      <c r="AQ135" t="str">
        <f ca="1">IF(TEXT(Demand!D144,"MMM")&lt;&gt;TEXT(Demand!D143,"MMM"),TEXT(Demand!D144,"MMM"),"")</f>
        <v/>
      </c>
      <c r="AT135" s="5">
        <f t="shared" ca="1" si="49"/>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
      <c r="A136" s="5">
        <f t="shared" ca="1" si="43"/>
        <v>1</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0</v>
      </c>
      <c r="Y136">
        <f t="shared" ca="1" si="45"/>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0</v>
      </c>
      <c r="AM136" s="5">
        <f t="shared" ca="1" si="48"/>
        <v>0</v>
      </c>
      <c r="AN136" s="5" t="str">
        <f>IF(Demand!BE145="Yes","Yes","")</f>
        <v/>
      </c>
      <c r="AP136" s="36" t="str">
        <f ca="1">Demand!B145</f>
        <v xml:space="preserve"> </v>
      </c>
      <c r="AQ136" t="str">
        <f ca="1">IF(TEXT(Demand!D145,"MMM")&lt;&gt;TEXT(Demand!D144,"MMM"),TEXT(Demand!D145,"MMM"),"")</f>
        <v/>
      </c>
      <c r="AT136" s="5">
        <f t="shared" ca="1" si="49"/>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
      <c r="A137" s="5">
        <f t="shared" ca="1" si="43"/>
        <v>1</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0</v>
      </c>
      <c r="Y137">
        <f t="shared" ca="1" si="45"/>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0</v>
      </c>
      <c r="AM137" s="5">
        <f t="shared" ca="1" si="48"/>
        <v>0</v>
      </c>
      <c r="AN137" s="5" t="str">
        <f>IF(Demand!BE146="Yes","Yes","")</f>
        <v/>
      </c>
      <c r="AP137" s="36" t="str">
        <f ca="1">Demand!B146</f>
        <v xml:space="preserve"> </v>
      </c>
      <c r="AQ137" t="str">
        <f ca="1">IF(TEXT(Demand!D146,"MMM")&lt;&gt;TEXT(Demand!D145,"MMM"),TEXT(Demand!D146,"MMM"),"")</f>
        <v/>
      </c>
      <c r="AT137" s="5">
        <f t="shared" ca="1" si="49"/>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
      <c r="A138" s="5">
        <f t="shared" ca="1" si="43"/>
        <v>1</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0</v>
      </c>
      <c r="Y138">
        <f t="shared" ca="1" si="45"/>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0</v>
      </c>
      <c r="AM138" s="5">
        <f t="shared" ca="1" si="48"/>
        <v>0</v>
      </c>
      <c r="AN138" s="5" t="str">
        <f>IF(Demand!BE147="Yes","Yes","")</f>
        <v/>
      </c>
      <c r="AP138" s="36" t="str">
        <f ca="1">Demand!B147</f>
        <v xml:space="preserve"> </v>
      </c>
      <c r="AQ138" t="str">
        <f ca="1">IF(TEXT(Demand!D147,"MMM")&lt;&gt;TEXT(Demand!D146,"MMM"),TEXT(Demand!D147,"MMM"),"")</f>
        <v/>
      </c>
      <c r="AT138" s="5">
        <f t="shared" ca="1" si="49"/>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
      <c r="A139" s="5">
        <f t="shared" ca="1" si="43"/>
        <v>1</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0</v>
      </c>
      <c r="Y139">
        <f t="shared" ca="1" si="45"/>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0</v>
      </c>
      <c r="AM139" s="5">
        <f t="shared" ca="1" si="48"/>
        <v>0</v>
      </c>
      <c r="AN139" s="5" t="str">
        <f>IF(Demand!BE148="Yes","Yes","")</f>
        <v/>
      </c>
      <c r="AP139" s="36" t="str">
        <f ca="1">Demand!B148</f>
        <v xml:space="preserve"> </v>
      </c>
      <c r="AQ139" t="str">
        <f ca="1">IF(TEXT(Demand!D148,"MMM")&lt;&gt;TEXT(Demand!D147,"MMM"),TEXT(Demand!D148,"MMM"),"")</f>
        <v/>
      </c>
      <c r="AT139" s="5">
        <f t="shared" ca="1" si="49"/>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
      <c r="A140" s="5">
        <f t="shared" ca="1" si="43"/>
        <v>1</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0</v>
      </c>
      <c r="Y140">
        <f t="shared" ca="1" si="45"/>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0</v>
      </c>
      <c r="AM140" s="5">
        <f t="shared" ca="1" si="48"/>
        <v>0</v>
      </c>
      <c r="AN140" s="5" t="str">
        <f>IF(Demand!BE149="Yes","Yes","")</f>
        <v/>
      </c>
      <c r="AP140" s="36" t="str">
        <f ca="1">Demand!B149</f>
        <v xml:space="preserve"> </v>
      </c>
      <c r="AQ140" t="str">
        <f ca="1">IF(TEXT(Demand!D149,"MMM")&lt;&gt;TEXT(Demand!D148,"MMM"),TEXT(Demand!D149,"MMM"),"")</f>
        <v/>
      </c>
      <c r="AT140" s="5">
        <f t="shared" ca="1" si="49"/>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
      <c r="A141" s="5">
        <f t="shared" ca="1" si="43"/>
        <v>1</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0</v>
      </c>
      <c r="Y141">
        <f t="shared" ca="1" si="45"/>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0</v>
      </c>
      <c r="AM141" s="5">
        <f t="shared" ca="1" si="48"/>
        <v>0</v>
      </c>
      <c r="AN141" s="5" t="str">
        <f>IF(Demand!BE150="Yes","Yes","")</f>
        <v/>
      </c>
      <c r="AP141" s="36" t="str">
        <f ca="1">Demand!B150</f>
        <v xml:space="preserve"> </v>
      </c>
      <c r="AQ141" t="str">
        <f ca="1">IF(TEXT(Demand!D150,"MMM")&lt;&gt;TEXT(Demand!D149,"MMM"),TEXT(Demand!D150,"MMM"),"")</f>
        <v/>
      </c>
      <c r="AT141" s="5">
        <f t="shared" ca="1" si="49"/>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
      <c r="A142" s="5">
        <f t="shared" ca="1" si="43"/>
        <v>1</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0</v>
      </c>
      <c r="Y142">
        <f t="shared" ca="1" si="45"/>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0</v>
      </c>
      <c r="AM142" s="5">
        <f t="shared" ca="1" si="48"/>
        <v>0</v>
      </c>
      <c r="AN142" s="5" t="str">
        <f>IF(Demand!BE151="Yes","Yes","")</f>
        <v/>
      </c>
      <c r="AP142" s="36" t="str">
        <f ca="1">Demand!B151</f>
        <v xml:space="preserve"> </v>
      </c>
      <c r="AQ142" t="str">
        <f ca="1">IF(TEXT(Demand!D151,"MMM")&lt;&gt;TEXT(Demand!D150,"MMM"),TEXT(Demand!D151,"MMM"),"")</f>
        <v/>
      </c>
      <c r="AT142" s="5">
        <f t="shared" ca="1" si="49"/>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
      <c r="A143" s="5">
        <f t="shared" ca="1" si="43"/>
        <v>1</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0</v>
      </c>
      <c r="Y143">
        <f t="shared" ca="1" si="45"/>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0</v>
      </c>
      <c r="AM143" s="5">
        <f t="shared" ca="1" si="48"/>
        <v>0</v>
      </c>
      <c r="AN143" s="5" t="str">
        <f>IF(Demand!BE152="Yes","Yes","")</f>
        <v/>
      </c>
      <c r="AP143" s="36" t="str">
        <f ca="1">Demand!B152</f>
        <v xml:space="preserve"> </v>
      </c>
      <c r="AQ143" t="str">
        <f ca="1">IF(TEXT(Demand!D152,"MMM")&lt;&gt;TEXT(Demand!D151,"MMM"),TEXT(Demand!D152,"MMM"),"")</f>
        <v/>
      </c>
      <c r="AT143" s="5">
        <f t="shared" ca="1" si="49"/>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
      <c r="A144" s="5">
        <f t="shared" ca="1" si="43"/>
        <v>1</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0</v>
      </c>
      <c r="Y144">
        <f t="shared" ca="1" si="45"/>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0</v>
      </c>
      <c r="AM144" s="5">
        <f t="shared" ca="1" si="48"/>
        <v>0</v>
      </c>
      <c r="AN144" s="5" t="str">
        <f>IF(Demand!BE153="Yes","Yes","")</f>
        <v/>
      </c>
      <c r="AP144" s="36" t="str">
        <f ca="1">Demand!B153</f>
        <v xml:space="preserve"> </v>
      </c>
      <c r="AQ144" t="str">
        <f ca="1">IF(TEXT(Demand!D153,"MMM")&lt;&gt;TEXT(Demand!D152,"MMM"),TEXT(Demand!D153,"MMM"),"")</f>
        <v/>
      </c>
      <c r="AT144" s="5">
        <f t="shared" ca="1" si="49"/>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
      <c r="A145" s="5">
        <f t="shared" ca="1" si="43"/>
        <v>1</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0</v>
      </c>
      <c r="Y145">
        <f t="shared" ca="1" si="45"/>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0</v>
      </c>
      <c r="AM145" s="5">
        <f t="shared" ca="1" si="48"/>
        <v>0</v>
      </c>
      <c r="AN145" s="5" t="str">
        <f>IF(Demand!BE154="Yes","Yes","")</f>
        <v/>
      </c>
      <c r="AP145" s="36" t="str">
        <f ca="1">Demand!B154</f>
        <v xml:space="preserve"> </v>
      </c>
      <c r="AQ145" t="str">
        <f ca="1">IF(TEXT(Demand!D154,"MMM")&lt;&gt;TEXT(Demand!D153,"MMM"),TEXT(Demand!D154,"MMM"),"")</f>
        <v/>
      </c>
      <c r="AT145" s="5">
        <f t="shared" ca="1" si="49"/>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
      <c r="A146" s="5">
        <f t="shared" ca="1" si="43"/>
        <v>1</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0</v>
      </c>
      <c r="Y146">
        <f t="shared" ca="1" si="45"/>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0</v>
      </c>
      <c r="AM146" s="5">
        <f t="shared" ca="1" si="48"/>
        <v>0</v>
      </c>
      <c r="AN146" s="5" t="str">
        <f>IF(Demand!BE155="Yes","Yes","")</f>
        <v/>
      </c>
      <c r="AP146" s="36" t="str">
        <f ca="1">Demand!B155</f>
        <v xml:space="preserve"> </v>
      </c>
      <c r="AQ146" t="str">
        <f ca="1">IF(TEXT(Demand!D155,"MMM")&lt;&gt;TEXT(Demand!D154,"MMM"),TEXT(Demand!D155,"MMM"),"")</f>
        <v/>
      </c>
      <c r="AT146" s="5">
        <f t="shared" ca="1" si="49"/>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
      <c r="A147" s="5">
        <f t="shared" ca="1" si="43"/>
        <v>1</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0</v>
      </c>
      <c r="Y147">
        <f t="shared" ca="1" si="45"/>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0</v>
      </c>
      <c r="AM147" s="5">
        <f t="shared" ca="1" si="48"/>
        <v>0</v>
      </c>
      <c r="AN147" s="5" t="str">
        <f>IF(Demand!BE156="Yes","Yes","")</f>
        <v/>
      </c>
      <c r="AP147" s="36" t="str">
        <f ca="1">Demand!B156</f>
        <v xml:space="preserve"> </v>
      </c>
      <c r="AQ147" t="str">
        <f ca="1">IF(TEXT(Demand!D156,"MMM")&lt;&gt;TEXT(Demand!D155,"MMM"),TEXT(Demand!D156,"MMM"),"")</f>
        <v/>
      </c>
      <c r="AT147" s="5">
        <f t="shared" ca="1" si="49"/>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
      <c r="A148" s="5">
        <f t="shared" ca="1" si="43"/>
        <v>1</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0</v>
      </c>
      <c r="Y148">
        <f t="shared" ca="1" si="45"/>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0</v>
      </c>
      <c r="AM148" s="5">
        <f t="shared" ca="1" si="48"/>
        <v>0</v>
      </c>
      <c r="AN148" s="5" t="str">
        <f>IF(Demand!BE157="Yes","Yes","")</f>
        <v/>
      </c>
      <c r="AP148" s="36" t="str">
        <f ca="1">Demand!B157</f>
        <v xml:space="preserve"> </v>
      </c>
      <c r="AQ148" t="str">
        <f ca="1">IF(TEXT(Demand!D157,"MMM")&lt;&gt;TEXT(Demand!D156,"MMM"),TEXT(Demand!D157,"MMM"),"")</f>
        <v/>
      </c>
      <c r="AT148" s="5">
        <f t="shared" ca="1" si="49"/>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
      <c r="A149" s="5">
        <f t="shared" ca="1" si="43"/>
        <v>1</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0</v>
      </c>
      <c r="Y149">
        <f t="shared" ca="1" si="45"/>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0</v>
      </c>
      <c r="AM149" s="5">
        <f t="shared" ca="1" si="48"/>
        <v>0</v>
      </c>
      <c r="AN149" s="5" t="str">
        <f>IF(Demand!BE158="Yes","Yes","")</f>
        <v/>
      </c>
      <c r="AP149" s="36" t="str">
        <f ca="1">Demand!B158</f>
        <v xml:space="preserve"> </v>
      </c>
      <c r="AQ149" t="str">
        <f ca="1">IF(TEXT(Demand!D158,"MMM")&lt;&gt;TEXT(Demand!D157,"MMM"),TEXT(Demand!D158,"MMM"),"")</f>
        <v/>
      </c>
      <c r="AT149" s="5">
        <f t="shared" ca="1" si="49"/>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
      <c r="A150" s="5">
        <f t="shared" ca="1" si="43"/>
        <v>1</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0</v>
      </c>
      <c r="Y150">
        <f t="shared" ca="1" si="45"/>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0</v>
      </c>
      <c r="AM150" s="5">
        <f t="shared" ca="1" si="48"/>
        <v>0</v>
      </c>
      <c r="AN150" s="5" t="str">
        <f>IF(Demand!BE159="Yes","Yes","")</f>
        <v/>
      </c>
      <c r="AP150" s="36" t="str">
        <f ca="1">Demand!B159</f>
        <v xml:space="preserve"> </v>
      </c>
      <c r="AQ150" t="str">
        <f ca="1">IF(TEXT(Demand!D159,"MMM")&lt;&gt;TEXT(Demand!D158,"MMM"),TEXT(Demand!D159,"MMM"),"")</f>
        <v/>
      </c>
      <c r="AT150" s="5">
        <f t="shared" ca="1" si="49"/>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
      <c r="A151" s="5">
        <f t="shared" ca="1" si="43"/>
        <v>1</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0</v>
      </c>
      <c r="Y151">
        <f t="shared" ca="1" si="45"/>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0</v>
      </c>
      <c r="AM151" s="5">
        <f t="shared" ca="1" si="48"/>
        <v>0</v>
      </c>
      <c r="AN151" s="5" t="str">
        <f>IF(Demand!BE160="Yes","Yes","")</f>
        <v/>
      </c>
      <c r="AP151" s="36" t="str">
        <f ca="1">Demand!B160</f>
        <v xml:space="preserve"> </v>
      </c>
      <c r="AQ151" t="str">
        <f ca="1">IF(TEXT(Demand!D160,"MMM")&lt;&gt;TEXT(Demand!D159,"MMM"),TEXT(Demand!D160,"MMM"),"")</f>
        <v/>
      </c>
      <c r="AT151" s="5">
        <f t="shared" ca="1" si="49"/>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
      <c r="A152" s="5">
        <f t="shared" ca="1" si="43"/>
        <v>1</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0</v>
      </c>
      <c r="Y152">
        <f t="shared" ca="1" si="45"/>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0</v>
      </c>
      <c r="AM152" s="5">
        <f t="shared" ca="1" si="48"/>
        <v>0</v>
      </c>
      <c r="AN152" s="5" t="str">
        <f>IF(Demand!BE161="Yes","Yes","")</f>
        <v/>
      </c>
      <c r="AP152" s="36" t="str">
        <f ca="1">Demand!B161</f>
        <v xml:space="preserve"> </v>
      </c>
      <c r="AQ152" t="str">
        <f ca="1">IF(TEXT(Demand!D161,"MMM")&lt;&gt;TEXT(Demand!D160,"MMM"),TEXT(Demand!D161,"MMM"),"")</f>
        <v/>
      </c>
      <c r="AT152" s="5">
        <f t="shared" ca="1" si="49"/>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
      <c r="A153" s="5">
        <f t="shared" ca="1" si="43"/>
        <v>1</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0</v>
      </c>
      <c r="Y153">
        <f t="shared" ca="1" si="45"/>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0</v>
      </c>
      <c r="AM153" s="5">
        <f t="shared" ca="1" si="48"/>
        <v>0</v>
      </c>
      <c r="AN153" s="5" t="str">
        <f>IF(Demand!BE162="Yes","Yes","")</f>
        <v/>
      </c>
      <c r="AP153" s="36" t="str">
        <f ca="1">Demand!B162</f>
        <v xml:space="preserve"> </v>
      </c>
      <c r="AQ153" t="str">
        <f ca="1">IF(TEXT(Demand!D162,"MMM")&lt;&gt;TEXT(Demand!D161,"MMM"),TEXT(Demand!D162,"MMM"),"")</f>
        <v/>
      </c>
      <c r="AT153" s="5">
        <f t="shared" ca="1" si="49"/>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
      <c r="A154" s="5">
        <f t="shared" ca="1" si="43"/>
        <v>1</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0</v>
      </c>
      <c r="Y154">
        <f t="shared" ca="1" si="45"/>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0</v>
      </c>
      <c r="AM154" s="5">
        <f t="shared" ca="1" si="48"/>
        <v>0</v>
      </c>
      <c r="AN154" s="5" t="str">
        <f>IF(Demand!BE163="Yes","Yes","")</f>
        <v/>
      </c>
      <c r="AP154" s="36" t="str">
        <f ca="1">Demand!B163</f>
        <v xml:space="preserve"> </v>
      </c>
      <c r="AQ154" t="str">
        <f ca="1">IF(TEXT(Demand!D163,"MMM")&lt;&gt;TEXT(Demand!D162,"MMM"),TEXT(Demand!D163,"MMM"),"")</f>
        <v/>
      </c>
      <c r="AT154" s="5">
        <f t="shared" ca="1" si="49"/>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
      <c r="A155" s="5">
        <f t="shared" ca="1" si="43"/>
        <v>1</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
      <c r="A156" s="5">
        <f t="shared" ca="1" si="43"/>
        <v>1</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
      <c r="A157" s="5">
        <f t="shared" ca="1" si="43"/>
        <v>1</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
      <c r="A158" s="5">
        <f t="shared" ca="1" si="43"/>
        <v>1</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
      <c r="A159" s="5">
        <f t="shared" ca="1" si="43"/>
        <v>1</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
      <c r="A160" s="5">
        <f t="shared" ca="1" si="43"/>
        <v>1</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
      <c r="A161" s="5">
        <f t="shared" ca="1" si="43"/>
        <v>1</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
      <c r="A162" s="5">
        <f t="shared" ca="1" si="43"/>
        <v>1</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
      <c r="A163" s="5">
        <f t="shared" ca="1" si="43"/>
        <v>1</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
      <c r="A164" s="5">
        <f t="shared" ca="1" si="43"/>
        <v>1</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
      <c r="A165" s="5">
        <f t="shared" ca="1" si="43"/>
        <v>1</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
      <c r="A166" s="5">
        <f t="shared" ca="1" si="43"/>
        <v>1</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
      <c r="A167" s="5">
        <f t="shared" ca="1" si="43"/>
        <v>1</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
      <c r="A168" s="5">
        <f t="shared" ca="1" si="43"/>
        <v>1</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
      <c r="A169" s="5">
        <f t="shared" ca="1" si="43"/>
        <v>1</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
      <c r="A170" s="5">
        <f t="shared" ca="1" si="43"/>
        <v>1</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
      <c r="A171" s="5">
        <f t="shared" ca="1" si="43"/>
        <v>1</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
      <c r="A172" s="5">
        <f t="shared" ca="1" si="43"/>
        <v>1</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
      <c r="A173" s="5">
        <f t="shared" ca="1" si="43"/>
        <v>1</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
      <c r="A174" s="5">
        <f t="shared" ca="1" si="43"/>
        <v>1</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
      <c r="A175" s="5">
        <f t="shared" ca="1" si="43"/>
        <v>1</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
      <c r="A176" s="5">
        <f t="shared" ca="1" si="43"/>
        <v>1</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
      <c r="A177" s="5">
        <f t="shared" ca="1" si="43"/>
        <v>1</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
      <c r="A178" s="5">
        <f t="shared" ca="1" si="43"/>
        <v>1</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
      <c r="A179" s="5">
        <f t="shared" ca="1" si="43"/>
        <v>1</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
      <c r="A180" s="5">
        <f t="shared" ca="1" si="43"/>
        <v>1</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
      <c r="A181" s="5">
        <f t="shared" ca="1" si="43"/>
        <v>1</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
      <c r="A182" s="5">
        <f t="shared" ca="1" si="43"/>
        <v>1</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
      <c r="A183" s="5">
        <f t="shared" ca="1" si="43"/>
        <v>1</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
      <c r="A184" s="5">
        <f t="shared" ref="A184:A247" ca="1" si="50">SUM(OFFSET(B184,0,0,1,Num_Modalities))</f>
        <v>1</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
      <c r="A185" s="5">
        <f t="shared" ca="1" si="50"/>
        <v>1</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
      <c r="A186" s="5">
        <f t="shared" ca="1" si="50"/>
        <v>1</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
      <c r="A187" s="5">
        <f t="shared" ca="1" si="50"/>
        <v>1</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
      <c r="A188" s="5">
        <f t="shared" ca="1" si="50"/>
        <v>1</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
      <c r="A189" s="5">
        <f t="shared" ca="1" si="50"/>
        <v>1</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
      <c r="A190" s="5">
        <f t="shared" ca="1" si="50"/>
        <v>1</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
      <c r="A191" s="5">
        <f t="shared" ca="1" si="50"/>
        <v>1</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
      <c r="A192" s="5">
        <f t="shared" ca="1" si="50"/>
        <v>1</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
      <c r="A193" s="5">
        <f t="shared" ca="1" si="50"/>
        <v>1</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
      <c r="A194" s="5">
        <f t="shared" ca="1" si="50"/>
        <v>1</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
      <c r="A195" s="5">
        <f t="shared" ca="1" si="50"/>
        <v>1</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
      <c r="A196" s="5">
        <f t="shared" ca="1" si="50"/>
        <v>1</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
      <c r="A197" s="5">
        <f t="shared" ca="1" si="50"/>
        <v>1</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
      <c r="A198" s="5">
        <f t="shared" ca="1" si="50"/>
        <v>1</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
      <c r="A199" s="5">
        <f t="shared" ca="1" si="50"/>
        <v>1</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
      <c r="A200" s="5">
        <f t="shared" ca="1" si="50"/>
        <v>1</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
      <c r="A201" s="5">
        <f t="shared" ca="1" si="50"/>
        <v>1</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
      <c r="A202" s="5">
        <f t="shared" ca="1" si="50"/>
        <v>1</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
      <c r="A203" s="5">
        <f t="shared" ca="1" si="50"/>
        <v>1</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
      <c r="A204" s="5">
        <f t="shared" ca="1" si="50"/>
        <v>1</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
      <c r="A205" s="5">
        <f t="shared" ca="1" si="50"/>
        <v>1</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
      <c r="A206" s="5">
        <f t="shared" ca="1" si="50"/>
        <v>1</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
      <c r="A207" s="5">
        <f t="shared" ca="1" si="50"/>
        <v>1</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
      <c r="A208" s="5">
        <f t="shared" ca="1" si="50"/>
        <v>1</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
      <c r="A209" s="5">
        <f t="shared" ca="1" si="50"/>
        <v>1</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
      <c r="A210" s="5">
        <f t="shared" ca="1" si="50"/>
        <v>1</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
      <c r="A211" s="5">
        <f t="shared" ca="1" si="50"/>
        <v>1</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
      <c r="A212" s="5">
        <f t="shared" ca="1" si="50"/>
        <v>1</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
      <c r="A213" s="5">
        <f t="shared" ca="1" si="50"/>
        <v>1</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
      <c r="A214" s="5">
        <f t="shared" ca="1" si="50"/>
        <v>1</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
      <c r="A215" s="5">
        <f t="shared" ca="1" si="50"/>
        <v>1</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
      <c r="A216" s="5">
        <f t="shared" ca="1" si="50"/>
        <v>1</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
      <c r="A217" s="5">
        <f t="shared" ca="1" si="50"/>
        <v>1</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
      <c r="A218" s="5">
        <f t="shared" ca="1" si="50"/>
        <v>1</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
      <c r="A219" s="5">
        <f t="shared" ca="1" si="50"/>
        <v>1</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
      <c r="A220" s="5">
        <f t="shared" ca="1" si="50"/>
        <v>1</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
      <c r="A221" s="5">
        <f t="shared" ca="1" si="50"/>
        <v>1</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
      <c r="A222" s="5">
        <f t="shared" ca="1" si="50"/>
        <v>1</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
      <c r="A223" s="5">
        <f t="shared" ca="1" si="50"/>
        <v>1</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
      <c r="A224" s="5">
        <f t="shared" ca="1" si="50"/>
        <v>1</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
      <c r="A225" s="5">
        <f t="shared" ca="1" si="50"/>
        <v>1</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
      <c r="A226" s="5">
        <f t="shared" ca="1" si="50"/>
        <v>1</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
      <c r="A227" s="5">
        <f t="shared" ca="1" si="50"/>
        <v>1</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
      <c r="A228" s="5">
        <f t="shared" ca="1" si="50"/>
        <v>1</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
      <c r="A229" s="5">
        <f t="shared" ca="1" si="50"/>
        <v>1</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
      <c r="A230" s="5">
        <f t="shared" ca="1" si="50"/>
        <v>1</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
      <c r="A231" s="5">
        <f t="shared" ca="1" si="50"/>
        <v>1</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
      <c r="A232" s="5">
        <f t="shared" ca="1" si="50"/>
        <v>1</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
      <c r="A233" s="5">
        <f t="shared" ca="1" si="50"/>
        <v>1</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
      <c r="A234" s="5">
        <f t="shared" ca="1" si="50"/>
        <v>1</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
      <c r="A235" s="5">
        <f t="shared" ca="1" si="50"/>
        <v>1</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
      <c r="A236" s="5">
        <f t="shared" ca="1" si="50"/>
        <v>1</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
      <c r="A237" s="5">
        <f t="shared" ca="1" si="50"/>
        <v>1</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
      <c r="A238" s="5">
        <f t="shared" ca="1" si="50"/>
        <v>1</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
      <c r="A239" s="5">
        <f t="shared" ca="1" si="50"/>
        <v>1</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
      <c r="A240" s="5">
        <f t="shared" ca="1" si="50"/>
        <v>1</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
      <c r="A241" s="5">
        <f t="shared" ca="1" si="50"/>
        <v>1</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
      <c r="A242" s="5">
        <f t="shared" ca="1" si="50"/>
        <v>1</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
      <c r="A243" s="5">
        <f t="shared" ca="1" si="50"/>
        <v>1</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
      <c r="A244" s="5">
        <f t="shared" ca="1" si="50"/>
        <v>1</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
      <c r="A245" s="5">
        <f t="shared" ca="1" si="50"/>
        <v>1</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
      <c r="A246" s="5">
        <f t="shared" ca="1" si="50"/>
        <v>1</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
      <c r="A247" s="5">
        <f t="shared" ca="1" si="50"/>
        <v>1</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
      <c r="A248" s="5">
        <f t="shared" ref="A248:A252" ca="1" si="57">SUM(OFFSET(B248,0,0,1,Num_Modalities))</f>
        <v>1</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
      <c r="A249" s="5">
        <f t="shared" ca="1" si="57"/>
        <v>1</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
      <c r="A250" s="5">
        <f t="shared" ca="1" si="57"/>
        <v>1</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
      <c r="A251" s="5">
        <f t="shared" ca="1" si="57"/>
        <v>1</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
      <c r="A252" s="5">
        <f t="shared" ca="1" si="57"/>
        <v>1</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
      <c r="A253" s="5">
        <f t="shared" ref="A253:A263" ca="1" si="58">SUM(OFFSET(B253,0,0,1,Num_Modalities))</f>
        <v>1</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
      <c r="A254" s="5">
        <f t="shared" ca="1" si="58"/>
        <v>1</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
      <c r="A255" s="5">
        <f t="shared" ca="1" si="58"/>
        <v>1</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
      <c r="A256" s="5">
        <f t="shared" ca="1" si="58"/>
        <v>1</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
      <c r="A257" s="5">
        <f t="shared" ca="1" si="58"/>
        <v>1</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
      <c r="A258" s="5">
        <f t="shared" ca="1" si="58"/>
        <v>1</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
      <c r="A259" s="5">
        <f t="shared" ca="1" si="58"/>
        <v>1</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
      <c r="A260" s="5">
        <f t="shared" ca="1" si="58"/>
        <v>1</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
      <c r="A261" s="5">
        <f t="shared" ca="1" si="58"/>
        <v>1</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
      <c r="A262" s="5">
        <f t="shared" ca="1" si="58"/>
        <v>1</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
      <c r="A263" s="5">
        <f t="shared" ca="1" si="58"/>
        <v>1</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
      <c r="M264" t="s">
        <v>79</v>
      </c>
      <c r="N264" s="5">
        <f ca="1">SUM(OFFSET(N$4,'SPC background (hide)'!$C$4-1,0,SampleLength,1))</f>
        <v>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D33" sqref="D33:D34"/>
    </sheetView>
  </sheetViews>
  <sheetFormatPr defaultColWidth="8.75" defaultRowHeight="14.25" x14ac:dyDescent="0.2"/>
  <cols>
    <col min="1" max="3" width="10.25" style="349" customWidth="1"/>
    <col min="4" max="4" width="17.75" style="349" customWidth="1"/>
    <col min="5" max="5" width="13.75" style="349" customWidth="1"/>
    <col min="6" max="6" width="9.75" style="349" bestFit="1" customWidth="1"/>
    <col min="7" max="16384" width="8.75" style="349"/>
  </cols>
  <sheetData>
    <row r="2" spans="1:18" x14ac:dyDescent="0.2">
      <c r="A2" s="348" t="s">
        <v>1179</v>
      </c>
      <c r="B2" s="348"/>
      <c r="C2" s="348"/>
      <c r="D2" s="348"/>
      <c r="E2" s="348"/>
      <c r="F2" s="348"/>
      <c r="G2" s="348"/>
      <c r="H2" s="348"/>
      <c r="I2" s="348"/>
      <c r="J2" s="348"/>
      <c r="K2" s="348"/>
      <c r="L2" s="348"/>
      <c r="M2" s="348"/>
      <c r="N2" s="348"/>
      <c r="O2" s="348"/>
      <c r="P2" s="348"/>
      <c r="Q2" s="348"/>
      <c r="R2" s="348"/>
    </row>
    <row r="3" spans="1:18" x14ac:dyDescent="0.2">
      <c r="A3" s="350" t="s">
        <v>1180</v>
      </c>
      <c r="B3" s="350"/>
      <c r="C3" s="350"/>
      <c r="D3" s="350"/>
      <c r="E3" s="350"/>
      <c r="F3" s="350"/>
      <c r="G3" s="350"/>
      <c r="H3" s="350"/>
      <c r="I3" s="350"/>
      <c r="J3" s="350"/>
      <c r="K3" s="350"/>
      <c r="L3" s="350"/>
      <c r="M3" s="350"/>
      <c r="N3" s="350"/>
      <c r="O3" s="350"/>
      <c r="P3" s="350"/>
      <c r="Q3" s="350"/>
      <c r="R3" s="350"/>
    </row>
    <row r="5" spans="1:18" x14ac:dyDescent="0.2">
      <c r="A5" s="349" t="s">
        <v>1210</v>
      </c>
    </row>
    <row r="6" spans="1:18" x14ac:dyDescent="0.2">
      <c r="A6" s="349" t="s">
        <v>1188</v>
      </c>
    </row>
    <row r="7" spans="1:18" x14ac:dyDescent="0.2">
      <c r="A7" s="349" t="s">
        <v>1189</v>
      </c>
    </row>
    <row r="9" spans="1:18" ht="15" x14ac:dyDescent="0.25">
      <c r="A9" s="284" t="s">
        <v>1181</v>
      </c>
      <c r="F9" s="337" t="s">
        <v>22</v>
      </c>
    </row>
    <row r="10" spans="1:18" x14ac:dyDescent="0.2">
      <c r="A10" s="351" t="str">
        <f>IF(AND(F9="Yes",Demand!C6="",LEFT(Demand!C8,1)="M"),"You must enter a start date on the 'Demand' sheet, otherwise the model will show errors!","")</f>
        <v/>
      </c>
    </row>
    <row r="11" spans="1:18" ht="15" x14ac:dyDescent="0.25">
      <c r="A11" s="284" t="s">
        <v>1186</v>
      </c>
    </row>
    <row r="12" spans="1:18" x14ac:dyDescent="0.2">
      <c r="A12" s="349" t="s">
        <v>1183</v>
      </c>
      <c r="F12" s="167">
        <v>43969</v>
      </c>
    </row>
    <row r="13" spans="1:18" x14ac:dyDescent="0.2">
      <c r="A13" s="349" t="str">
        <f>"Current (restricted) level of demand ("&amp;Setup!$I$17&amp;"):"</f>
        <v>Current (restricted) level of demand (Minutes):</v>
      </c>
      <c r="D13" s="219"/>
      <c r="F13" s="337">
        <v>200</v>
      </c>
    </row>
    <row r="14" spans="1:18" x14ac:dyDescent="0.2">
      <c r="D14" s="219"/>
      <c r="F14" s="219"/>
    </row>
    <row r="16" spans="1:18" ht="15" x14ac:dyDescent="0.25">
      <c r="A16" s="284" t="s">
        <v>1187</v>
      </c>
    </row>
    <row r="17" spans="1:6" x14ac:dyDescent="0.2">
      <c r="A17" s="349" t="s">
        <v>1185</v>
      </c>
      <c r="F17" s="167">
        <v>44011</v>
      </c>
    </row>
    <row r="18" spans="1:6" x14ac:dyDescent="0.2">
      <c r="A18" s="349" t="s">
        <v>1236</v>
      </c>
      <c r="F18" s="337">
        <v>20</v>
      </c>
    </row>
    <row r="20" spans="1:6" x14ac:dyDescent="0.2">
      <c r="A20" s="349" t="s">
        <v>1182</v>
      </c>
      <c r="F20" s="337" t="s">
        <v>22</v>
      </c>
    </row>
    <row r="23" spans="1:6" ht="15" x14ac:dyDescent="0.25">
      <c r="A23" s="284" t="s">
        <v>1212</v>
      </c>
    </row>
    <row r="24" spans="1:6" x14ac:dyDescent="0.2">
      <c r="A24" s="349" t="s">
        <v>1213</v>
      </c>
    </row>
    <row r="26" spans="1:6" x14ac:dyDescent="0.2">
      <c r="A26" s="349" t="s">
        <v>1214</v>
      </c>
    </row>
    <row r="27" spans="1:6" x14ac:dyDescent="0.2">
      <c r="A27" s="349" t="s">
        <v>1215</v>
      </c>
    </row>
    <row r="28" spans="1:6" x14ac:dyDescent="0.2">
      <c r="A28" s="352" t="s">
        <v>1220</v>
      </c>
    </row>
    <row r="31" spans="1:6" ht="15" x14ac:dyDescent="0.25">
      <c r="A31" s="284" t="s">
        <v>1216</v>
      </c>
    </row>
    <row r="33" spans="1:18" ht="13.9" customHeight="1" x14ac:dyDescent="0.25">
      <c r="D33" s="417" t="str">
        <f>"Number of patients ("&amp;Setup!$I$17&amp;")"</f>
        <v>Number of patients (Minutes)</v>
      </c>
      <c r="E33" s="415" t="s">
        <v>1219</v>
      </c>
      <c r="F33" s="417" t="str">
        <f>Setup!$I$17&amp;" remaining"</f>
        <v>Minutes remaining</v>
      </c>
      <c r="G33" s="353" t="str">
        <f>"Backlog / unseen patients ("&amp;Setup!$I$17&amp;") brought in post-transition, by week"</f>
        <v>Backlog / unseen patients (Minutes) brought in post-transition, by week</v>
      </c>
      <c r="H33" s="354"/>
      <c r="I33" s="354"/>
      <c r="J33" s="354"/>
      <c r="K33" s="354"/>
      <c r="L33" s="354"/>
      <c r="M33" s="354"/>
      <c r="N33" s="354"/>
      <c r="O33" s="354"/>
      <c r="P33" s="354"/>
      <c r="Q33" s="354"/>
      <c r="R33" s="355"/>
    </row>
    <row r="34" spans="1:18" ht="15" x14ac:dyDescent="0.25">
      <c r="D34" s="418"/>
      <c r="E34" s="416"/>
      <c r="F34" s="418"/>
      <c r="G34" s="356">
        <v>1</v>
      </c>
      <c r="H34" s="356">
        <v>2</v>
      </c>
      <c r="I34" s="356">
        <v>3</v>
      </c>
      <c r="J34" s="356">
        <v>4</v>
      </c>
      <c r="K34" s="356">
        <v>5</v>
      </c>
      <c r="L34" s="356">
        <v>6</v>
      </c>
      <c r="M34" s="356">
        <v>7</v>
      </c>
      <c r="N34" s="356">
        <v>8</v>
      </c>
      <c r="O34" s="356">
        <v>9</v>
      </c>
      <c r="P34" s="356">
        <v>10</v>
      </c>
      <c r="Q34" s="356">
        <v>11</v>
      </c>
      <c r="R34" s="356">
        <v>12</v>
      </c>
    </row>
    <row r="35" spans="1:18" ht="15" x14ac:dyDescent="0.25">
      <c r="A35" s="349" t="s">
        <v>1217</v>
      </c>
      <c r="D35" s="359">
        <f ca="1">SUM(OFFSET('Parameters calculator (hide)'!$C$68,0,0,Num_Modalities,1))</f>
        <v>900</v>
      </c>
      <c r="E35" s="338">
        <v>0.04</v>
      </c>
      <c r="F35" s="357">
        <f ca="1">ROUNDUP(D35*(1-E35),0)-SUM(G35:N35)</f>
        <v>-736</v>
      </c>
      <c r="G35" s="337">
        <v>200</v>
      </c>
      <c r="H35" s="337">
        <v>200</v>
      </c>
      <c r="I35" s="337">
        <v>200</v>
      </c>
      <c r="J35" s="337">
        <v>200</v>
      </c>
      <c r="K35" s="337">
        <v>200</v>
      </c>
      <c r="L35" s="337">
        <v>200</v>
      </c>
      <c r="M35" s="337">
        <v>200</v>
      </c>
      <c r="N35" s="337">
        <v>200</v>
      </c>
      <c r="O35" s="337">
        <v>200</v>
      </c>
      <c r="P35" s="337">
        <v>200</v>
      </c>
      <c r="Q35" s="337"/>
      <c r="R35" s="337"/>
    </row>
    <row r="36" spans="1:18" ht="15" x14ac:dyDescent="0.25">
      <c r="A36" s="349" t="s">
        <v>1218</v>
      </c>
      <c r="D36" s="360">
        <f ca="1">'Demand background (hide)'!EA3</f>
        <v>0</v>
      </c>
      <c r="E36" s="338">
        <v>0.05</v>
      </c>
      <c r="F36" s="358">
        <f ca="1">ROUNDUP(D36*(1-E36),0)-SUM(G36:N36)</f>
        <v>-2400</v>
      </c>
      <c r="G36" s="337">
        <v>300</v>
      </c>
      <c r="H36" s="337">
        <v>300</v>
      </c>
      <c r="I36" s="337">
        <v>300</v>
      </c>
      <c r="J36" s="337">
        <v>300</v>
      </c>
      <c r="K36" s="337">
        <v>300</v>
      </c>
      <c r="L36" s="337">
        <v>300</v>
      </c>
      <c r="M36" s="337">
        <v>300</v>
      </c>
      <c r="N36" s="337">
        <v>300</v>
      </c>
      <c r="O36" s="337">
        <v>300</v>
      </c>
      <c r="P36" s="337">
        <v>300</v>
      </c>
      <c r="Q36" s="337"/>
      <c r="R36" s="337"/>
    </row>
    <row r="39" spans="1:18" ht="15" x14ac:dyDescent="0.25">
      <c r="A39" s="349" t="s">
        <v>1227</v>
      </c>
    </row>
  </sheetData>
  <sheetProtection algorithmName="SHA-512" hashValue="mJeHSpUOOEX53lKMjyX8WPSHolssXjV6j0XouZvvbGfMmmTYz51SF/+ZcSLP6DVK+5N1g760STUy0tj7wCOLOw==" saltValue="PHsv/YCFmJURCWeg++a0rw==" spinCount="100000" sheet="1" objects="1" scenarios="1"/>
  <mergeCells count="3">
    <mergeCell ref="E33:E34"/>
    <mergeCell ref="D33:D34"/>
    <mergeCell ref="F33:F34"/>
  </mergeCells>
  <conditionalFormatting sqref="F35:F36">
    <cfRule type="expression" dxfId="49" priority="2">
      <formula>IF($F35&lt;0,1,0)</formula>
    </cfRule>
  </conditionalFormatting>
  <conditionalFormatting sqref="A11:R33 A35:R39 A34:C34 G34:R34">
    <cfRule type="expression" dxfId="48"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5" sqref="C5"/>
    </sheetView>
  </sheetViews>
  <sheetFormatPr defaultRowHeight="14.25" x14ac:dyDescent="0.2"/>
  <cols>
    <col min="1" max="1" width="19.75" bestFit="1" customWidth="1"/>
    <col min="2" max="2" width="11.25" customWidth="1"/>
    <col min="4" max="4" width="3.25" customWidth="1"/>
  </cols>
  <sheetData>
    <row r="1" spans="1:3" x14ac:dyDescent="0.2">
      <c r="A1" t="s">
        <v>126</v>
      </c>
      <c r="B1" s="246" t="s">
        <v>192</v>
      </c>
    </row>
    <row r="3" spans="1:3" ht="15" x14ac:dyDescent="0.25">
      <c r="A3" s="2" t="s">
        <v>185</v>
      </c>
    </row>
    <row r="4" spans="1:3" ht="14.25" customHeight="1" x14ac:dyDescent="0.2">
      <c r="A4" s="38" t="str">
        <f>IF(SPC_Type="Simple","Sample period","Season 1")&amp;" begins:"</f>
        <v>Season 1 begins:</v>
      </c>
    </row>
    <row r="5" spans="1:3" ht="14.25" customHeight="1" x14ac:dyDescent="0.2">
      <c r="A5" s="38" t="str">
        <f>IF(SPC_Type="Simple","Sample period","Season 1")&amp;" ends:"</f>
        <v>Season 1 ends:</v>
      </c>
      <c r="C5" t="str">
        <f ca="1">'SPC background (hide)'!H5&amp;" weeks"</f>
        <v>-97 weeks</v>
      </c>
    </row>
    <row r="6" spans="1:3" ht="14.25" customHeight="1" x14ac:dyDescent="0.2"/>
    <row r="7" spans="1:3" ht="14.25" customHeight="1" x14ac:dyDescent="0.2">
      <c r="A7" s="326" t="s">
        <v>186</v>
      </c>
      <c r="B7" s="379"/>
      <c r="C7" s="379"/>
    </row>
    <row r="8" spans="1:3" ht="14.25" customHeight="1" x14ac:dyDescent="0.2">
      <c r="A8" s="326" t="s">
        <v>187</v>
      </c>
      <c r="B8" s="379"/>
      <c r="C8" s="379" t="str">
        <f ca="1">IF('SPC background (hide)'!H7&lt;&gt;"",'SPC background (hide)'!H7&amp;" weeks","")</f>
        <v/>
      </c>
    </row>
    <row r="9" spans="1:3" ht="14.25" customHeight="1" x14ac:dyDescent="0.2">
      <c r="A9" s="326"/>
      <c r="B9" s="379"/>
      <c r="C9" s="379"/>
    </row>
    <row r="10" spans="1:3" ht="14.25" customHeight="1" x14ac:dyDescent="0.2">
      <c r="A10" s="326" t="s">
        <v>188</v>
      </c>
      <c r="B10" s="379"/>
      <c r="C10" s="379"/>
    </row>
    <row r="11" spans="1:3" ht="14.25" customHeight="1" x14ac:dyDescent="0.2">
      <c r="A11" s="326" t="s">
        <v>189</v>
      </c>
      <c r="B11" s="379"/>
      <c r="C11" s="379" t="str">
        <f ca="1">IF('SPC background (hide)'!H9&lt;&gt;"",'SPC background (hide)'!H9&amp;" weeks","")</f>
        <v/>
      </c>
    </row>
    <row r="12" spans="1:3" ht="14.25" customHeight="1" x14ac:dyDescent="0.2">
      <c r="A12" s="326"/>
      <c r="B12" s="379"/>
      <c r="C12" s="379"/>
    </row>
    <row r="13" spans="1:3" ht="14.25" customHeight="1" x14ac:dyDescent="0.2">
      <c r="A13" s="326" t="s">
        <v>190</v>
      </c>
      <c r="B13" s="379"/>
      <c r="C13" s="379"/>
    </row>
    <row r="14" spans="1:3" ht="14.25" customHeight="1" x14ac:dyDescent="0.2">
      <c r="A14" s="326" t="s">
        <v>191</v>
      </c>
      <c r="B14" s="379"/>
      <c r="C14" s="379" t="str">
        <f ca="1">IF('SPC background (hide)'!H11&lt;&gt;"",'SPC background (hide)'!H11&amp;" weeks","")</f>
        <v/>
      </c>
    </row>
    <row r="15" spans="1:3" ht="14.25" customHeight="1" x14ac:dyDescent="0.2"/>
    <row r="16" spans="1:3" x14ac:dyDescent="0.2">
      <c r="A16" s="37" t="s">
        <v>147</v>
      </c>
    </row>
    <row r="17" spans="1:3" ht="15" x14ac:dyDescent="0.25">
      <c r="A17" s="2" t="str">
        <f ca="1">'SPC background (hide)'!I11&amp;" weeks"</f>
        <v>-97 weeks</v>
      </c>
    </row>
    <row r="19" spans="1:3" x14ac:dyDescent="0.2">
      <c r="A19" t="str">
        <f ca="1">IF(AND('SPC background (hide)'!I11&lt;52,SPC_Type="1+ Seasons"),"Remaining wks use season:","")</f>
        <v/>
      </c>
      <c r="C19" s="178">
        <v>1</v>
      </c>
    </row>
    <row r="20" spans="1:3" x14ac:dyDescent="0.2">
      <c r="C20" s="45"/>
    </row>
    <row r="21" spans="1:3" x14ac:dyDescent="0.2">
      <c r="A21" t="s">
        <v>195</v>
      </c>
      <c r="C21" s="178" t="s">
        <v>20</v>
      </c>
    </row>
    <row r="22" spans="1:3" x14ac:dyDescent="0.2">
      <c r="C22" s="45"/>
    </row>
    <row r="23" spans="1:3" x14ac:dyDescent="0.2">
      <c r="A23" t="s">
        <v>196</v>
      </c>
      <c r="C23" s="178" t="s">
        <v>20</v>
      </c>
    </row>
    <row r="25" spans="1:3" hidden="1" x14ac:dyDescent="0.2">
      <c r="A25" t="s">
        <v>284</v>
      </c>
      <c r="C25" s="178" t="s">
        <v>22</v>
      </c>
    </row>
    <row r="29" spans="1:3" ht="15" x14ac:dyDescent="0.25">
      <c r="A29" s="2" t="s">
        <v>178</v>
      </c>
    </row>
    <row r="30" spans="1:3" x14ac:dyDescent="0.2">
      <c r="A30" s="40"/>
      <c r="B30" t="s">
        <v>175</v>
      </c>
    </row>
    <row r="31" spans="1:3" x14ac:dyDescent="0.2">
      <c r="A31" s="41"/>
      <c r="B31" t="s">
        <v>176</v>
      </c>
    </row>
    <row r="32" spans="1:3" x14ac:dyDescent="0.2">
      <c r="A32" s="42"/>
      <c r="B32" t="s">
        <v>197</v>
      </c>
    </row>
    <row r="33" spans="1:2" x14ac:dyDescent="0.2">
      <c r="A33" s="43"/>
      <c r="B33" t="s">
        <v>177</v>
      </c>
    </row>
  </sheetData>
  <sheetProtection algorithmName="SHA-512" hashValue="vLoOYgkreLHzlEMxepbuSMycQJPi2xgmqdbxCvyZUb9PMdRivMXdgAf/2ifk9Sf8sleczRaPTgRk6cg/PjOD9g==" saltValue="lIqsa3EOmoIABRQIKay7XQ==" spinCount="100000" sheet="1" objects="1" scenarios="1"/>
  <conditionalFormatting sqref="C19">
    <cfRule type="expression" dxfId="47"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180975</xdr:rowOff>
                  </from>
                  <to>
                    <xdr:col>2</xdr:col>
                    <xdr:colOff>0</xdr:colOff>
                    <xdr:row>4</xdr:row>
                    <xdr:rowOff>180975</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4.25" x14ac:dyDescent="0.2"/>
  <cols>
    <col min="1" max="2" width="9" style="67"/>
    <col min="3" max="3" width="14.125" style="67" customWidth="1"/>
    <col min="4" max="5" width="9" style="67"/>
    <col min="6" max="6" width="13.625" style="67" customWidth="1"/>
    <col min="7" max="7" width="15.625" style="67" customWidth="1"/>
    <col min="8" max="9" width="9" style="67"/>
    <col min="10" max="26" width="9" style="67" customWidth="1"/>
    <col min="27" max="27" width="9" style="67" hidden="1" customWidth="1"/>
    <col min="28" max="30" width="9" style="67" customWidth="1"/>
    <col min="31" max="16384" width="9" style="67"/>
  </cols>
  <sheetData>
    <row r="1" spans="1:46" x14ac:dyDescent="0.2">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
      <c r="A2" s="67" t="s">
        <v>433</v>
      </c>
      <c r="B2" s="67" t="str">
        <f>"Demand - SPC Chart ("&amp;Setup!$I$17&amp;")"</f>
        <v>Demand - SPC Chart (Minutes)</v>
      </c>
      <c r="AG2" s="67" t="str">
        <f ca="1">OFFSET(Demand!$C$13,'SPC background (hide)'!$C$4-2+ROW(A1),0,1,1)</f>
        <v/>
      </c>
      <c r="AH2" s="67">
        <v>1</v>
      </c>
      <c r="AI2" s="67">
        <f ca="1">IF(AH2&lt;=($M$4-$L$4+1),1,IF(AND($M$10&gt;=2,AH2&lt;=$M$5-$L$4+1),2,IF(AND($M$10&gt;=3,AH2&lt;=$M$6-$L$4+1),3,IF(AND($M$10=4,AH2&lt;=$M$7-$L$4+1),4,5))))</f>
        <v>5</v>
      </c>
      <c r="AJ2" s="39">
        <f ca="1">VLOOKUP(AI2,$K$4:$Q$9,4,0)</f>
        <v>0</v>
      </c>
      <c r="AK2" s="39">
        <f ca="1">IF($AN2-(3*$AJ2)&lt;=0,0,$AN2-(3*$AJ2))</f>
        <v>0</v>
      </c>
      <c r="AL2" s="39">
        <f ca="1">IF($AN2-(2*$AJ2)&lt;=0,0,$AN2-(2*$AJ2))</f>
        <v>0</v>
      </c>
      <c r="AM2" s="39">
        <f ca="1">IF($AN2-(1*$AJ2)&lt;=0,0,$AN2-(1*$AJ2))</f>
        <v>0</v>
      </c>
      <c r="AN2" s="39">
        <f ca="1">VLOOKUP(AI2,$K$4:$Q$9,5,0)</f>
        <v>0</v>
      </c>
      <c r="AO2" s="39">
        <f t="shared" ref="AO2:AO54" ca="1" si="0">$AN2+(1*$AJ2)</f>
        <v>0</v>
      </c>
      <c r="AP2" s="39">
        <f t="shared" ref="AP2:AP54" ca="1" si="1">$AN2+(2*$AJ2)</f>
        <v>0</v>
      </c>
      <c r="AQ2" s="39">
        <f t="shared" ref="AQ2:AQ54" ca="1" si="2">$AN2+(3*$AJ2)</f>
        <v>0</v>
      </c>
      <c r="AR2" s="5" t="str">
        <f ca="1">VLOOKUP($AI2,$K$4:$Q$8,6,0)</f>
        <v/>
      </c>
      <c r="AS2" s="5" t="str">
        <f t="shared" ref="AS2:AS54" ca="1" si="3">VLOOKUP($AI2,$K$4:$Q$8,7,0)</f>
        <v/>
      </c>
      <c r="AT2" s="5" t="str">
        <f ca="1">VLOOKUP(AI2,$K$4:$R$8,8,0)</f>
        <v/>
      </c>
    </row>
    <row r="3" spans="1:46" x14ac:dyDescent="0.2">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t="e">
        <f ca="1">IF(MOD(AG2+1,53)=0,53,MOD(AG2+1,53))</f>
        <v>#VALUE!</v>
      </c>
      <c r="AH3" s="67">
        <v>2</v>
      </c>
      <c r="AI3" s="67">
        <f t="shared" ref="AI3:AI54" ca="1" si="4">IF(AH3&lt;=($M$4-$L$4+1),1,IF(AND($M$10&gt;=2,AH3&lt;=$M$5-$L$4+1),2,IF(AND($M$10&gt;=3,AH3&lt;=$M$6-$L$4+1),3,IF(AND($M$10=4,AH3&lt;=$M$7-$L$4+1),4,5))))</f>
        <v>5</v>
      </c>
      <c r="AJ3" s="39">
        <f t="shared" ref="AJ3:AJ54" ca="1" si="5">VLOOKUP(AI3,$K$4:$Q$9,4,0)</f>
        <v>0</v>
      </c>
      <c r="AK3" s="39">
        <f t="shared" ref="AK3:AK54" ca="1" si="6">IF($AN3-(3*$AJ3)&lt;=0,0,$AN3-(3*$AJ3))</f>
        <v>0</v>
      </c>
      <c r="AL3" s="39">
        <f t="shared" ref="AL3:AL54" ca="1" si="7">IF($AN3-(2*$AJ3)&lt;=0,0,$AN3-(2*$AJ3))</f>
        <v>0</v>
      </c>
      <c r="AM3" s="39">
        <f t="shared" ref="AM3:AM54" ca="1" si="8">IF($AN3-(1*$AJ3)&lt;=0,0,$AN3-(1*$AJ3))</f>
        <v>0</v>
      </c>
      <c r="AN3" s="39">
        <f t="shared" ref="AN3:AN54" ca="1" si="9">VLOOKUP(AI3,$K$4:$Q$9,5,0)</f>
        <v>0</v>
      </c>
      <c r="AO3" s="39">
        <f t="shared" ca="1" si="0"/>
        <v>0</v>
      </c>
      <c r="AP3" s="39">
        <f t="shared" ca="1" si="1"/>
        <v>0</v>
      </c>
      <c r="AQ3" s="39">
        <f t="shared" ca="1" si="2"/>
        <v>0</v>
      </c>
      <c r="AR3" s="5" t="str">
        <f t="shared" ref="AR3:AR54" ca="1" si="10">VLOOKUP($AI3,$K$4:$Q$8,6,0)</f>
        <v/>
      </c>
      <c r="AS3" s="5" t="str">
        <f t="shared" ca="1" si="3"/>
        <v/>
      </c>
      <c r="AT3" s="5" t="str">
        <f t="shared" ref="AT3:AT54" ca="1" si="11">VLOOKUP(AI3,$K$4:$R$8,8,0)</f>
        <v/>
      </c>
    </row>
    <row r="4" spans="1:46" x14ac:dyDescent="0.2">
      <c r="B4" s="67" t="s">
        <v>118</v>
      </c>
      <c r="C4" s="67">
        <v>99</v>
      </c>
      <c r="D4" s="67">
        <v>1</v>
      </c>
      <c r="E4" s="67">
        <f ca="1">MAX(0,MaxRows-9)</f>
        <v>0</v>
      </c>
      <c r="F4" s="67">
        <f ca="1">E4-D4+1</f>
        <v>0</v>
      </c>
      <c r="K4" s="67">
        <v>1</v>
      </c>
      <c r="L4" s="67">
        <f>C4</f>
        <v>99</v>
      </c>
      <c r="M4" s="67">
        <f ca="1">H5+L4-1</f>
        <v>1</v>
      </c>
      <c r="N4" s="5">
        <f ca="1">Sigma1</f>
        <v>0</v>
      </c>
      <c r="O4" s="5">
        <f ca="1">Mean1</f>
        <v>0</v>
      </c>
      <c r="P4" s="5">
        <f ca="1">PercLower1</f>
        <v>0</v>
      </c>
      <c r="Q4" s="5">
        <f ca="1">PercUpper1</f>
        <v>0</v>
      </c>
      <c r="R4" s="5">
        <f ca="1">Emergency1</f>
        <v>0</v>
      </c>
      <c r="S4" s="5">
        <f ca="1">O4*H5</f>
        <v>0</v>
      </c>
      <c r="T4" s="5"/>
      <c r="AG4" s="67" t="e">
        <f t="shared" ref="AG4:AG54" ca="1" si="12">IF(MOD(AG3+1,53)=0,53,MOD(AG3+1,53))</f>
        <v>#VALUE!</v>
      </c>
      <c r="AH4" s="67">
        <v>3</v>
      </c>
      <c r="AI4" s="67">
        <f t="shared" ca="1" si="4"/>
        <v>5</v>
      </c>
      <c r="AJ4" s="39">
        <f t="shared" ca="1" si="5"/>
        <v>0</v>
      </c>
      <c r="AK4" s="39">
        <f t="shared" ca="1" si="6"/>
        <v>0</v>
      </c>
      <c r="AL4" s="39">
        <f t="shared" ca="1" si="7"/>
        <v>0</v>
      </c>
      <c r="AM4" s="39">
        <f t="shared" ca="1" si="8"/>
        <v>0</v>
      </c>
      <c r="AN4" s="39">
        <f t="shared" ca="1" si="9"/>
        <v>0</v>
      </c>
      <c r="AO4" s="39">
        <f t="shared" ca="1" si="0"/>
        <v>0</v>
      </c>
      <c r="AP4" s="39">
        <f t="shared" ca="1" si="1"/>
        <v>0</v>
      </c>
      <c r="AQ4" s="39">
        <f t="shared" ca="1" si="2"/>
        <v>0</v>
      </c>
      <c r="AR4" s="5" t="str">
        <f t="shared" ca="1" si="10"/>
        <v/>
      </c>
      <c r="AS4" s="5" t="str">
        <f t="shared" ca="1" si="3"/>
        <v/>
      </c>
      <c r="AT4" s="5" t="str">
        <f t="shared" ca="1" si="11"/>
        <v/>
      </c>
    </row>
    <row r="5" spans="1:46" x14ac:dyDescent="0.2">
      <c r="B5" s="67" t="s">
        <v>119</v>
      </c>
      <c r="C5" s="67">
        <v>44</v>
      </c>
      <c r="D5" s="67">
        <f>C4+9</f>
        <v>108</v>
      </c>
      <c r="E5" s="67">
        <f ca="1">MIN(C4+52,MaxRows+1)</f>
        <v>2</v>
      </c>
      <c r="F5" s="67">
        <f ca="1">E5-D5+1</f>
        <v>-105</v>
      </c>
      <c r="G5" s="67">
        <f ca="1">H5</f>
        <v>-97</v>
      </c>
      <c r="H5" s="67">
        <f ca="1">MIN(C5+D5-C4,E5-C4)</f>
        <v>-97</v>
      </c>
      <c r="I5" s="67">
        <f ca="1">G5</f>
        <v>-97</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t="e">
        <f t="shared" ca="1" si="12"/>
        <v>#VALUE!</v>
      </c>
      <c r="AH5" s="67">
        <v>4</v>
      </c>
      <c r="AI5" s="67">
        <f t="shared" ca="1" si="4"/>
        <v>5</v>
      </c>
      <c r="AJ5" s="39">
        <f t="shared" ca="1" si="5"/>
        <v>0</v>
      </c>
      <c r="AK5" s="39">
        <f t="shared" ca="1" si="6"/>
        <v>0</v>
      </c>
      <c r="AL5" s="39">
        <f t="shared" ca="1" si="7"/>
        <v>0</v>
      </c>
      <c r="AM5" s="39">
        <f t="shared" ca="1" si="8"/>
        <v>0</v>
      </c>
      <c r="AN5" s="39">
        <f t="shared" ca="1" si="9"/>
        <v>0</v>
      </c>
      <c r="AO5" s="39">
        <f t="shared" ca="1" si="0"/>
        <v>0</v>
      </c>
      <c r="AP5" s="39">
        <f t="shared" ca="1" si="1"/>
        <v>0</v>
      </c>
      <c r="AQ5" s="39">
        <f t="shared" ca="1" si="2"/>
        <v>0</v>
      </c>
      <c r="AR5" s="5" t="str">
        <f t="shared" ca="1" si="10"/>
        <v/>
      </c>
      <c r="AS5" s="5" t="str">
        <f t="shared" ca="1" si="3"/>
        <v/>
      </c>
      <c r="AT5" s="5" t="str">
        <f t="shared" ca="1" si="11"/>
        <v/>
      </c>
    </row>
    <row r="6" spans="1:46" x14ac:dyDescent="0.2">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t="e">
        <f t="shared" ca="1" si="12"/>
        <v>#VALUE!</v>
      </c>
      <c r="AH6" s="67">
        <v>5</v>
      </c>
      <c r="AI6" s="67">
        <f t="shared" ca="1" si="4"/>
        <v>5</v>
      </c>
      <c r="AJ6" s="39">
        <f t="shared" ca="1" si="5"/>
        <v>0</v>
      </c>
      <c r="AK6" s="39">
        <f t="shared" ca="1" si="6"/>
        <v>0</v>
      </c>
      <c r="AL6" s="39">
        <f t="shared" ca="1" si="7"/>
        <v>0</v>
      </c>
      <c r="AM6" s="39">
        <f t="shared" ca="1" si="8"/>
        <v>0</v>
      </c>
      <c r="AN6" s="39">
        <f t="shared" ca="1" si="9"/>
        <v>0</v>
      </c>
      <c r="AO6" s="39">
        <f t="shared" ca="1" si="0"/>
        <v>0</v>
      </c>
      <c r="AP6" s="39">
        <f t="shared" ca="1" si="1"/>
        <v>0</v>
      </c>
      <c r="AQ6" s="39">
        <f t="shared" ca="1" si="2"/>
        <v>0</v>
      </c>
      <c r="AR6" s="5" t="str">
        <f t="shared" ca="1" si="10"/>
        <v/>
      </c>
      <c r="AS6" s="5" t="str">
        <f t="shared" ca="1" si="3"/>
        <v/>
      </c>
      <c r="AT6" s="5" t="str">
        <f t="shared" ca="1" si="11"/>
        <v/>
      </c>
    </row>
    <row r="7" spans="1:46" x14ac:dyDescent="0.2">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-97</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t="e">
        <f t="shared" ca="1" si="12"/>
        <v>#VALUE!</v>
      </c>
      <c r="AH7" s="67">
        <v>6</v>
      </c>
      <c r="AI7" s="67">
        <f t="shared" ca="1" si="4"/>
        <v>5</v>
      </c>
      <c r="AJ7" s="39">
        <f t="shared" ca="1" si="5"/>
        <v>0</v>
      </c>
      <c r="AK7" s="39">
        <f t="shared" ca="1" si="6"/>
        <v>0</v>
      </c>
      <c r="AL7" s="39">
        <f t="shared" ca="1" si="7"/>
        <v>0</v>
      </c>
      <c r="AM7" s="39">
        <f t="shared" ca="1" si="8"/>
        <v>0</v>
      </c>
      <c r="AN7" s="39">
        <f t="shared" ca="1" si="9"/>
        <v>0</v>
      </c>
      <c r="AO7" s="39">
        <f t="shared" ca="1" si="0"/>
        <v>0</v>
      </c>
      <c r="AP7" s="39">
        <f t="shared" ca="1" si="1"/>
        <v>0</v>
      </c>
      <c r="AQ7" s="39">
        <f t="shared" ca="1" si="2"/>
        <v>0</v>
      </c>
      <c r="AR7" s="5" t="str">
        <f t="shared" ca="1" si="10"/>
        <v/>
      </c>
      <c r="AS7" s="5" t="str">
        <f t="shared" ca="1" si="3"/>
        <v/>
      </c>
      <c r="AT7" s="5" t="str">
        <f t="shared" ca="1" si="11"/>
        <v/>
      </c>
    </row>
    <row r="8" spans="1:46" x14ac:dyDescent="0.2">
      <c r="B8" s="67" t="s">
        <v>122</v>
      </c>
      <c r="C8" s="35">
        <v>2</v>
      </c>
      <c r="D8" s="67" t="e">
        <f ca="1">IF(AND(G7&lt;=42,MaxRows-(G7+$C$4-1)&gt;10),C7+D7,NA())</f>
        <v>#N/A</v>
      </c>
      <c r="E8" s="67" t="e">
        <f ca="1">D8</f>
        <v>#N/A</v>
      </c>
      <c r="F8" s="67" t="e">
        <f ca="1">IF(ISNA(D8),NA(),1)</f>
        <v>#N/A</v>
      </c>
      <c r="K8" s="67">
        <v>5</v>
      </c>
      <c r="L8" s="67">
        <f ca="1">MATCH(5,$AI$2:$AI$54,0)</f>
        <v>1</v>
      </c>
      <c r="M8" s="67">
        <f ca="1">IF(L8&gt;0,52,0)</f>
        <v>52</v>
      </c>
      <c r="N8" s="70">
        <f ca="1">IF(L8&gt;0,INDIRECT("Sigma"&amp;$M$11),"")</f>
        <v>0</v>
      </c>
      <c r="O8" s="70">
        <f ca="1">IF(M8&gt;0,INDIRECT("Mean"&amp;$M$11),"")</f>
        <v>0</v>
      </c>
      <c r="P8" s="67" t="str">
        <f ca="1">IF(N8&gt;0,INDIRECT("PercLower"&amp;$M$11),"")</f>
        <v/>
      </c>
      <c r="Q8" s="67" t="str">
        <f ca="1">IF(O8&gt;0,INDIRECT("PercUpper"&amp;$M$11),"")</f>
        <v/>
      </c>
      <c r="R8" s="67" t="str">
        <f ca="1">IF(O8&gt;0,INDIRECT("Emergency"&amp;$M$11),"")</f>
        <v/>
      </c>
      <c r="S8" s="5"/>
      <c r="AG8" s="67" t="e">
        <f t="shared" ca="1" si="12"/>
        <v>#VALUE!</v>
      </c>
      <c r="AH8" s="67">
        <v>7</v>
      </c>
      <c r="AI8" s="67">
        <f t="shared" ca="1" si="4"/>
        <v>5</v>
      </c>
      <c r="AJ8" s="39">
        <f t="shared" ca="1" si="5"/>
        <v>0</v>
      </c>
      <c r="AK8" s="39">
        <f t="shared" ca="1" si="6"/>
        <v>0</v>
      </c>
      <c r="AL8" s="39">
        <f t="shared" ca="1" si="7"/>
        <v>0</v>
      </c>
      <c r="AM8" s="39">
        <f t="shared" ca="1" si="8"/>
        <v>0</v>
      </c>
      <c r="AN8" s="39">
        <f t="shared" ca="1" si="9"/>
        <v>0</v>
      </c>
      <c r="AO8" s="39">
        <f t="shared" ca="1" si="0"/>
        <v>0</v>
      </c>
      <c r="AP8" s="39">
        <f t="shared" ca="1" si="1"/>
        <v>0</v>
      </c>
      <c r="AQ8" s="39">
        <f t="shared" ca="1" si="2"/>
        <v>0</v>
      </c>
      <c r="AR8" s="5" t="str">
        <f t="shared" ca="1" si="10"/>
        <v/>
      </c>
      <c r="AS8" s="5" t="str">
        <f t="shared" ca="1" si="3"/>
        <v/>
      </c>
      <c r="AT8" s="5" t="str">
        <f t="shared" ca="1" si="11"/>
        <v/>
      </c>
    </row>
    <row r="9" spans="1:46" x14ac:dyDescent="0.2">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-97</v>
      </c>
      <c r="S9" s="5"/>
      <c r="AG9" s="67" t="e">
        <f t="shared" ca="1" si="12"/>
        <v>#VALUE!</v>
      </c>
      <c r="AH9" s="67">
        <v>8</v>
      </c>
      <c r="AI9" s="67">
        <f t="shared" ca="1" si="4"/>
        <v>5</v>
      </c>
      <c r="AJ9" s="39">
        <f t="shared" ca="1" si="5"/>
        <v>0</v>
      </c>
      <c r="AK9" s="39">
        <f t="shared" ca="1" si="6"/>
        <v>0</v>
      </c>
      <c r="AL9" s="39">
        <f t="shared" ca="1" si="7"/>
        <v>0</v>
      </c>
      <c r="AM9" s="39">
        <f t="shared" ca="1" si="8"/>
        <v>0</v>
      </c>
      <c r="AN9" s="39">
        <f t="shared" ca="1" si="9"/>
        <v>0</v>
      </c>
      <c r="AO9" s="39">
        <f t="shared" ca="1" si="0"/>
        <v>0</v>
      </c>
      <c r="AP9" s="39">
        <f t="shared" ca="1" si="1"/>
        <v>0</v>
      </c>
      <c r="AQ9" s="39">
        <f t="shared" ca="1" si="2"/>
        <v>0</v>
      </c>
      <c r="AR9" s="5" t="str">
        <f t="shared" ca="1" si="10"/>
        <v/>
      </c>
      <c r="AS9" s="5" t="str">
        <f t="shared" ca="1" si="3"/>
        <v/>
      </c>
      <c r="AT9" s="5" t="str">
        <f t="shared" ca="1" si="11"/>
        <v/>
      </c>
    </row>
    <row r="10" spans="1:46" x14ac:dyDescent="0.2">
      <c r="B10" s="67" t="s">
        <v>124</v>
      </c>
      <c r="C10" s="35">
        <v>2</v>
      </c>
      <c r="D10" s="67" t="e">
        <f ca="1">IF(AND(G9&lt;=42,MaxRows-(G9+$C$4-1)&gt;10),C9+D9,NA())</f>
        <v>#N/A</v>
      </c>
      <c r="E10" s="67" t="e">
        <f ca="1">D10</f>
        <v>#N/A</v>
      </c>
      <c r="F10" s="67" t="e">
        <f ca="1">IF(ISNA(D10),NA(),1)</f>
        <v>#N/A</v>
      </c>
      <c r="L10" s="67" t="s">
        <v>160</v>
      </c>
      <c r="M10" s="67">
        <f ca="1">4-COUNTIF(M4:M7,0)</f>
        <v>1</v>
      </c>
      <c r="S10" s="5">
        <f ca="1">SUM(S4:S7)</f>
        <v>0</v>
      </c>
      <c r="AG10" s="67" t="e">
        <f t="shared" ca="1" si="12"/>
        <v>#VALUE!</v>
      </c>
      <c r="AH10" s="67">
        <v>9</v>
      </c>
      <c r="AI10" s="67">
        <f t="shared" ca="1" si="4"/>
        <v>5</v>
      </c>
      <c r="AJ10" s="39">
        <f t="shared" ca="1" si="5"/>
        <v>0</v>
      </c>
      <c r="AK10" s="39">
        <f t="shared" ca="1" si="6"/>
        <v>0</v>
      </c>
      <c r="AL10" s="39">
        <f t="shared" ca="1" si="7"/>
        <v>0</v>
      </c>
      <c r="AM10" s="39">
        <f t="shared" ca="1" si="8"/>
        <v>0</v>
      </c>
      <c r="AN10" s="39">
        <f t="shared" ca="1" si="9"/>
        <v>0</v>
      </c>
      <c r="AO10" s="39">
        <f t="shared" ca="1" si="0"/>
        <v>0</v>
      </c>
      <c r="AP10" s="39">
        <f t="shared" ca="1" si="1"/>
        <v>0</v>
      </c>
      <c r="AQ10" s="39">
        <f t="shared" ca="1" si="2"/>
        <v>0</v>
      </c>
      <c r="AR10" s="5" t="str">
        <f t="shared" ca="1" si="10"/>
        <v/>
      </c>
      <c r="AS10" s="5" t="str">
        <f t="shared" ca="1" si="3"/>
        <v/>
      </c>
      <c r="AT10" s="5" t="str">
        <f t="shared" ca="1" si="11"/>
        <v/>
      </c>
    </row>
    <row r="11" spans="1:46" x14ac:dyDescent="0.2">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-97</v>
      </c>
      <c r="M11" s="67">
        <f>IF(SPC_Type="1 Season",1,IF(AND(M10=1,I11&lt;52),1,IF('SPC Chart'!C19="",1,'SPC Chart'!C19)))</f>
        <v>1</v>
      </c>
      <c r="S11" s="5">
        <f ca="1">S10/I11</f>
        <v>0</v>
      </c>
      <c r="AG11" s="67" t="e">
        <f t="shared" ca="1" si="12"/>
        <v>#VALUE!</v>
      </c>
      <c r="AH11" s="67">
        <v>10</v>
      </c>
      <c r="AI11" s="67">
        <f t="shared" ca="1" si="4"/>
        <v>5</v>
      </c>
      <c r="AJ11" s="39">
        <f t="shared" ca="1" si="5"/>
        <v>0</v>
      </c>
      <c r="AK11" s="39">
        <f t="shared" ca="1" si="6"/>
        <v>0</v>
      </c>
      <c r="AL11" s="39">
        <f t="shared" ca="1" si="7"/>
        <v>0</v>
      </c>
      <c r="AM11" s="39">
        <f t="shared" ca="1" si="8"/>
        <v>0</v>
      </c>
      <c r="AN11" s="39">
        <f t="shared" ca="1" si="9"/>
        <v>0</v>
      </c>
      <c r="AO11" s="39">
        <f t="shared" ca="1" si="0"/>
        <v>0</v>
      </c>
      <c r="AP11" s="39">
        <f t="shared" ca="1" si="1"/>
        <v>0</v>
      </c>
      <c r="AQ11" s="39">
        <f t="shared" ca="1" si="2"/>
        <v>0</v>
      </c>
      <c r="AR11" s="5" t="str">
        <f t="shared" ca="1" si="10"/>
        <v/>
      </c>
      <c r="AS11" s="5" t="str">
        <f t="shared" ca="1" si="3"/>
        <v/>
      </c>
      <c r="AT11" s="5" t="str">
        <f t="shared" ca="1" si="11"/>
        <v/>
      </c>
    </row>
    <row r="12" spans="1:46" x14ac:dyDescent="0.2">
      <c r="S12" s="5"/>
      <c r="AG12" s="67" t="e">
        <f t="shared" ca="1" si="12"/>
        <v>#VALUE!</v>
      </c>
      <c r="AH12" s="67">
        <v>11</v>
      </c>
      <c r="AI12" s="67">
        <f t="shared" ca="1" si="4"/>
        <v>5</v>
      </c>
      <c r="AJ12" s="39">
        <f t="shared" ca="1" si="5"/>
        <v>0</v>
      </c>
      <c r="AK12" s="39">
        <f t="shared" ca="1" si="6"/>
        <v>0</v>
      </c>
      <c r="AL12" s="39">
        <f t="shared" ca="1" si="7"/>
        <v>0</v>
      </c>
      <c r="AM12" s="39">
        <f t="shared" ca="1" si="8"/>
        <v>0</v>
      </c>
      <c r="AN12" s="39">
        <f t="shared" ca="1" si="9"/>
        <v>0</v>
      </c>
      <c r="AO12" s="39">
        <f t="shared" ca="1" si="0"/>
        <v>0</v>
      </c>
      <c r="AP12" s="39">
        <f t="shared" ca="1" si="1"/>
        <v>0</v>
      </c>
      <c r="AQ12" s="39">
        <f t="shared" ca="1" si="2"/>
        <v>0</v>
      </c>
      <c r="AR12" s="5" t="str">
        <f t="shared" ca="1" si="10"/>
        <v/>
      </c>
      <c r="AS12" s="5" t="str">
        <f t="shared" ca="1" si="3"/>
        <v/>
      </c>
      <c r="AT12" s="5" t="str">
        <f t="shared" ca="1" si="11"/>
        <v/>
      </c>
    </row>
    <row r="13" spans="1:46" x14ac:dyDescent="0.2">
      <c r="Q13" s="67" t="s">
        <v>161</v>
      </c>
      <c r="AG13" s="67" t="e">
        <f t="shared" ca="1" si="12"/>
        <v>#VALUE!</v>
      </c>
      <c r="AH13" s="67">
        <v>12</v>
      </c>
      <c r="AI13" s="67">
        <f t="shared" ca="1" si="4"/>
        <v>5</v>
      </c>
      <c r="AJ13" s="39">
        <f t="shared" ca="1" si="5"/>
        <v>0</v>
      </c>
      <c r="AK13" s="39">
        <f t="shared" ca="1" si="6"/>
        <v>0</v>
      </c>
      <c r="AL13" s="39">
        <f t="shared" ca="1" si="7"/>
        <v>0</v>
      </c>
      <c r="AM13" s="39">
        <f t="shared" ca="1" si="8"/>
        <v>0</v>
      </c>
      <c r="AN13" s="39">
        <f t="shared" ca="1" si="9"/>
        <v>0</v>
      </c>
      <c r="AO13" s="39">
        <f t="shared" ca="1" si="0"/>
        <v>0</v>
      </c>
      <c r="AP13" s="39">
        <f t="shared" ca="1" si="1"/>
        <v>0</v>
      </c>
      <c r="AQ13" s="39">
        <f t="shared" ca="1" si="2"/>
        <v>0</v>
      </c>
      <c r="AR13" s="5" t="str">
        <f t="shared" ca="1" si="10"/>
        <v/>
      </c>
      <c r="AS13" s="5" t="str">
        <f t="shared" ca="1" si="3"/>
        <v/>
      </c>
      <c r="AT13" s="5" t="str">
        <f t="shared" ca="1" si="11"/>
        <v/>
      </c>
    </row>
    <row r="14" spans="1:46" x14ac:dyDescent="0.2">
      <c r="Q14" s="67" t="s">
        <v>171</v>
      </c>
      <c r="R14" s="67" t="s">
        <v>172</v>
      </c>
      <c r="T14" s="67" t="s">
        <v>173</v>
      </c>
      <c r="V14" s="67" t="s">
        <v>180</v>
      </c>
      <c r="X14" s="67" t="s">
        <v>179</v>
      </c>
      <c r="Z14" s="67" t="s">
        <v>174</v>
      </c>
      <c r="AC14" s="67" t="s">
        <v>162</v>
      </c>
      <c r="AG14" s="67" t="e">
        <f t="shared" ca="1" si="12"/>
        <v>#VALUE!</v>
      </c>
      <c r="AH14" s="67">
        <v>13</v>
      </c>
      <c r="AI14" s="67">
        <f t="shared" ca="1" si="4"/>
        <v>5</v>
      </c>
      <c r="AJ14" s="39">
        <f t="shared" ca="1" si="5"/>
        <v>0</v>
      </c>
      <c r="AK14" s="39">
        <f t="shared" ca="1" si="6"/>
        <v>0</v>
      </c>
      <c r="AL14" s="39">
        <f t="shared" ca="1" si="7"/>
        <v>0</v>
      </c>
      <c r="AM14" s="39">
        <f t="shared" ca="1" si="8"/>
        <v>0</v>
      </c>
      <c r="AN14" s="39">
        <f t="shared" ca="1" si="9"/>
        <v>0</v>
      </c>
      <c r="AO14" s="39">
        <f t="shared" ca="1" si="0"/>
        <v>0</v>
      </c>
      <c r="AP14" s="39">
        <f t="shared" ca="1" si="1"/>
        <v>0</v>
      </c>
      <c r="AQ14" s="39">
        <f t="shared" ca="1" si="2"/>
        <v>0</v>
      </c>
      <c r="AR14" s="5" t="str">
        <f t="shared" ca="1" si="10"/>
        <v/>
      </c>
      <c r="AS14" s="5" t="str">
        <f t="shared" ca="1" si="3"/>
        <v/>
      </c>
      <c r="AT14" s="5" t="str">
        <f t="shared" ca="1" si="11"/>
        <v/>
      </c>
    </row>
    <row r="15" spans="1:46" x14ac:dyDescent="0.2">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t="e">
        <f t="shared" ca="1" si="12"/>
        <v>#VALUE!</v>
      </c>
      <c r="AH15" s="67">
        <v>14</v>
      </c>
      <c r="AI15" s="67">
        <f t="shared" ca="1" si="4"/>
        <v>5</v>
      </c>
      <c r="AJ15" s="39">
        <f t="shared" ca="1" si="5"/>
        <v>0</v>
      </c>
      <c r="AK15" s="39">
        <f t="shared" ca="1" si="6"/>
        <v>0</v>
      </c>
      <c r="AL15" s="39">
        <f t="shared" ca="1" si="7"/>
        <v>0</v>
      </c>
      <c r="AM15" s="39">
        <f t="shared" ca="1" si="8"/>
        <v>0</v>
      </c>
      <c r="AN15" s="39">
        <f t="shared" ca="1" si="9"/>
        <v>0</v>
      </c>
      <c r="AO15" s="39">
        <f t="shared" ca="1" si="0"/>
        <v>0</v>
      </c>
      <c r="AP15" s="39">
        <f t="shared" ca="1" si="1"/>
        <v>0</v>
      </c>
      <c r="AQ15" s="39">
        <f t="shared" ca="1" si="2"/>
        <v>0</v>
      </c>
      <c r="AR15" s="5" t="str">
        <f t="shared" ca="1" si="10"/>
        <v/>
      </c>
      <c r="AS15" s="5" t="str">
        <f t="shared" ca="1" si="3"/>
        <v/>
      </c>
      <c r="AT15" s="5" t="str">
        <f t="shared" ca="1" si="11"/>
        <v/>
      </c>
    </row>
    <row r="16" spans="1:46" x14ac:dyDescent="0.2">
      <c r="A16" s="67">
        <f>Demand!C13</f>
        <v>1</v>
      </c>
      <c r="B16" s="67">
        <v>1</v>
      </c>
      <c r="C16" s="5">
        <f ca="1">'Demand background (hide)'!Y4</f>
        <v>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t="e">
        <f ca="1">VLOOKUP(A16,$AG$2:$AI$54,3,0)</f>
        <v>#N/A</v>
      </c>
      <c r="J16" s="5" t="e">
        <f t="shared" ref="J16:P16" ca="1" si="13">VLOOKUP($A16,$AG$2:$AQ$54,COLUMN(E$1),0)</f>
        <v>#N/A</v>
      </c>
      <c r="K16" s="5" t="e">
        <f t="shared" ca="1" si="13"/>
        <v>#N/A</v>
      </c>
      <c r="L16" s="5" t="e">
        <f t="shared" ca="1" si="13"/>
        <v>#N/A</v>
      </c>
      <c r="M16" s="5" t="e">
        <f t="shared" ca="1" si="13"/>
        <v>#N/A</v>
      </c>
      <c r="N16" s="5" t="e">
        <f t="shared" ca="1" si="13"/>
        <v>#N/A</v>
      </c>
      <c r="O16" s="5" t="e">
        <f t="shared" ca="1" si="13"/>
        <v>#N/A</v>
      </c>
      <c r="P16" s="5" t="e">
        <f t="shared" ca="1" si="13"/>
        <v>#N/A</v>
      </c>
      <c r="Q16" s="5" t="e">
        <f ca="1">IF(ISNA(H16)=TRUE,IF(OR(C16&gt;P16,C16&lt;J16),C16,NA()),NA())</f>
        <v>#N/A</v>
      </c>
      <c r="V16" s="5" t="e">
        <f t="shared" ref="V16:V79" ca="1" si="14">IF(C16&lt;M16,-1,IF(C16&gt;M16,1,0))</f>
        <v>#N/A</v>
      </c>
      <c r="W16" s="5" t="e">
        <f ca="1">IF(ISNA(H16)=TRUE,IF(ABS(SUM(V16:V24))=9,C16,NA()),NA())</f>
        <v>#N/A</v>
      </c>
      <c r="AA16" s="5" t="str">
        <f>IF(Setup!$I$15="Yes",'Demand background (hide)'!AJ4+'SPC background (hide)'!C16,"")</f>
        <v/>
      </c>
      <c r="AC16" s="5" t="e">
        <f ca="1">VLOOKUP($A16,$AG$2:$AS$54,12,0)</f>
        <v>#N/A</v>
      </c>
      <c r="AD16" s="5" t="e">
        <f ca="1">VLOOKUP($A16,$AG$2:$AS$54,13,0)</f>
        <v>#N/A</v>
      </c>
      <c r="AG16" s="67" t="e">
        <f t="shared" ca="1" si="12"/>
        <v>#VALUE!</v>
      </c>
      <c r="AH16" s="67">
        <v>15</v>
      </c>
      <c r="AI16" s="67">
        <f t="shared" ca="1" si="4"/>
        <v>5</v>
      </c>
      <c r="AJ16" s="39">
        <f t="shared" ca="1" si="5"/>
        <v>0</v>
      </c>
      <c r="AK16" s="39">
        <f t="shared" ca="1" si="6"/>
        <v>0</v>
      </c>
      <c r="AL16" s="39">
        <f t="shared" ca="1" si="7"/>
        <v>0</v>
      </c>
      <c r="AM16" s="39">
        <f t="shared" ca="1" si="8"/>
        <v>0</v>
      </c>
      <c r="AN16" s="39">
        <f t="shared" ca="1" si="9"/>
        <v>0</v>
      </c>
      <c r="AO16" s="39">
        <f t="shared" ca="1" si="0"/>
        <v>0</v>
      </c>
      <c r="AP16" s="39">
        <f t="shared" ca="1" si="1"/>
        <v>0</v>
      </c>
      <c r="AQ16" s="39">
        <f t="shared" ca="1" si="2"/>
        <v>0</v>
      </c>
      <c r="AR16" s="5" t="str">
        <f t="shared" ca="1" si="10"/>
        <v/>
      </c>
      <c r="AS16" s="5" t="str">
        <f t="shared" ca="1" si="3"/>
        <v/>
      </c>
      <c r="AT16" s="5" t="str">
        <f t="shared" ca="1" si="11"/>
        <v/>
      </c>
    </row>
    <row r="17" spans="1:46" x14ac:dyDescent="0.2">
      <c r="A17" s="67" t="str">
        <f ca="1">Demand!C14</f>
        <v/>
      </c>
      <c r="B17" s="67">
        <v>2</v>
      </c>
      <c r="C17" s="5">
        <f ca="1">'Demand background (hide)'!Y5</f>
        <v>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5</v>
      </c>
      <c r="J17" s="5">
        <f t="shared" ref="J17:J80" ca="1" si="20">VLOOKUP($A17,$AG$2:$AQ$54,COLUMN(E$1),0)</f>
        <v>0</v>
      </c>
      <c r="K17" s="5">
        <f t="shared" ref="K17:K80" ca="1" si="21">VLOOKUP($A17,$AG$2:$AQ$54,COLUMN(F$1),0)</f>
        <v>0</v>
      </c>
      <c r="L17" s="5">
        <f t="shared" ref="L17:L80" ca="1" si="22">VLOOKUP($A17,$AG$2:$AQ$54,COLUMN(G$1),0)</f>
        <v>0</v>
      </c>
      <c r="M17" s="5">
        <f t="shared" ref="M17:M80" ca="1" si="23">VLOOKUP($A17,$AG$2:$AQ$54,COLUMN(H$1),0)</f>
        <v>0</v>
      </c>
      <c r="N17" s="5">
        <f t="shared" ref="N17:N80" ca="1" si="24">VLOOKUP($A17,$AG$2:$AQ$54,COLUMN(I$1),0)</f>
        <v>0</v>
      </c>
      <c r="O17" s="5">
        <f t="shared" ref="O17:O80" ca="1" si="25">VLOOKUP($A17,$AG$2:$AQ$54,COLUMN(J$1),0)</f>
        <v>0</v>
      </c>
      <c r="P17" s="5">
        <f t="shared" ref="P17:P80" ca="1" si="26">VLOOKUP($A17,$AG$2:$AQ$54,COLUMN(K$1),0)</f>
        <v>0</v>
      </c>
      <c r="Q17" s="5" t="e">
        <f t="shared" ref="Q17:Q80" ca="1" si="27">IF(ISNA(H17)=TRUE,IF(OR(C17&gt;P17,C17&lt;J17),C17,NA()),NA())</f>
        <v>#N/A</v>
      </c>
      <c r="R17" s="5">
        <f ca="1">IF(C17&gt;O17,2,IF(C17&lt;K17,-2,IF(C17&gt;M17,1,IF(C17&lt;M17,-1,0))))</f>
        <v>0</v>
      </c>
      <c r="S17" s="67" t="e">
        <f ca="1">IF(ISNA(H17),IF(ABS(SUM(R17:R19))&gt;=5,C17,NA()),NA())</f>
        <v>#N/A</v>
      </c>
      <c r="T17" s="67">
        <f ca="1">IF(C17&gt;N17,2,IF(C17&lt;L17,-2,IF(C17&gt;M17,1,IF(C17&lt;M17,-1,0))))</f>
        <v>0</v>
      </c>
      <c r="U17" s="67" t="e">
        <f ca="1">IF(ISNA(H17)=TRUE,IF(ABS(SUM(T17:T21))&gt;=9,C17,NA()),NA())</f>
        <v>#N/A</v>
      </c>
      <c r="V17" s="5">
        <f t="shared" ca="1" si="14"/>
        <v>0</v>
      </c>
      <c r="W17" s="5" t="e">
        <f t="shared" ref="W17:W80" ca="1" si="28">IF(ISNA(H17)=TRUE,IF(ABS(SUM(V17:V25))=9,C17,NA()),NA())</f>
        <v>#N/A</v>
      </c>
      <c r="X17" s="67">
        <f t="shared" ref="X17:X80" ca="1" si="29">IF(C17&gt;C16,1,IF(C17&lt;C16,-1,0))</f>
        <v>0</v>
      </c>
      <c r="Y17" s="67" t="e">
        <f ca="1">IF(ISNA(H17)=TRUE,IF(ABS(SUM(X17:X22))=6,C17,NA()),NA())</f>
        <v>#N/A</v>
      </c>
      <c r="Z17" s="67" t="e">
        <f ca="1">IF(ISNA(H17)=TRUE,IF(AND(ABS(SUM(T17:T24))=8,SUM(T17:T24)&lt;ABS(SUM(T17:T24))),C17,NA()),NA())</f>
        <v>#N/A</v>
      </c>
      <c r="AA17" s="5" t="str">
        <f>IF(Setup!$I$15="Yes",'Demand background (hide)'!AJ5+'SPC background (hide)'!C17,"")</f>
        <v/>
      </c>
      <c r="AC17" s="5" t="str">
        <f t="shared" ref="AC17:AC80" ca="1" si="30">VLOOKUP($A17,$AG$2:$AS$54,12,0)</f>
        <v/>
      </c>
      <c r="AD17" s="5" t="str">
        <f t="shared" ref="AD17:AD80" ca="1" si="31">VLOOKUP($A17,$AG$2:$AS$54,13,0)</f>
        <v/>
      </c>
      <c r="AG17" s="67" t="e">
        <f t="shared" ca="1" si="12"/>
        <v>#VALUE!</v>
      </c>
      <c r="AH17" s="67">
        <v>16</v>
      </c>
      <c r="AI17" s="67">
        <f t="shared" ca="1" si="4"/>
        <v>5</v>
      </c>
      <c r="AJ17" s="39">
        <f t="shared" ca="1" si="5"/>
        <v>0</v>
      </c>
      <c r="AK17" s="39">
        <f t="shared" ca="1" si="6"/>
        <v>0</v>
      </c>
      <c r="AL17" s="39">
        <f t="shared" ca="1" si="7"/>
        <v>0</v>
      </c>
      <c r="AM17" s="39">
        <f t="shared" ca="1" si="8"/>
        <v>0</v>
      </c>
      <c r="AN17" s="39">
        <f t="shared" ca="1" si="9"/>
        <v>0</v>
      </c>
      <c r="AO17" s="39">
        <f t="shared" ca="1" si="0"/>
        <v>0</v>
      </c>
      <c r="AP17" s="39">
        <f t="shared" ca="1" si="1"/>
        <v>0</v>
      </c>
      <c r="AQ17" s="39">
        <f t="shared" ca="1" si="2"/>
        <v>0</v>
      </c>
      <c r="AR17" s="5" t="str">
        <f t="shared" ca="1" si="10"/>
        <v/>
      </c>
      <c r="AS17" s="5" t="str">
        <f t="shared" ca="1" si="3"/>
        <v/>
      </c>
      <c r="AT17" s="5" t="str">
        <f t="shared" ca="1" si="11"/>
        <v/>
      </c>
    </row>
    <row r="18" spans="1:46" x14ac:dyDescent="0.2">
      <c r="A18" s="67" t="str">
        <f ca="1">Demand!C15</f>
        <v/>
      </c>
      <c r="B18" s="67">
        <v>3</v>
      </c>
      <c r="C18" s="5">
        <f ca="1">'Demand background (hide)'!Y6</f>
        <v>0</v>
      </c>
      <c r="D18" s="67">
        <f t="shared" si="15"/>
        <v>0</v>
      </c>
      <c r="E18" s="67" t="e">
        <f t="shared" ca="1" si="16"/>
        <v>#N/A</v>
      </c>
      <c r="F18" s="67" t="e">
        <f t="shared" ca="1" si="17"/>
        <v>#N/A</v>
      </c>
      <c r="G18" s="67" t="e">
        <f t="shared" ca="1" si="18"/>
        <v>#N/A</v>
      </c>
      <c r="H18" s="67" t="e">
        <f>IF('Demand background (hide)'!AN6&lt;&gt;"",'SPC background (hide)'!C18,NA())</f>
        <v>#N/A</v>
      </c>
      <c r="I18" s="67">
        <f t="shared" ca="1" si="19"/>
        <v>5</v>
      </c>
      <c r="J18" s="5">
        <f t="shared" ca="1" si="20"/>
        <v>0</v>
      </c>
      <c r="K18" s="5">
        <f t="shared" ca="1" si="21"/>
        <v>0</v>
      </c>
      <c r="L18" s="5">
        <f t="shared" ca="1" si="22"/>
        <v>0</v>
      </c>
      <c r="M18" s="5">
        <f t="shared" ca="1" si="23"/>
        <v>0</v>
      </c>
      <c r="N18" s="5">
        <f t="shared" ca="1" si="24"/>
        <v>0</v>
      </c>
      <c r="O18" s="5">
        <f t="shared" ca="1" si="25"/>
        <v>0</v>
      </c>
      <c r="P18" s="5">
        <f t="shared" ca="1" si="26"/>
        <v>0</v>
      </c>
      <c r="Q18" s="5" t="e">
        <f t="shared" ca="1" si="27"/>
        <v>#N/A</v>
      </c>
      <c r="R18" s="5">
        <f t="shared" ref="R18:R81" ca="1" si="32">IF(C18&gt;O18,2,IF(C18&lt;K18,-2,IF(C18&gt;M18,1,IF(C18&lt;M18,-1,0))))</f>
        <v>0</v>
      </c>
      <c r="S18" s="67" t="e">
        <f t="shared" ref="S18:S81" ca="1" si="33">IF(ISNA(H18),IF(ABS(SUM(R18:R20))&gt;=5,C18,NA()),NA())</f>
        <v>#N/A</v>
      </c>
      <c r="T18" s="67">
        <f t="shared" ref="T18:T81" ca="1" si="34">IF(C18&gt;N18,2,IF(C18&lt;L18,-2,IF(C18&gt;M18,1,IF(C18&lt;M18,-1,0))))</f>
        <v>0</v>
      </c>
      <c r="U18" s="67" t="e">
        <f t="shared" ref="U18:U81" ca="1" si="35">IF(ISNA(H18)=TRUE,IF(ABS(SUM(T18:T22))&gt;=9,C18,NA()),NA())</f>
        <v>#N/A</v>
      </c>
      <c r="V18" s="5">
        <f t="shared" ca="1" si="14"/>
        <v>0</v>
      </c>
      <c r="W18" s="5" t="e">
        <f t="shared" ca="1" si="28"/>
        <v>#N/A</v>
      </c>
      <c r="X18" s="67">
        <f t="shared" ca="1" si="29"/>
        <v>0</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t="str">
        <f t="shared" ca="1" si="30"/>
        <v/>
      </c>
      <c r="AD18" s="5" t="str">
        <f t="shared" ca="1" si="31"/>
        <v/>
      </c>
      <c r="AG18" s="67" t="e">
        <f t="shared" ca="1" si="12"/>
        <v>#VALUE!</v>
      </c>
      <c r="AH18" s="67">
        <v>17</v>
      </c>
      <c r="AI18" s="67">
        <f t="shared" ca="1" si="4"/>
        <v>5</v>
      </c>
      <c r="AJ18" s="39">
        <f t="shared" ca="1" si="5"/>
        <v>0</v>
      </c>
      <c r="AK18" s="39">
        <f t="shared" ca="1" si="6"/>
        <v>0</v>
      </c>
      <c r="AL18" s="39">
        <f t="shared" ca="1" si="7"/>
        <v>0</v>
      </c>
      <c r="AM18" s="39">
        <f t="shared" ca="1" si="8"/>
        <v>0</v>
      </c>
      <c r="AN18" s="39">
        <f t="shared" ca="1" si="9"/>
        <v>0</v>
      </c>
      <c r="AO18" s="39">
        <f t="shared" ca="1" si="0"/>
        <v>0</v>
      </c>
      <c r="AP18" s="39">
        <f t="shared" ca="1" si="1"/>
        <v>0</v>
      </c>
      <c r="AQ18" s="39">
        <f t="shared" ca="1" si="2"/>
        <v>0</v>
      </c>
      <c r="AR18" s="5" t="str">
        <f t="shared" ca="1" si="10"/>
        <v/>
      </c>
      <c r="AS18" s="5" t="str">
        <f t="shared" ca="1" si="3"/>
        <v/>
      </c>
      <c r="AT18" s="5" t="str">
        <f t="shared" ca="1" si="11"/>
        <v/>
      </c>
    </row>
    <row r="19" spans="1:46" x14ac:dyDescent="0.2">
      <c r="A19" s="67" t="str">
        <f ca="1">Demand!C16</f>
        <v/>
      </c>
      <c r="B19" s="67">
        <v>4</v>
      </c>
      <c r="C19" s="5">
        <f ca="1">'Demand background (hide)'!Y7</f>
        <v>0</v>
      </c>
      <c r="D19" s="67">
        <f t="shared" si="15"/>
        <v>0</v>
      </c>
      <c r="E19" s="67" t="e">
        <f t="shared" ca="1" si="16"/>
        <v>#N/A</v>
      </c>
      <c r="F19" s="67" t="e">
        <f t="shared" ca="1" si="17"/>
        <v>#N/A</v>
      </c>
      <c r="G19" s="67" t="e">
        <f t="shared" ca="1" si="18"/>
        <v>#N/A</v>
      </c>
      <c r="H19" s="67" t="e">
        <f>IF('Demand background (hide)'!AN7&lt;&gt;"",'SPC background (hide)'!C19,NA())</f>
        <v>#N/A</v>
      </c>
      <c r="I19" s="67">
        <f t="shared" ca="1" si="19"/>
        <v>5</v>
      </c>
      <c r="J19" s="5">
        <f t="shared" ca="1" si="20"/>
        <v>0</v>
      </c>
      <c r="K19" s="5">
        <f t="shared" ca="1" si="21"/>
        <v>0</v>
      </c>
      <c r="L19" s="5">
        <f t="shared" ca="1" si="22"/>
        <v>0</v>
      </c>
      <c r="M19" s="5">
        <f t="shared" ca="1" si="23"/>
        <v>0</v>
      </c>
      <c r="N19" s="5">
        <f t="shared" ca="1" si="24"/>
        <v>0</v>
      </c>
      <c r="O19" s="5">
        <f t="shared" ca="1" si="25"/>
        <v>0</v>
      </c>
      <c r="P19" s="5">
        <f t="shared" ca="1" si="26"/>
        <v>0</v>
      </c>
      <c r="Q19" s="5" t="e">
        <f t="shared" ca="1" si="27"/>
        <v>#N/A</v>
      </c>
      <c r="R19" s="5">
        <f t="shared" ca="1" si="32"/>
        <v>0</v>
      </c>
      <c r="S19" s="67" t="e">
        <f t="shared" ca="1" si="33"/>
        <v>#N/A</v>
      </c>
      <c r="T19" s="67">
        <f t="shared" ca="1" si="34"/>
        <v>0</v>
      </c>
      <c r="U19" s="67" t="e">
        <f t="shared" ca="1" si="35"/>
        <v>#N/A</v>
      </c>
      <c r="V19" s="5">
        <f t="shared" ca="1" si="14"/>
        <v>0</v>
      </c>
      <c r="W19" s="5" t="e">
        <f t="shared" ca="1" si="28"/>
        <v>#N/A</v>
      </c>
      <c r="X19" s="67">
        <f t="shared" ca="1" si="29"/>
        <v>0</v>
      </c>
      <c r="Y19" s="67" t="e">
        <f t="shared" ca="1" si="36"/>
        <v>#N/A</v>
      </c>
      <c r="Z19" s="67" t="e">
        <f t="shared" ca="1" si="37"/>
        <v>#N/A</v>
      </c>
      <c r="AA19" s="5" t="str">
        <f>IF(Setup!$I$15="Yes",'Demand background (hide)'!AJ7+'SPC background (hide)'!C19,"")</f>
        <v/>
      </c>
      <c r="AC19" s="5" t="str">
        <f t="shared" ca="1" si="30"/>
        <v/>
      </c>
      <c r="AD19" s="5" t="str">
        <f t="shared" ca="1" si="31"/>
        <v/>
      </c>
      <c r="AG19" s="67" t="e">
        <f t="shared" ca="1" si="12"/>
        <v>#VALUE!</v>
      </c>
      <c r="AH19" s="67">
        <v>18</v>
      </c>
      <c r="AI19" s="67">
        <f t="shared" ca="1" si="4"/>
        <v>5</v>
      </c>
      <c r="AJ19" s="39">
        <f t="shared" ca="1" si="5"/>
        <v>0</v>
      </c>
      <c r="AK19" s="39">
        <f t="shared" ca="1" si="6"/>
        <v>0</v>
      </c>
      <c r="AL19" s="39">
        <f t="shared" ca="1" si="7"/>
        <v>0</v>
      </c>
      <c r="AM19" s="39">
        <f t="shared" ca="1" si="8"/>
        <v>0</v>
      </c>
      <c r="AN19" s="39">
        <f t="shared" ca="1" si="9"/>
        <v>0</v>
      </c>
      <c r="AO19" s="39">
        <f t="shared" ca="1" si="0"/>
        <v>0</v>
      </c>
      <c r="AP19" s="39">
        <f t="shared" ca="1" si="1"/>
        <v>0</v>
      </c>
      <c r="AQ19" s="39">
        <f t="shared" ca="1" si="2"/>
        <v>0</v>
      </c>
      <c r="AR19" s="5" t="str">
        <f t="shared" ca="1" si="10"/>
        <v/>
      </c>
      <c r="AS19" s="5" t="str">
        <f t="shared" ca="1" si="3"/>
        <v/>
      </c>
      <c r="AT19" s="5" t="str">
        <f t="shared" ca="1" si="11"/>
        <v/>
      </c>
    </row>
    <row r="20" spans="1:46" x14ac:dyDescent="0.2">
      <c r="A20" s="67" t="str">
        <f ca="1">Demand!C17</f>
        <v/>
      </c>
      <c r="B20" s="67">
        <v>5</v>
      </c>
      <c r="C20" s="5">
        <f ca="1">'Demand background (hide)'!Y8</f>
        <v>0</v>
      </c>
      <c r="D20" s="67">
        <f t="shared" si="15"/>
        <v>0</v>
      </c>
      <c r="E20" s="67" t="e">
        <f t="shared" ca="1" si="16"/>
        <v>#N/A</v>
      </c>
      <c r="F20" s="67" t="e">
        <f t="shared" ca="1" si="17"/>
        <v>#N/A</v>
      </c>
      <c r="G20" s="67" t="e">
        <f t="shared" ca="1" si="18"/>
        <v>#N/A</v>
      </c>
      <c r="H20" s="67" t="e">
        <f>IF('Demand background (hide)'!AN8&lt;&gt;"",'SPC background (hide)'!C20,NA())</f>
        <v>#N/A</v>
      </c>
      <c r="I20" s="67">
        <f t="shared" ca="1" si="19"/>
        <v>5</v>
      </c>
      <c r="J20" s="5">
        <f t="shared" ca="1" si="20"/>
        <v>0</v>
      </c>
      <c r="K20" s="5">
        <f t="shared" ca="1" si="21"/>
        <v>0</v>
      </c>
      <c r="L20" s="5">
        <f t="shared" ca="1" si="22"/>
        <v>0</v>
      </c>
      <c r="M20" s="5">
        <f t="shared" ca="1" si="23"/>
        <v>0</v>
      </c>
      <c r="N20" s="5">
        <f t="shared" ca="1" si="24"/>
        <v>0</v>
      </c>
      <c r="O20" s="5">
        <f t="shared" ca="1" si="25"/>
        <v>0</v>
      </c>
      <c r="P20" s="5">
        <f t="shared" ca="1" si="26"/>
        <v>0</v>
      </c>
      <c r="Q20" s="5" t="e">
        <f t="shared" ca="1" si="27"/>
        <v>#N/A</v>
      </c>
      <c r="R20" s="5">
        <f t="shared" ca="1" si="32"/>
        <v>0</v>
      </c>
      <c r="S20" s="67" t="e">
        <f t="shared" ca="1" si="33"/>
        <v>#N/A</v>
      </c>
      <c r="T20" s="67">
        <f t="shared" ca="1" si="34"/>
        <v>0</v>
      </c>
      <c r="U20" s="67" t="e">
        <f t="shared" ca="1" si="35"/>
        <v>#N/A</v>
      </c>
      <c r="V20" s="5">
        <f t="shared" ca="1" si="14"/>
        <v>0</v>
      </c>
      <c r="W20" s="5" t="e">
        <f t="shared" ca="1" si="28"/>
        <v>#N/A</v>
      </c>
      <c r="X20" s="67">
        <f t="shared" ca="1" si="29"/>
        <v>0</v>
      </c>
      <c r="Y20" s="67" t="e">
        <f t="shared" ca="1" si="36"/>
        <v>#N/A</v>
      </c>
      <c r="Z20" s="67" t="e">
        <f t="shared" ca="1" si="37"/>
        <v>#N/A</v>
      </c>
      <c r="AA20" s="5" t="str">
        <f>IF(Setup!$I$15="Yes",'Demand background (hide)'!AJ8+'SPC background (hide)'!C20,"")</f>
        <v/>
      </c>
      <c r="AC20" s="5" t="str">
        <f t="shared" ca="1" si="30"/>
        <v/>
      </c>
      <c r="AD20" s="5" t="str">
        <f t="shared" ca="1" si="31"/>
        <v/>
      </c>
      <c r="AG20" s="67" t="e">
        <f t="shared" ca="1" si="12"/>
        <v>#VALUE!</v>
      </c>
      <c r="AH20" s="67">
        <v>19</v>
      </c>
      <c r="AI20" s="67">
        <f t="shared" ca="1" si="4"/>
        <v>5</v>
      </c>
      <c r="AJ20" s="39">
        <f t="shared" ca="1" si="5"/>
        <v>0</v>
      </c>
      <c r="AK20" s="39">
        <f t="shared" ca="1" si="6"/>
        <v>0</v>
      </c>
      <c r="AL20" s="39">
        <f t="shared" ca="1" si="7"/>
        <v>0</v>
      </c>
      <c r="AM20" s="39">
        <f t="shared" ca="1" si="8"/>
        <v>0</v>
      </c>
      <c r="AN20" s="39">
        <f t="shared" ca="1" si="9"/>
        <v>0</v>
      </c>
      <c r="AO20" s="39">
        <f t="shared" ca="1" si="0"/>
        <v>0</v>
      </c>
      <c r="AP20" s="39">
        <f t="shared" ca="1" si="1"/>
        <v>0</v>
      </c>
      <c r="AQ20" s="39">
        <f t="shared" ca="1" si="2"/>
        <v>0</v>
      </c>
      <c r="AR20" s="5" t="str">
        <f t="shared" ca="1" si="10"/>
        <v/>
      </c>
      <c r="AS20" s="5" t="str">
        <f t="shared" ca="1" si="3"/>
        <v/>
      </c>
      <c r="AT20" s="5" t="str">
        <f t="shared" ca="1" si="11"/>
        <v/>
      </c>
    </row>
    <row r="21" spans="1:46" x14ac:dyDescent="0.2">
      <c r="A21" s="67" t="str">
        <f ca="1">Demand!C18</f>
        <v/>
      </c>
      <c r="B21" s="67">
        <v>6</v>
      </c>
      <c r="C21" s="5">
        <f ca="1">'Demand background (hide)'!Y9</f>
        <v>0</v>
      </c>
      <c r="D21" s="67">
        <f t="shared" si="15"/>
        <v>0</v>
      </c>
      <c r="E21" s="67" t="e">
        <f t="shared" ca="1" si="16"/>
        <v>#N/A</v>
      </c>
      <c r="F21" s="67" t="e">
        <f t="shared" ca="1" si="17"/>
        <v>#N/A</v>
      </c>
      <c r="G21" s="67" t="e">
        <f t="shared" ca="1" si="18"/>
        <v>#N/A</v>
      </c>
      <c r="H21" s="67" t="e">
        <f>IF('Demand background (hide)'!AN9&lt;&gt;"",'SPC background (hide)'!C21,NA())</f>
        <v>#N/A</v>
      </c>
      <c r="I21" s="67">
        <f t="shared" ca="1" si="19"/>
        <v>5</v>
      </c>
      <c r="J21" s="5">
        <f t="shared" ca="1" si="20"/>
        <v>0</v>
      </c>
      <c r="K21" s="5">
        <f t="shared" ca="1" si="21"/>
        <v>0</v>
      </c>
      <c r="L21" s="5">
        <f t="shared" ca="1" si="22"/>
        <v>0</v>
      </c>
      <c r="M21" s="5">
        <f t="shared" ca="1" si="23"/>
        <v>0</v>
      </c>
      <c r="N21" s="5">
        <f t="shared" ca="1" si="24"/>
        <v>0</v>
      </c>
      <c r="O21" s="5">
        <f t="shared" ca="1" si="25"/>
        <v>0</v>
      </c>
      <c r="P21" s="5">
        <f t="shared" ca="1" si="26"/>
        <v>0</v>
      </c>
      <c r="Q21" s="5" t="e">
        <f t="shared" ca="1" si="27"/>
        <v>#N/A</v>
      </c>
      <c r="R21" s="5">
        <f t="shared" ca="1" si="32"/>
        <v>0</v>
      </c>
      <c r="S21" s="67" t="e">
        <f t="shared" ca="1" si="33"/>
        <v>#N/A</v>
      </c>
      <c r="T21" s="67">
        <f t="shared" ca="1" si="34"/>
        <v>0</v>
      </c>
      <c r="U21" s="67" t="e">
        <f t="shared" ca="1" si="35"/>
        <v>#N/A</v>
      </c>
      <c r="V21" s="5">
        <f t="shared" ca="1" si="14"/>
        <v>0</v>
      </c>
      <c r="W21" s="5" t="e">
        <f t="shared" ca="1" si="28"/>
        <v>#N/A</v>
      </c>
      <c r="X21" s="67">
        <f t="shared" ca="1" si="29"/>
        <v>0</v>
      </c>
      <c r="Y21" s="67" t="e">
        <f t="shared" ca="1" si="36"/>
        <v>#N/A</v>
      </c>
      <c r="Z21" s="67" t="e">
        <f t="shared" ca="1" si="37"/>
        <v>#N/A</v>
      </c>
      <c r="AA21" s="5" t="str">
        <f>IF(Setup!$I$15="Yes",'Demand background (hide)'!AJ9+'SPC background (hide)'!C21,"")</f>
        <v/>
      </c>
      <c r="AC21" s="5" t="str">
        <f t="shared" ca="1" si="30"/>
        <v/>
      </c>
      <c r="AD21" s="5" t="str">
        <f t="shared" ca="1" si="31"/>
        <v/>
      </c>
      <c r="AG21" s="67" t="e">
        <f t="shared" ca="1" si="12"/>
        <v>#VALUE!</v>
      </c>
      <c r="AH21" s="67">
        <v>20</v>
      </c>
      <c r="AI21" s="67">
        <f t="shared" ca="1" si="4"/>
        <v>5</v>
      </c>
      <c r="AJ21" s="39">
        <f t="shared" ca="1" si="5"/>
        <v>0</v>
      </c>
      <c r="AK21" s="39">
        <f t="shared" ca="1" si="6"/>
        <v>0</v>
      </c>
      <c r="AL21" s="39">
        <f t="shared" ca="1" si="7"/>
        <v>0</v>
      </c>
      <c r="AM21" s="39">
        <f t="shared" ca="1" si="8"/>
        <v>0</v>
      </c>
      <c r="AN21" s="39">
        <f t="shared" ca="1" si="9"/>
        <v>0</v>
      </c>
      <c r="AO21" s="39">
        <f t="shared" ca="1" si="0"/>
        <v>0</v>
      </c>
      <c r="AP21" s="39">
        <f t="shared" ca="1" si="1"/>
        <v>0</v>
      </c>
      <c r="AQ21" s="39">
        <f t="shared" ca="1" si="2"/>
        <v>0</v>
      </c>
      <c r="AR21" s="5" t="str">
        <f t="shared" ca="1" si="10"/>
        <v/>
      </c>
      <c r="AS21" s="5" t="str">
        <f t="shared" ca="1" si="3"/>
        <v/>
      </c>
      <c r="AT21" s="5" t="str">
        <f t="shared" ca="1" si="11"/>
        <v/>
      </c>
    </row>
    <row r="22" spans="1:46" x14ac:dyDescent="0.2">
      <c r="A22" s="67" t="str">
        <f ca="1">Demand!C19</f>
        <v/>
      </c>
      <c r="B22" s="67">
        <v>7</v>
      </c>
      <c r="C22" s="5">
        <f ca="1">'Demand background (hide)'!Y10</f>
        <v>0</v>
      </c>
      <c r="D22" s="67">
        <f t="shared" si="15"/>
        <v>0</v>
      </c>
      <c r="E22" s="67" t="e">
        <f t="shared" ca="1" si="16"/>
        <v>#N/A</v>
      </c>
      <c r="F22" s="67" t="e">
        <f t="shared" ca="1" si="17"/>
        <v>#N/A</v>
      </c>
      <c r="G22" s="67" t="e">
        <f t="shared" ca="1" si="18"/>
        <v>#N/A</v>
      </c>
      <c r="H22" s="67" t="e">
        <f>IF('Demand background (hide)'!AN10&lt;&gt;"",'SPC background (hide)'!C22,NA())</f>
        <v>#N/A</v>
      </c>
      <c r="I22" s="67">
        <f t="shared" ca="1" si="19"/>
        <v>5</v>
      </c>
      <c r="J22" s="5">
        <f t="shared" ca="1" si="20"/>
        <v>0</v>
      </c>
      <c r="K22" s="5">
        <f t="shared" ca="1" si="21"/>
        <v>0</v>
      </c>
      <c r="L22" s="5">
        <f t="shared" ca="1" si="22"/>
        <v>0</v>
      </c>
      <c r="M22" s="5">
        <f t="shared" ca="1" si="23"/>
        <v>0</v>
      </c>
      <c r="N22" s="5">
        <f t="shared" ca="1" si="24"/>
        <v>0</v>
      </c>
      <c r="O22" s="5">
        <f t="shared" ca="1" si="25"/>
        <v>0</v>
      </c>
      <c r="P22" s="5">
        <f t="shared" ca="1" si="26"/>
        <v>0</v>
      </c>
      <c r="Q22" s="5" t="e">
        <f t="shared" ca="1" si="27"/>
        <v>#N/A</v>
      </c>
      <c r="R22" s="5">
        <f t="shared" ca="1" si="32"/>
        <v>0</v>
      </c>
      <c r="S22" s="67" t="e">
        <f t="shared" ca="1" si="33"/>
        <v>#N/A</v>
      </c>
      <c r="T22" s="67">
        <f t="shared" ca="1" si="34"/>
        <v>0</v>
      </c>
      <c r="U22" s="67" t="e">
        <f t="shared" ca="1" si="35"/>
        <v>#N/A</v>
      </c>
      <c r="V22" s="5">
        <f t="shared" ca="1" si="14"/>
        <v>0</v>
      </c>
      <c r="W22" s="5" t="e">
        <f t="shared" ca="1" si="28"/>
        <v>#N/A</v>
      </c>
      <c r="X22" s="67">
        <f t="shared" ca="1" si="29"/>
        <v>0</v>
      </c>
      <c r="Y22" s="67" t="e">
        <f t="shared" ca="1" si="36"/>
        <v>#N/A</v>
      </c>
      <c r="Z22" s="67" t="e">
        <f t="shared" ca="1" si="37"/>
        <v>#N/A</v>
      </c>
      <c r="AA22" s="5" t="str">
        <f>IF(Setup!$I$15="Yes",'Demand background (hide)'!AJ10+'SPC background (hide)'!C22,"")</f>
        <v/>
      </c>
      <c r="AC22" s="5" t="str">
        <f t="shared" ca="1" si="30"/>
        <v/>
      </c>
      <c r="AD22" s="5" t="str">
        <f t="shared" ca="1" si="31"/>
        <v/>
      </c>
      <c r="AG22" s="67" t="e">
        <f t="shared" ca="1" si="12"/>
        <v>#VALUE!</v>
      </c>
      <c r="AH22" s="67">
        <v>21</v>
      </c>
      <c r="AI22" s="67">
        <f t="shared" ca="1" si="4"/>
        <v>5</v>
      </c>
      <c r="AJ22" s="39">
        <f t="shared" ca="1" si="5"/>
        <v>0</v>
      </c>
      <c r="AK22" s="39">
        <f t="shared" ca="1" si="6"/>
        <v>0</v>
      </c>
      <c r="AL22" s="39">
        <f t="shared" ca="1" si="7"/>
        <v>0</v>
      </c>
      <c r="AM22" s="39">
        <f t="shared" ca="1" si="8"/>
        <v>0</v>
      </c>
      <c r="AN22" s="39">
        <f t="shared" ca="1" si="9"/>
        <v>0</v>
      </c>
      <c r="AO22" s="39">
        <f t="shared" ca="1" si="0"/>
        <v>0</v>
      </c>
      <c r="AP22" s="39">
        <f t="shared" ca="1" si="1"/>
        <v>0</v>
      </c>
      <c r="AQ22" s="39">
        <f t="shared" ca="1" si="2"/>
        <v>0</v>
      </c>
      <c r="AR22" s="5" t="str">
        <f t="shared" ca="1" si="10"/>
        <v/>
      </c>
      <c r="AS22" s="5" t="str">
        <f t="shared" ca="1" si="3"/>
        <v/>
      </c>
      <c r="AT22" s="5" t="str">
        <f t="shared" ca="1" si="11"/>
        <v/>
      </c>
    </row>
    <row r="23" spans="1:46" x14ac:dyDescent="0.2">
      <c r="A23" s="67" t="str">
        <f ca="1">Demand!C20</f>
        <v/>
      </c>
      <c r="B23" s="67">
        <v>8</v>
      </c>
      <c r="C23" s="5">
        <f ca="1">'Demand background (hide)'!Y11</f>
        <v>0</v>
      </c>
      <c r="D23" s="67">
        <f t="shared" si="15"/>
        <v>0</v>
      </c>
      <c r="E23" s="67" t="e">
        <f t="shared" ca="1" si="16"/>
        <v>#N/A</v>
      </c>
      <c r="F23" s="67" t="e">
        <f t="shared" ca="1" si="17"/>
        <v>#N/A</v>
      </c>
      <c r="G23" s="67" t="e">
        <f t="shared" ca="1" si="18"/>
        <v>#N/A</v>
      </c>
      <c r="H23" s="67" t="e">
        <f>IF('Demand background (hide)'!AN11&lt;&gt;"",'SPC background (hide)'!C23,NA())</f>
        <v>#N/A</v>
      </c>
      <c r="I23" s="67">
        <f t="shared" ca="1" si="19"/>
        <v>5</v>
      </c>
      <c r="J23" s="5">
        <f t="shared" ca="1" si="20"/>
        <v>0</v>
      </c>
      <c r="K23" s="5">
        <f t="shared" ca="1" si="21"/>
        <v>0</v>
      </c>
      <c r="L23" s="5">
        <f t="shared" ca="1" si="22"/>
        <v>0</v>
      </c>
      <c r="M23" s="5">
        <f t="shared" ca="1" si="23"/>
        <v>0</v>
      </c>
      <c r="N23" s="5">
        <f t="shared" ca="1" si="24"/>
        <v>0</v>
      </c>
      <c r="O23" s="5">
        <f t="shared" ca="1" si="25"/>
        <v>0</v>
      </c>
      <c r="P23" s="5">
        <f t="shared" ca="1" si="26"/>
        <v>0</v>
      </c>
      <c r="Q23" s="5" t="e">
        <f t="shared" ca="1" si="27"/>
        <v>#N/A</v>
      </c>
      <c r="R23" s="5">
        <f t="shared" ca="1" si="32"/>
        <v>0</v>
      </c>
      <c r="S23" s="67" t="e">
        <f t="shared" ca="1" si="33"/>
        <v>#N/A</v>
      </c>
      <c r="T23" s="67">
        <f t="shared" ca="1" si="34"/>
        <v>0</v>
      </c>
      <c r="U23" s="67" t="e">
        <f t="shared" ca="1" si="35"/>
        <v>#N/A</v>
      </c>
      <c r="V23" s="5">
        <f t="shared" ca="1" si="14"/>
        <v>0</v>
      </c>
      <c r="W23" s="5" t="e">
        <f t="shared" ca="1" si="28"/>
        <v>#N/A</v>
      </c>
      <c r="X23" s="67">
        <f t="shared" ca="1" si="29"/>
        <v>0</v>
      </c>
      <c r="Y23" s="67" t="e">
        <f t="shared" ca="1" si="36"/>
        <v>#N/A</v>
      </c>
      <c r="Z23" s="67" t="e">
        <f t="shared" ca="1" si="37"/>
        <v>#N/A</v>
      </c>
      <c r="AA23" s="5" t="str">
        <f>IF(Setup!$I$15="Yes",'Demand background (hide)'!AJ11+'SPC background (hide)'!C23,"")</f>
        <v/>
      </c>
      <c r="AC23" s="5" t="str">
        <f t="shared" ca="1" si="30"/>
        <v/>
      </c>
      <c r="AD23" s="5" t="str">
        <f t="shared" ca="1" si="31"/>
        <v/>
      </c>
      <c r="AG23" s="67" t="e">
        <f t="shared" ca="1" si="12"/>
        <v>#VALUE!</v>
      </c>
      <c r="AH23" s="67">
        <v>22</v>
      </c>
      <c r="AI23" s="67">
        <f t="shared" ca="1" si="4"/>
        <v>5</v>
      </c>
      <c r="AJ23" s="39">
        <f t="shared" ca="1" si="5"/>
        <v>0</v>
      </c>
      <c r="AK23" s="39">
        <f t="shared" ca="1" si="6"/>
        <v>0</v>
      </c>
      <c r="AL23" s="39">
        <f t="shared" ca="1" si="7"/>
        <v>0</v>
      </c>
      <c r="AM23" s="39">
        <f t="shared" ca="1" si="8"/>
        <v>0</v>
      </c>
      <c r="AN23" s="39">
        <f t="shared" ca="1" si="9"/>
        <v>0</v>
      </c>
      <c r="AO23" s="39">
        <f t="shared" ca="1" si="0"/>
        <v>0</v>
      </c>
      <c r="AP23" s="39">
        <f t="shared" ca="1" si="1"/>
        <v>0</v>
      </c>
      <c r="AQ23" s="39">
        <f t="shared" ca="1" si="2"/>
        <v>0</v>
      </c>
      <c r="AR23" s="5" t="str">
        <f t="shared" ca="1" si="10"/>
        <v/>
      </c>
      <c r="AS23" s="5" t="str">
        <f t="shared" ca="1" si="3"/>
        <v/>
      </c>
      <c r="AT23" s="5" t="str">
        <f t="shared" ca="1" si="11"/>
        <v/>
      </c>
    </row>
    <row r="24" spans="1:46" x14ac:dyDescent="0.2">
      <c r="A24" s="67" t="str">
        <f ca="1">Demand!C21</f>
        <v/>
      </c>
      <c r="B24" s="67">
        <v>9</v>
      </c>
      <c r="C24" s="5">
        <f ca="1">'Demand background (hide)'!Y12</f>
        <v>0</v>
      </c>
      <c r="D24" s="67">
        <f t="shared" si="15"/>
        <v>0</v>
      </c>
      <c r="E24" s="67" t="e">
        <f t="shared" ca="1" si="16"/>
        <v>#N/A</v>
      </c>
      <c r="F24" s="67" t="e">
        <f t="shared" ca="1" si="17"/>
        <v>#N/A</v>
      </c>
      <c r="G24" s="67" t="e">
        <f t="shared" ca="1" si="18"/>
        <v>#N/A</v>
      </c>
      <c r="H24" s="67" t="e">
        <f>IF('Demand background (hide)'!AN12&lt;&gt;"",'SPC background (hide)'!C24,NA())</f>
        <v>#N/A</v>
      </c>
      <c r="I24" s="67">
        <f t="shared" ca="1" si="19"/>
        <v>5</v>
      </c>
      <c r="J24" s="5">
        <f t="shared" ca="1" si="20"/>
        <v>0</v>
      </c>
      <c r="K24" s="5">
        <f t="shared" ca="1" si="21"/>
        <v>0</v>
      </c>
      <c r="L24" s="5">
        <f t="shared" ca="1" si="22"/>
        <v>0</v>
      </c>
      <c r="M24" s="5">
        <f t="shared" ca="1" si="23"/>
        <v>0</v>
      </c>
      <c r="N24" s="5">
        <f t="shared" ca="1" si="24"/>
        <v>0</v>
      </c>
      <c r="O24" s="5">
        <f t="shared" ca="1" si="25"/>
        <v>0</v>
      </c>
      <c r="P24" s="5">
        <f t="shared" ca="1" si="26"/>
        <v>0</v>
      </c>
      <c r="Q24" s="5" t="e">
        <f t="shared" ca="1" si="27"/>
        <v>#N/A</v>
      </c>
      <c r="R24" s="5">
        <f t="shared" ca="1" si="32"/>
        <v>0</v>
      </c>
      <c r="S24" s="67" t="e">
        <f t="shared" ca="1" si="33"/>
        <v>#N/A</v>
      </c>
      <c r="T24" s="67">
        <f t="shared" ca="1" si="34"/>
        <v>0</v>
      </c>
      <c r="U24" s="67" t="e">
        <f t="shared" ca="1" si="35"/>
        <v>#N/A</v>
      </c>
      <c r="V24" s="5">
        <f t="shared" ca="1" si="14"/>
        <v>0</v>
      </c>
      <c r="W24" s="5" t="e">
        <f t="shared" ca="1" si="28"/>
        <v>#N/A</v>
      </c>
      <c r="X24" s="67">
        <f t="shared" ca="1" si="29"/>
        <v>0</v>
      </c>
      <c r="Y24" s="67" t="e">
        <f t="shared" ca="1" si="36"/>
        <v>#N/A</v>
      </c>
      <c r="Z24" s="67" t="e">
        <f t="shared" ca="1" si="37"/>
        <v>#N/A</v>
      </c>
      <c r="AA24" s="5" t="str">
        <f>IF(Setup!$I$15="Yes",'Demand background (hide)'!AJ12+'SPC background (hide)'!C24,"")</f>
        <v/>
      </c>
      <c r="AC24" s="5" t="str">
        <f t="shared" ca="1" si="30"/>
        <v/>
      </c>
      <c r="AD24" s="5" t="str">
        <f t="shared" ca="1" si="31"/>
        <v/>
      </c>
      <c r="AG24" s="67" t="e">
        <f t="shared" ca="1" si="12"/>
        <v>#VALUE!</v>
      </c>
      <c r="AH24" s="67">
        <v>23</v>
      </c>
      <c r="AI24" s="67">
        <f t="shared" ca="1" si="4"/>
        <v>5</v>
      </c>
      <c r="AJ24" s="39">
        <f t="shared" ca="1" si="5"/>
        <v>0</v>
      </c>
      <c r="AK24" s="39">
        <f t="shared" ca="1" si="6"/>
        <v>0</v>
      </c>
      <c r="AL24" s="39">
        <f t="shared" ca="1" si="7"/>
        <v>0</v>
      </c>
      <c r="AM24" s="39">
        <f t="shared" ca="1" si="8"/>
        <v>0</v>
      </c>
      <c r="AN24" s="39">
        <f t="shared" ca="1" si="9"/>
        <v>0</v>
      </c>
      <c r="AO24" s="39">
        <f t="shared" ca="1" si="0"/>
        <v>0</v>
      </c>
      <c r="AP24" s="39">
        <f t="shared" ca="1" si="1"/>
        <v>0</v>
      </c>
      <c r="AQ24" s="39">
        <f t="shared" ca="1" si="2"/>
        <v>0</v>
      </c>
      <c r="AR24" s="5" t="str">
        <f t="shared" ca="1" si="10"/>
        <v/>
      </c>
      <c r="AS24" s="5" t="str">
        <f t="shared" ca="1" si="3"/>
        <v/>
      </c>
      <c r="AT24" s="5" t="str">
        <f t="shared" ca="1" si="11"/>
        <v/>
      </c>
    </row>
    <row r="25" spans="1:46" x14ac:dyDescent="0.2">
      <c r="A25" s="67" t="str">
        <f ca="1">Demand!C22</f>
        <v/>
      </c>
      <c r="B25" s="67">
        <v>10</v>
      </c>
      <c r="C25" s="5">
        <f ca="1">'Demand background (hide)'!Y13</f>
        <v>0</v>
      </c>
      <c r="D25" s="67">
        <f t="shared" si="15"/>
        <v>0</v>
      </c>
      <c r="E25" s="67" t="e">
        <f t="shared" ca="1" si="16"/>
        <v>#N/A</v>
      </c>
      <c r="F25" s="67" t="e">
        <f t="shared" ca="1" si="17"/>
        <v>#N/A</v>
      </c>
      <c r="G25" s="67" t="e">
        <f t="shared" ca="1" si="18"/>
        <v>#N/A</v>
      </c>
      <c r="H25" s="67" t="e">
        <f>IF('Demand background (hide)'!AN13&lt;&gt;"",'SPC background (hide)'!C25,NA())</f>
        <v>#N/A</v>
      </c>
      <c r="I25" s="67">
        <f t="shared" ca="1" si="19"/>
        <v>5</v>
      </c>
      <c r="J25" s="5">
        <f t="shared" ca="1" si="20"/>
        <v>0</v>
      </c>
      <c r="K25" s="5">
        <f t="shared" ca="1" si="21"/>
        <v>0</v>
      </c>
      <c r="L25" s="5">
        <f t="shared" ca="1" si="22"/>
        <v>0</v>
      </c>
      <c r="M25" s="5">
        <f t="shared" ca="1" si="23"/>
        <v>0</v>
      </c>
      <c r="N25" s="5">
        <f t="shared" ca="1" si="24"/>
        <v>0</v>
      </c>
      <c r="O25" s="5">
        <f t="shared" ca="1" si="25"/>
        <v>0</v>
      </c>
      <c r="P25" s="5">
        <f t="shared" ca="1" si="26"/>
        <v>0</v>
      </c>
      <c r="Q25" s="5" t="e">
        <f t="shared" ca="1" si="27"/>
        <v>#N/A</v>
      </c>
      <c r="R25" s="5">
        <f t="shared" ca="1" si="32"/>
        <v>0</v>
      </c>
      <c r="S25" s="67" t="e">
        <f t="shared" ca="1" si="33"/>
        <v>#N/A</v>
      </c>
      <c r="T25" s="67">
        <f t="shared" ca="1" si="34"/>
        <v>0</v>
      </c>
      <c r="U25" s="67" t="e">
        <f t="shared" ca="1" si="35"/>
        <v>#N/A</v>
      </c>
      <c r="V25" s="5">
        <f t="shared" ca="1" si="14"/>
        <v>0</v>
      </c>
      <c r="W25" s="5" t="e">
        <f t="shared" ca="1" si="28"/>
        <v>#N/A</v>
      </c>
      <c r="X25" s="67">
        <f t="shared" ca="1" si="29"/>
        <v>0</v>
      </c>
      <c r="Y25" s="67" t="e">
        <f t="shared" ca="1" si="36"/>
        <v>#N/A</v>
      </c>
      <c r="Z25" s="67" t="e">
        <f t="shared" ca="1" si="37"/>
        <v>#N/A</v>
      </c>
      <c r="AA25" s="5" t="str">
        <f>IF(Setup!$I$15="Yes",'Demand background (hide)'!AJ13+'SPC background (hide)'!C25,"")</f>
        <v/>
      </c>
      <c r="AC25" s="5" t="str">
        <f t="shared" ca="1" si="30"/>
        <v/>
      </c>
      <c r="AD25" s="5" t="str">
        <f t="shared" ca="1" si="31"/>
        <v/>
      </c>
      <c r="AG25" s="67" t="e">
        <f t="shared" ca="1" si="12"/>
        <v>#VALUE!</v>
      </c>
      <c r="AH25" s="67">
        <v>24</v>
      </c>
      <c r="AI25" s="67">
        <f t="shared" ca="1" si="4"/>
        <v>5</v>
      </c>
      <c r="AJ25" s="39">
        <f t="shared" ca="1" si="5"/>
        <v>0</v>
      </c>
      <c r="AK25" s="39">
        <f t="shared" ca="1" si="6"/>
        <v>0</v>
      </c>
      <c r="AL25" s="39">
        <f t="shared" ca="1" si="7"/>
        <v>0</v>
      </c>
      <c r="AM25" s="39">
        <f t="shared" ca="1" si="8"/>
        <v>0</v>
      </c>
      <c r="AN25" s="39">
        <f t="shared" ca="1" si="9"/>
        <v>0</v>
      </c>
      <c r="AO25" s="39">
        <f t="shared" ca="1" si="0"/>
        <v>0</v>
      </c>
      <c r="AP25" s="39">
        <f t="shared" ca="1" si="1"/>
        <v>0</v>
      </c>
      <c r="AQ25" s="39">
        <f t="shared" ca="1" si="2"/>
        <v>0</v>
      </c>
      <c r="AR25" s="5" t="str">
        <f t="shared" ca="1" si="10"/>
        <v/>
      </c>
      <c r="AS25" s="5" t="str">
        <f t="shared" ca="1" si="3"/>
        <v/>
      </c>
      <c r="AT25" s="5" t="str">
        <f t="shared" ca="1" si="11"/>
        <v/>
      </c>
    </row>
    <row r="26" spans="1:46" x14ac:dyDescent="0.2">
      <c r="A26" s="67" t="str">
        <f ca="1">Demand!C23</f>
        <v/>
      </c>
      <c r="B26" s="67">
        <v>11</v>
      </c>
      <c r="C26" s="5">
        <f ca="1">'Demand background (hide)'!Y14</f>
        <v>0</v>
      </c>
      <c r="D26" s="67">
        <f t="shared" si="15"/>
        <v>0</v>
      </c>
      <c r="E26" s="67" t="e">
        <f t="shared" ca="1" si="16"/>
        <v>#N/A</v>
      </c>
      <c r="F26" s="67" t="e">
        <f t="shared" ca="1" si="17"/>
        <v>#N/A</v>
      </c>
      <c r="G26" s="67" t="e">
        <f t="shared" ca="1" si="18"/>
        <v>#N/A</v>
      </c>
      <c r="H26" s="67" t="e">
        <f>IF('Demand background (hide)'!AN14&lt;&gt;"",'SPC background (hide)'!C26,NA())</f>
        <v>#N/A</v>
      </c>
      <c r="I26" s="67">
        <f t="shared" ca="1" si="19"/>
        <v>5</v>
      </c>
      <c r="J26" s="5">
        <f t="shared" ca="1" si="20"/>
        <v>0</v>
      </c>
      <c r="K26" s="5">
        <f t="shared" ca="1" si="21"/>
        <v>0</v>
      </c>
      <c r="L26" s="5">
        <f t="shared" ca="1" si="22"/>
        <v>0</v>
      </c>
      <c r="M26" s="5">
        <f t="shared" ca="1" si="23"/>
        <v>0</v>
      </c>
      <c r="N26" s="5">
        <f t="shared" ca="1" si="24"/>
        <v>0</v>
      </c>
      <c r="O26" s="5">
        <f t="shared" ca="1" si="25"/>
        <v>0</v>
      </c>
      <c r="P26" s="5">
        <f t="shared" ca="1" si="26"/>
        <v>0</v>
      </c>
      <c r="Q26" s="5" t="e">
        <f t="shared" ca="1" si="27"/>
        <v>#N/A</v>
      </c>
      <c r="R26" s="5">
        <f t="shared" ca="1" si="32"/>
        <v>0</v>
      </c>
      <c r="S26" s="67" t="e">
        <f t="shared" ca="1" si="33"/>
        <v>#N/A</v>
      </c>
      <c r="T26" s="67">
        <f t="shared" ca="1" si="34"/>
        <v>0</v>
      </c>
      <c r="U26" s="67" t="e">
        <f t="shared" ca="1" si="35"/>
        <v>#N/A</v>
      </c>
      <c r="V26" s="5">
        <f t="shared" ca="1" si="14"/>
        <v>0</v>
      </c>
      <c r="W26" s="5" t="e">
        <f t="shared" ca="1" si="28"/>
        <v>#N/A</v>
      </c>
      <c r="X26" s="67">
        <f t="shared" ca="1" si="29"/>
        <v>0</v>
      </c>
      <c r="Y26" s="67" t="e">
        <f t="shared" ca="1" si="36"/>
        <v>#N/A</v>
      </c>
      <c r="Z26" s="67" t="e">
        <f t="shared" ca="1" si="37"/>
        <v>#N/A</v>
      </c>
      <c r="AA26" s="5" t="str">
        <f>IF(Setup!$I$15="Yes",'Demand background (hide)'!AJ14+'SPC background (hide)'!C26,"")</f>
        <v/>
      </c>
      <c r="AC26" s="5" t="str">
        <f t="shared" ca="1" si="30"/>
        <v/>
      </c>
      <c r="AD26" s="5" t="str">
        <f t="shared" ca="1" si="31"/>
        <v/>
      </c>
      <c r="AG26" s="67" t="e">
        <f t="shared" ca="1" si="12"/>
        <v>#VALUE!</v>
      </c>
      <c r="AH26" s="67">
        <v>25</v>
      </c>
      <c r="AI26" s="67">
        <f t="shared" ca="1" si="4"/>
        <v>5</v>
      </c>
      <c r="AJ26" s="39">
        <f t="shared" ca="1" si="5"/>
        <v>0</v>
      </c>
      <c r="AK26" s="39">
        <f t="shared" ca="1" si="6"/>
        <v>0</v>
      </c>
      <c r="AL26" s="39">
        <f t="shared" ca="1" si="7"/>
        <v>0</v>
      </c>
      <c r="AM26" s="39">
        <f t="shared" ca="1" si="8"/>
        <v>0</v>
      </c>
      <c r="AN26" s="39">
        <f t="shared" ca="1" si="9"/>
        <v>0</v>
      </c>
      <c r="AO26" s="39">
        <f t="shared" ca="1" si="0"/>
        <v>0</v>
      </c>
      <c r="AP26" s="39">
        <f t="shared" ca="1" si="1"/>
        <v>0</v>
      </c>
      <c r="AQ26" s="39">
        <f t="shared" ca="1" si="2"/>
        <v>0</v>
      </c>
      <c r="AR26" s="5" t="str">
        <f t="shared" ca="1" si="10"/>
        <v/>
      </c>
      <c r="AS26" s="5" t="str">
        <f t="shared" ca="1" si="3"/>
        <v/>
      </c>
      <c r="AT26" s="5" t="str">
        <f t="shared" ca="1" si="11"/>
        <v/>
      </c>
    </row>
    <row r="27" spans="1:46" x14ac:dyDescent="0.2">
      <c r="A27" s="67" t="str">
        <f ca="1">Demand!C24</f>
        <v/>
      </c>
      <c r="B27" s="67">
        <v>12</v>
      </c>
      <c r="C27" s="5">
        <f ca="1">'Demand background (hide)'!Y15</f>
        <v>0</v>
      </c>
      <c r="D27" s="67">
        <f t="shared" si="15"/>
        <v>0</v>
      </c>
      <c r="E27" s="67" t="e">
        <f t="shared" ca="1" si="16"/>
        <v>#N/A</v>
      </c>
      <c r="F27" s="67" t="e">
        <f t="shared" ca="1" si="17"/>
        <v>#N/A</v>
      </c>
      <c r="G27" s="67" t="e">
        <f t="shared" ca="1" si="18"/>
        <v>#N/A</v>
      </c>
      <c r="H27" s="67" t="e">
        <f>IF('Demand background (hide)'!AN15&lt;&gt;"",'SPC background (hide)'!C27,NA())</f>
        <v>#N/A</v>
      </c>
      <c r="I27" s="67">
        <f t="shared" ca="1" si="19"/>
        <v>5</v>
      </c>
      <c r="J27" s="5">
        <f t="shared" ca="1" si="20"/>
        <v>0</v>
      </c>
      <c r="K27" s="5">
        <f t="shared" ca="1" si="21"/>
        <v>0</v>
      </c>
      <c r="L27" s="5">
        <f t="shared" ca="1" si="22"/>
        <v>0</v>
      </c>
      <c r="M27" s="5">
        <f t="shared" ca="1" si="23"/>
        <v>0</v>
      </c>
      <c r="N27" s="5">
        <f t="shared" ca="1" si="24"/>
        <v>0</v>
      </c>
      <c r="O27" s="5">
        <f t="shared" ca="1" si="25"/>
        <v>0</v>
      </c>
      <c r="P27" s="5">
        <f t="shared" ca="1" si="26"/>
        <v>0</v>
      </c>
      <c r="Q27" s="5" t="e">
        <f t="shared" ca="1" si="27"/>
        <v>#N/A</v>
      </c>
      <c r="R27" s="5">
        <f t="shared" ca="1" si="32"/>
        <v>0</v>
      </c>
      <c r="S27" s="67" t="e">
        <f t="shared" ca="1" si="33"/>
        <v>#N/A</v>
      </c>
      <c r="T27" s="67">
        <f t="shared" ca="1" si="34"/>
        <v>0</v>
      </c>
      <c r="U27" s="67" t="e">
        <f t="shared" ca="1" si="35"/>
        <v>#N/A</v>
      </c>
      <c r="V27" s="5">
        <f t="shared" ca="1" si="14"/>
        <v>0</v>
      </c>
      <c r="W27" s="5" t="e">
        <f t="shared" ca="1" si="28"/>
        <v>#N/A</v>
      </c>
      <c r="X27" s="67">
        <f t="shared" ca="1" si="29"/>
        <v>0</v>
      </c>
      <c r="Y27" s="67" t="e">
        <f t="shared" ca="1" si="36"/>
        <v>#N/A</v>
      </c>
      <c r="Z27" s="67" t="e">
        <f t="shared" ca="1" si="37"/>
        <v>#N/A</v>
      </c>
      <c r="AA27" s="5" t="str">
        <f>IF(Setup!$I$15="Yes",'Demand background (hide)'!AJ15+'SPC background (hide)'!C27,"")</f>
        <v/>
      </c>
      <c r="AC27" s="5" t="str">
        <f t="shared" ca="1" si="30"/>
        <v/>
      </c>
      <c r="AD27" s="5" t="str">
        <f t="shared" ca="1" si="31"/>
        <v/>
      </c>
      <c r="AG27" s="67" t="e">
        <f t="shared" ca="1" si="12"/>
        <v>#VALUE!</v>
      </c>
      <c r="AH27" s="67">
        <v>26</v>
      </c>
      <c r="AI27" s="67">
        <f t="shared" ca="1" si="4"/>
        <v>5</v>
      </c>
      <c r="AJ27" s="39">
        <f t="shared" ca="1" si="5"/>
        <v>0</v>
      </c>
      <c r="AK27" s="39">
        <f t="shared" ca="1" si="6"/>
        <v>0</v>
      </c>
      <c r="AL27" s="39">
        <f t="shared" ca="1" si="7"/>
        <v>0</v>
      </c>
      <c r="AM27" s="39">
        <f t="shared" ca="1" si="8"/>
        <v>0</v>
      </c>
      <c r="AN27" s="39">
        <f t="shared" ca="1" si="9"/>
        <v>0</v>
      </c>
      <c r="AO27" s="39">
        <f t="shared" ca="1" si="0"/>
        <v>0</v>
      </c>
      <c r="AP27" s="39">
        <f t="shared" ca="1" si="1"/>
        <v>0</v>
      </c>
      <c r="AQ27" s="39">
        <f t="shared" ca="1" si="2"/>
        <v>0</v>
      </c>
      <c r="AR27" s="5" t="str">
        <f t="shared" ca="1" si="10"/>
        <v/>
      </c>
      <c r="AS27" s="5" t="str">
        <f t="shared" ca="1" si="3"/>
        <v/>
      </c>
      <c r="AT27" s="5" t="str">
        <f t="shared" ca="1" si="11"/>
        <v/>
      </c>
    </row>
    <row r="28" spans="1:46" x14ac:dyDescent="0.2">
      <c r="A28" s="67" t="str">
        <f ca="1">Demand!C25</f>
        <v/>
      </c>
      <c r="B28" s="67">
        <v>13</v>
      </c>
      <c r="C28" s="5">
        <f ca="1">'Demand background (hide)'!Y16</f>
        <v>0</v>
      </c>
      <c r="D28" s="67">
        <f t="shared" si="15"/>
        <v>0</v>
      </c>
      <c r="E28" s="67" t="e">
        <f t="shared" ca="1" si="16"/>
        <v>#N/A</v>
      </c>
      <c r="F28" s="67" t="e">
        <f t="shared" ca="1" si="17"/>
        <v>#N/A</v>
      </c>
      <c r="G28" s="67" t="e">
        <f t="shared" ca="1" si="18"/>
        <v>#N/A</v>
      </c>
      <c r="H28" s="67" t="e">
        <f>IF('Demand background (hide)'!AN16&lt;&gt;"",'SPC background (hide)'!C28,NA())</f>
        <v>#N/A</v>
      </c>
      <c r="I28" s="67">
        <f t="shared" ca="1" si="19"/>
        <v>5</v>
      </c>
      <c r="J28" s="5">
        <f t="shared" ca="1" si="20"/>
        <v>0</v>
      </c>
      <c r="K28" s="5">
        <f t="shared" ca="1" si="21"/>
        <v>0</v>
      </c>
      <c r="L28" s="5">
        <f t="shared" ca="1" si="22"/>
        <v>0</v>
      </c>
      <c r="M28" s="5">
        <f t="shared" ca="1" si="23"/>
        <v>0</v>
      </c>
      <c r="N28" s="5">
        <f t="shared" ca="1" si="24"/>
        <v>0</v>
      </c>
      <c r="O28" s="5">
        <f t="shared" ca="1" si="25"/>
        <v>0</v>
      </c>
      <c r="P28" s="5">
        <f t="shared" ca="1" si="26"/>
        <v>0</v>
      </c>
      <c r="Q28" s="5" t="e">
        <f t="shared" ca="1" si="27"/>
        <v>#N/A</v>
      </c>
      <c r="R28" s="5">
        <f t="shared" ca="1" si="32"/>
        <v>0</v>
      </c>
      <c r="S28" s="67" t="e">
        <f t="shared" ca="1" si="33"/>
        <v>#N/A</v>
      </c>
      <c r="T28" s="67">
        <f t="shared" ca="1" si="34"/>
        <v>0</v>
      </c>
      <c r="U28" s="67" t="e">
        <f t="shared" ca="1" si="35"/>
        <v>#N/A</v>
      </c>
      <c r="V28" s="5">
        <f t="shared" ca="1" si="14"/>
        <v>0</v>
      </c>
      <c r="W28" s="5" t="e">
        <f t="shared" ca="1" si="28"/>
        <v>#N/A</v>
      </c>
      <c r="X28" s="67">
        <f t="shared" ca="1" si="29"/>
        <v>0</v>
      </c>
      <c r="Y28" s="67" t="e">
        <f t="shared" ca="1" si="36"/>
        <v>#N/A</v>
      </c>
      <c r="Z28" s="67" t="e">
        <f t="shared" ca="1" si="37"/>
        <v>#N/A</v>
      </c>
      <c r="AA28" s="5" t="str">
        <f>IF(Setup!$I$15="Yes",'Demand background (hide)'!AJ16+'SPC background (hide)'!C28,"")</f>
        <v/>
      </c>
      <c r="AC28" s="5" t="str">
        <f t="shared" ca="1" si="30"/>
        <v/>
      </c>
      <c r="AD28" s="5" t="str">
        <f t="shared" ca="1" si="31"/>
        <v/>
      </c>
      <c r="AG28" s="67" t="e">
        <f t="shared" ca="1" si="12"/>
        <v>#VALUE!</v>
      </c>
      <c r="AH28" s="67">
        <v>27</v>
      </c>
      <c r="AI28" s="67">
        <f t="shared" ca="1" si="4"/>
        <v>5</v>
      </c>
      <c r="AJ28" s="39">
        <f t="shared" ca="1" si="5"/>
        <v>0</v>
      </c>
      <c r="AK28" s="39">
        <f t="shared" ca="1" si="6"/>
        <v>0</v>
      </c>
      <c r="AL28" s="39">
        <f t="shared" ca="1" si="7"/>
        <v>0</v>
      </c>
      <c r="AM28" s="39">
        <f t="shared" ca="1" si="8"/>
        <v>0</v>
      </c>
      <c r="AN28" s="39">
        <f t="shared" ca="1" si="9"/>
        <v>0</v>
      </c>
      <c r="AO28" s="39">
        <f t="shared" ca="1" si="0"/>
        <v>0</v>
      </c>
      <c r="AP28" s="39">
        <f t="shared" ca="1" si="1"/>
        <v>0</v>
      </c>
      <c r="AQ28" s="39">
        <f t="shared" ca="1" si="2"/>
        <v>0</v>
      </c>
      <c r="AR28" s="5" t="str">
        <f t="shared" ca="1" si="10"/>
        <v/>
      </c>
      <c r="AS28" s="5" t="str">
        <f t="shared" ca="1" si="3"/>
        <v/>
      </c>
      <c r="AT28" s="5" t="str">
        <f t="shared" ca="1" si="11"/>
        <v/>
      </c>
    </row>
    <row r="29" spans="1:46" x14ac:dyDescent="0.2">
      <c r="A29" s="67" t="str">
        <f ca="1">Demand!C26</f>
        <v/>
      </c>
      <c r="B29" s="67">
        <v>14</v>
      </c>
      <c r="C29" s="5">
        <f ca="1">'Demand background (hide)'!Y17</f>
        <v>0</v>
      </c>
      <c r="D29" s="67">
        <f t="shared" si="15"/>
        <v>0</v>
      </c>
      <c r="E29" s="67" t="e">
        <f t="shared" ca="1" si="16"/>
        <v>#N/A</v>
      </c>
      <c r="F29" s="67" t="e">
        <f t="shared" ca="1" si="17"/>
        <v>#N/A</v>
      </c>
      <c r="G29" s="67" t="e">
        <f t="shared" ca="1" si="18"/>
        <v>#N/A</v>
      </c>
      <c r="H29" s="67" t="e">
        <f>IF('Demand background (hide)'!AN17&lt;&gt;"",'SPC background (hide)'!C29,NA())</f>
        <v>#N/A</v>
      </c>
      <c r="I29" s="67">
        <f t="shared" ca="1" si="19"/>
        <v>5</v>
      </c>
      <c r="J29" s="5">
        <f t="shared" ca="1" si="20"/>
        <v>0</v>
      </c>
      <c r="K29" s="5">
        <f t="shared" ca="1" si="21"/>
        <v>0</v>
      </c>
      <c r="L29" s="5">
        <f t="shared" ca="1" si="22"/>
        <v>0</v>
      </c>
      <c r="M29" s="5">
        <f t="shared" ca="1" si="23"/>
        <v>0</v>
      </c>
      <c r="N29" s="5">
        <f t="shared" ca="1" si="24"/>
        <v>0</v>
      </c>
      <c r="O29" s="5">
        <f t="shared" ca="1" si="25"/>
        <v>0</v>
      </c>
      <c r="P29" s="5">
        <f t="shared" ca="1" si="26"/>
        <v>0</v>
      </c>
      <c r="Q29" s="5" t="e">
        <f t="shared" ca="1" si="27"/>
        <v>#N/A</v>
      </c>
      <c r="R29" s="5">
        <f t="shared" ca="1" si="32"/>
        <v>0</v>
      </c>
      <c r="S29" s="67" t="e">
        <f t="shared" ca="1" si="33"/>
        <v>#N/A</v>
      </c>
      <c r="T29" s="67">
        <f t="shared" ca="1" si="34"/>
        <v>0</v>
      </c>
      <c r="U29" s="67" t="e">
        <f t="shared" ca="1" si="35"/>
        <v>#N/A</v>
      </c>
      <c r="V29" s="5">
        <f t="shared" ca="1" si="14"/>
        <v>0</v>
      </c>
      <c r="W29" s="5" t="e">
        <f t="shared" ca="1" si="28"/>
        <v>#N/A</v>
      </c>
      <c r="X29" s="67">
        <f t="shared" ca="1" si="29"/>
        <v>0</v>
      </c>
      <c r="Y29" s="67" t="e">
        <f t="shared" ca="1" si="36"/>
        <v>#N/A</v>
      </c>
      <c r="Z29" s="67" t="e">
        <f t="shared" ca="1" si="37"/>
        <v>#N/A</v>
      </c>
      <c r="AA29" s="5" t="str">
        <f>IF(Setup!$I$15="Yes",'Demand background (hide)'!AJ17+'SPC background (hide)'!C29,"")</f>
        <v/>
      </c>
      <c r="AC29" s="5" t="str">
        <f t="shared" ca="1" si="30"/>
        <v/>
      </c>
      <c r="AD29" s="5" t="str">
        <f t="shared" ca="1" si="31"/>
        <v/>
      </c>
      <c r="AG29" s="67" t="e">
        <f t="shared" ca="1" si="12"/>
        <v>#VALUE!</v>
      </c>
      <c r="AH29" s="67">
        <v>28</v>
      </c>
      <c r="AI29" s="67">
        <f t="shared" ca="1" si="4"/>
        <v>5</v>
      </c>
      <c r="AJ29" s="39">
        <f t="shared" ca="1" si="5"/>
        <v>0</v>
      </c>
      <c r="AK29" s="39">
        <f t="shared" ca="1" si="6"/>
        <v>0</v>
      </c>
      <c r="AL29" s="39">
        <f t="shared" ca="1" si="7"/>
        <v>0</v>
      </c>
      <c r="AM29" s="39">
        <f t="shared" ca="1" si="8"/>
        <v>0</v>
      </c>
      <c r="AN29" s="39">
        <f t="shared" ca="1" si="9"/>
        <v>0</v>
      </c>
      <c r="AO29" s="39">
        <f t="shared" ca="1" si="0"/>
        <v>0</v>
      </c>
      <c r="AP29" s="39">
        <f t="shared" ca="1" si="1"/>
        <v>0</v>
      </c>
      <c r="AQ29" s="39">
        <f t="shared" ca="1" si="2"/>
        <v>0</v>
      </c>
      <c r="AR29" s="5" t="str">
        <f t="shared" ca="1" si="10"/>
        <v/>
      </c>
      <c r="AS29" s="5" t="str">
        <f t="shared" ca="1" si="3"/>
        <v/>
      </c>
      <c r="AT29" s="5" t="str">
        <f t="shared" ca="1" si="11"/>
        <v/>
      </c>
    </row>
    <row r="30" spans="1:46" x14ac:dyDescent="0.2">
      <c r="A30" s="67" t="str">
        <f ca="1">Demand!C27</f>
        <v/>
      </c>
      <c r="B30" s="67">
        <v>15</v>
      </c>
      <c r="C30" s="5">
        <f ca="1">'Demand background (hide)'!Y18</f>
        <v>0</v>
      </c>
      <c r="D30" s="67">
        <f t="shared" si="15"/>
        <v>0</v>
      </c>
      <c r="E30" s="67" t="e">
        <f t="shared" ca="1" si="16"/>
        <v>#N/A</v>
      </c>
      <c r="F30" s="67" t="e">
        <f t="shared" ca="1" si="17"/>
        <v>#N/A</v>
      </c>
      <c r="G30" s="67" t="e">
        <f t="shared" ca="1" si="18"/>
        <v>#N/A</v>
      </c>
      <c r="H30" s="67" t="e">
        <f>IF('Demand background (hide)'!AN18&lt;&gt;"",'SPC background (hide)'!C30,NA())</f>
        <v>#N/A</v>
      </c>
      <c r="I30" s="67">
        <f t="shared" ca="1" si="19"/>
        <v>5</v>
      </c>
      <c r="J30" s="5">
        <f t="shared" ca="1" si="20"/>
        <v>0</v>
      </c>
      <c r="K30" s="5">
        <f t="shared" ca="1" si="21"/>
        <v>0</v>
      </c>
      <c r="L30" s="5">
        <f t="shared" ca="1" si="22"/>
        <v>0</v>
      </c>
      <c r="M30" s="5">
        <f t="shared" ca="1" si="23"/>
        <v>0</v>
      </c>
      <c r="N30" s="5">
        <f t="shared" ca="1" si="24"/>
        <v>0</v>
      </c>
      <c r="O30" s="5">
        <f t="shared" ca="1" si="25"/>
        <v>0</v>
      </c>
      <c r="P30" s="5">
        <f t="shared" ca="1" si="26"/>
        <v>0</v>
      </c>
      <c r="Q30" s="5" t="e">
        <f t="shared" ca="1" si="27"/>
        <v>#N/A</v>
      </c>
      <c r="R30" s="5">
        <f t="shared" ca="1" si="32"/>
        <v>0</v>
      </c>
      <c r="S30" s="67" t="e">
        <f t="shared" ca="1" si="33"/>
        <v>#N/A</v>
      </c>
      <c r="T30" s="67">
        <f t="shared" ca="1" si="34"/>
        <v>0</v>
      </c>
      <c r="U30" s="67" t="e">
        <f t="shared" ca="1" si="35"/>
        <v>#N/A</v>
      </c>
      <c r="V30" s="5">
        <f t="shared" ca="1" si="14"/>
        <v>0</v>
      </c>
      <c r="W30" s="5" t="e">
        <f t="shared" ca="1" si="28"/>
        <v>#N/A</v>
      </c>
      <c r="X30" s="67">
        <f t="shared" ca="1" si="29"/>
        <v>0</v>
      </c>
      <c r="Y30" s="67" t="e">
        <f t="shared" ca="1" si="36"/>
        <v>#N/A</v>
      </c>
      <c r="Z30" s="67" t="e">
        <f t="shared" ca="1" si="37"/>
        <v>#N/A</v>
      </c>
      <c r="AA30" s="5" t="str">
        <f>IF(Setup!$I$15="Yes",'Demand background (hide)'!AJ18+'SPC background (hide)'!C30,"")</f>
        <v/>
      </c>
      <c r="AC30" s="5" t="str">
        <f t="shared" ca="1" si="30"/>
        <v/>
      </c>
      <c r="AD30" s="5" t="str">
        <f t="shared" ca="1" si="31"/>
        <v/>
      </c>
      <c r="AG30" s="67" t="e">
        <f t="shared" ca="1" si="12"/>
        <v>#VALUE!</v>
      </c>
      <c r="AH30" s="67">
        <v>29</v>
      </c>
      <c r="AI30" s="67">
        <f t="shared" ca="1" si="4"/>
        <v>5</v>
      </c>
      <c r="AJ30" s="39">
        <f t="shared" ca="1" si="5"/>
        <v>0</v>
      </c>
      <c r="AK30" s="39">
        <f t="shared" ca="1" si="6"/>
        <v>0</v>
      </c>
      <c r="AL30" s="39">
        <f t="shared" ca="1" si="7"/>
        <v>0</v>
      </c>
      <c r="AM30" s="39">
        <f t="shared" ca="1" si="8"/>
        <v>0</v>
      </c>
      <c r="AN30" s="39">
        <f t="shared" ca="1" si="9"/>
        <v>0</v>
      </c>
      <c r="AO30" s="39">
        <f t="shared" ca="1" si="0"/>
        <v>0</v>
      </c>
      <c r="AP30" s="39">
        <f t="shared" ca="1" si="1"/>
        <v>0</v>
      </c>
      <c r="AQ30" s="39">
        <f t="shared" ca="1" si="2"/>
        <v>0</v>
      </c>
      <c r="AR30" s="5" t="str">
        <f t="shared" ca="1" si="10"/>
        <v/>
      </c>
      <c r="AS30" s="5" t="str">
        <f t="shared" ca="1" si="3"/>
        <v/>
      </c>
      <c r="AT30" s="5" t="str">
        <f t="shared" ca="1" si="11"/>
        <v/>
      </c>
    </row>
    <row r="31" spans="1:46" x14ac:dyDescent="0.2">
      <c r="A31" s="67" t="str">
        <f ca="1">Demand!C28</f>
        <v/>
      </c>
      <c r="B31" s="67">
        <v>16</v>
      </c>
      <c r="C31" s="5">
        <f ca="1">'Demand background (hide)'!Y19</f>
        <v>0</v>
      </c>
      <c r="D31" s="67">
        <f t="shared" si="15"/>
        <v>0</v>
      </c>
      <c r="E31" s="67" t="e">
        <f t="shared" ca="1" si="16"/>
        <v>#N/A</v>
      </c>
      <c r="F31" s="67" t="e">
        <f t="shared" ca="1" si="17"/>
        <v>#N/A</v>
      </c>
      <c r="G31" s="67" t="e">
        <f t="shared" ca="1" si="18"/>
        <v>#N/A</v>
      </c>
      <c r="H31" s="67" t="e">
        <f>IF('Demand background (hide)'!AN19&lt;&gt;"",'SPC background (hide)'!C31,NA())</f>
        <v>#N/A</v>
      </c>
      <c r="I31" s="67">
        <f t="shared" ca="1" si="19"/>
        <v>5</v>
      </c>
      <c r="J31" s="5">
        <f t="shared" ca="1" si="20"/>
        <v>0</v>
      </c>
      <c r="K31" s="5">
        <f t="shared" ca="1" si="21"/>
        <v>0</v>
      </c>
      <c r="L31" s="5">
        <f t="shared" ca="1" si="22"/>
        <v>0</v>
      </c>
      <c r="M31" s="5">
        <f t="shared" ca="1" si="23"/>
        <v>0</v>
      </c>
      <c r="N31" s="5">
        <f t="shared" ca="1" si="24"/>
        <v>0</v>
      </c>
      <c r="O31" s="5">
        <f t="shared" ca="1" si="25"/>
        <v>0</v>
      </c>
      <c r="P31" s="5">
        <f t="shared" ca="1" si="26"/>
        <v>0</v>
      </c>
      <c r="Q31" s="5" t="e">
        <f t="shared" ca="1" si="27"/>
        <v>#N/A</v>
      </c>
      <c r="R31" s="5">
        <f t="shared" ca="1" si="32"/>
        <v>0</v>
      </c>
      <c r="S31" s="67" t="e">
        <f t="shared" ca="1" si="33"/>
        <v>#N/A</v>
      </c>
      <c r="T31" s="67">
        <f t="shared" ca="1" si="34"/>
        <v>0</v>
      </c>
      <c r="U31" s="67" t="e">
        <f t="shared" ca="1" si="35"/>
        <v>#N/A</v>
      </c>
      <c r="V31" s="5">
        <f t="shared" ca="1" si="14"/>
        <v>0</v>
      </c>
      <c r="W31" s="5" t="e">
        <f t="shared" ca="1" si="28"/>
        <v>#N/A</v>
      </c>
      <c r="X31" s="67">
        <f t="shared" ca="1" si="29"/>
        <v>0</v>
      </c>
      <c r="Y31" s="67" t="e">
        <f t="shared" ca="1" si="36"/>
        <v>#N/A</v>
      </c>
      <c r="Z31" s="67" t="e">
        <f t="shared" ca="1" si="37"/>
        <v>#N/A</v>
      </c>
      <c r="AA31" s="5" t="str">
        <f>IF(Setup!$I$15="Yes",'Demand background (hide)'!AJ19+'SPC background (hide)'!C31,"")</f>
        <v/>
      </c>
      <c r="AC31" s="5" t="str">
        <f t="shared" ca="1" si="30"/>
        <v/>
      </c>
      <c r="AD31" s="5" t="str">
        <f t="shared" ca="1" si="31"/>
        <v/>
      </c>
      <c r="AG31" s="67" t="e">
        <f t="shared" ca="1" si="12"/>
        <v>#VALUE!</v>
      </c>
      <c r="AH31" s="67">
        <v>30</v>
      </c>
      <c r="AI31" s="67">
        <f t="shared" ca="1" si="4"/>
        <v>5</v>
      </c>
      <c r="AJ31" s="39">
        <f t="shared" ca="1" si="5"/>
        <v>0</v>
      </c>
      <c r="AK31" s="39">
        <f t="shared" ca="1" si="6"/>
        <v>0</v>
      </c>
      <c r="AL31" s="39">
        <f t="shared" ca="1" si="7"/>
        <v>0</v>
      </c>
      <c r="AM31" s="39">
        <f t="shared" ca="1" si="8"/>
        <v>0</v>
      </c>
      <c r="AN31" s="39">
        <f t="shared" ca="1" si="9"/>
        <v>0</v>
      </c>
      <c r="AO31" s="39">
        <f t="shared" ca="1" si="0"/>
        <v>0</v>
      </c>
      <c r="AP31" s="39">
        <f t="shared" ca="1" si="1"/>
        <v>0</v>
      </c>
      <c r="AQ31" s="39">
        <f t="shared" ca="1" si="2"/>
        <v>0</v>
      </c>
      <c r="AR31" s="5" t="str">
        <f t="shared" ca="1" si="10"/>
        <v/>
      </c>
      <c r="AS31" s="5" t="str">
        <f t="shared" ca="1" si="3"/>
        <v/>
      </c>
      <c r="AT31" s="5" t="str">
        <f t="shared" ca="1" si="11"/>
        <v/>
      </c>
    </row>
    <row r="32" spans="1:46" x14ac:dyDescent="0.2">
      <c r="A32" s="67" t="str">
        <f ca="1">Demand!C29</f>
        <v/>
      </c>
      <c r="B32" s="67">
        <v>17</v>
      </c>
      <c r="C32" s="5">
        <f ca="1">'Demand background (hide)'!Y20</f>
        <v>0</v>
      </c>
      <c r="D32" s="67">
        <f t="shared" si="15"/>
        <v>0</v>
      </c>
      <c r="E32" s="67" t="e">
        <f t="shared" ca="1" si="16"/>
        <v>#N/A</v>
      </c>
      <c r="F32" s="67" t="e">
        <f t="shared" ca="1" si="17"/>
        <v>#N/A</v>
      </c>
      <c r="G32" s="67" t="e">
        <f t="shared" ca="1" si="18"/>
        <v>#N/A</v>
      </c>
      <c r="H32" s="67" t="e">
        <f>IF('Demand background (hide)'!AN20&lt;&gt;"",'SPC background (hide)'!C32,NA())</f>
        <v>#N/A</v>
      </c>
      <c r="I32" s="67">
        <f t="shared" ca="1" si="19"/>
        <v>5</v>
      </c>
      <c r="J32" s="5">
        <f t="shared" ca="1" si="20"/>
        <v>0</v>
      </c>
      <c r="K32" s="5">
        <f t="shared" ca="1" si="21"/>
        <v>0</v>
      </c>
      <c r="L32" s="5">
        <f t="shared" ca="1" si="22"/>
        <v>0</v>
      </c>
      <c r="M32" s="5">
        <f t="shared" ca="1" si="23"/>
        <v>0</v>
      </c>
      <c r="N32" s="5">
        <f t="shared" ca="1" si="24"/>
        <v>0</v>
      </c>
      <c r="O32" s="5">
        <f t="shared" ca="1" si="25"/>
        <v>0</v>
      </c>
      <c r="P32" s="5">
        <f t="shared" ca="1" si="26"/>
        <v>0</v>
      </c>
      <c r="Q32" s="5" t="e">
        <f t="shared" ca="1" si="27"/>
        <v>#N/A</v>
      </c>
      <c r="R32" s="5">
        <f t="shared" ca="1" si="32"/>
        <v>0</v>
      </c>
      <c r="S32" s="67" t="e">
        <f t="shared" ca="1" si="33"/>
        <v>#N/A</v>
      </c>
      <c r="T32" s="67">
        <f t="shared" ca="1" si="34"/>
        <v>0</v>
      </c>
      <c r="U32" s="67" t="e">
        <f t="shared" ca="1" si="35"/>
        <v>#N/A</v>
      </c>
      <c r="V32" s="5">
        <f t="shared" ca="1" si="14"/>
        <v>0</v>
      </c>
      <c r="W32" s="5" t="e">
        <f t="shared" ca="1" si="28"/>
        <v>#N/A</v>
      </c>
      <c r="X32" s="67">
        <f t="shared" ca="1" si="29"/>
        <v>0</v>
      </c>
      <c r="Y32" s="67" t="e">
        <f t="shared" ca="1" si="36"/>
        <v>#N/A</v>
      </c>
      <c r="Z32" s="67" t="e">
        <f t="shared" ca="1" si="37"/>
        <v>#N/A</v>
      </c>
      <c r="AA32" s="5" t="str">
        <f>IF(Setup!$I$15="Yes",'Demand background (hide)'!AJ20+'SPC background (hide)'!C32,"")</f>
        <v/>
      </c>
      <c r="AC32" s="5" t="str">
        <f t="shared" ca="1" si="30"/>
        <v/>
      </c>
      <c r="AD32" s="5" t="str">
        <f t="shared" ca="1" si="31"/>
        <v/>
      </c>
      <c r="AG32" s="67" t="e">
        <f t="shared" ca="1" si="12"/>
        <v>#VALUE!</v>
      </c>
      <c r="AH32" s="67">
        <v>31</v>
      </c>
      <c r="AI32" s="67">
        <f t="shared" ca="1" si="4"/>
        <v>5</v>
      </c>
      <c r="AJ32" s="39">
        <f t="shared" ca="1" si="5"/>
        <v>0</v>
      </c>
      <c r="AK32" s="39">
        <f t="shared" ca="1" si="6"/>
        <v>0</v>
      </c>
      <c r="AL32" s="39">
        <f t="shared" ca="1" si="7"/>
        <v>0</v>
      </c>
      <c r="AM32" s="39">
        <f t="shared" ca="1" si="8"/>
        <v>0</v>
      </c>
      <c r="AN32" s="39">
        <f t="shared" ca="1" si="9"/>
        <v>0</v>
      </c>
      <c r="AO32" s="39">
        <f t="shared" ca="1" si="0"/>
        <v>0</v>
      </c>
      <c r="AP32" s="39">
        <f t="shared" ca="1" si="1"/>
        <v>0</v>
      </c>
      <c r="AQ32" s="39">
        <f t="shared" ca="1" si="2"/>
        <v>0</v>
      </c>
      <c r="AR32" s="5" t="str">
        <f t="shared" ca="1" si="10"/>
        <v/>
      </c>
      <c r="AS32" s="5" t="str">
        <f t="shared" ca="1" si="3"/>
        <v/>
      </c>
      <c r="AT32" s="5" t="str">
        <f t="shared" ca="1" si="11"/>
        <v/>
      </c>
    </row>
    <row r="33" spans="1:46" x14ac:dyDescent="0.2">
      <c r="A33" s="67" t="str">
        <f ca="1">Demand!C30</f>
        <v/>
      </c>
      <c r="B33" s="67">
        <v>18</v>
      </c>
      <c r="C33" s="5">
        <f ca="1">'Demand background (hide)'!Y21</f>
        <v>0</v>
      </c>
      <c r="D33" s="67">
        <f t="shared" si="15"/>
        <v>0</v>
      </c>
      <c r="E33" s="67" t="e">
        <f t="shared" ca="1" si="16"/>
        <v>#N/A</v>
      </c>
      <c r="F33" s="67" t="e">
        <f t="shared" ca="1" si="17"/>
        <v>#N/A</v>
      </c>
      <c r="G33" s="67" t="e">
        <f t="shared" ca="1" si="18"/>
        <v>#N/A</v>
      </c>
      <c r="H33" s="67" t="e">
        <f>IF('Demand background (hide)'!AN21&lt;&gt;"",'SPC background (hide)'!C33,NA())</f>
        <v>#N/A</v>
      </c>
      <c r="I33" s="67">
        <f t="shared" ca="1" si="19"/>
        <v>5</v>
      </c>
      <c r="J33" s="5">
        <f t="shared" ca="1" si="20"/>
        <v>0</v>
      </c>
      <c r="K33" s="5">
        <f t="shared" ca="1" si="21"/>
        <v>0</v>
      </c>
      <c r="L33" s="5">
        <f t="shared" ca="1" si="22"/>
        <v>0</v>
      </c>
      <c r="M33" s="5">
        <f t="shared" ca="1" si="23"/>
        <v>0</v>
      </c>
      <c r="N33" s="5">
        <f t="shared" ca="1" si="24"/>
        <v>0</v>
      </c>
      <c r="O33" s="5">
        <f t="shared" ca="1" si="25"/>
        <v>0</v>
      </c>
      <c r="P33" s="5">
        <f t="shared" ca="1" si="26"/>
        <v>0</v>
      </c>
      <c r="Q33" s="5" t="e">
        <f t="shared" ca="1" si="27"/>
        <v>#N/A</v>
      </c>
      <c r="R33" s="5">
        <f t="shared" ca="1" si="32"/>
        <v>0</v>
      </c>
      <c r="S33" s="67" t="e">
        <f t="shared" ca="1" si="33"/>
        <v>#N/A</v>
      </c>
      <c r="T33" s="67">
        <f t="shared" ca="1" si="34"/>
        <v>0</v>
      </c>
      <c r="U33" s="67" t="e">
        <f t="shared" ca="1" si="35"/>
        <v>#N/A</v>
      </c>
      <c r="V33" s="5">
        <f t="shared" ca="1" si="14"/>
        <v>0</v>
      </c>
      <c r="W33" s="5" t="e">
        <f t="shared" ca="1" si="28"/>
        <v>#N/A</v>
      </c>
      <c r="X33" s="67">
        <f t="shared" ca="1" si="29"/>
        <v>0</v>
      </c>
      <c r="Y33" s="67" t="e">
        <f t="shared" ca="1" si="36"/>
        <v>#N/A</v>
      </c>
      <c r="Z33" s="67" t="e">
        <f t="shared" ca="1" si="37"/>
        <v>#N/A</v>
      </c>
      <c r="AA33" s="5" t="str">
        <f>IF(Setup!$I$15="Yes",'Demand background (hide)'!AJ21+'SPC background (hide)'!C33,"")</f>
        <v/>
      </c>
      <c r="AC33" s="5" t="str">
        <f t="shared" ca="1" si="30"/>
        <v/>
      </c>
      <c r="AD33" s="5" t="str">
        <f t="shared" ca="1" si="31"/>
        <v/>
      </c>
      <c r="AG33" s="67" t="e">
        <f t="shared" ca="1" si="12"/>
        <v>#VALUE!</v>
      </c>
      <c r="AH33" s="67">
        <v>32</v>
      </c>
      <c r="AI33" s="67">
        <f t="shared" ca="1" si="4"/>
        <v>5</v>
      </c>
      <c r="AJ33" s="39">
        <f t="shared" ca="1" si="5"/>
        <v>0</v>
      </c>
      <c r="AK33" s="39">
        <f t="shared" ca="1" si="6"/>
        <v>0</v>
      </c>
      <c r="AL33" s="39">
        <f t="shared" ca="1" si="7"/>
        <v>0</v>
      </c>
      <c r="AM33" s="39">
        <f t="shared" ca="1" si="8"/>
        <v>0</v>
      </c>
      <c r="AN33" s="39">
        <f t="shared" ca="1" si="9"/>
        <v>0</v>
      </c>
      <c r="AO33" s="39">
        <f t="shared" ca="1" si="0"/>
        <v>0</v>
      </c>
      <c r="AP33" s="39">
        <f t="shared" ca="1" si="1"/>
        <v>0</v>
      </c>
      <c r="AQ33" s="39">
        <f t="shared" ca="1" si="2"/>
        <v>0</v>
      </c>
      <c r="AR33" s="5" t="str">
        <f t="shared" ca="1" si="10"/>
        <v/>
      </c>
      <c r="AS33" s="5" t="str">
        <f t="shared" ca="1" si="3"/>
        <v/>
      </c>
      <c r="AT33" s="5" t="str">
        <f t="shared" ca="1" si="11"/>
        <v/>
      </c>
    </row>
    <row r="34" spans="1:46" x14ac:dyDescent="0.2">
      <c r="A34" s="67" t="str">
        <f ca="1">Demand!C31</f>
        <v/>
      </c>
      <c r="B34" s="67">
        <v>19</v>
      </c>
      <c r="C34" s="5">
        <f ca="1">'Demand background (hide)'!Y22</f>
        <v>0</v>
      </c>
      <c r="D34" s="67">
        <f t="shared" si="15"/>
        <v>0</v>
      </c>
      <c r="E34" s="67" t="e">
        <f t="shared" ca="1" si="16"/>
        <v>#N/A</v>
      </c>
      <c r="F34" s="67" t="e">
        <f t="shared" ca="1" si="17"/>
        <v>#N/A</v>
      </c>
      <c r="G34" s="67" t="e">
        <f t="shared" ca="1" si="18"/>
        <v>#N/A</v>
      </c>
      <c r="H34" s="67" t="e">
        <f>IF('Demand background (hide)'!AN22&lt;&gt;"",'SPC background (hide)'!C34,NA())</f>
        <v>#N/A</v>
      </c>
      <c r="I34" s="67">
        <f t="shared" ca="1" si="19"/>
        <v>5</v>
      </c>
      <c r="J34" s="5">
        <f t="shared" ca="1" si="20"/>
        <v>0</v>
      </c>
      <c r="K34" s="5">
        <f t="shared" ca="1" si="21"/>
        <v>0</v>
      </c>
      <c r="L34" s="5">
        <f t="shared" ca="1" si="22"/>
        <v>0</v>
      </c>
      <c r="M34" s="5">
        <f t="shared" ca="1" si="23"/>
        <v>0</v>
      </c>
      <c r="N34" s="5">
        <f t="shared" ca="1" si="24"/>
        <v>0</v>
      </c>
      <c r="O34" s="5">
        <f t="shared" ca="1" si="25"/>
        <v>0</v>
      </c>
      <c r="P34" s="5">
        <f t="shared" ca="1" si="26"/>
        <v>0</v>
      </c>
      <c r="Q34" s="5" t="e">
        <f t="shared" ca="1" si="27"/>
        <v>#N/A</v>
      </c>
      <c r="R34" s="5">
        <f t="shared" ca="1" si="32"/>
        <v>0</v>
      </c>
      <c r="S34" s="67" t="e">
        <f t="shared" ca="1" si="33"/>
        <v>#N/A</v>
      </c>
      <c r="T34" s="67">
        <f t="shared" ca="1" si="34"/>
        <v>0</v>
      </c>
      <c r="U34" s="67" t="e">
        <f t="shared" ca="1" si="35"/>
        <v>#N/A</v>
      </c>
      <c r="V34" s="5">
        <f t="shared" ca="1" si="14"/>
        <v>0</v>
      </c>
      <c r="W34" s="5" t="e">
        <f t="shared" ca="1" si="28"/>
        <v>#N/A</v>
      </c>
      <c r="X34" s="67">
        <f t="shared" ca="1" si="29"/>
        <v>0</v>
      </c>
      <c r="Y34" s="67" t="e">
        <f t="shared" ca="1" si="36"/>
        <v>#N/A</v>
      </c>
      <c r="Z34" s="67" t="e">
        <f t="shared" ca="1" si="37"/>
        <v>#N/A</v>
      </c>
      <c r="AA34" s="5" t="str">
        <f>IF(Setup!$I$15="Yes",'Demand background (hide)'!AJ22+'SPC background (hide)'!C34,"")</f>
        <v/>
      </c>
      <c r="AC34" s="5" t="str">
        <f t="shared" ca="1" si="30"/>
        <v/>
      </c>
      <c r="AD34" s="5" t="str">
        <f t="shared" ca="1" si="31"/>
        <v/>
      </c>
      <c r="AG34" s="67" t="e">
        <f ca="1">IF(MOD(AG33+1,53)=0,53,MOD(AG33+1,53))</f>
        <v>#VALUE!</v>
      </c>
      <c r="AH34" s="67">
        <v>33</v>
      </c>
      <c r="AI34" s="67">
        <f t="shared" ca="1" si="4"/>
        <v>5</v>
      </c>
      <c r="AJ34" s="39">
        <f t="shared" ca="1" si="5"/>
        <v>0</v>
      </c>
      <c r="AK34" s="39">
        <f t="shared" ca="1" si="6"/>
        <v>0</v>
      </c>
      <c r="AL34" s="39">
        <f t="shared" ca="1" si="7"/>
        <v>0</v>
      </c>
      <c r="AM34" s="39">
        <f t="shared" ca="1" si="8"/>
        <v>0</v>
      </c>
      <c r="AN34" s="39">
        <f t="shared" ca="1" si="9"/>
        <v>0</v>
      </c>
      <c r="AO34" s="39">
        <f t="shared" ca="1" si="0"/>
        <v>0</v>
      </c>
      <c r="AP34" s="39">
        <f t="shared" ca="1" si="1"/>
        <v>0</v>
      </c>
      <c r="AQ34" s="39">
        <f t="shared" ca="1" si="2"/>
        <v>0</v>
      </c>
      <c r="AR34" s="5" t="str">
        <f t="shared" ca="1" si="10"/>
        <v/>
      </c>
      <c r="AS34" s="5" t="str">
        <f t="shared" ca="1" si="3"/>
        <v/>
      </c>
      <c r="AT34" s="5" t="str">
        <f t="shared" ca="1" si="11"/>
        <v/>
      </c>
    </row>
    <row r="35" spans="1:46" x14ac:dyDescent="0.2">
      <c r="A35" s="67" t="str">
        <f ca="1">Demand!C32</f>
        <v/>
      </c>
      <c r="B35" s="67">
        <v>20</v>
      </c>
      <c r="C35" s="5">
        <f ca="1">'Demand background (hide)'!Y23</f>
        <v>0</v>
      </c>
      <c r="D35" s="67">
        <f t="shared" si="15"/>
        <v>0</v>
      </c>
      <c r="E35" s="67" t="e">
        <f t="shared" ca="1" si="16"/>
        <v>#N/A</v>
      </c>
      <c r="F35" s="67" t="e">
        <f t="shared" ca="1" si="17"/>
        <v>#N/A</v>
      </c>
      <c r="G35" s="67" t="e">
        <f t="shared" ca="1" si="18"/>
        <v>#N/A</v>
      </c>
      <c r="H35" s="67" t="e">
        <f>IF('Demand background (hide)'!AN23&lt;&gt;"",'SPC background (hide)'!C35,NA())</f>
        <v>#N/A</v>
      </c>
      <c r="I35" s="67">
        <f t="shared" ca="1" si="19"/>
        <v>5</v>
      </c>
      <c r="J35" s="5">
        <f t="shared" ca="1" si="20"/>
        <v>0</v>
      </c>
      <c r="K35" s="5">
        <f t="shared" ca="1" si="21"/>
        <v>0</v>
      </c>
      <c r="L35" s="5">
        <f t="shared" ca="1" si="22"/>
        <v>0</v>
      </c>
      <c r="M35" s="5">
        <f t="shared" ca="1" si="23"/>
        <v>0</v>
      </c>
      <c r="N35" s="5">
        <f t="shared" ca="1" si="24"/>
        <v>0</v>
      </c>
      <c r="O35" s="5">
        <f t="shared" ca="1" si="25"/>
        <v>0</v>
      </c>
      <c r="P35" s="5">
        <f t="shared" ca="1" si="26"/>
        <v>0</v>
      </c>
      <c r="Q35" s="5" t="e">
        <f t="shared" ca="1" si="27"/>
        <v>#N/A</v>
      </c>
      <c r="R35" s="5">
        <f t="shared" ca="1" si="32"/>
        <v>0</v>
      </c>
      <c r="S35" s="67" t="e">
        <f t="shared" ca="1" si="33"/>
        <v>#N/A</v>
      </c>
      <c r="T35" s="67">
        <f t="shared" ca="1" si="34"/>
        <v>0</v>
      </c>
      <c r="U35" s="67" t="e">
        <f t="shared" ca="1" si="35"/>
        <v>#N/A</v>
      </c>
      <c r="V35" s="5">
        <f t="shared" ca="1" si="14"/>
        <v>0</v>
      </c>
      <c r="W35" s="5" t="e">
        <f t="shared" ca="1" si="28"/>
        <v>#N/A</v>
      </c>
      <c r="X35" s="67">
        <f t="shared" ca="1" si="29"/>
        <v>0</v>
      </c>
      <c r="Y35" s="67" t="e">
        <f t="shared" ca="1" si="36"/>
        <v>#N/A</v>
      </c>
      <c r="Z35" s="67" t="e">
        <f t="shared" ca="1" si="37"/>
        <v>#N/A</v>
      </c>
      <c r="AA35" s="5" t="str">
        <f>IF(Setup!$I$15="Yes",'Demand background (hide)'!AJ23+'SPC background (hide)'!C35,"")</f>
        <v/>
      </c>
      <c r="AC35" s="5" t="str">
        <f t="shared" ca="1" si="30"/>
        <v/>
      </c>
      <c r="AD35" s="5" t="str">
        <f t="shared" ca="1" si="31"/>
        <v/>
      </c>
      <c r="AG35" s="67" t="e">
        <f t="shared" ca="1" si="12"/>
        <v>#VALUE!</v>
      </c>
      <c r="AH35" s="67">
        <v>34</v>
      </c>
      <c r="AI35" s="67">
        <f t="shared" ca="1" si="4"/>
        <v>5</v>
      </c>
      <c r="AJ35" s="39">
        <f t="shared" ca="1" si="5"/>
        <v>0</v>
      </c>
      <c r="AK35" s="39">
        <f t="shared" ca="1" si="6"/>
        <v>0</v>
      </c>
      <c r="AL35" s="39">
        <f t="shared" ca="1" si="7"/>
        <v>0</v>
      </c>
      <c r="AM35" s="39">
        <f t="shared" ca="1" si="8"/>
        <v>0</v>
      </c>
      <c r="AN35" s="39">
        <f t="shared" ca="1" si="9"/>
        <v>0</v>
      </c>
      <c r="AO35" s="39">
        <f t="shared" ca="1" si="0"/>
        <v>0</v>
      </c>
      <c r="AP35" s="39">
        <f t="shared" ca="1" si="1"/>
        <v>0</v>
      </c>
      <c r="AQ35" s="39">
        <f t="shared" ca="1" si="2"/>
        <v>0</v>
      </c>
      <c r="AR35" s="5" t="str">
        <f t="shared" ca="1" si="10"/>
        <v/>
      </c>
      <c r="AS35" s="5" t="str">
        <f t="shared" ca="1" si="3"/>
        <v/>
      </c>
      <c r="AT35" s="5" t="str">
        <f t="shared" ca="1" si="11"/>
        <v/>
      </c>
    </row>
    <row r="36" spans="1:46" x14ac:dyDescent="0.2">
      <c r="A36" s="67" t="str">
        <f ca="1">Demand!C33</f>
        <v/>
      </c>
      <c r="B36" s="67">
        <v>21</v>
      </c>
      <c r="C36" s="5">
        <f ca="1">'Demand background (hide)'!Y24</f>
        <v>0</v>
      </c>
      <c r="D36" s="67">
        <f t="shared" si="15"/>
        <v>0</v>
      </c>
      <c r="E36" s="67" t="e">
        <f t="shared" ca="1" si="16"/>
        <v>#N/A</v>
      </c>
      <c r="F36" s="67" t="e">
        <f t="shared" ca="1" si="17"/>
        <v>#N/A</v>
      </c>
      <c r="G36" s="67" t="e">
        <f t="shared" ca="1" si="18"/>
        <v>#N/A</v>
      </c>
      <c r="H36" s="67" t="e">
        <f>IF('Demand background (hide)'!AN24&lt;&gt;"",'SPC background (hide)'!C36,NA())</f>
        <v>#N/A</v>
      </c>
      <c r="I36" s="67">
        <f t="shared" ca="1" si="19"/>
        <v>5</v>
      </c>
      <c r="J36" s="5">
        <f t="shared" ca="1" si="20"/>
        <v>0</v>
      </c>
      <c r="K36" s="5">
        <f t="shared" ca="1" si="21"/>
        <v>0</v>
      </c>
      <c r="L36" s="5">
        <f t="shared" ca="1" si="22"/>
        <v>0</v>
      </c>
      <c r="M36" s="5">
        <f t="shared" ca="1" si="23"/>
        <v>0</v>
      </c>
      <c r="N36" s="5">
        <f t="shared" ca="1" si="24"/>
        <v>0</v>
      </c>
      <c r="O36" s="5">
        <f t="shared" ca="1" si="25"/>
        <v>0</v>
      </c>
      <c r="P36" s="5">
        <f t="shared" ca="1" si="26"/>
        <v>0</v>
      </c>
      <c r="Q36" s="5" t="e">
        <f t="shared" ca="1" si="27"/>
        <v>#N/A</v>
      </c>
      <c r="R36" s="5">
        <f t="shared" ca="1" si="32"/>
        <v>0</v>
      </c>
      <c r="S36" s="67" t="e">
        <f t="shared" ca="1" si="33"/>
        <v>#N/A</v>
      </c>
      <c r="T36" s="67">
        <f t="shared" ca="1" si="34"/>
        <v>0</v>
      </c>
      <c r="U36" s="67" t="e">
        <f t="shared" ca="1" si="35"/>
        <v>#N/A</v>
      </c>
      <c r="V36" s="5">
        <f t="shared" ca="1" si="14"/>
        <v>0</v>
      </c>
      <c r="W36" s="5" t="e">
        <f t="shared" ca="1" si="28"/>
        <v>#N/A</v>
      </c>
      <c r="X36" s="67">
        <f t="shared" ca="1" si="29"/>
        <v>0</v>
      </c>
      <c r="Y36" s="67" t="e">
        <f t="shared" ca="1" si="36"/>
        <v>#N/A</v>
      </c>
      <c r="Z36" s="67" t="e">
        <f t="shared" ca="1" si="37"/>
        <v>#N/A</v>
      </c>
      <c r="AA36" s="5" t="str">
        <f>IF(Setup!$I$15="Yes",'Demand background (hide)'!AJ24+'SPC background (hide)'!C36,"")</f>
        <v/>
      </c>
      <c r="AC36" s="5" t="str">
        <f t="shared" ca="1" si="30"/>
        <v/>
      </c>
      <c r="AD36" s="5" t="str">
        <f t="shared" ca="1" si="31"/>
        <v/>
      </c>
      <c r="AG36" s="67" t="e">
        <f t="shared" ca="1" si="12"/>
        <v>#VALUE!</v>
      </c>
      <c r="AH36" s="67">
        <v>35</v>
      </c>
      <c r="AI36" s="67">
        <f t="shared" ca="1" si="4"/>
        <v>5</v>
      </c>
      <c r="AJ36" s="39">
        <f t="shared" ca="1" si="5"/>
        <v>0</v>
      </c>
      <c r="AK36" s="39">
        <f t="shared" ca="1" si="6"/>
        <v>0</v>
      </c>
      <c r="AL36" s="39">
        <f t="shared" ca="1" si="7"/>
        <v>0</v>
      </c>
      <c r="AM36" s="39">
        <f t="shared" ca="1" si="8"/>
        <v>0</v>
      </c>
      <c r="AN36" s="39">
        <f t="shared" ca="1" si="9"/>
        <v>0</v>
      </c>
      <c r="AO36" s="39">
        <f t="shared" ca="1" si="0"/>
        <v>0</v>
      </c>
      <c r="AP36" s="39">
        <f t="shared" ca="1" si="1"/>
        <v>0</v>
      </c>
      <c r="AQ36" s="39">
        <f t="shared" ca="1" si="2"/>
        <v>0</v>
      </c>
      <c r="AR36" s="5" t="str">
        <f t="shared" ca="1" si="10"/>
        <v/>
      </c>
      <c r="AS36" s="5" t="str">
        <f t="shared" ca="1" si="3"/>
        <v/>
      </c>
      <c r="AT36" s="5" t="str">
        <f t="shared" ca="1" si="11"/>
        <v/>
      </c>
    </row>
    <row r="37" spans="1:46" x14ac:dyDescent="0.2">
      <c r="A37" s="67" t="str">
        <f ca="1">Demand!C34</f>
        <v/>
      </c>
      <c r="B37" s="67">
        <v>22</v>
      </c>
      <c r="C37" s="5">
        <f ca="1">'Demand background (hide)'!Y25</f>
        <v>0</v>
      </c>
      <c r="D37" s="67">
        <f t="shared" si="15"/>
        <v>0</v>
      </c>
      <c r="E37" s="67" t="e">
        <f t="shared" ca="1" si="16"/>
        <v>#N/A</v>
      </c>
      <c r="F37" s="67" t="e">
        <f t="shared" ca="1" si="17"/>
        <v>#N/A</v>
      </c>
      <c r="G37" s="67" t="e">
        <f t="shared" ca="1" si="18"/>
        <v>#N/A</v>
      </c>
      <c r="H37" s="67" t="e">
        <f>IF('Demand background (hide)'!AN25&lt;&gt;"",'SPC background (hide)'!C37,NA())</f>
        <v>#N/A</v>
      </c>
      <c r="I37" s="67">
        <f t="shared" ca="1" si="19"/>
        <v>5</v>
      </c>
      <c r="J37" s="5">
        <f t="shared" ca="1" si="20"/>
        <v>0</v>
      </c>
      <c r="K37" s="5">
        <f t="shared" ca="1" si="21"/>
        <v>0</v>
      </c>
      <c r="L37" s="5">
        <f t="shared" ca="1" si="22"/>
        <v>0</v>
      </c>
      <c r="M37" s="5">
        <f t="shared" ca="1" si="23"/>
        <v>0</v>
      </c>
      <c r="N37" s="5">
        <f t="shared" ca="1" si="24"/>
        <v>0</v>
      </c>
      <c r="O37" s="5">
        <f t="shared" ca="1" si="25"/>
        <v>0</v>
      </c>
      <c r="P37" s="5">
        <f t="shared" ca="1" si="26"/>
        <v>0</v>
      </c>
      <c r="Q37" s="5" t="e">
        <f t="shared" ca="1" si="27"/>
        <v>#N/A</v>
      </c>
      <c r="R37" s="5">
        <f t="shared" ca="1" si="32"/>
        <v>0</v>
      </c>
      <c r="S37" s="67" t="e">
        <f t="shared" ca="1" si="33"/>
        <v>#N/A</v>
      </c>
      <c r="T37" s="67">
        <f t="shared" ca="1" si="34"/>
        <v>0</v>
      </c>
      <c r="U37" s="67" t="e">
        <f t="shared" ca="1" si="35"/>
        <v>#N/A</v>
      </c>
      <c r="V37" s="5">
        <f t="shared" ca="1" si="14"/>
        <v>0</v>
      </c>
      <c r="W37" s="5" t="e">
        <f t="shared" ca="1" si="28"/>
        <v>#N/A</v>
      </c>
      <c r="X37" s="67">
        <f t="shared" ca="1" si="29"/>
        <v>0</v>
      </c>
      <c r="Y37" s="67" t="e">
        <f t="shared" ca="1" si="36"/>
        <v>#N/A</v>
      </c>
      <c r="Z37" s="67" t="e">
        <f t="shared" ca="1" si="37"/>
        <v>#N/A</v>
      </c>
      <c r="AA37" s="5" t="str">
        <f>IF(Setup!$I$15="Yes",'Demand background (hide)'!AJ25+'SPC background (hide)'!C37,"")</f>
        <v/>
      </c>
      <c r="AC37" s="5" t="str">
        <f t="shared" ca="1" si="30"/>
        <v/>
      </c>
      <c r="AD37" s="5" t="str">
        <f t="shared" ca="1" si="31"/>
        <v/>
      </c>
      <c r="AG37" s="67" t="e">
        <f t="shared" ca="1" si="12"/>
        <v>#VALUE!</v>
      </c>
      <c r="AH37" s="67">
        <v>36</v>
      </c>
      <c r="AI37" s="67">
        <f t="shared" ca="1" si="4"/>
        <v>5</v>
      </c>
      <c r="AJ37" s="39">
        <f t="shared" ca="1" si="5"/>
        <v>0</v>
      </c>
      <c r="AK37" s="39">
        <f t="shared" ca="1" si="6"/>
        <v>0</v>
      </c>
      <c r="AL37" s="39">
        <f t="shared" ca="1" si="7"/>
        <v>0</v>
      </c>
      <c r="AM37" s="39">
        <f t="shared" ca="1" si="8"/>
        <v>0</v>
      </c>
      <c r="AN37" s="39">
        <f t="shared" ca="1" si="9"/>
        <v>0</v>
      </c>
      <c r="AO37" s="39">
        <f t="shared" ca="1" si="0"/>
        <v>0</v>
      </c>
      <c r="AP37" s="39">
        <f t="shared" ca="1" si="1"/>
        <v>0</v>
      </c>
      <c r="AQ37" s="39">
        <f t="shared" ca="1" si="2"/>
        <v>0</v>
      </c>
      <c r="AR37" s="5" t="str">
        <f t="shared" ca="1" si="10"/>
        <v/>
      </c>
      <c r="AS37" s="5" t="str">
        <f t="shared" ca="1" si="3"/>
        <v/>
      </c>
      <c r="AT37" s="5" t="str">
        <f t="shared" ca="1" si="11"/>
        <v/>
      </c>
    </row>
    <row r="38" spans="1:46" x14ac:dyDescent="0.2">
      <c r="A38" s="67" t="str">
        <f ca="1">Demand!C35</f>
        <v/>
      </c>
      <c r="B38" s="67">
        <v>23</v>
      </c>
      <c r="C38" s="5">
        <f ca="1">'Demand background (hide)'!Y26</f>
        <v>0</v>
      </c>
      <c r="D38" s="67">
        <f t="shared" si="15"/>
        <v>0</v>
      </c>
      <c r="E38" s="67" t="e">
        <f t="shared" ca="1" si="16"/>
        <v>#N/A</v>
      </c>
      <c r="F38" s="67" t="e">
        <f t="shared" ca="1" si="17"/>
        <v>#N/A</v>
      </c>
      <c r="G38" s="67" t="e">
        <f t="shared" ca="1" si="18"/>
        <v>#N/A</v>
      </c>
      <c r="H38" s="67" t="e">
        <f>IF('Demand background (hide)'!AN26&lt;&gt;"",'SPC background (hide)'!C38,NA())</f>
        <v>#N/A</v>
      </c>
      <c r="I38" s="67">
        <f t="shared" ca="1" si="19"/>
        <v>5</v>
      </c>
      <c r="J38" s="5">
        <f t="shared" ca="1" si="20"/>
        <v>0</v>
      </c>
      <c r="K38" s="5">
        <f t="shared" ca="1" si="21"/>
        <v>0</v>
      </c>
      <c r="L38" s="5">
        <f t="shared" ca="1" si="22"/>
        <v>0</v>
      </c>
      <c r="M38" s="5">
        <f t="shared" ca="1" si="23"/>
        <v>0</v>
      </c>
      <c r="N38" s="5">
        <f t="shared" ca="1" si="24"/>
        <v>0</v>
      </c>
      <c r="O38" s="5">
        <f t="shared" ca="1" si="25"/>
        <v>0</v>
      </c>
      <c r="P38" s="5">
        <f t="shared" ca="1" si="26"/>
        <v>0</v>
      </c>
      <c r="Q38" s="5" t="e">
        <f t="shared" ca="1" si="27"/>
        <v>#N/A</v>
      </c>
      <c r="R38" s="5">
        <f t="shared" ca="1" si="32"/>
        <v>0</v>
      </c>
      <c r="S38" s="67" t="e">
        <f t="shared" ca="1" si="33"/>
        <v>#N/A</v>
      </c>
      <c r="T38" s="67">
        <f t="shared" ca="1" si="34"/>
        <v>0</v>
      </c>
      <c r="U38" s="67" t="e">
        <f t="shared" ca="1" si="35"/>
        <v>#N/A</v>
      </c>
      <c r="V38" s="5">
        <f t="shared" ca="1" si="14"/>
        <v>0</v>
      </c>
      <c r="W38" s="5" t="e">
        <f t="shared" ca="1" si="28"/>
        <v>#N/A</v>
      </c>
      <c r="X38" s="67">
        <f t="shared" ca="1" si="29"/>
        <v>0</v>
      </c>
      <c r="Y38" s="67" t="e">
        <f t="shared" ca="1" si="36"/>
        <v>#N/A</v>
      </c>
      <c r="Z38" s="67" t="e">
        <f t="shared" ca="1" si="37"/>
        <v>#N/A</v>
      </c>
      <c r="AA38" s="5" t="str">
        <f>IF(Setup!$I$15="Yes",'Demand background (hide)'!AJ26+'SPC background (hide)'!C38,"")</f>
        <v/>
      </c>
      <c r="AC38" s="5" t="str">
        <f t="shared" ca="1" si="30"/>
        <v/>
      </c>
      <c r="AD38" s="5" t="str">
        <f t="shared" ca="1" si="31"/>
        <v/>
      </c>
      <c r="AG38" s="67" t="e">
        <f t="shared" ca="1" si="12"/>
        <v>#VALUE!</v>
      </c>
      <c r="AH38" s="67">
        <v>37</v>
      </c>
      <c r="AI38" s="67">
        <f t="shared" ca="1" si="4"/>
        <v>5</v>
      </c>
      <c r="AJ38" s="39">
        <f t="shared" ca="1" si="5"/>
        <v>0</v>
      </c>
      <c r="AK38" s="39">
        <f t="shared" ca="1" si="6"/>
        <v>0</v>
      </c>
      <c r="AL38" s="39">
        <f t="shared" ca="1" si="7"/>
        <v>0</v>
      </c>
      <c r="AM38" s="39">
        <f t="shared" ca="1" si="8"/>
        <v>0</v>
      </c>
      <c r="AN38" s="39">
        <f t="shared" ca="1" si="9"/>
        <v>0</v>
      </c>
      <c r="AO38" s="39">
        <f t="shared" ca="1" si="0"/>
        <v>0</v>
      </c>
      <c r="AP38" s="39">
        <f t="shared" ca="1" si="1"/>
        <v>0</v>
      </c>
      <c r="AQ38" s="39">
        <f t="shared" ca="1" si="2"/>
        <v>0</v>
      </c>
      <c r="AR38" s="5" t="str">
        <f t="shared" ca="1" si="10"/>
        <v/>
      </c>
      <c r="AS38" s="5" t="str">
        <f t="shared" ca="1" si="3"/>
        <v/>
      </c>
      <c r="AT38" s="5" t="str">
        <f t="shared" ca="1" si="11"/>
        <v/>
      </c>
    </row>
    <row r="39" spans="1:46" x14ac:dyDescent="0.2">
      <c r="A39" s="67" t="str">
        <f ca="1">Demand!C36</f>
        <v/>
      </c>
      <c r="B39" s="67">
        <v>24</v>
      </c>
      <c r="C39" s="5">
        <f ca="1">'Demand background (hide)'!Y27</f>
        <v>0</v>
      </c>
      <c r="D39" s="67">
        <f t="shared" si="15"/>
        <v>0</v>
      </c>
      <c r="E39" s="67" t="e">
        <f t="shared" ca="1" si="16"/>
        <v>#N/A</v>
      </c>
      <c r="F39" s="67" t="e">
        <f t="shared" ca="1" si="17"/>
        <v>#N/A</v>
      </c>
      <c r="G39" s="67" t="e">
        <f t="shared" ca="1" si="18"/>
        <v>#N/A</v>
      </c>
      <c r="H39" s="67" t="e">
        <f>IF('Demand background (hide)'!AN27&lt;&gt;"",'SPC background (hide)'!C39,NA())</f>
        <v>#N/A</v>
      </c>
      <c r="I39" s="67">
        <f t="shared" ca="1" si="19"/>
        <v>5</v>
      </c>
      <c r="J39" s="5">
        <f t="shared" ca="1" si="20"/>
        <v>0</v>
      </c>
      <c r="K39" s="5">
        <f t="shared" ca="1" si="21"/>
        <v>0</v>
      </c>
      <c r="L39" s="5">
        <f t="shared" ca="1" si="22"/>
        <v>0</v>
      </c>
      <c r="M39" s="5">
        <f t="shared" ca="1" si="23"/>
        <v>0</v>
      </c>
      <c r="N39" s="5">
        <f t="shared" ca="1" si="24"/>
        <v>0</v>
      </c>
      <c r="O39" s="5">
        <f t="shared" ca="1" si="25"/>
        <v>0</v>
      </c>
      <c r="P39" s="5">
        <f t="shared" ca="1" si="26"/>
        <v>0</v>
      </c>
      <c r="Q39" s="5" t="e">
        <f t="shared" ca="1" si="27"/>
        <v>#N/A</v>
      </c>
      <c r="R39" s="5">
        <f t="shared" ca="1" si="32"/>
        <v>0</v>
      </c>
      <c r="S39" s="67" t="e">
        <f t="shared" ca="1" si="33"/>
        <v>#N/A</v>
      </c>
      <c r="T39" s="67">
        <f t="shared" ca="1" si="34"/>
        <v>0</v>
      </c>
      <c r="U39" s="67" t="e">
        <f t="shared" ca="1" si="35"/>
        <v>#N/A</v>
      </c>
      <c r="V39" s="5">
        <f t="shared" ca="1" si="14"/>
        <v>0</v>
      </c>
      <c r="W39" s="5" t="e">
        <f t="shared" ca="1" si="28"/>
        <v>#N/A</v>
      </c>
      <c r="X39" s="67">
        <f t="shared" ca="1" si="29"/>
        <v>0</v>
      </c>
      <c r="Y39" s="67" t="e">
        <f t="shared" ca="1" si="36"/>
        <v>#N/A</v>
      </c>
      <c r="Z39" s="67" t="e">
        <f t="shared" ca="1" si="37"/>
        <v>#N/A</v>
      </c>
      <c r="AA39" s="5" t="str">
        <f>IF(Setup!$I$15="Yes",'Demand background (hide)'!AJ27+'SPC background (hide)'!C39,"")</f>
        <v/>
      </c>
      <c r="AC39" s="5" t="str">
        <f t="shared" ca="1" si="30"/>
        <v/>
      </c>
      <c r="AD39" s="5" t="str">
        <f t="shared" ca="1" si="31"/>
        <v/>
      </c>
      <c r="AG39" s="67" t="e">
        <f t="shared" ca="1" si="12"/>
        <v>#VALUE!</v>
      </c>
      <c r="AH39" s="67">
        <v>38</v>
      </c>
      <c r="AI39" s="67">
        <f t="shared" ca="1" si="4"/>
        <v>5</v>
      </c>
      <c r="AJ39" s="39">
        <f t="shared" ca="1" si="5"/>
        <v>0</v>
      </c>
      <c r="AK39" s="39">
        <f t="shared" ca="1" si="6"/>
        <v>0</v>
      </c>
      <c r="AL39" s="39">
        <f t="shared" ca="1" si="7"/>
        <v>0</v>
      </c>
      <c r="AM39" s="39">
        <f t="shared" ca="1" si="8"/>
        <v>0</v>
      </c>
      <c r="AN39" s="39">
        <f t="shared" ca="1" si="9"/>
        <v>0</v>
      </c>
      <c r="AO39" s="39">
        <f t="shared" ca="1" si="0"/>
        <v>0</v>
      </c>
      <c r="AP39" s="39">
        <f t="shared" ca="1" si="1"/>
        <v>0</v>
      </c>
      <c r="AQ39" s="39">
        <f t="shared" ca="1" si="2"/>
        <v>0</v>
      </c>
      <c r="AR39" s="5" t="str">
        <f t="shared" ca="1" si="10"/>
        <v/>
      </c>
      <c r="AS39" s="5" t="str">
        <f t="shared" ca="1" si="3"/>
        <v/>
      </c>
      <c r="AT39" s="5" t="str">
        <f t="shared" ca="1" si="11"/>
        <v/>
      </c>
    </row>
    <row r="40" spans="1:46" x14ac:dyDescent="0.2">
      <c r="A40" s="67" t="str">
        <f ca="1">Demand!C37</f>
        <v/>
      </c>
      <c r="B40" s="67">
        <v>25</v>
      </c>
      <c r="C40" s="5">
        <f ca="1">'Demand background (hide)'!Y28</f>
        <v>0</v>
      </c>
      <c r="D40" s="67">
        <f t="shared" si="15"/>
        <v>0</v>
      </c>
      <c r="E40" s="67" t="e">
        <f t="shared" ca="1" si="16"/>
        <v>#N/A</v>
      </c>
      <c r="F40" s="67" t="e">
        <f t="shared" ca="1" si="17"/>
        <v>#N/A</v>
      </c>
      <c r="G40" s="67" t="e">
        <f t="shared" ca="1" si="18"/>
        <v>#N/A</v>
      </c>
      <c r="H40" s="67" t="e">
        <f>IF('Demand background (hide)'!AN28&lt;&gt;"",'SPC background (hide)'!C40,NA())</f>
        <v>#N/A</v>
      </c>
      <c r="I40" s="67">
        <f t="shared" ca="1" si="19"/>
        <v>5</v>
      </c>
      <c r="J40" s="5">
        <f t="shared" ca="1" si="20"/>
        <v>0</v>
      </c>
      <c r="K40" s="5">
        <f t="shared" ca="1" si="21"/>
        <v>0</v>
      </c>
      <c r="L40" s="5">
        <f t="shared" ca="1" si="22"/>
        <v>0</v>
      </c>
      <c r="M40" s="5">
        <f t="shared" ca="1" si="23"/>
        <v>0</v>
      </c>
      <c r="N40" s="5">
        <f t="shared" ca="1" si="24"/>
        <v>0</v>
      </c>
      <c r="O40" s="5">
        <f t="shared" ca="1" si="25"/>
        <v>0</v>
      </c>
      <c r="P40" s="5">
        <f t="shared" ca="1" si="26"/>
        <v>0</v>
      </c>
      <c r="Q40" s="5" t="e">
        <f t="shared" ca="1" si="27"/>
        <v>#N/A</v>
      </c>
      <c r="R40" s="5">
        <f t="shared" ca="1" si="32"/>
        <v>0</v>
      </c>
      <c r="S40" s="67" t="e">
        <f t="shared" ca="1" si="33"/>
        <v>#N/A</v>
      </c>
      <c r="T40" s="67">
        <f t="shared" ca="1" si="34"/>
        <v>0</v>
      </c>
      <c r="U40" s="67" t="e">
        <f t="shared" ca="1" si="35"/>
        <v>#N/A</v>
      </c>
      <c r="V40" s="5">
        <f t="shared" ca="1" si="14"/>
        <v>0</v>
      </c>
      <c r="W40" s="5" t="e">
        <f t="shared" ca="1" si="28"/>
        <v>#N/A</v>
      </c>
      <c r="X40" s="67">
        <f t="shared" ca="1" si="29"/>
        <v>0</v>
      </c>
      <c r="Y40" s="67" t="e">
        <f t="shared" ca="1" si="36"/>
        <v>#N/A</v>
      </c>
      <c r="Z40" s="67" t="e">
        <f t="shared" ca="1" si="37"/>
        <v>#N/A</v>
      </c>
      <c r="AA40" s="5" t="str">
        <f>IF(Setup!$I$15="Yes",'Demand background (hide)'!AJ28+'SPC background (hide)'!C40,"")</f>
        <v/>
      </c>
      <c r="AC40" s="5" t="str">
        <f t="shared" ca="1" si="30"/>
        <v/>
      </c>
      <c r="AD40" s="5" t="str">
        <f t="shared" ca="1" si="31"/>
        <v/>
      </c>
      <c r="AG40" s="67" t="e">
        <f t="shared" ca="1" si="12"/>
        <v>#VALUE!</v>
      </c>
      <c r="AH40" s="67">
        <v>39</v>
      </c>
      <c r="AI40" s="67">
        <f t="shared" ca="1" si="4"/>
        <v>5</v>
      </c>
      <c r="AJ40" s="39">
        <f t="shared" ca="1" si="5"/>
        <v>0</v>
      </c>
      <c r="AK40" s="39">
        <f t="shared" ca="1" si="6"/>
        <v>0</v>
      </c>
      <c r="AL40" s="39">
        <f t="shared" ca="1" si="7"/>
        <v>0</v>
      </c>
      <c r="AM40" s="39">
        <f t="shared" ca="1" si="8"/>
        <v>0</v>
      </c>
      <c r="AN40" s="39">
        <f t="shared" ca="1" si="9"/>
        <v>0</v>
      </c>
      <c r="AO40" s="39">
        <f t="shared" ca="1" si="0"/>
        <v>0</v>
      </c>
      <c r="AP40" s="39">
        <f t="shared" ca="1" si="1"/>
        <v>0</v>
      </c>
      <c r="AQ40" s="39">
        <f t="shared" ca="1" si="2"/>
        <v>0</v>
      </c>
      <c r="AR40" s="5" t="str">
        <f t="shared" ca="1" si="10"/>
        <v/>
      </c>
      <c r="AS40" s="5" t="str">
        <f t="shared" ca="1" si="3"/>
        <v/>
      </c>
      <c r="AT40" s="5" t="str">
        <f t="shared" ca="1" si="11"/>
        <v/>
      </c>
    </row>
    <row r="41" spans="1:46" x14ac:dyDescent="0.2">
      <c r="A41" s="67" t="str">
        <f ca="1">Demand!C38</f>
        <v/>
      </c>
      <c r="B41" s="67">
        <v>26</v>
      </c>
      <c r="C41" s="5">
        <f ca="1">'Demand background (hide)'!Y29</f>
        <v>0</v>
      </c>
      <c r="D41" s="67">
        <f t="shared" si="15"/>
        <v>0</v>
      </c>
      <c r="E41" s="67" t="e">
        <f t="shared" ca="1" si="16"/>
        <v>#N/A</v>
      </c>
      <c r="F41" s="67" t="e">
        <f t="shared" ca="1" si="17"/>
        <v>#N/A</v>
      </c>
      <c r="G41" s="67" t="e">
        <f t="shared" ca="1" si="18"/>
        <v>#N/A</v>
      </c>
      <c r="H41" s="67" t="e">
        <f>IF('Demand background (hide)'!AN29&lt;&gt;"",'SPC background (hide)'!C41,NA())</f>
        <v>#N/A</v>
      </c>
      <c r="I41" s="67">
        <f t="shared" ca="1" si="19"/>
        <v>5</v>
      </c>
      <c r="J41" s="5">
        <f t="shared" ca="1" si="20"/>
        <v>0</v>
      </c>
      <c r="K41" s="5">
        <f t="shared" ca="1" si="21"/>
        <v>0</v>
      </c>
      <c r="L41" s="5">
        <f t="shared" ca="1" si="22"/>
        <v>0</v>
      </c>
      <c r="M41" s="5">
        <f t="shared" ca="1" si="23"/>
        <v>0</v>
      </c>
      <c r="N41" s="5">
        <f t="shared" ca="1" si="24"/>
        <v>0</v>
      </c>
      <c r="O41" s="5">
        <f t="shared" ca="1" si="25"/>
        <v>0</v>
      </c>
      <c r="P41" s="5">
        <f t="shared" ca="1" si="26"/>
        <v>0</v>
      </c>
      <c r="Q41" s="5" t="e">
        <f t="shared" ca="1" si="27"/>
        <v>#N/A</v>
      </c>
      <c r="R41" s="5">
        <f t="shared" ca="1" si="32"/>
        <v>0</v>
      </c>
      <c r="S41" s="67" t="e">
        <f t="shared" ca="1" si="33"/>
        <v>#N/A</v>
      </c>
      <c r="T41" s="67">
        <f t="shared" ca="1" si="34"/>
        <v>0</v>
      </c>
      <c r="U41" s="67" t="e">
        <f t="shared" ca="1" si="35"/>
        <v>#N/A</v>
      </c>
      <c r="V41" s="5">
        <f t="shared" ca="1" si="14"/>
        <v>0</v>
      </c>
      <c r="W41" s="5" t="e">
        <f t="shared" ca="1" si="28"/>
        <v>#N/A</v>
      </c>
      <c r="X41" s="67">
        <f t="shared" ca="1" si="29"/>
        <v>0</v>
      </c>
      <c r="Y41" s="67" t="e">
        <f t="shared" ca="1" si="36"/>
        <v>#N/A</v>
      </c>
      <c r="Z41" s="67" t="e">
        <f t="shared" ca="1" si="37"/>
        <v>#N/A</v>
      </c>
      <c r="AA41" s="5" t="str">
        <f>IF(Setup!$I$15="Yes",'Demand background (hide)'!AJ29+'SPC background (hide)'!C41,"")</f>
        <v/>
      </c>
      <c r="AC41" s="5" t="str">
        <f t="shared" ca="1" si="30"/>
        <v/>
      </c>
      <c r="AD41" s="5" t="str">
        <f t="shared" ca="1" si="31"/>
        <v/>
      </c>
      <c r="AG41" s="67" t="e">
        <f t="shared" ca="1" si="12"/>
        <v>#VALUE!</v>
      </c>
      <c r="AH41" s="67">
        <v>40</v>
      </c>
      <c r="AI41" s="67">
        <f t="shared" ca="1" si="4"/>
        <v>5</v>
      </c>
      <c r="AJ41" s="39">
        <f t="shared" ca="1" si="5"/>
        <v>0</v>
      </c>
      <c r="AK41" s="39">
        <f t="shared" ca="1" si="6"/>
        <v>0</v>
      </c>
      <c r="AL41" s="39">
        <f t="shared" ca="1" si="7"/>
        <v>0</v>
      </c>
      <c r="AM41" s="39">
        <f t="shared" ca="1" si="8"/>
        <v>0</v>
      </c>
      <c r="AN41" s="39">
        <f t="shared" ca="1" si="9"/>
        <v>0</v>
      </c>
      <c r="AO41" s="39">
        <f t="shared" ca="1" si="0"/>
        <v>0</v>
      </c>
      <c r="AP41" s="39">
        <f t="shared" ca="1" si="1"/>
        <v>0</v>
      </c>
      <c r="AQ41" s="39">
        <f t="shared" ca="1" si="2"/>
        <v>0</v>
      </c>
      <c r="AR41" s="5" t="str">
        <f t="shared" ca="1" si="10"/>
        <v/>
      </c>
      <c r="AS41" s="5" t="str">
        <f t="shared" ca="1" si="3"/>
        <v/>
      </c>
      <c r="AT41" s="5" t="str">
        <f t="shared" ca="1" si="11"/>
        <v/>
      </c>
    </row>
    <row r="42" spans="1:46" x14ac:dyDescent="0.2">
      <c r="A42" s="67" t="str">
        <f ca="1">Demand!C39</f>
        <v/>
      </c>
      <c r="B42" s="67">
        <v>27</v>
      </c>
      <c r="C42" s="5">
        <f ca="1">'Demand background (hide)'!Y30</f>
        <v>0</v>
      </c>
      <c r="D42" s="67">
        <f t="shared" si="15"/>
        <v>0</v>
      </c>
      <c r="E42" s="67" t="e">
        <f t="shared" ca="1" si="16"/>
        <v>#N/A</v>
      </c>
      <c r="F42" s="67" t="e">
        <f t="shared" ca="1" si="17"/>
        <v>#N/A</v>
      </c>
      <c r="G42" s="67" t="e">
        <f t="shared" ca="1" si="18"/>
        <v>#N/A</v>
      </c>
      <c r="H42" s="67" t="e">
        <f>IF('Demand background (hide)'!AN30&lt;&gt;"",'SPC background (hide)'!C42,NA())</f>
        <v>#N/A</v>
      </c>
      <c r="I42" s="67">
        <f t="shared" ca="1" si="19"/>
        <v>5</v>
      </c>
      <c r="J42" s="5">
        <f t="shared" ca="1" si="20"/>
        <v>0</v>
      </c>
      <c r="K42" s="5">
        <f t="shared" ca="1" si="21"/>
        <v>0</v>
      </c>
      <c r="L42" s="5">
        <f t="shared" ca="1" si="22"/>
        <v>0</v>
      </c>
      <c r="M42" s="5">
        <f t="shared" ca="1" si="23"/>
        <v>0</v>
      </c>
      <c r="N42" s="5">
        <f t="shared" ca="1" si="24"/>
        <v>0</v>
      </c>
      <c r="O42" s="5">
        <f t="shared" ca="1" si="25"/>
        <v>0</v>
      </c>
      <c r="P42" s="5">
        <f t="shared" ca="1" si="26"/>
        <v>0</v>
      </c>
      <c r="Q42" s="5" t="e">
        <f t="shared" ca="1" si="27"/>
        <v>#N/A</v>
      </c>
      <c r="R42" s="5">
        <f t="shared" ca="1" si="32"/>
        <v>0</v>
      </c>
      <c r="S42" s="67" t="e">
        <f t="shared" ca="1" si="33"/>
        <v>#N/A</v>
      </c>
      <c r="T42" s="67">
        <f t="shared" ca="1" si="34"/>
        <v>0</v>
      </c>
      <c r="U42" s="67" t="e">
        <f t="shared" ca="1" si="35"/>
        <v>#N/A</v>
      </c>
      <c r="V42" s="5">
        <f t="shared" ca="1" si="14"/>
        <v>0</v>
      </c>
      <c r="W42" s="5" t="e">
        <f t="shared" ca="1" si="28"/>
        <v>#N/A</v>
      </c>
      <c r="X42" s="67">
        <f t="shared" ca="1" si="29"/>
        <v>0</v>
      </c>
      <c r="Y42" s="67" t="e">
        <f t="shared" ca="1" si="36"/>
        <v>#N/A</v>
      </c>
      <c r="Z42" s="67" t="e">
        <f t="shared" ca="1" si="37"/>
        <v>#N/A</v>
      </c>
      <c r="AA42" s="5" t="str">
        <f>IF(Setup!$I$15="Yes",'Demand background (hide)'!AJ30+'SPC background (hide)'!C42,"")</f>
        <v/>
      </c>
      <c r="AC42" s="5" t="str">
        <f t="shared" ca="1" si="30"/>
        <v/>
      </c>
      <c r="AD42" s="5" t="str">
        <f t="shared" ca="1" si="31"/>
        <v/>
      </c>
      <c r="AG42" s="67" t="e">
        <f t="shared" ca="1" si="12"/>
        <v>#VALUE!</v>
      </c>
      <c r="AH42" s="67">
        <v>41</v>
      </c>
      <c r="AI42" s="67">
        <f t="shared" ca="1" si="4"/>
        <v>5</v>
      </c>
      <c r="AJ42" s="39">
        <f t="shared" ca="1" si="5"/>
        <v>0</v>
      </c>
      <c r="AK42" s="39">
        <f t="shared" ca="1" si="6"/>
        <v>0</v>
      </c>
      <c r="AL42" s="39">
        <f t="shared" ca="1" si="7"/>
        <v>0</v>
      </c>
      <c r="AM42" s="39">
        <f t="shared" ca="1" si="8"/>
        <v>0</v>
      </c>
      <c r="AN42" s="39">
        <f t="shared" ca="1" si="9"/>
        <v>0</v>
      </c>
      <c r="AO42" s="39">
        <f t="shared" ca="1" si="0"/>
        <v>0</v>
      </c>
      <c r="AP42" s="39">
        <f t="shared" ca="1" si="1"/>
        <v>0</v>
      </c>
      <c r="AQ42" s="39">
        <f t="shared" ca="1" si="2"/>
        <v>0</v>
      </c>
      <c r="AR42" s="5" t="str">
        <f t="shared" ca="1" si="10"/>
        <v/>
      </c>
      <c r="AS42" s="5" t="str">
        <f t="shared" ca="1" si="3"/>
        <v/>
      </c>
      <c r="AT42" s="5" t="str">
        <f t="shared" ca="1" si="11"/>
        <v/>
      </c>
    </row>
    <row r="43" spans="1:46" x14ac:dyDescent="0.2">
      <c r="A43" s="67" t="str">
        <f ca="1">Demand!C40</f>
        <v/>
      </c>
      <c r="B43" s="67">
        <v>28</v>
      </c>
      <c r="C43" s="5">
        <f ca="1">'Demand background (hide)'!Y31</f>
        <v>0</v>
      </c>
      <c r="D43" s="67">
        <f t="shared" si="15"/>
        <v>0</v>
      </c>
      <c r="E43" s="67" t="e">
        <f t="shared" ca="1" si="16"/>
        <v>#N/A</v>
      </c>
      <c r="F43" s="67" t="e">
        <f t="shared" ca="1" si="17"/>
        <v>#N/A</v>
      </c>
      <c r="G43" s="67" t="e">
        <f t="shared" ca="1" si="18"/>
        <v>#N/A</v>
      </c>
      <c r="H43" s="67" t="e">
        <f>IF('Demand background (hide)'!AN31&lt;&gt;"",'SPC background (hide)'!C43,NA())</f>
        <v>#N/A</v>
      </c>
      <c r="I43" s="67">
        <f t="shared" ca="1" si="19"/>
        <v>5</v>
      </c>
      <c r="J43" s="5">
        <f t="shared" ca="1" si="20"/>
        <v>0</v>
      </c>
      <c r="K43" s="5">
        <f t="shared" ca="1" si="21"/>
        <v>0</v>
      </c>
      <c r="L43" s="5">
        <f t="shared" ca="1" si="22"/>
        <v>0</v>
      </c>
      <c r="M43" s="5">
        <f t="shared" ca="1" si="23"/>
        <v>0</v>
      </c>
      <c r="N43" s="5">
        <f t="shared" ca="1" si="24"/>
        <v>0</v>
      </c>
      <c r="O43" s="5">
        <f t="shared" ca="1" si="25"/>
        <v>0</v>
      </c>
      <c r="P43" s="5">
        <f t="shared" ca="1" si="26"/>
        <v>0</v>
      </c>
      <c r="Q43" s="5" t="e">
        <f t="shared" ca="1" si="27"/>
        <v>#N/A</v>
      </c>
      <c r="R43" s="5">
        <f t="shared" ca="1" si="32"/>
        <v>0</v>
      </c>
      <c r="S43" s="67" t="e">
        <f t="shared" ca="1" si="33"/>
        <v>#N/A</v>
      </c>
      <c r="T43" s="67">
        <f t="shared" ca="1" si="34"/>
        <v>0</v>
      </c>
      <c r="U43" s="67" t="e">
        <f t="shared" ca="1" si="35"/>
        <v>#N/A</v>
      </c>
      <c r="V43" s="5">
        <f t="shared" ca="1" si="14"/>
        <v>0</v>
      </c>
      <c r="W43" s="5" t="e">
        <f t="shared" ca="1" si="28"/>
        <v>#N/A</v>
      </c>
      <c r="X43" s="67">
        <f t="shared" ca="1" si="29"/>
        <v>0</v>
      </c>
      <c r="Y43" s="67" t="e">
        <f t="shared" ca="1" si="36"/>
        <v>#N/A</v>
      </c>
      <c r="Z43" s="67" t="e">
        <f t="shared" ca="1" si="37"/>
        <v>#N/A</v>
      </c>
      <c r="AA43" s="5" t="str">
        <f>IF(Setup!$I$15="Yes",'Demand background (hide)'!AJ31+'SPC background (hide)'!C43,"")</f>
        <v/>
      </c>
      <c r="AC43" s="5" t="str">
        <f t="shared" ca="1" si="30"/>
        <v/>
      </c>
      <c r="AD43" s="5" t="str">
        <f t="shared" ca="1" si="31"/>
        <v/>
      </c>
      <c r="AG43" s="67" t="e">
        <f t="shared" ca="1" si="12"/>
        <v>#VALUE!</v>
      </c>
      <c r="AH43" s="67">
        <v>42</v>
      </c>
      <c r="AI43" s="67">
        <f t="shared" ca="1" si="4"/>
        <v>5</v>
      </c>
      <c r="AJ43" s="39">
        <f t="shared" ca="1" si="5"/>
        <v>0</v>
      </c>
      <c r="AK43" s="39">
        <f t="shared" ca="1" si="6"/>
        <v>0</v>
      </c>
      <c r="AL43" s="39">
        <f t="shared" ca="1" si="7"/>
        <v>0</v>
      </c>
      <c r="AM43" s="39">
        <f t="shared" ca="1" si="8"/>
        <v>0</v>
      </c>
      <c r="AN43" s="39">
        <f t="shared" ca="1" si="9"/>
        <v>0</v>
      </c>
      <c r="AO43" s="39">
        <f t="shared" ca="1" si="0"/>
        <v>0</v>
      </c>
      <c r="AP43" s="39">
        <f t="shared" ca="1" si="1"/>
        <v>0</v>
      </c>
      <c r="AQ43" s="39">
        <f t="shared" ca="1" si="2"/>
        <v>0</v>
      </c>
      <c r="AR43" s="5" t="str">
        <f t="shared" ca="1" si="10"/>
        <v/>
      </c>
      <c r="AS43" s="5" t="str">
        <f t="shared" ca="1" si="3"/>
        <v/>
      </c>
      <c r="AT43" s="5" t="str">
        <f t="shared" ca="1" si="11"/>
        <v/>
      </c>
    </row>
    <row r="44" spans="1:46" x14ac:dyDescent="0.2">
      <c r="A44" s="67" t="str">
        <f ca="1">Demand!C41</f>
        <v/>
      </c>
      <c r="B44" s="67">
        <v>29</v>
      </c>
      <c r="C44" s="5">
        <f ca="1">'Demand background (hide)'!Y32</f>
        <v>0</v>
      </c>
      <c r="D44" s="67">
        <f t="shared" si="15"/>
        <v>0</v>
      </c>
      <c r="E44" s="67" t="e">
        <f t="shared" ca="1" si="16"/>
        <v>#N/A</v>
      </c>
      <c r="F44" s="67" t="e">
        <f t="shared" ca="1" si="17"/>
        <v>#N/A</v>
      </c>
      <c r="G44" s="67" t="e">
        <f t="shared" ca="1" si="18"/>
        <v>#N/A</v>
      </c>
      <c r="H44" s="67" t="e">
        <f>IF('Demand background (hide)'!AN32&lt;&gt;"",'SPC background (hide)'!C44,NA())</f>
        <v>#N/A</v>
      </c>
      <c r="I44" s="67">
        <f t="shared" ca="1" si="19"/>
        <v>5</v>
      </c>
      <c r="J44" s="5">
        <f t="shared" ca="1" si="20"/>
        <v>0</v>
      </c>
      <c r="K44" s="5">
        <f t="shared" ca="1" si="21"/>
        <v>0</v>
      </c>
      <c r="L44" s="5">
        <f t="shared" ca="1" si="22"/>
        <v>0</v>
      </c>
      <c r="M44" s="5">
        <f t="shared" ca="1" si="23"/>
        <v>0</v>
      </c>
      <c r="N44" s="5">
        <f t="shared" ca="1" si="24"/>
        <v>0</v>
      </c>
      <c r="O44" s="5">
        <f t="shared" ca="1" si="25"/>
        <v>0</v>
      </c>
      <c r="P44" s="5">
        <f t="shared" ca="1" si="26"/>
        <v>0</v>
      </c>
      <c r="Q44" s="5" t="e">
        <f t="shared" ca="1" si="27"/>
        <v>#N/A</v>
      </c>
      <c r="R44" s="5">
        <f t="shared" ca="1" si="32"/>
        <v>0</v>
      </c>
      <c r="S44" s="67" t="e">
        <f t="shared" ca="1" si="33"/>
        <v>#N/A</v>
      </c>
      <c r="T44" s="67">
        <f t="shared" ca="1" si="34"/>
        <v>0</v>
      </c>
      <c r="U44" s="67" t="e">
        <f t="shared" ca="1" si="35"/>
        <v>#N/A</v>
      </c>
      <c r="V44" s="5">
        <f t="shared" ca="1" si="14"/>
        <v>0</v>
      </c>
      <c r="W44" s="5" t="e">
        <f t="shared" ca="1" si="28"/>
        <v>#N/A</v>
      </c>
      <c r="X44" s="67">
        <f t="shared" ca="1" si="29"/>
        <v>0</v>
      </c>
      <c r="Y44" s="67" t="e">
        <f t="shared" ca="1" si="36"/>
        <v>#N/A</v>
      </c>
      <c r="Z44" s="67" t="e">
        <f t="shared" ca="1" si="37"/>
        <v>#N/A</v>
      </c>
      <c r="AA44" s="5" t="str">
        <f>IF(Setup!$I$15="Yes",'Demand background (hide)'!AJ32+'SPC background (hide)'!C44,"")</f>
        <v/>
      </c>
      <c r="AC44" s="5" t="str">
        <f t="shared" ca="1" si="30"/>
        <v/>
      </c>
      <c r="AD44" s="5" t="str">
        <f t="shared" ca="1" si="31"/>
        <v/>
      </c>
      <c r="AG44" s="67" t="e">
        <f t="shared" ca="1" si="12"/>
        <v>#VALUE!</v>
      </c>
      <c r="AH44" s="67">
        <v>43</v>
      </c>
      <c r="AI44" s="67">
        <f t="shared" ca="1" si="4"/>
        <v>5</v>
      </c>
      <c r="AJ44" s="39">
        <f t="shared" ca="1" si="5"/>
        <v>0</v>
      </c>
      <c r="AK44" s="39">
        <f t="shared" ca="1" si="6"/>
        <v>0</v>
      </c>
      <c r="AL44" s="39">
        <f t="shared" ca="1" si="7"/>
        <v>0</v>
      </c>
      <c r="AM44" s="39">
        <f t="shared" ca="1" si="8"/>
        <v>0</v>
      </c>
      <c r="AN44" s="39">
        <f t="shared" ca="1" si="9"/>
        <v>0</v>
      </c>
      <c r="AO44" s="39">
        <f t="shared" ca="1" si="0"/>
        <v>0</v>
      </c>
      <c r="AP44" s="39">
        <f t="shared" ca="1" si="1"/>
        <v>0</v>
      </c>
      <c r="AQ44" s="39">
        <f t="shared" ca="1" si="2"/>
        <v>0</v>
      </c>
      <c r="AR44" s="5" t="str">
        <f t="shared" ca="1" si="10"/>
        <v/>
      </c>
      <c r="AS44" s="5" t="str">
        <f t="shared" ca="1" si="3"/>
        <v/>
      </c>
      <c r="AT44" s="5" t="str">
        <f t="shared" ca="1" si="11"/>
        <v/>
      </c>
    </row>
    <row r="45" spans="1:46" x14ac:dyDescent="0.2">
      <c r="A45" s="67" t="str">
        <f ca="1">Demand!C42</f>
        <v/>
      </c>
      <c r="B45" s="67">
        <v>30</v>
      </c>
      <c r="C45" s="5">
        <f ca="1">'Demand background (hide)'!Y33</f>
        <v>0</v>
      </c>
      <c r="D45" s="67">
        <f t="shared" si="15"/>
        <v>0</v>
      </c>
      <c r="E45" s="67" t="e">
        <f t="shared" ca="1" si="16"/>
        <v>#N/A</v>
      </c>
      <c r="F45" s="67" t="e">
        <f t="shared" ca="1" si="17"/>
        <v>#N/A</v>
      </c>
      <c r="G45" s="67" t="e">
        <f t="shared" ca="1" si="18"/>
        <v>#N/A</v>
      </c>
      <c r="H45" s="67" t="e">
        <f>IF('Demand background (hide)'!AN33&lt;&gt;"",'SPC background (hide)'!C45,NA())</f>
        <v>#N/A</v>
      </c>
      <c r="I45" s="67">
        <f t="shared" ca="1" si="19"/>
        <v>5</v>
      </c>
      <c r="J45" s="5">
        <f t="shared" ca="1" si="20"/>
        <v>0</v>
      </c>
      <c r="K45" s="5">
        <f t="shared" ca="1" si="21"/>
        <v>0</v>
      </c>
      <c r="L45" s="5">
        <f t="shared" ca="1" si="22"/>
        <v>0</v>
      </c>
      <c r="M45" s="5">
        <f t="shared" ca="1" si="23"/>
        <v>0</v>
      </c>
      <c r="N45" s="5">
        <f t="shared" ca="1" si="24"/>
        <v>0</v>
      </c>
      <c r="O45" s="5">
        <f t="shared" ca="1" si="25"/>
        <v>0</v>
      </c>
      <c r="P45" s="5">
        <f t="shared" ca="1" si="26"/>
        <v>0</v>
      </c>
      <c r="Q45" s="5" t="e">
        <f t="shared" ca="1" si="27"/>
        <v>#N/A</v>
      </c>
      <c r="R45" s="5">
        <f t="shared" ca="1" si="32"/>
        <v>0</v>
      </c>
      <c r="S45" s="67" t="e">
        <f t="shared" ca="1" si="33"/>
        <v>#N/A</v>
      </c>
      <c r="T45" s="67">
        <f t="shared" ca="1" si="34"/>
        <v>0</v>
      </c>
      <c r="U45" s="67" t="e">
        <f t="shared" ca="1" si="35"/>
        <v>#N/A</v>
      </c>
      <c r="V45" s="5">
        <f t="shared" ca="1" si="14"/>
        <v>0</v>
      </c>
      <c r="W45" s="5" t="e">
        <f t="shared" ca="1" si="28"/>
        <v>#N/A</v>
      </c>
      <c r="X45" s="67">
        <f t="shared" ca="1" si="29"/>
        <v>0</v>
      </c>
      <c r="Y45" s="67" t="e">
        <f t="shared" ca="1" si="36"/>
        <v>#N/A</v>
      </c>
      <c r="Z45" s="67" t="e">
        <f t="shared" ca="1" si="37"/>
        <v>#N/A</v>
      </c>
      <c r="AA45" s="5" t="str">
        <f>IF(Setup!$I$15="Yes",'Demand background (hide)'!AJ33+'SPC background (hide)'!C45,"")</f>
        <v/>
      </c>
      <c r="AC45" s="5" t="str">
        <f t="shared" ca="1" si="30"/>
        <v/>
      </c>
      <c r="AD45" s="5" t="str">
        <f t="shared" ca="1" si="31"/>
        <v/>
      </c>
      <c r="AG45" s="67" t="e">
        <f t="shared" ca="1" si="12"/>
        <v>#VALUE!</v>
      </c>
      <c r="AH45" s="67">
        <v>44</v>
      </c>
      <c r="AI45" s="67">
        <f t="shared" ca="1" si="4"/>
        <v>5</v>
      </c>
      <c r="AJ45" s="39">
        <f t="shared" ca="1" si="5"/>
        <v>0</v>
      </c>
      <c r="AK45" s="39">
        <f t="shared" ca="1" si="6"/>
        <v>0</v>
      </c>
      <c r="AL45" s="39">
        <f t="shared" ca="1" si="7"/>
        <v>0</v>
      </c>
      <c r="AM45" s="39">
        <f t="shared" ca="1" si="8"/>
        <v>0</v>
      </c>
      <c r="AN45" s="39">
        <f t="shared" ca="1" si="9"/>
        <v>0</v>
      </c>
      <c r="AO45" s="39">
        <f t="shared" ca="1" si="0"/>
        <v>0</v>
      </c>
      <c r="AP45" s="39">
        <f t="shared" ca="1" si="1"/>
        <v>0</v>
      </c>
      <c r="AQ45" s="39">
        <f t="shared" ca="1" si="2"/>
        <v>0</v>
      </c>
      <c r="AR45" s="5" t="str">
        <f t="shared" ca="1" si="10"/>
        <v/>
      </c>
      <c r="AS45" s="5" t="str">
        <f t="shared" ca="1" si="3"/>
        <v/>
      </c>
      <c r="AT45" s="5" t="str">
        <f t="shared" ca="1" si="11"/>
        <v/>
      </c>
    </row>
    <row r="46" spans="1:46" x14ac:dyDescent="0.2">
      <c r="A46" s="67" t="str">
        <f ca="1">Demand!C43</f>
        <v/>
      </c>
      <c r="B46" s="67">
        <v>31</v>
      </c>
      <c r="C46" s="5">
        <f ca="1">'Demand background (hide)'!Y34</f>
        <v>0</v>
      </c>
      <c r="D46" s="67">
        <f t="shared" si="15"/>
        <v>0</v>
      </c>
      <c r="E46" s="67" t="e">
        <f t="shared" ca="1" si="16"/>
        <v>#N/A</v>
      </c>
      <c r="F46" s="67" t="e">
        <f t="shared" ca="1" si="17"/>
        <v>#N/A</v>
      </c>
      <c r="G46" s="67" t="e">
        <f t="shared" ca="1" si="18"/>
        <v>#N/A</v>
      </c>
      <c r="H46" s="67" t="e">
        <f>IF('Demand background (hide)'!AN34&lt;&gt;"",'SPC background (hide)'!C46,NA())</f>
        <v>#N/A</v>
      </c>
      <c r="I46" s="67">
        <f t="shared" ca="1" si="19"/>
        <v>5</v>
      </c>
      <c r="J46" s="5">
        <f t="shared" ca="1" si="20"/>
        <v>0</v>
      </c>
      <c r="K46" s="5">
        <f t="shared" ca="1" si="21"/>
        <v>0</v>
      </c>
      <c r="L46" s="5">
        <f t="shared" ca="1" si="22"/>
        <v>0</v>
      </c>
      <c r="M46" s="5">
        <f t="shared" ca="1" si="23"/>
        <v>0</v>
      </c>
      <c r="N46" s="5">
        <f t="shared" ca="1" si="24"/>
        <v>0</v>
      </c>
      <c r="O46" s="5">
        <f t="shared" ca="1" si="25"/>
        <v>0</v>
      </c>
      <c r="P46" s="5">
        <f t="shared" ca="1" si="26"/>
        <v>0</v>
      </c>
      <c r="Q46" s="5" t="e">
        <f t="shared" ca="1" si="27"/>
        <v>#N/A</v>
      </c>
      <c r="R46" s="5">
        <f t="shared" ca="1" si="32"/>
        <v>0</v>
      </c>
      <c r="S46" s="67" t="e">
        <f t="shared" ca="1" si="33"/>
        <v>#N/A</v>
      </c>
      <c r="T46" s="67">
        <f t="shared" ca="1" si="34"/>
        <v>0</v>
      </c>
      <c r="U46" s="67" t="e">
        <f t="shared" ca="1" si="35"/>
        <v>#N/A</v>
      </c>
      <c r="V46" s="5">
        <f t="shared" ca="1" si="14"/>
        <v>0</v>
      </c>
      <c r="W46" s="5" t="e">
        <f t="shared" ca="1" si="28"/>
        <v>#N/A</v>
      </c>
      <c r="X46" s="67">
        <f t="shared" ca="1" si="29"/>
        <v>0</v>
      </c>
      <c r="Y46" s="67" t="e">
        <f t="shared" ca="1" si="36"/>
        <v>#N/A</v>
      </c>
      <c r="Z46" s="67" t="e">
        <f t="shared" ca="1" si="37"/>
        <v>#N/A</v>
      </c>
      <c r="AA46" s="5" t="str">
        <f>IF(Setup!$I$15="Yes",'Demand background (hide)'!AJ34+'SPC background (hide)'!C46,"")</f>
        <v/>
      </c>
      <c r="AC46" s="5" t="str">
        <f t="shared" ca="1" si="30"/>
        <v/>
      </c>
      <c r="AD46" s="5" t="str">
        <f t="shared" ca="1" si="31"/>
        <v/>
      </c>
      <c r="AG46" s="67" t="e">
        <f t="shared" ca="1" si="12"/>
        <v>#VALUE!</v>
      </c>
      <c r="AH46" s="67">
        <v>45</v>
      </c>
      <c r="AI46" s="67">
        <f t="shared" ca="1" si="4"/>
        <v>5</v>
      </c>
      <c r="AJ46" s="39">
        <f t="shared" ca="1" si="5"/>
        <v>0</v>
      </c>
      <c r="AK46" s="39">
        <f t="shared" ca="1" si="6"/>
        <v>0</v>
      </c>
      <c r="AL46" s="39">
        <f t="shared" ca="1" si="7"/>
        <v>0</v>
      </c>
      <c r="AM46" s="39">
        <f t="shared" ca="1" si="8"/>
        <v>0</v>
      </c>
      <c r="AN46" s="39">
        <f t="shared" ca="1" si="9"/>
        <v>0</v>
      </c>
      <c r="AO46" s="39">
        <f t="shared" ca="1" si="0"/>
        <v>0</v>
      </c>
      <c r="AP46" s="39">
        <f t="shared" ca="1" si="1"/>
        <v>0</v>
      </c>
      <c r="AQ46" s="39">
        <f t="shared" ca="1" si="2"/>
        <v>0</v>
      </c>
      <c r="AR46" s="5" t="str">
        <f t="shared" ca="1" si="10"/>
        <v/>
      </c>
      <c r="AS46" s="5" t="str">
        <f t="shared" ca="1" si="3"/>
        <v/>
      </c>
      <c r="AT46" s="5" t="str">
        <f t="shared" ca="1" si="11"/>
        <v/>
      </c>
    </row>
    <row r="47" spans="1:46" x14ac:dyDescent="0.2">
      <c r="A47" s="67" t="str">
        <f ca="1">Demand!C44</f>
        <v/>
      </c>
      <c r="B47" s="67">
        <v>32</v>
      </c>
      <c r="C47" s="5">
        <f ca="1">'Demand background (hide)'!Y35</f>
        <v>0</v>
      </c>
      <c r="D47" s="67">
        <f t="shared" si="15"/>
        <v>0</v>
      </c>
      <c r="E47" s="67" t="e">
        <f t="shared" ca="1" si="16"/>
        <v>#N/A</v>
      </c>
      <c r="F47" s="67" t="e">
        <f t="shared" ca="1" si="17"/>
        <v>#N/A</v>
      </c>
      <c r="G47" s="67" t="e">
        <f t="shared" ca="1" si="18"/>
        <v>#N/A</v>
      </c>
      <c r="H47" s="67" t="e">
        <f>IF('Demand background (hide)'!AN35&lt;&gt;"",'SPC background (hide)'!C47,NA())</f>
        <v>#N/A</v>
      </c>
      <c r="I47" s="67">
        <f t="shared" ca="1" si="19"/>
        <v>5</v>
      </c>
      <c r="J47" s="5">
        <f t="shared" ca="1" si="20"/>
        <v>0</v>
      </c>
      <c r="K47" s="5">
        <f t="shared" ca="1" si="21"/>
        <v>0</v>
      </c>
      <c r="L47" s="5">
        <f t="shared" ca="1" si="22"/>
        <v>0</v>
      </c>
      <c r="M47" s="5">
        <f t="shared" ca="1" si="23"/>
        <v>0</v>
      </c>
      <c r="N47" s="5">
        <f t="shared" ca="1" si="24"/>
        <v>0</v>
      </c>
      <c r="O47" s="5">
        <f t="shared" ca="1" si="25"/>
        <v>0</v>
      </c>
      <c r="P47" s="5">
        <f t="shared" ca="1" si="26"/>
        <v>0</v>
      </c>
      <c r="Q47" s="5" t="e">
        <f t="shared" ca="1" si="27"/>
        <v>#N/A</v>
      </c>
      <c r="R47" s="5">
        <f t="shared" ca="1" si="32"/>
        <v>0</v>
      </c>
      <c r="S47" s="67" t="e">
        <f t="shared" ca="1" si="33"/>
        <v>#N/A</v>
      </c>
      <c r="T47" s="67">
        <f t="shared" ca="1" si="34"/>
        <v>0</v>
      </c>
      <c r="U47" s="67" t="e">
        <f t="shared" ca="1" si="35"/>
        <v>#N/A</v>
      </c>
      <c r="V47" s="5">
        <f t="shared" ca="1" si="14"/>
        <v>0</v>
      </c>
      <c r="W47" s="5" t="e">
        <f t="shared" ca="1" si="28"/>
        <v>#N/A</v>
      </c>
      <c r="X47" s="67">
        <f t="shared" ca="1" si="29"/>
        <v>0</v>
      </c>
      <c r="Y47" s="67" t="e">
        <f t="shared" ca="1" si="36"/>
        <v>#N/A</v>
      </c>
      <c r="Z47" s="67" t="e">
        <f t="shared" ca="1" si="37"/>
        <v>#N/A</v>
      </c>
      <c r="AA47" s="5" t="str">
        <f>IF(Setup!$I$15="Yes",'Demand background (hide)'!AJ35+'SPC background (hide)'!C47,"")</f>
        <v/>
      </c>
      <c r="AC47" s="5" t="str">
        <f t="shared" ca="1" si="30"/>
        <v/>
      </c>
      <c r="AD47" s="5" t="str">
        <f t="shared" ca="1" si="31"/>
        <v/>
      </c>
      <c r="AG47" s="67" t="e">
        <f t="shared" ca="1" si="12"/>
        <v>#VALUE!</v>
      </c>
      <c r="AH47" s="67">
        <v>46</v>
      </c>
      <c r="AI47" s="67">
        <f t="shared" ca="1" si="4"/>
        <v>5</v>
      </c>
      <c r="AJ47" s="39">
        <f t="shared" ca="1" si="5"/>
        <v>0</v>
      </c>
      <c r="AK47" s="39">
        <f t="shared" ca="1" si="6"/>
        <v>0</v>
      </c>
      <c r="AL47" s="39">
        <f t="shared" ca="1" si="7"/>
        <v>0</v>
      </c>
      <c r="AM47" s="39">
        <f t="shared" ca="1" si="8"/>
        <v>0</v>
      </c>
      <c r="AN47" s="39">
        <f t="shared" ca="1" si="9"/>
        <v>0</v>
      </c>
      <c r="AO47" s="39">
        <f t="shared" ca="1" si="0"/>
        <v>0</v>
      </c>
      <c r="AP47" s="39">
        <f t="shared" ca="1" si="1"/>
        <v>0</v>
      </c>
      <c r="AQ47" s="39">
        <f t="shared" ca="1" si="2"/>
        <v>0</v>
      </c>
      <c r="AR47" s="5" t="str">
        <f t="shared" ca="1" si="10"/>
        <v/>
      </c>
      <c r="AS47" s="5" t="str">
        <f t="shared" ca="1" si="3"/>
        <v/>
      </c>
      <c r="AT47" s="5" t="str">
        <f t="shared" ca="1" si="11"/>
        <v/>
      </c>
    </row>
    <row r="48" spans="1:46" x14ac:dyDescent="0.2">
      <c r="A48" s="67" t="str">
        <f ca="1">Demand!C45</f>
        <v/>
      </c>
      <c r="B48" s="67">
        <v>33</v>
      </c>
      <c r="C48" s="5">
        <f ca="1">'Demand background (hide)'!Y36</f>
        <v>0</v>
      </c>
      <c r="D48" s="67">
        <f t="shared" si="15"/>
        <v>0</v>
      </c>
      <c r="E48" s="67" t="e">
        <f t="shared" ca="1" si="16"/>
        <v>#N/A</v>
      </c>
      <c r="F48" s="67" t="e">
        <f t="shared" ca="1" si="17"/>
        <v>#N/A</v>
      </c>
      <c r="G48" s="67" t="e">
        <f t="shared" ca="1" si="18"/>
        <v>#N/A</v>
      </c>
      <c r="H48" s="67" t="e">
        <f>IF('Demand background (hide)'!AN36&lt;&gt;"",'SPC background (hide)'!C48,NA())</f>
        <v>#N/A</v>
      </c>
      <c r="I48" s="67">
        <f t="shared" ca="1" si="19"/>
        <v>5</v>
      </c>
      <c r="J48" s="5">
        <f t="shared" ca="1" si="20"/>
        <v>0</v>
      </c>
      <c r="K48" s="5">
        <f t="shared" ca="1" si="21"/>
        <v>0</v>
      </c>
      <c r="L48" s="5">
        <f t="shared" ca="1" si="22"/>
        <v>0</v>
      </c>
      <c r="M48" s="5">
        <f t="shared" ca="1" si="23"/>
        <v>0</v>
      </c>
      <c r="N48" s="5">
        <f t="shared" ca="1" si="24"/>
        <v>0</v>
      </c>
      <c r="O48" s="5">
        <f t="shared" ca="1" si="25"/>
        <v>0</v>
      </c>
      <c r="P48" s="5">
        <f t="shared" ca="1" si="26"/>
        <v>0</v>
      </c>
      <c r="Q48" s="5" t="e">
        <f t="shared" ca="1" si="27"/>
        <v>#N/A</v>
      </c>
      <c r="R48" s="5">
        <f t="shared" ca="1" si="32"/>
        <v>0</v>
      </c>
      <c r="S48" s="67" t="e">
        <f t="shared" ca="1" si="33"/>
        <v>#N/A</v>
      </c>
      <c r="T48" s="67">
        <f t="shared" ca="1" si="34"/>
        <v>0</v>
      </c>
      <c r="U48" s="67" t="e">
        <f t="shared" ca="1" si="35"/>
        <v>#N/A</v>
      </c>
      <c r="V48" s="5">
        <f t="shared" ca="1" si="14"/>
        <v>0</v>
      </c>
      <c r="W48" s="5" t="e">
        <f t="shared" ca="1" si="28"/>
        <v>#N/A</v>
      </c>
      <c r="X48" s="67">
        <f t="shared" ca="1" si="29"/>
        <v>0</v>
      </c>
      <c r="Y48" s="67" t="e">
        <f t="shared" ca="1" si="36"/>
        <v>#N/A</v>
      </c>
      <c r="Z48" s="67" t="e">
        <f t="shared" ca="1" si="37"/>
        <v>#N/A</v>
      </c>
      <c r="AA48" s="5" t="str">
        <f>IF(Setup!$I$15="Yes",'Demand background (hide)'!AJ36+'SPC background (hide)'!C48,"")</f>
        <v/>
      </c>
      <c r="AC48" s="5" t="str">
        <f t="shared" ca="1" si="30"/>
        <v/>
      </c>
      <c r="AD48" s="5" t="str">
        <f t="shared" ca="1" si="31"/>
        <v/>
      </c>
      <c r="AG48" s="67" t="e">
        <f t="shared" ca="1" si="12"/>
        <v>#VALUE!</v>
      </c>
      <c r="AH48" s="67">
        <v>47</v>
      </c>
      <c r="AI48" s="67">
        <f t="shared" ca="1" si="4"/>
        <v>5</v>
      </c>
      <c r="AJ48" s="39">
        <f t="shared" ca="1" si="5"/>
        <v>0</v>
      </c>
      <c r="AK48" s="39">
        <f t="shared" ca="1" si="6"/>
        <v>0</v>
      </c>
      <c r="AL48" s="39">
        <f t="shared" ca="1" si="7"/>
        <v>0</v>
      </c>
      <c r="AM48" s="39">
        <f t="shared" ca="1" si="8"/>
        <v>0</v>
      </c>
      <c r="AN48" s="39">
        <f t="shared" ca="1" si="9"/>
        <v>0</v>
      </c>
      <c r="AO48" s="39">
        <f t="shared" ca="1" si="0"/>
        <v>0</v>
      </c>
      <c r="AP48" s="39">
        <f t="shared" ca="1" si="1"/>
        <v>0</v>
      </c>
      <c r="AQ48" s="39">
        <f t="shared" ca="1" si="2"/>
        <v>0</v>
      </c>
      <c r="AR48" s="5" t="str">
        <f t="shared" ca="1" si="10"/>
        <v/>
      </c>
      <c r="AS48" s="5" t="str">
        <f t="shared" ca="1" si="3"/>
        <v/>
      </c>
      <c r="AT48" s="5" t="str">
        <f t="shared" ca="1" si="11"/>
        <v/>
      </c>
    </row>
    <row r="49" spans="1:46" x14ac:dyDescent="0.2">
      <c r="A49" s="67" t="str">
        <f ca="1">Demand!C46</f>
        <v/>
      </c>
      <c r="B49" s="67">
        <v>34</v>
      </c>
      <c r="C49" s="5">
        <f ca="1">'Demand background (hide)'!Y37</f>
        <v>0</v>
      </c>
      <c r="D49" s="67">
        <f t="shared" si="15"/>
        <v>0</v>
      </c>
      <c r="E49" s="67" t="e">
        <f t="shared" ca="1" si="16"/>
        <v>#N/A</v>
      </c>
      <c r="F49" s="67" t="e">
        <f t="shared" ca="1" si="17"/>
        <v>#N/A</v>
      </c>
      <c r="G49" s="67" t="e">
        <f t="shared" ca="1" si="18"/>
        <v>#N/A</v>
      </c>
      <c r="H49" s="67" t="e">
        <f>IF('Demand background (hide)'!AN37&lt;&gt;"",'SPC background (hide)'!C49,NA())</f>
        <v>#N/A</v>
      </c>
      <c r="I49" s="67">
        <f t="shared" ca="1" si="19"/>
        <v>5</v>
      </c>
      <c r="J49" s="5">
        <f t="shared" ca="1" si="20"/>
        <v>0</v>
      </c>
      <c r="K49" s="5">
        <f t="shared" ca="1" si="21"/>
        <v>0</v>
      </c>
      <c r="L49" s="5">
        <f t="shared" ca="1" si="22"/>
        <v>0</v>
      </c>
      <c r="M49" s="5">
        <f t="shared" ca="1" si="23"/>
        <v>0</v>
      </c>
      <c r="N49" s="5">
        <f t="shared" ca="1" si="24"/>
        <v>0</v>
      </c>
      <c r="O49" s="5">
        <f t="shared" ca="1" si="25"/>
        <v>0</v>
      </c>
      <c r="P49" s="5">
        <f t="shared" ca="1" si="26"/>
        <v>0</v>
      </c>
      <c r="Q49" s="5" t="e">
        <f t="shared" ca="1" si="27"/>
        <v>#N/A</v>
      </c>
      <c r="R49" s="5">
        <f t="shared" ca="1" si="32"/>
        <v>0</v>
      </c>
      <c r="S49" s="67" t="e">
        <f t="shared" ca="1" si="33"/>
        <v>#N/A</v>
      </c>
      <c r="T49" s="67">
        <f t="shared" ca="1" si="34"/>
        <v>0</v>
      </c>
      <c r="U49" s="67" t="e">
        <f t="shared" ca="1" si="35"/>
        <v>#N/A</v>
      </c>
      <c r="V49" s="5">
        <f t="shared" ca="1" si="14"/>
        <v>0</v>
      </c>
      <c r="W49" s="5" t="e">
        <f t="shared" ca="1" si="28"/>
        <v>#N/A</v>
      </c>
      <c r="X49" s="67">
        <f t="shared" ca="1" si="29"/>
        <v>0</v>
      </c>
      <c r="Y49" s="67" t="e">
        <f t="shared" ca="1" si="36"/>
        <v>#N/A</v>
      </c>
      <c r="Z49" s="67" t="e">
        <f t="shared" ca="1" si="37"/>
        <v>#N/A</v>
      </c>
      <c r="AA49" s="5" t="str">
        <f>IF(Setup!$I$15="Yes",'Demand background (hide)'!AJ37+'SPC background (hide)'!C49,"")</f>
        <v/>
      </c>
      <c r="AC49" s="5" t="str">
        <f t="shared" ca="1" si="30"/>
        <v/>
      </c>
      <c r="AD49" s="5" t="str">
        <f t="shared" ca="1" si="31"/>
        <v/>
      </c>
      <c r="AG49" s="67" t="e">
        <f t="shared" ca="1" si="12"/>
        <v>#VALUE!</v>
      </c>
      <c r="AH49" s="67">
        <v>48</v>
      </c>
      <c r="AI49" s="67">
        <f t="shared" ca="1" si="4"/>
        <v>5</v>
      </c>
      <c r="AJ49" s="39">
        <f t="shared" ca="1" si="5"/>
        <v>0</v>
      </c>
      <c r="AK49" s="39">
        <f t="shared" ca="1" si="6"/>
        <v>0</v>
      </c>
      <c r="AL49" s="39">
        <f t="shared" ca="1" si="7"/>
        <v>0</v>
      </c>
      <c r="AM49" s="39">
        <f t="shared" ca="1" si="8"/>
        <v>0</v>
      </c>
      <c r="AN49" s="39">
        <f t="shared" ca="1" si="9"/>
        <v>0</v>
      </c>
      <c r="AO49" s="39">
        <f t="shared" ca="1" si="0"/>
        <v>0</v>
      </c>
      <c r="AP49" s="39">
        <f t="shared" ca="1" si="1"/>
        <v>0</v>
      </c>
      <c r="AQ49" s="39">
        <f t="shared" ca="1" si="2"/>
        <v>0</v>
      </c>
      <c r="AR49" s="5" t="str">
        <f t="shared" ca="1" si="10"/>
        <v/>
      </c>
      <c r="AS49" s="5" t="str">
        <f t="shared" ca="1" si="3"/>
        <v/>
      </c>
      <c r="AT49" s="5" t="str">
        <f t="shared" ca="1" si="11"/>
        <v/>
      </c>
    </row>
    <row r="50" spans="1:46" x14ac:dyDescent="0.2">
      <c r="A50" s="67" t="str">
        <f ca="1">Demand!C47</f>
        <v/>
      </c>
      <c r="B50" s="67">
        <v>35</v>
      </c>
      <c r="C50" s="5">
        <f ca="1">'Demand background (hide)'!Y38</f>
        <v>0</v>
      </c>
      <c r="D50" s="67">
        <f t="shared" si="15"/>
        <v>0</v>
      </c>
      <c r="E50" s="67" t="e">
        <f t="shared" ca="1" si="16"/>
        <v>#N/A</v>
      </c>
      <c r="F50" s="67" t="e">
        <f t="shared" ca="1" si="17"/>
        <v>#N/A</v>
      </c>
      <c r="G50" s="67" t="e">
        <f t="shared" ca="1" si="18"/>
        <v>#N/A</v>
      </c>
      <c r="H50" s="67" t="e">
        <f>IF('Demand background (hide)'!AN38&lt;&gt;"",'SPC background (hide)'!C50,NA())</f>
        <v>#N/A</v>
      </c>
      <c r="I50" s="67">
        <f t="shared" ca="1" si="19"/>
        <v>5</v>
      </c>
      <c r="J50" s="5">
        <f t="shared" ca="1" si="20"/>
        <v>0</v>
      </c>
      <c r="K50" s="5">
        <f t="shared" ca="1" si="21"/>
        <v>0</v>
      </c>
      <c r="L50" s="5">
        <f t="shared" ca="1" si="22"/>
        <v>0</v>
      </c>
      <c r="M50" s="5">
        <f t="shared" ca="1" si="23"/>
        <v>0</v>
      </c>
      <c r="N50" s="5">
        <f t="shared" ca="1" si="24"/>
        <v>0</v>
      </c>
      <c r="O50" s="5">
        <f t="shared" ca="1" si="25"/>
        <v>0</v>
      </c>
      <c r="P50" s="5">
        <f t="shared" ca="1" si="26"/>
        <v>0</v>
      </c>
      <c r="Q50" s="5" t="e">
        <f t="shared" ca="1" si="27"/>
        <v>#N/A</v>
      </c>
      <c r="R50" s="5">
        <f t="shared" ca="1" si="32"/>
        <v>0</v>
      </c>
      <c r="S50" s="67" t="e">
        <f t="shared" ca="1" si="33"/>
        <v>#N/A</v>
      </c>
      <c r="T50" s="67">
        <f t="shared" ca="1" si="34"/>
        <v>0</v>
      </c>
      <c r="U50" s="67" t="e">
        <f t="shared" ca="1" si="35"/>
        <v>#N/A</v>
      </c>
      <c r="V50" s="5">
        <f t="shared" ca="1" si="14"/>
        <v>0</v>
      </c>
      <c r="W50" s="5" t="e">
        <f t="shared" ca="1" si="28"/>
        <v>#N/A</v>
      </c>
      <c r="X50" s="67">
        <f t="shared" ca="1" si="29"/>
        <v>0</v>
      </c>
      <c r="Y50" s="67" t="e">
        <f t="shared" ca="1" si="36"/>
        <v>#N/A</v>
      </c>
      <c r="Z50" s="67" t="e">
        <f t="shared" ca="1" si="37"/>
        <v>#N/A</v>
      </c>
      <c r="AA50" s="5" t="str">
        <f>IF(Setup!$I$15="Yes",'Demand background (hide)'!AJ38+'SPC background (hide)'!C50,"")</f>
        <v/>
      </c>
      <c r="AC50" s="5" t="str">
        <f t="shared" ca="1" si="30"/>
        <v/>
      </c>
      <c r="AD50" s="5" t="str">
        <f t="shared" ca="1" si="31"/>
        <v/>
      </c>
      <c r="AG50" s="67" t="e">
        <f t="shared" ca="1" si="12"/>
        <v>#VALUE!</v>
      </c>
      <c r="AH50" s="67">
        <v>49</v>
      </c>
      <c r="AI50" s="67">
        <f t="shared" ca="1" si="4"/>
        <v>5</v>
      </c>
      <c r="AJ50" s="39">
        <f t="shared" ca="1" si="5"/>
        <v>0</v>
      </c>
      <c r="AK50" s="39">
        <f t="shared" ca="1" si="6"/>
        <v>0</v>
      </c>
      <c r="AL50" s="39">
        <f t="shared" ca="1" si="7"/>
        <v>0</v>
      </c>
      <c r="AM50" s="39">
        <f t="shared" ca="1" si="8"/>
        <v>0</v>
      </c>
      <c r="AN50" s="39">
        <f t="shared" ca="1" si="9"/>
        <v>0</v>
      </c>
      <c r="AO50" s="39">
        <f t="shared" ca="1" si="0"/>
        <v>0</v>
      </c>
      <c r="AP50" s="39">
        <f t="shared" ca="1" si="1"/>
        <v>0</v>
      </c>
      <c r="AQ50" s="39">
        <f t="shared" ca="1" si="2"/>
        <v>0</v>
      </c>
      <c r="AR50" s="5" t="str">
        <f t="shared" ca="1" si="10"/>
        <v/>
      </c>
      <c r="AS50" s="5" t="str">
        <f t="shared" ca="1" si="3"/>
        <v/>
      </c>
      <c r="AT50" s="5" t="str">
        <f t="shared" ca="1" si="11"/>
        <v/>
      </c>
    </row>
    <row r="51" spans="1:46" x14ac:dyDescent="0.2">
      <c r="A51" s="67" t="str">
        <f ca="1">Demand!C48</f>
        <v/>
      </c>
      <c r="B51" s="67">
        <v>36</v>
      </c>
      <c r="C51" s="5">
        <f ca="1">'Demand background (hide)'!Y39</f>
        <v>0</v>
      </c>
      <c r="D51" s="67">
        <f t="shared" si="15"/>
        <v>0</v>
      </c>
      <c r="E51" s="67" t="e">
        <f t="shared" ca="1" si="16"/>
        <v>#N/A</v>
      </c>
      <c r="F51" s="67" t="e">
        <f t="shared" ca="1" si="17"/>
        <v>#N/A</v>
      </c>
      <c r="G51" s="67" t="e">
        <f t="shared" ca="1" si="18"/>
        <v>#N/A</v>
      </c>
      <c r="H51" s="67" t="e">
        <f>IF('Demand background (hide)'!AN39&lt;&gt;"",'SPC background (hide)'!C51,NA())</f>
        <v>#N/A</v>
      </c>
      <c r="I51" s="67">
        <f t="shared" ca="1" si="19"/>
        <v>5</v>
      </c>
      <c r="J51" s="5">
        <f t="shared" ca="1" si="20"/>
        <v>0</v>
      </c>
      <c r="K51" s="5">
        <f t="shared" ca="1" si="21"/>
        <v>0</v>
      </c>
      <c r="L51" s="5">
        <f t="shared" ca="1" si="22"/>
        <v>0</v>
      </c>
      <c r="M51" s="5">
        <f t="shared" ca="1" si="23"/>
        <v>0</v>
      </c>
      <c r="N51" s="5">
        <f t="shared" ca="1" si="24"/>
        <v>0</v>
      </c>
      <c r="O51" s="5">
        <f t="shared" ca="1" si="25"/>
        <v>0</v>
      </c>
      <c r="P51" s="5">
        <f t="shared" ca="1" si="26"/>
        <v>0</v>
      </c>
      <c r="Q51" s="5" t="e">
        <f t="shared" ca="1" si="27"/>
        <v>#N/A</v>
      </c>
      <c r="R51" s="5">
        <f t="shared" ca="1" si="32"/>
        <v>0</v>
      </c>
      <c r="S51" s="67" t="e">
        <f t="shared" ca="1" si="33"/>
        <v>#N/A</v>
      </c>
      <c r="T51" s="67">
        <f t="shared" ca="1" si="34"/>
        <v>0</v>
      </c>
      <c r="U51" s="67" t="e">
        <f t="shared" ca="1" si="35"/>
        <v>#N/A</v>
      </c>
      <c r="V51" s="5">
        <f t="shared" ca="1" si="14"/>
        <v>0</v>
      </c>
      <c r="W51" s="5" t="e">
        <f t="shared" ca="1" si="28"/>
        <v>#N/A</v>
      </c>
      <c r="X51" s="67">
        <f t="shared" ca="1" si="29"/>
        <v>0</v>
      </c>
      <c r="Y51" s="67" t="e">
        <f t="shared" ca="1" si="36"/>
        <v>#N/A</v>
      </c>
      <c r="Z51" s="67" t="e">
        <f t="shared" ca="1" si="37"/>
        <v>#N/A</v>
      </c>
      <c r="AA51" s="5" t="str">
        <f>IF(Setup!$I$15="Yes",'Demand background (hide)'!AJ39+'SPC background (hide)'!C51,"")</f>
        <v/>
      </c>
      <c r="AC51" s="5" t="str">
        <f t="shared" ca="1" si="30"/>
        <v/>
      </c>
      <c r="AD51" s="5" t="str">
        <f t="shared" ca="1" si="31"/>
        <v/>
      </c>
      <c r="AG51" s="67" t="e">
        <f t="shared" ca="1" si="12"/>
        <v>#VALUE!</v>
      </c>
      <c r="AH51" s="67">
        <v>50</v>
      </c>
      <c r="AI51" s="67">
        <f t="shared" ca="1" si="4"/>
        <v>5</v>
      </c>
      <c r="AJ51" s="39">
        <f t="shared" ca="1" si="5"/>
        <v>0</v>
      </c>
      <c r="AK51" s="39">
        <f t="shared" ca="1" si="6"/>
        <v>0</v>
      </c>
      <c r="AL51" s="39">
        <f t="shared" ca="1" si="7"/>
        <v>0</v>
      </c>
      <c r="AM51" s="39">
        <f t="shared" ca="1" si="8"/>
        <v>0</v>
      </c>
      <c r="AN51" s="39">
        <f t="shared" ca="1" si="9"/>
        <v>0</v>
      </c>
      <c r="AO51" s="39">
        <f t="shared" ca="1" si="0"/>
        <v>0</v>
      </c>
      <c r="AP51" s="39">
        <f t="shared" ca="1" si="1"/>
        <v>0</v>
      </c>
      <c r="AQ51" s="39">
        <f t="shared" ca="1" si="2"/>
        <v>0</v>
      </c>
      <c r="AR51" s="5" t="str">
        <f t="shared" ca="1" si="10"/>
        <v/>
      </c>
      <c r="AS51" s="5" t="str">
        <f t="shared" ca="1" si="3"/>
        <v/>
      </c>
      <c r="AT51" s="5" t="str">
        <f t="shared" ca="1" si="11"/>
        <v/>
      </c>
    </row>
    <row r="52" spans="1:46" x14ac:dyDescent="0.2">
      <c r="A52" s="67" t="str">
        <f ca="1">Demand!C49</f>
        <v/>
      </c>
      <c r="B52" s="67">
        <v>37</v>
      </c>
      <c r="C52" s="5">
        <f ca="1">'Demand background (hide)'!Y40</f>
        <v>0</v>
      </c>
      <c r="D52" s="67">
        <f t="shared" si="15"/>
        <v>0</v>
      </c>
      <c r="E52" s="67" t="e">
        <f t="shared" ca="1" si="16"/>
        <v>#N/A</v>
      </c>
      <c r="F52" s="67" t="e">
        <f t="shared" ca="1" si="17"/>
        <v>#N/A</v>
      </c>
      <c r="G52" s="67" t="e">
        <f t="shared" ca="1" si="18"/>
        <v>#N/A</v>
      </c>
      <c r="H52" s="67" t="e">
        <f>IF('Demand background (hide)'!AN40&lt;&gt;"",'SPC background (hide)'!C52,NA())</f>
        <v>#N/A</v>
      </c>
      <c r="I52" s="67">
        <f t="shared" ca="1" si="19"/>
        <v>5</v>
      </c>
      <c r="J52" s="5">
        <f t="shared" ca="1" si="20"/>
        <v>0</v>
      </c>
      <c r="K52" s="5">
        <f t="shared" ca="1" si="21"/>
        <v>0</v>
      </c>
      <c r="L52" s="5">
        <f t="shared" ca="1" si="22"/>
        <v>0</v>
      </c>
      <c r="M52" s="5">
        <f t="shared" ca="1" si="23"/>
        <v>0</v>
      </c>
      <c r="N52" s="5">
        <f t="shared" ca="1" si="24"/>
        <v>0</v>
      </c>
      <c r="O52" s="5">
        <f t="shared" ca="1" si="25"/>
        <v>0</v>
      </c>
      <c r="P52" s="5">
        <f t="shared" ca="1" si="26"/>
        <v>0</v>
      </c>
      <c r="Q52" s="5" t="e">
        <f t="shared" ca="1" si="27"/>
        <v>#N/A</v>
      </c>
      <c r="R52" s="5">
        <f t="shared" ca="1" si="32"/>
        <v>0</v>
      </c>
      <c r="S52" s="67" t="e">
        <f t="shared" ca="1" si="33"/>
        <v>#N/A</v>
      </c>
      <c r="T52" s="67">
        <f t="shared" ca="1" si="34"/>
        <v>0</v>
      </c>
      <c r="U52" s="67" t="e">
        <f t="shared" ca="1" si="35"/>
        <v>#N/A</v>
      </c>
      <c r="V52" s="5">
        <f t="shared" ca="1" si="14"/>
        <v>0</v>
      </c>
      <c r="W52" s="5" t="e">
        <f t="shared" ca="1" si="28"/>
        <v>#N/A</v>
      </c>
      <c r="X52" s="67">
        <f t="shared" ca="1" si="29"/>
        <v>0</v>
      </c>
      <c r="Y52" s="67" t="e">
        <f t="shared" ca="1" si="36"/>
        <v>#N/A</v>
      </c>
      <c r="Z52" s="67" t="e">
        <f t="shared" ca="1" si="37"/>
        <v>#N/A</v>
      </c>
      <c r="AA52" s="5" t="str">
        <f>IF(Setup!$I$15="Yes",'Demand background (hide)'!AJ40+'SPC background (hide)'!C52,"")</f>
        <v/>
      </c>
      <c r="AC52" s="5" t="str">
        <f t="shared" ca="1" si="30"/>
        <v/>
      </c>
      <c r="AD52" s="5" t="str">
        <f t="shared" ca="1" si="31"/>
        <v/>
      </c>
      <c r="AG52" s="67" t="e">
        <f t="shared" ca="1" si="12"/>
        <v>#VALUE!</v>
      </c>
      <c r="AH52" s="67">
        <v>51</v>
      </c>
      <c r="AI52" s="67">
        <f t="shared" ca="1" si="4"/>
        <v>5</v>
      </c>
      <c r="AJ52" s="39">
        <f t="shared" ca="1" si="5"/>
        <v>0</v>
      </c>
      <c r="AK52" s="39">
        <f t="shared" ca="1" si="6"/>
        <v>0</v>
      </c>
      <c r="AL52" s="39">
        <f t="shared" ca="1" si="7"/>
        <v>0</v>
      </c>
      <c r="AM52" s="39">
        <f t="shared" ca="1" si="8"/>
        <v>0</v>
      </c>
      <c r="AN52" s="39">
        <f t="shared" ca="1" si="9"/>
        <v>0</v>
      </c>
      <c r="AO52" s="39">
        <f t="shared" ca="1" si="0"/>
        <v>0</v>
      </c>
      <c r="AP52" s="39">
        <f t="shared" ca="1" si="1"/>
        <v>0</v>
      </c>
      <c r="AQ52" s="39">
        <f t="shared" ca="1" si="2"/>
        <v>0</v>
      </c>
      <c r="AR52" s="5" t="str">
        <f t="shared" ca="1" si="10"/>
        <v/>
      </c>
      <c r="AS52" s="5" t="str">
        <f t="shared" ca="1" si="3"/>
        <v/>
      </c>
      <c r="AT52" s="5" t="str">
        <f t="shared" ca="1" si="11"/>
        <v/>
      </c>
    </row>
    <row r="53" spans="1:46" x14ac:dyDescent="0.2">
      <c r="A53" s="67" t="str">
        <f ca="1">Demand!C50</f>
        <v/>
      </c>
      <c r="B53" s="67">
        <v>38</v>
      </c>
      <c r="C53" s="5">
        <f ca="1">'Demand background (hide)'!Y41</f>
        <v>0</v>
      </c>
      <c r="D53" s="67">
        <f t="shared" si="15"/>
        <v>0</v>
      </c>
      <c r="E53" s="67" t="e">
        <f t="shared" ca="1" si="16"/>
        <v>#N/A</v>
      </c>
      <c r="F53" s="67" t="e">
        <f t="shared" ca="1" si="17"/>
        <v>#N/A</v>
      </c>
      <c r="G53" s="67" t="e">
        <f t="shared" ca="1" si="18"/>
        <v>#N/A</v>
      </c>
      <c r="H53" s="67" t="e">
        <f>IF('Demand background (hide)'!AN41&lt;&gt;"",'SPC background (hide)'!C53,NA())</f>
        <v>#N/A</v>
      </c>
      <c r="I53" s="67">
        <f t="shared" ca="1" si="19"/>
        <v>5</v>
      </c>
      <c r="J53" s="5">
        <f t="shared" ca="1" si="20"/>
        <v>0</v>
      </c>
      <c r="K53" s="5">
        <f t="shared" ca="1" si="21"/>
        <v>0</v>
      </c>
      <c r="L53" s="5">
        <f t="shared" ca="1" si="22"/>
        <v>0</v>
      </c>
      <c r="M53" s="5">
        <f t="shared" ca="1" si="23"/>
        <v>0</v>
      </c>
      <c r="N53" s="5">
        <f t="shared" ca="1" si="24"/>
        <v>0</v>
      </c>
      <c r="O53" s="5">
        <f t="shared" ca="1" si="25"/>
        <v>0</v>
      </c>
      <c r="P53" s="5">
        <f t="shared" ca="1" si="26"/>
        <v>0</v>
      </c>
      <c r="Q53" s="5" t="e">
        <f t="shared" ca="1" si="27"/>
        <v>#N/A</v>
      </c>
      <c r="R53" s="5">
        <f t="shared" ca="1" si="32"/>
        <v>0</v>
      </c>
      <c r="S53" s="67" t="e">
        <f t="shared" ca="1" si="33"/>
        <v>#N/A</v>
      </c>
      <c r="T53" s="67">
        <f t="shared" ca="1" si="34"/>
        <v>0</v>
      </c>
      <c r="U53" s="67" t="e">
        <f t="shared" ca="1" si="35"/>
        <v>#N/A</v>
      </c>
      <c r="V53" s="5">
        <f t="shared" ca="1" si="14"/>
        <v>0</v>
      </c>
      <c r="W53" s="5" t="e">
        <f t="shared" ca="1" si="28"/>
        <v>#N/A</v>
      </c>
      <c r="X53" s="67">
        <f t="shared" ca="1" si="29"/>
        <v>0</v>
      </c>
      <c r="Y53" s="67" t="e">
        <f t="shared" ca="1" si="36"/>
        <v>#N/A</v>
      </c>
      <c r="Z53" s="67" t="e">
        <f t="shared" ca="1" si="37"/>
        <v>#N/A</v>
      </c>
      <c r="AA53" s="5" t="str">
        <f>IF(Setup!$I$15="Yes",'Demand background (hide)'!AJ41+'SPC background (hide)'!C53,"")</f>
        <v/>
      </c>
      <c r="AC53" s="5" t="str">
        <f t="shared" ca="1" si="30"/>
        <v/>
      </c>
      <c r="AD53" s="5" t="str">
        <f t="shared" ca="1" si="31"/>
        <v/>
      </c>
      <c r="AG53" s="67" t="e">
        <f t="shared" ca="1" si="12"/>
        <v>#VALUE!</v>
      </c>
      <c r="AH53" s="67">
        <v>52</v>
      </c>
      <c r="AI53" s="67">
        <f t="shared" ca="1" si="4"/>
        <v>5</v>
      </c>
      <c r="AJ53" s="39">
        <f t="shared" ca="1" si="5"/>
        <v>0</v>
      </c>
      <c r="AK53" s="39">
        <f t="shared" ca="1" si="6"/>
        <v>0</v>
      </c>
      <c r="AL53" s="39">
        <f t="shared" ca="1" si="7"/>
        <v>0</v>
      </c>
      <c r="AM53" s="39">
        <f t="shared" ca="1" si="8"/>
        <v>0</v>
      </c>
      <c r="AN53" s="39">
        <f t="shared" ca="1" si="9"/>
        <v>0</v>
      </c>
      <c r="AO53" s="39">
        <f t="shared" ca="1" si="0"/>
        <v>0</v>
      </c>
      <c r="AP53" s="39">
        <f t="shared" ca="1" si="1"/>
        <v>0</v>
      </c>
      <c r="AQ53" s="39">
        <f t="shared" ca="1" si="2"/>
        <v>0</v>
      </c>
      <c r="AR53" s="5" t="str">
        <f t="shared" ca="1" si="10"/>
        <v/>
      </c>
      <c r="AS53" s="5" t="str">
        <f t="shared" ca="1" si="3"/>
        <v/>
      </c>
      <c r="AT53" s="5" t="str">
        <f t="shared" ca="1" si="11"/>
        <v/>
      </c>
    </row>
    <row r="54" spans="1:46" x14ac:dyDescent="0.2">
      <c r="A54" s="67" t="str">
        <f ca="1">Demand!C51</f>
        <v/>
      </c>
      <c r="B54" s="67">
        <v>39</v>
      </c>
      <c r="C54" s="5">
        <f ca="1">'Demand background (hide)'!Y42</f>
        <v>0</v>
      </c>
      <c r="D54" s="67">
        <f t="shared" si="15"/>
        <v>0</v>
      </c>
      <c r="E54" s="67" t="e">
        <f t="shared" ca="1" si="16"/>
        <v>#N/A</v>
      </c>
      <c r="F54" s="67" t="e">
        <f t="shared" ca="1" si="17"/>
        <v>#N/A</v>
      </c>
      <c r="G54" s="67" t="e">
        <f t="shared" ca="1" si="18"/>
        <v>#N/A</v>
      </c>
      <c r="H54" s="67" t="e">
        <f>IF('Demand background (hide)'!AN42&lt;&gt;"",'SPC background (hide)'!C54,NA())</f>
        <v>#N/A</v>
      </c>
      <c r="I54" s="67">
        <f t="shared" ca="1" si="19"/>
        <v>5</v>
      </c>
      <c r="J54" s="5">
        <f t="shared" ca="1" si="20"/>
        <v>0</v>
      </c>
      <c r="K54" s="5">
        <f t="shared" ca="1" si="21"/>
        <v>0</v>
      </c>
      <c r="L54" s="5">
        <f t="shared" ca="1" si="22"/>
        <v>0</v>
      </c>
      <c r="M54" s="5">
        <f t="shared" ca="1" si="23"/>
        <v>0</v>
      </c>
      <c r="N54" s="5">
        <f t="shared" ca="1" si="24"/>
        <v>0</v>
      </c>
      <c r="O54" s="5">
        <f t="shared" ca="1" si="25"/>
        <v>0</v>
      </c>
      <c r="P54" s="5">
        <f t="shared" ca="1" si="26"/>
        <v>0</v>
      </c>
      <c r="Q54" s="5" t="e">
        <f t="shared" ca="1" si="27"/>
        <v>#N/A</v>
      </c>
      <c r="R54" s="5">
        <f t="shared" ca="1" si="32"/>
        <v>0</v>
      </c>
      <c r="S54" s="67" t="e">
        <f t="shared" ca="1" si="33"/>
        <v>#N/A</v>
      </c>
      <c r="T54" s="67">
        <f t="shared" ca="1" si="34"/>
        <v>0</v>
      </c>
      <c r="U54" s="67" t="e">
        <f t="shared" ca="1" si="35"/>
        <v>#N/A</v>
      </c>
      <c r="V54" s="5">
        <f t="shared" ca="1" si="14"/>
        <v>0</v>
      </c>
      <c r="W54" s="5" t="e">
        <f t="shared" ca="1" si="28"/>
        <v>#N/A</v>
      </c>
      <c r="X54" s="67">
        <f t="shared" ca="1" si="29"/>
        <v>0</v>
      </c>
      <c r="Y54" s="67" t="e">
        <f t="shared" ca="1" si="36"/>
        <v>#N/A</v>
      </c>
      <c r="Z54" s="67" t="e">
        <f t="shared" ca="1" si="37"/>
        <v>#N/A</v>
      </c>
      <c r="AA54" s="5" t="str">
        <f>IF(Setup!$I$15="Yes",'Demand background (hide)'!AJ42+'SPC background (hide)'!C54,"")</f>
        <v/>
      </c>
      <c r="AC54" s="5" t="str">
        <f t="shared" ca="1" si="30"/>
        <v/>
      </c>
      <c r="AD54" s="5" t="str">
        <f t="shared" ca="1" si="31"/>
        <v/>
      </c>
      <c r="AG54" s="67" t="e">
        <f t="shared" ca="1" si="12"/>
        <v>#VALUE!</v>
      </c>
      <c r="AH54" s="67">
        <v>53</v>
      </c>
      <c r="AI54" s="67">
        <f t="shared" ca="1" si="4"/>
        <v>5</v>
      </c>
      <c r="AJ54" s="39">
        <f t="shared" ca="1" si="5"/>
        <v>0</v>
      </c>
      <c r="AK54" s="39">
        <f t="shared" ca="1" si="6"/>
        <v>0</v>
      </c>
      <c r="AL54" s="39">
        <f t="shared" ca="1" si="7"/>
        <v>0</v>
      </c>
      <c r="AM54" s="39">
        <f t="shared" ca="1" si="8"/>
        <v>0</v>
      </c>
      <c r="AN54" s="39">
        <f t="shared" ca="1" si="9"/>
        <v>0</v>
      </c>
      <c r="AO54" s="39">
        <f t="shared" ca="1" si="0"/>
        <v>0</v>
      </c>
      <c r="AP54" s="39">
        <f t="shared" ca="1" si="1"/>
        <v>0</v>
      </c>
      <c r="AQ54" s="39">
        <f t="shared" ca="1" si="2"/>
        <v>0</v>
      </c>
      <c r="AR54" s="5" t="str">
        <f t="shared" ca="1" si="10"/>
        <v/>
      </c>
      <c r="AS54" s="5" t="str">
        <f t="shared" ca="1" si="3"/>
        <v/>
      </c>
      <c r="AT54" s="5" t="str">
        <f t="shared" ca="1" si="11"/>
        <v/>
      </c>
    </row>
    <row r="55" spans="1:46" x14ac:dyDescent="0.2">
      <c r="A55" s="67" t="str">
        <f ca="1">Demand!C52</f>
        <v/>
      </c>
      <c r="B55" s="67">
        <v>40</v>
      </c>
      <c r="C55" s="5">
        <f ca="1">'Demand background (hide)'!Y43</f>
        <v>0</v>
      </c>
      <c r="D55" s="67">
        <f t="shared" si="15"/>
        <v>0</v>
      </c>
      <c r="E55" s="67" t="e">
        <f t="shared" ca="1" si="16"/>
        <v>#N/A</v>
      </c>
      <c r="F55" s="67" t="e">
        <f t="shared" ca="1" si="17"/>
        <v>#N/A</v>
      </c>
      <c r="G55" s="67" t="e">
        <f t="shared" ca="1" si="18"/>
        <v>#N/A</v>
      </c>
      <c r="H55" s="67" t="e">
        <f>IF('Demand background (hide)'!AN43&lt;&gt;"",'SPC background (hide)'!C55,NA())</f>
        <v>#N/A</v>
      </c>
      <c r="I55" s="67">
        <f t="shared" ca="1" si="19"/>
        <v>5</v>
      </c>
      <c r="J55" s="5">
        <f t="shared" ca="1" si="20"/>
        <v>0</v>
      </c>
      <c r="K55" s="5">
        <f t="shared" ca="1" si="21"/>
        <v>0</v>
      </c>
      <c r="L55" s="5">
        <f t="shared" ca="1" si="22"/>
        <v>0</v>
      </c>
      <c r="M55" s="5">
        <f t="shared" ca="1" si="23"/>
        <v>0</v>
      </c>
      <c r="N55" s="5">
        <f t="shared" ca="1" si="24"/>
        <v>0</v>
      </c>
      <c r="O55" s="5">
        <f t="shared" ca="1" si="25"/>
        <v>0</v>
      </c>
      <c r="P55" s="5">
        <f t="shared" ca="1" si="26"/>
        <v>0</v>
      </c>
      <c r="Q55" s="5" t="e">
        <f t="shared" ca="1" si="27"/>
        <v>#N/A</v>
      </c>
      <c r="R55" s="5">
        <f t="shared" ca="1" si="32"/>
        <v>0</v>
      </c>
      <c r="S55" s="67" t="e">
        <f t="shared" ca="1" si="33"/>
        <v>#N/A</v>
      </c>
      <c r="T55" s="67">
        <f t="shared" ca="1" si="34"/>
        <v>0</v>
      </c>
      <c r="U55" s="67" t="e">
        <f t="shared" ca="1" si="35"/>
        <v>#N/A</v>
      </c>
      <c r="V55" s="5">
        <f t="shared" ca="1" si="14"/>
        <v>0</v>
      </c>
      <c r="W55" s="5" t="e">
        <f t="shared" ca="1" si="28"/>
        <v>#N/A</v>
      </c>
      <c r="X55" s="67">
        <f t="shared" ca="1" si="29"/>
        <v>0</v>
      </c>
      <c r="Y55" s="67" t="e">
        <f t="shared" ca="1" si="36"/>
        <v>#N/A</v>
      </c>
      <c r="Z55" s="67" t="e">
        <f t="shared" ca="1" si="37"/>
        <v>#N/A</v>
      </c>
      <c r="AA55" s="5" t="str">
        <f>IF(Setup!$I$15="Yes",'Demand background (hide)'!AJ43+'SPC background (hide)'!C55,"")</f>
        <v/>
      </c>
      <c r="AC55" s="5" t="str">
        <f t="shared" ca="1" si="30"/>
        <v/>
      </c>
      <c r="AD55" s="5" t="str">
        <f t="shared" ca="1" si="31"/>
        <v/>
      </c>
    </row>
    <row r="56" spans="1:46" x14ac:dyDescent="0.2">
      <c r="A56" s="67" t="str">
        <f ca="1">Demand!C53</f>
        <v/>
      </c>
      <c r="B56" s="67">
        <v>41</v>
      </c>
      <c r="C56" s="5">
        <f ca="1">'Demand background (hide)'!Y44</f>
        <v>0</v>
      </c>
      <c r="D56" s="67">
        <f t="shared" si="15"/>
        <v>0</v>
      </c>
      <c r="E56" s="67" t="e">
        <f t="shared" ca="1" si="16"/>
        <v>#N/A</v>
      </c>
      <c r="F56" s="67" t="e">
        <f t="shared" ca="1" si="17"/>
        <v>#N/A</v>
      </c>
      <c r="G56" s="67" t="e">
        <f t="shared" ca="1" si="18"/>
        <v>#N/A</v>
      </c>
      <c r="H56" s="67" t="e">
        <f>IF('Demand background (hide)'!AN44&lt;&gt;"",'SPC background (hide)'!C56,NA())</f>
        <v>#N/A</v>
      </c>
      <c r="I56" s="67">
        <f t="shared" ca="1" si="19"/>
        <v>5</v>
      </c>
      <c r="J56" s="5">
        <f t="shared" ca="1" si="20"/>
        <v>0</v>
      </c>
      <c r="K56" s="5">
        <f t="shared" ca="1" si="21"/>
        <v>0</v>
      </c>
      <c r="L56" s="5">
        <f t="shared" ca="1" si="22"/>
        <v>0</v>
      </c>
      <c r="M56" s="5">
        <f t="shared" ca="1" si="23"/>
        <v>0</v>
      </c>
      <c r="N56" s="5">
        <f t="shared" ca="1" si="24"/>
        <v>0</v>
      </c>
      <c r="O56" s="5">
        <f t="shared" ca="1" si="25"/>
        <v>0</v>
      </c>
      <c r="P56" s="5">
        <f t="shared" ca="1" si="26"/>
        <v>0</v>
      </c>
      <c r="Q56" s="5" t="e">
        <f t="shared" ca="1" si="27"/>
        <v>#N/A</v>
      </c>
      <c r="R56" s="5">
        <f t="shared" ca="1" si="32"/>
        <v>0</v>
      </c>
      <c r="S56" s="67" t="e">
        <f t="shared" ca="1" si="33"/>
        <v>#N/A</v>
      </c>
      <c r="T56" s="67">
        <f t="shared" ca="1" si="34"/>
        <v>0</v>
      </c>
      <c r="U56" s="67" t="e">
        <f t="shared" ca="1" si="35"/>
        <v>#N/A</v>
      </c>
      <c r="V56" s="5">
        <f t="shared" ca="1" si="14"/>
        <v>0</v>
      </c>
      <c r="W56" s="5" t="e">
        <f t="shared" ca="1" si="28"/>
        <v>#N/A</v>
      </c>
      <c r="X56" s="67">
        <f t="shared" ca="1" si="29"/>
        <v>0</v>
      </c>
      <c r="Y56" s="67" t="e">
        <f t="shared" ca="1" si="36"/>
        <v>#N/A</v>
      </c>
      <c r="Z56" s="67" t="e">
        <f t="shared" ca="1" si="37"/>
        <v>#N/A</v>
      </c>
      <c r="AA56" s="5" t="str">
        <f>IF(Setup!$I$15="Yes",'Demand background (hide)'!AJ44+'SPC background (hide)'!C56,"")</f>
        <v/>
      </c>
      <c r="AC56" s="5" t="str">
        <f t="shared" ca="1" si="30"/>
        <v/>
      </c>
      <c r="AD56" s="5" t="str">
        <f t="shared" ca="1" si="31"/>
        <v/>
      </c>
    </row>
    <row r="57" spans="1:46" x14ac:dyDescent="0.2">
      <c r="A57" s="67" t="str">
        <f ca="1">Demand!C54</f>
        <v/>
      </c>
      <c r="B57" s="67">
        <v>42</v>
      </c>
      <c r="C57" s="5">
        <f ca="1">'Demand background (hide)'!Y45</f>
        <v>0</v>
      </c>
      <c r="D57" s="67">
        <f t="shared" si="15"/>
        <v>0</v>
      </c>
      <c r="E57" s="67" t="e">
        <f t="shared" ca="1" si="16"/>
        <v>#N/A</v>
      </c>
      <c r="F57" s="67" t="e">
        <f t="shared" ca="1" si="17"/>
        <v>#N/A</v>
      </c>
      <c r="G57" s="67" t="e">
        <f t="shared" ca="1" si="18"/>
        <v>#N/A</v>
      </c>
      <c r="H57" s="67" t="e">
        <f>IF('Demand background (hide)'!AN45&lt;&gt;"",'SPC background (hide)'!C57,NA())</f>
        <v>#N/A</v>
      </c>
      <c r="I57" s="67">
        <f t="shared" ca="1" si="19"/>
        <v>5</v>
      </c>
      <c r="J57" s="5">
        <f t="shared" ca="1" si="20"/>
        <v>0</v>
      </c>
      <c r="K57" s="5">
        <f t="shared" ca="1" si="21"/>
        <v>0</v>
      </c>
      <c r="L57" s="5">
        <f t="shared" ca="1" si="22"/>
        <v>0</v>
      </c>
      <c r="M57" s="5">
        <f t="shared" ca="1" si="23"/>
        <v>0</v>
      </c>
      <c r="N57" s="5">
        <f t="shared" ca="1" si="24"/>
        <v>0</v>
      </c>
      <c r="O57" s="5">
        <f t="shared" ca="1" si="25"/>
        <v>0</v>
      </c>
      <c r="P57" s="5">
        <f t="shared" ca="1" si="26"/>
        <v>0</v>
      </c>
      <c r="Q57" s="5" t="e">
        <f t="shared" ca="1" si="27"/>
        <v>#N/A</v>
      </c>
      <c r="R57" s="5">
        <f t="shared" ca="1" si="32"/>
        <v>0</v>
      </c>
      <c r="S57" s="67" t="e">
        <f t="shared" ca="1" si="33"/>
        <v>#N/A</v>
      </c>
      <c r="T57" s="67">
        <f t="shared" ca="1" si="34"/>
        <v>0</v>
      </c>
      <c r="U57" s="67" t="e">
        <f t="shared" ca="1" si="35"/>
        <v>#N/A</v>
      </c>
      <c r="V57" s="5">
        <f t="shared" ca="1" si="14"/>
        <v>0</v>
      </c>
      <c r="W57" s="5" t="e">
        <f t="shared" ca="1" si="28"/>
        <v>#N/A</v>
      </c>
      <c r="X57" s="67">
        <f t="shared" ca="1" si="29"/>
        <v>0</v>
      </c>
      <c r="Y57" s="67" t="e">
        <f t="shared" ca="1" si="36"/>
        <v>#N/A</v>
      </c>
      <c r="Z57" s="67" t="e">
        <f t="shared" ca="1" si="37"/>
        <v>#N/A</v>
      </c>
      <c r="AA57" s="5" t="str">
        <f>IF(Setup!$I$15="Yes",'Demand background (hide)'!AJ45+'SPC background (hide)'!C57,"")</f>
        <v/>
      </c>
      <c r="AC57" s="5" t="str">
        <f t="shared" ca="1" si="30"/>
        <v/>
      </c>
      <c r="AD57" s="5" t="str">
        <f t="shared" ca="1" si="31"/>
        <v/>
      </c>
    </row>
    <row r="58" spans="1:46" x14ac:dyDescent="0.2">
      <c r="A58" s="67" t="str">
        <f ca="1">Demand!C55</f>
        <v/>
      </c>
      <c r="B58" s="67">
        <v>43</v>
      </c>
      <c r="C58" s="5">
        <f ca="1">'Demand background (hide)'!Y46</f>
        <v>0</v>
      </c>
      <c r="D58" s="67">
        <f t="shared" si="15"/>
        <v>0</v>
      </c>
      <c r="E58" s="67" t="e">
        <f t="shared" ca="1" si="16"/>
        <v>#N/A</v>
      </c>
      <c r="F58" s="67" t="e">
        <f t="shared" ca="1" si="17"/>
        <v>#N/A</v>
      </c>
      <c r="G58" s="67" t="e">
        <f t="shared" ca="1" si="18"/>
        <v>#N/A</v>
      </c>
      <c r="H58" s="67" t="e">
        <f>IF('Demand background (hide)'!AN46&lt;&gt;"",'SPC background (hide)'!C58,NA())</f>
        <v>#N/A</v>
      </c>
      <c r="I58" s="67">
        <f t="shared" ca="1" si="19"/>
        <v>5</v>
      </c>
      <c r="J58" s="5">
        <f t="shared" ca="1" si="20"/>
        <v>0</v>
      </c>
      <c r="K58" s="5">
        <f t="shared" ca="1" si="21"/>
        <v>0</v>
      </c>
      <c r="L58" s="5">
        <f t="shared" ca="1" si="22"/>
        <v>0</v>
      </c>
      <c r="M58" s="5">
        <f t="shared" ca="1" si="23"/>
        <v>0</v>
      </c>
      <c r="N58" s="5">
        <f t="shared" ca="1" si="24"/>
        <v>0</v>
      </c>
      <c r="O58" s="5">
        <f t="shared" ca="1" si="25"/>
        <v>0</v>
      </c>
      <c r="P58" s="5">
        <f t="shared" ca="1" si="26"/>
        <v>0</v>
      </c>
      <c r="Q58" s="5" t="e">
        <f t="shared" ca="1" si="27"/>
        <v>#N/A</v>
      </c>
      <c r="R58" s="5">
        <f t="shared" ca="1" si="32"/>
        <v>0</v>
      </c>
      <c r="S58" s="67" t="e">
        <f t="shared" ca="1" si="33"/>
        <v>#N/A</v>
      </c>
      <c r="T58" s="67">
        <f t="shared" ca="1" si="34"/>
        <v>0</v>
      </c>
      <c r="U58" s="67" t="e">
        <f t="shared" ca="1" si="35"/>
        <v>#N/A</v>
      </c>
      <c r="V58" s="5">
        <f t="shared" ca="1" si="14"/>
        <v>0</v>
      </c>
      <c r="W58" s="5" t="e">
        <f t="shared" ca="1" si="28"/>
        <v>#N/A</v>
      </c>
      <c r="X58" s="67">
        <f t="shared" ca="1" si="29"/>
        <v>0</v>
      </c>
      <c r="Y58" s="67" t="e">
        <f t="shared" ca="1" si="36"/>
        <v>#N/A</v>
      </c>
      <c r="Z58" s="67" t="e">
        <f t="shared" ca="1" si="37"/>
        <v>#N/A</v>
      </c>
      <c r="AA58" s="5" t="str">
        <f>IF(Setup!$I$15="Yes",'Demand background (hide)'!AJ46+'SPC background (hide)'!C58,"")</f>
        <v/>
      </c>
      <c r="AC58" s="5" t="str">
        <f t="shared" ca="1" si="30"/>
        <v/>
      </c>
      <c r="AD58" s="5" t="str">
        <f t="shared" ca="1" si="31"/>
        <v/>
      </c>
    </row>
    <row r="59" spans="1:46" x14ac:dyDescent="0.2">
      <c r="A59" s="67" t="str">
        <f ca="1">Demand!C56</f>
        <v/>
      </c>
      <c r="B59" s="67">
        <v>44</v>
      </c>
      <c r="C59" s="5">
        <f ca="1">'Demand background (hide)'!Y47</f>
        <v>0</v>
      </c>
      <c r="D59" s="67">
        <f t="shared" si="15"/>
        <v>0</v>
      </c>
      <c r="E59" s="67" t="e">
        <f t="shared" ca="1" si="16"/>
        <v>#N/A</v>
      </c>
      <c r="F59" s="67" t="e">
        <f t="shared" ca="1" si="17"/>
        <v>#N/A</v>
      </c>
      <c r="G59" s="67" t="e">
        <f t="shared" ca="1" si="18"/>
        <v>#N/A</v>
      </c>
      <c r="H59" s="67" t="e">
        <f>IF('Demand background (hide)'!AN47&lt;&gt;"",'SPC background (hide)'!C59,NA())</f>
        <v>#N/A</v>
      </c>
      <c r="I59" s="67">
        <f t="shared" ca="1" si="19"/>
        <v>5</v>
      </c>
      <c r="J59" s="5">
        <f t="shared" ca="1" si="20"/>
        <v>0</v>
      </c>
      <c r="K59" s="5">
        <f t="shared" ca="1" si="21"/>
        <v>0</v>
      </c>
      <c r="L59" s="5">
        <f t="shared" ca="1" si="22"/>
        <v>0</v>
      </c>
      <c r="M59" s="5">
        <f t="shared" ca="1" si="23"/>
        <v>0</v>
      </c>
      <c r="N59" s="5">
        <f t="shared" ca="1" si="24"/>
        <v>0</v>
      </c>
      <c r="O59" s="5">
        <f t="shared" ca="1" si="25"/>
        <v>0</v>
      </c>
      <c r="P59" s="5">
        <f t="shared" ca="1" si="26"/>
        <v>0</v>
      </c>
      <c r="Q59" s="5" t="e">
        <f t="shared" ca="1" si="27"/>
        <v>#N/A</v>
      </c>
      <c r="R59" s="5">
        <f t="shared" ca="1" si="32"/>
        <v>0</v>
      </c>
      <c r="S59" s="67" t="e">
        <f t="shared" ca="1" si="33"/>
        <v>#N/A</v>
      </c>
      <c r="T59" s="67">
        <f t="shared" ca="1" si="34"/>
        <v>0</v>
      </c>
      <c r="U59" s="67" t="e">
        <f t="shared" ca="1" si="35"/>
        <v>#N/A</v>
      </c>
      <c r="V59" s="5">
        <f t="shared" ca="1" si="14"/>
        <v>0</v>
      </c>
      <c r="W59" s="5" t="e">
        <f t="shared" ca="1" si="28"/>
        <v>#N/A</v>
      </c>
      <c r="X59" s="67">
        <f t="shared" ca="1" si="29"/>
        <v>0</v>
      </c>
      <c r="Y59" s="67" t="e">
        <f t="shared" ca="1" si="36"/>
        <v>#N/A</v>
      </c>
      <c r="Z59" s="67" t="e">
        <f t="shared" ca="1" si="37"/>
        <v>#N/A</v>
      </c>
      <c r="AA59" s="5" t="str">
        <f>IF(Setup!$I$15="Yes",'Demand background (hide)'!AJ47+'SPC background (hide)'!C59,"")</f>
        <v/>
      </c>
      <c r="AC59" s="5" t="str">
        <f t="shared" ca="1" si="30"/>
        <v/>
      </c>
      <c r="AD59" s="5" t="str">
        <f t="shared" ca="1" si="31"/>
        <v/>
      </c>
    </row>
    <row r="60" spans="1:46" x14ac:dyDescent="0.2">
      <c r="A60" s="67" t="str">
        <f ca="1">Demand!C57</f>
        <v/>
      </c>
      <c r="B60" s="67">
        <v>45</v>
      </c>
      <c r="C60" s="5">
        <f ca="1">'Demand background (hide)'!Y48</f>
        <v>0</v>
      </c>
      <c r="D60" s="67">
        <f t="shared" si="15"/>
        <v>0</v>
      </c>
      <c r="E60" s="67" t="e">
        <f t="shared" ca="1" si="16"/>
        <v>#N/A</v>
      </c>
      <c r="F60" s="67" t="e">
        <f t="shared" ca="1" si="17"/>
        <v>#N/A</v>
      </c>
      <c r="G60" s="67" t="e">
        <f t="shared" ca="1" si="18"/>
        <v>#N/A</v>
      </c>
      <c r="H60" s="67" t="e">
        <f>IF('Demand background (hide)'!AN48&lt;&gt;"",'SPC background (hide)'!C60,NA())</f>
        <v>#N/A</v>
      </c>
      <c r="I60" s="67">
        <f t="shared" ca="1" si="19"/>
        <v>5</v>
      </c>
      <c r="J60" s="5">
        <f t="shared" ca="1" si="20"/>
        <v>0</v>
      </c>
      <c r="K60" s="5">
        <f t="shared" ca="1" si="21"/>
        <v>0</v>
      </c>
      <c r="L60" s="5">
        <f t="shared" ca="1" si="22"/>
        <v>0</v>
      </c>
      <c r="M60" s="5">
        <f t="shared" ca="1" si="23"/>
        <v>0</v>
      </c>
      <c r="N60" s="5">
        <f t="shared" ca="1" si="24"/>
        <v>0</v>
      </c>
      <c r="O60" s="5">
        <f t="shared" ca="1" si="25"/>
        <v>0</v>
      </c>
      <c r="P60" s="5">
        <f t="shared" ca="1" si="26"/>
        <v>0</v>
      </c>
      <c r="Q60" s="5" t="e">
        <f t="shared" ca="1" si="27"/>
        <v>#N/A</v>
      </c>
      <c r="R60" s="5">
        <f t="shared" ca="1" si="32"/>
        <v>0</v>
      </c>
      <c r="S60" s="67" t="e">
        <f t="shared" ca="1" si="33"/>
        <v>#N/A</v>
      </c>
      <c r="T60" s="67">
        <f t="shared" ca="1" si="34"/>
        <v>0</v>
      </c>
      <c r="U60" s="67" t="e">
        <f t="shared" ca="1" si="35"/>
        <v>#N/A</v>
      </c>
      <c r="V60" s="5">
        <f t="shared" ca="1" si="14"/>
        <v>0</v>
      </c>
      <c r="W60" s="5" t="e">
        <f t="shared" ca="1" si="28"/>
        <v>#N/A</v>
      </c>
      <c r="X60" s="67">
        <f t="shared" ca="1" si="29"/>
        <v>0</v>
      </c>
      <c r="Y60" s="67" t="e">
        <f t="shared" ca="1" si="36"/>
        <v>#N/A</v>
      </c>
      <c r="Z60" s="67" t="e">
        <f t="shared" ca="1" si="37"/>
        <v>#N/A</v>
      </c>
      <c r="AA60" s="5" t="str">
        <f>IF(Setup!$I$15="Yes",'Demand background (hide)'!AJ48+'SPC background (hide)'!C60,"")</f>
        <v/>
      </c>
      <c r="AC60" s="5" t="str">
        <f t="shared" ca="1" si="30"/>
        <v/>
      </c>
      <c r="AD60" s="5" t="str">
        <f t="shared" ca="1" si="31"/>
        <v/>
      </c>
    </row>
    <row r="61" spans="1:46" x14ac:dyDescent="0.2">
      <c r="A61" s="67" t="str">
        <f ca="1">Demand!C58</f>
        <v/>
      </c>
      <c r="B61" s="67">
        <v>46</v>
      </c>
      <c r="C61" s="5">
        <f ca="1">'Demand background (hide)'!Y49</f>
        <v>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0</v>
      </c>
      <c r="K61" s="5">
        <f t="shared" ca="1" si="21"/>
        <v>0</v>
      </c>
      <c r="L61" s="5">
        <f t="shared" ca="1" si="22"/>
        <v>0</v>
      </c>
      <c r="M61" s="5">
        <f t="shared" ca="1" si="23"/>
        <v>0</v>
      </c>
      <c r="N61" s="5">
        <f t="shared" ca="1" si="24"/>
        <v>0</v>
      </c>
      <c r="O61" s="5">
        <f t="shared" ca="1" si="25"/>
        <v>0</v>
      </c>
      <c r="P61" s="5">
        <f t="shared" ca="1" si="26"/>
        <v>0</v>
      </c>
      <c r="Q61" s="5" t="e">
        <f t="shared" ca="1" si="27"/>
        <v>#N/A</v>
      </c>
      <c r="R61" s="5">
        <f t="shared" ca="1" si="32"/>
        <v>0</v>
      </c>
      <c r="S61" s="67" t="e">
        <f t="shared" ca="1" si="33"/>
        <v>#N/A</v>
      </c>
      <c r="T61" s="67">
        <f t="shared" ca="1" si="34"/>
        <v>0</v>
      </c>
      <c r="U61" s="67" t="e">
        <f t="shared" ca="1" si="35"/>
        <v>#N/A</v>
      </c>
      <c r="V61" s="5">
        <f t="shared" ca="1" si="14"/>
        <v>0</v>
      </c>
      <c r="W61" s="5" t="e">
        <f t="shared" ca="1" si="28"/>
        <v>#N/A</v>
      </c>
      <c r="X61" s="67">
        <f t="shared" ca="1" si="29"/>
        <v>0</v>
      </c>
      <c r="Y61" s="67" t="e">
        <f t="shared" ca="1" si="36"/>
        <v>#N/A</v>
      </c>
      <c r="Z61" s="67" t="e">
        <f t="shared" ca="1" si="37"/>
        <v>#N/A</v>
      </c>
      <c r="AA61" s="5" t="str">
        <f>IF(Setup!$I$15="Yes",'Demand background (hide)'!AJ49+'SPC background (hide)'!C61,"")</f>
        <v/>
      </c>
      <c r="AC61" s="5" t="str">
        <f t="shared" ca="1" si="30"/>
        <v/>
      </c>
      <c r="AD61" s="5" t="str">
        <f t="shared" ca="1" si="31"/>
        <v/>
      </c>
    </row>
    <row r="62" spans="1:46" x14ac:dyDescent="0.2">
      <c r="A62" s="67" t="str">
        <f ca="1">Demand!C59</f>
        <v/>
      </c>
      <c r="B62" s="67">
        <v>47</v>
      </c>
      <c r="C62" s="5">
        <f ca="1">'Demand background (hide)'!Y50</f>
        <v>0</v>
      </c>
      <c r="D62" s="67">
        <f t="shared" si="15"/>
        <v>0</v>
      </c>
      <c r="E62" s="67" t="e">
        <f t="shared" ca="1" si="16"/>
        <v>#N/A</v>
      </c>
      <c r="F62" s="67" t="e">
        <f t="shared" ca="1" si="17"/>
        <v>#N/A</v>
      </c>
      <c r="G62" s="67" t="e">
        <f t="shared" ca="1" si="18"/>
        <v>#N/A</v>
      </c>
      <c r="H62" s="67" t="e">
        <f>IF('Demand background (hide)'!AN50&lt;&gt;"",'SPC background (hide)'!C62,NA())</f>
        <v>#N/A</v>
      </c>
      <c r="I62" s="67">
        <f t="shared" ca="1" si="19"/>
        <v>5</v>
      </c>
      <c r="J62" s="5">
        <f t="shared" ca="1" si="20"/>
        <v>0</v>
      </c>
      <c r="K62" s="5">
        <f t="shared" ca="1" si="21"/>
        <v>0</v>
      </c>
      <c r="L62" s="5">
        <f t="shared" ca="1" si="22"/>
        <v>0</v>
      </c>
      <c r="M62" s="5">
        <f t="shared" ca="1" si="23"/>
        <v>0</v>
      </c>
      <c r="N62" s="5">
        <f t="shared" ca="1" si="24"/>
        <v>0</v>
      </c>
      <c r="O62" s="5">
        <f t="shared" ca="1" si="25"/>
        <v>0</v>
      </c>
      <c r="P62" s="5">
        <f t="shared" ca="1" si="26"/>
        <v>0</v>
      </c>
      <c r="Q62" s="5" t="e">
        <f t="shared" ca="1" si="27"/>
        <v>#N/A</v>
      </c>
      <c r="R62" s="5">
        <f t="shared" ca="1" si="32"/>
        <v>0</v>
      </c>
      <c r="S62" s="67" t="e">
        <f t="shared" ca="1" si="33"/>
        <v>#N/A</v>
      </c>
      <c r="T62" s="67">
        <f t="shared" ca="1" si="34"/>
        <v>0</v>
      </c>
      <c r="U62" s="67" t="e">
        <f t="shared" ca="1" si="35"/>
        <v>#N/A</v>
      </c>
      <c r="V62" s="5">
        <f t="shared" ca="1" si="14"/>
        <v>0</v>
      </c>
      <c r="W62" s="5" t="e">
        <f t="shared" ca="1" si="28"/>
        <v>#N/A</v>
      </c>
      <c r="X62" s="67">
        <f t="shared" ca="1" si="29"/>
        <v>0</v>
      </c>
      <c r="Y62" s="67" t="e">
        <f t="shared" ca="1" si="36"/>
        <v>#N/A</v>
      </c>
      <c r="Z62" s="67" t="e">
        <f t="shared" ca="1" si="37"/>
        <v>#N/A</v>
      </c>
      <c r="AA62" s="5" t="str">
        <f>IF(Setup!$I$15="Yes",'Demand background (hide)'!AJ50+'SPC background (hide)'!C62,"")</f>
        <v/>
      </c>
      <c r="AC62" s="5" t="str">
        <f t="shared" ca="1" si="30"/>
        <v/>
      </c>
      <c r="AD62" s="5" t="str">
        <f t="shared" ca="1" si="31"/>
        <v/>
      </c>
    </row>
    <row r="63" spans="1:46" x14ac:dyDescent="0.2">
      <c r="A63" s="67" t="str">
        <f ca="1">Demand!C60</f>
        <v/>
      </c>
      <c r="B63" s="67">
        <v>48</v>
      </c>
      <c r="C63" s="5">
        <f ca="1">'Demand background (hide)'!Y51</f>
        <v>0</v>
      </c>
      <c r="D63" s="67">
        <f t="shared" si="15"/>
        <v>0</v>
      </c>
      <c r="E63" s="67" t="e">
        <f t="shared" ca="1" si="16"/>
        <v>#N/A</v>
      </c>
      <c r="F63" s="67" t="e">
        <f t="shared" ca="1" si="17"/>
        <v>#N/A</v>
      </c>
      <c r="G63" s="67" t="e">
        <f t="shared" ca="1" si="18"/>
        <v>#N/A</v>
      </c>
      <c r="H63" s="67" t="e">
        <f>IF('Demand background (hide)'!AN51&lt;&gt;"",'SPC background (hide)'!C63,NA())</f>
        <v>#N/A</v>
      </c>
      <c r="I63" s="67">
        <f t="shared" ca="1" si="19"/>
        <v>5</v>
      </c>
      <c r="J63" s="5">
        <f t="shared" ca="1" si="20"/>
        <v>0</v>
      </c>
      <c r="K63" s="5">
        <f t="shared" ca="1" si="21"/>
        <v>0</v>
      </c>
      <c r="L63" s="5">
        <f t="shared" ca="1" si="22"/>
        <v>0</v>
      </c>
      <c r="M63" s="5">
        <f t="shared" ca="1" si="23"/>
        <v>0</v>
      </c>
      <c r="N63" s="5">
        <f t="shared" ca="1" si="24"/>
        <v>0</v>
      </c>
      <c r="O63" s="5">
        <f t="shared" ca="1" si="25"/>
        <v>0</v>
      </c>
      <c r="P63" s="5">
        <f t="shared" ca="1" si="26"/>
        <v>0</v>
      </c>
      <c r="Q63" s="5" t="e">
        <f t="shared" ca="1" si="27"/>
        <v>#N/A</v>
      </c>
      <c r="R63" s="5">
        <f t="shared" ca="1" si="32"/>
        <v>0</v>
      </c>
      <c r="S63" s="67" t="e">
        <f t="shared" ca="1" si="33"/>
        <v>#N/A</v>
      </c>
      <c r="T63" s="67">
        <f t="shared" ca="1" si="34"/>
        <v>0</v>
      </c>
      <c r="U63" s="67" t="e">
        <f t="shared" ca="1" si="35"/>
        <v>#N/A</v>
      </c>
      <c r="V63" s="5">
        <f t="shared" ca="1" si="14"/>
        <v>0</v>
      </c>
      <c r="W63" s="5" t="e">
        <f t="shared" ca="1" si="28"/>
        <v>#N/A</v>
      </c>
      <c r="X63" s="67">
        <f t="shared" ca="1" si="29"/>
        <v>0</v>
      </c>
      <c r="Y63" s="67" t="e">
        <f t="shared" ca="1" si="36"/>
        <v>#N/A</v>
      </c>
      <c r="Z63" s="67" t="e">
        <f t="shared" ca="1" si="37"/>
        <v>#N/A</v>
      </c>
      <c r="AA63" s="5" t="str">
        <f>IF(Setup!$I$15="Yes",'Demand background (hide)'!AJ51+'SPC background (hide)'!C63,"")</f>
        <v/>
      </c>
      <c r="AC63" s="5" t="str">
        <f t="shared" ca="1" si="30"/>
        <v/>
      </c>
      <c r="AD63" s="5" t="str">
        <f t="shared" ca="1" si="31"/>
        <v/>
      </c>
    </row>
    <row r="64" spans="1:46" x14ac:dyDescent="0.2">
      <c r="A64" s="67" t="str">
        <f ca="1">Demand!C61</f>
        <v/>
      </c>
      <c r="B64" s="67">
        <v>49</v>
      </c>
      <c r="C64" s="5">
        <f ca="1">'Demand background (hide)'!Y52</f>
        <v>0</v>
      </c>
      <c r="D64" s="67">
        <f t="shared" si="15"/>
        <v>0</v>
      </c>
      <c r="E64" s="67" t="e">
        <f t="shared" ca="1" si="16"/>
        <v>#N/A</v>
      </c>
      <c r="F64" s="67" t="e">
        <f t="shared" ca="1" si="17"/>
        <v>#N/A</v>
      </c>
      <c r="G64" s="67" t="e">
        <f t="shared" ca="1" si="18"/>
        <v>#N/A</v>
      </c>
      <c r="H64" s="67" t="e">
        <f>IF('Demand background (hide)'!AN52&lt;&gt;"",'SPC background (hide)'!C64,NA())</f>
        <v>#N/A</v>
      </c>
      <c r="I64" s="67">
        <f t="shared" ca="1" si="19"/>
        <v>5</v>
      </c>
      <c r="J64" s="5">
        <f t="shared" ca="1" si="20"/>
        <v>0</v>
      </c>
      <c r="K64" s="5">
        <f t="shared" ca="1" si="21"/>
        <v>0</v>
      </c>
      <c r="L64" s="5">
        <f t="shared" ca="1" si="22"/>
        <v>0</v>
      </c>
      <c r="M64" s="5">
        <f t="shared" ca="1" si="23"/>
        <v>0</v>
      </c>
      <c r="N64" s="5">
        <f t="shared" ca="1" si="24"/>
        <v>0</v>
      </c>
      <c r="O64" s="5">
        <f t="shared" ca="1" si="25"/>
        <v>0</v>
      </c>
      <c r="P64" s="5">
        <f t="shared" ca="1" si="26"/>
        <v>0</v>
      </c>
      <c r="Q64" s="5" t="e">
        <f t="shared" ca="1" si="27"/>
        <v>#N/A</v>
      </c>
      <c r="R64" s="5">
        <f t="shared" ca="1" si="32"/>
        <v>0</v>
      </c>
      <c r="S64" s="67" t="e">
        <f t="shared" ca="1" si="33"/>
        <v>#N/A</v>
      </c>
      <c r="T64" s="67">
        <f t="shared" ca="1" si="34"/>
        <v>0</v>
      </c>
      <c r="U64" s="67" t="e">
        <f t="shared" ca="1" si="35"/>
        <v>#N/A</v>
      </c>
      <c r="V64" s="5">
        <f t="shared" ca="1" si="14"/>
        <v>0</v>
      </c>
      <c r="W64" s="5" t="e">
        <f t="shared" ca="1" si="28"/>
        <v>#N/A</v>
      </c>
      <c r="X64" s="67">
        <f t="shared" ca="1" si="29"/>
        <v>0</v>
      </c>
      <c r="Y64" s="67" t="e">
        <f t="shared" ca="1" si="36"/>
        <v>#N/A</v>
      </c>
      <c r="Z64" s="67" t="e">
        <f t="shared" ca="1" si="37"/>
        <v>#N/A</v>
      </c>
      <c r="AA64" s="5" t="str">
        <f>IF(Setup!$I$15="Yes",'Demand background (hide)'!AJ52+'SPC background (hide)'!C64,"")</f>
        <v/>
      </c>
      <c r="AC64" s="5" t="str">
        <f t="shared" ca="1" si="30"/>
        <v/>
      </c>
      <c r="AD64" s="5" t="str">
        <f t="shared" ca="1" si="31"/>
        <v/>
      </c>
    </row>
    <row r="65" spans="1:30" x14ac:dyDescent="0.2">
      <c r="A65" s="67" t="str">
        <f ca="1">Demand!C62</f>
        <v/>
      </c>
      <c r="B65" s="67">
        <v>50</v>
      </c>
      <c r="C65" s="5">
        <f ca="1">'Demand background (hide)'!Y53</f>
        <v>0</v>
      </c>
      <c r="D65" s="67">
        <f t="shared" si="15"/>
        <v>0</v>
      </c>
      <c r="E65" s="67" t="e">
        <f t="shared" ca="1" si="16"/>
        <v>#N/A</v>
      </c>
      <c r="F65" s="67" t="e">
        <f t="shared" ca="1" si="17"/>
        <v>#N/A</v>
      </c>
      <c r="G65" s="67" t="e">
        <f t="shared" ca="1" si="18"/>
        <v>#N/A</v>
      </c>
      <c r="H65" s="67" t="e">
        <f>IF('Demand background (hide)'!AN53&lt;&gt;"",'SPC background (hide)'!C65,NA())</f>
        <v>#N/A</v>
      </c>
      <c r="I65" s="67">
        <f t="shared" ca="1" si="19"/>
        <v>5</v>
      </c>
      <c r="J65" s="5">
        <f t="shared" ca="1" si="20"/>
        <v>0</v>
      </c>
      <c r="K65" s="5">
        <f t="shared" ca="1" si="21"/>
        <v>0</v>
      </c>
      <c r="L65" s="5">
        <f t="shared" ca="1" si="22"/>
        <v>0</v>
      </c>
      <c r="M65" s="5">
        <f t="shared" ca="1" si="23"/>
        <v>0</v>
      </c>
      <c r="N65" s="5">
        <f t="shared" ca="1" si="24"/>
        <v>0</v>
      </c>
      <c r="O65" s="5">
        <f t="shared" ca="1" si="25"/>
        <v>0</v>
      </c>
      <c r="P65" s="5">
        <f t="shared" ca="1" si="26"/>
        <v>0</v>
      </c>
      <c r="Q65" s="5" t="e">
        <f t="shared" ca="1" si="27"/>
        <v>#N/A</v>
      </c>
      <c r="R65" s="5">
        <f t="shared" ca="1" si="32"/>
        <v>0</v>
      </c>
      <c r="S65" s="67" t="e">
        <f t="shared" ca="1" si="33"/>
        <v>#N/A</v>
      </c>
      <c r="T65" s="67">
        <f t="shared" ca="1" si="34"/>
        <v>0</v>
      </c>
      <c r="U65" s="67" t="e">
        <f t="shared" ca="1" si="35"/>
        <v>#N/A</v>
      </c>
      <c r="V65" s="5">
        <f t="shared" ca="1" si="14"/>
        <v>0</v>
      </c>
      <c r="W65" s="5" t="e">
        <f t="shared" ca="1" si="28"/>
        <v>#N/A</v>
      </c>
      <c r="X65" s="67">
        <f t="shared" ca="1" si="29"/>
        <v>0</v>
      </c>
      <c r="Y65" s="67" t="e">
        <f t="shared" ca="1" si="36"/>
        <v>#N/A</v>
      </c>
      <c r="Z65" s="67" t="e">
        <f t="shared" ca="1" si="37"/>
        <v>#N/A</v>
      </c>
      <c r="AA65" s="5" t="str">
        <f>IF(Setup!$I$15="Yes",'Demand background (hide)'!AJ53+'SPC background (hide)'!C65,"")</f>
        <v/>
      </c>
      <c r="AC65" s="5" t="str">
        <f t="shared" ca="1" si="30"/>
        <v/>
      </c>
      <c r="AD65" s="5" t="str">
        <f t="shared" ca="1" si="31"/>
        <v/>
      </c>
    </row>
    <row r="66" spans="1:30" x14ac:dyDescent="0.2">
      <c r="A66" s="67" t="str">
        <f ca="1">Demand!C63</f>
        <v/>
      </c>
      <c r="B66" s="67">
        <v>51</v>
      </c>
      <c r="C66" s="5">
        <f ca="1">'Demand background (hide)'!Y54</f>
        <v>0</v>
      </c>
      <c r="D66" s="67">
        <f t="shared" si="15"/>
        <v>0</v>
      </c>
      <c r="E66" s="67" t="e">
        <f t="shared" ca="1" si="16"/>
        <v>#N/A</v>
      </c>
      <c r="F66" s="67" t="e">
        <f t="shared" ca="1" si="17"/>
        <v>#N/A</v>
      </c>
      <c r="G66" s="67" t="e">
        <f t="shared" ca="1" si="18"/>
        <v>#N/A</v>
      </c>
      <c r="H66" s="67" t="e">
        <f>IF('Demand background (hide)'!AN54&lt;&gt;"",'SPC background (hide)'!C66,NA())</f>
        <v>#N/A</v>
      </c>
      <c r="I66" s="67">
        <f t="shared" ca="1" si="19"/>
        <v>5</v>
      </c>
      <c r="J66" s="5">
        <f t="shared" ca="1" si="20"/>
        <v>0</v>
      </c>
      <c r="K66" s="5">
        <f t="shared" ca="1" si="21"/>
        <v>0</v>
      </c>
      <c r="L66" s="5">
        <f t="shared" ca="1" si="22"/>
        <v>0</v>
      </c>
      <c r="M66" s="5">
        <f t="shared" ca="1" si="23"/>
        <v>0</v>
      </c>
      <c r="N66" s="5">
        <f t="shared" ca="1" si="24"/>
        <v>0</v>
      </c>
      <c r="O66" s="5">
        <f t="shared" ca="1" si="25"/>
        <v>0</v>
      </c>
      <c r="P66" s="5">
        <f t="shared" ca="1" si="26"/>
        <v>0</v>
      </c>
      <c r="Q66" s="5" t="e">
        <f t="shared" ca="1" si="27"/>
        <v>#N/A</v>
      </c>
      <c r="R66" s="5">
        <f t="shared" ca="1" si="32"/>
        <v>0</v>
      </c>
      <c r="S66" s="67" t="e">
        <f t="shared" ca="1" si="33"/>
        <v>#N/A</v>
      </c>
      <c r="T66" s="67">
        <f t="shared" ca="1" si="34"/>
        <v>0</v>
      </c>
      <c r="U66" s="67" t="e">
        <f t="shared" ca="1" si="35"/>
        <v>#N/A</v>
      </c>
      <c r="V66" s="5">
        <f t="shared" ca="1" si="14"/>
        <v>0</v>
      </c>
      <c r="W66" s="5" t="e">
        <f t="shared" ca="1" si="28"/>
        <v>#N/A</v>
      </c>
      <c r="X66" s="67">
        <f t="shared" ca="1" si="29"/>
        <v>0</v>
      </c>
      <c r="Y66" s="67" t="e">
        <f t="shared" ca="1" si="36"/>
        <v>#N/A</v>
      </c>
      <c r="Z66" s="67" t="e">
        <f t="shared" ca="1" si="37"/>
        <v>#N/A</v>
      </c>
      <c r="AA66" s="5" t="str">
        <f>IF(Setup!$I$15="Yes",'Demand background (hide)'!AJ54+'SPC background (hide)'!C66,"")</f>
        <v/>
      </c>
      <c r="AC66" s="5" t="str">
        <f t="shared" ca="1" si="30"/>
        <v/>
      </c>
      <c r="AD66" s="5" t="str">
        <f t="shared" ca="1" si="31"/>
        <v/>
      </c>
    </row>
    <row r="67" spans="1:30" x14ac:dyDescent="0.2">
      <c r="A67" s="67" t="str">
        <f ca="1">Demand!C64</f>
        <v/>
      </c>
      <c r="B67" s="67">
        <v>52</v>
      </c>
      <c r="C67" s="5">
        <f ca="1">'Demand background (hide)'!Y55</f>
        <v>0</v>
      </c>
      <c r="D67" s="67">
        <f t="shared" si="15"/>
        <v>0</v>
      </c>
      <c r="E67" s="67" t="e">
        <f t="shared" ca="1" si="16"/>
        <v>#N/A</v>
      </c>
      <c r="F67" s="67" t="e">
        <f t="shared" ca="1" si="17"/>
        <v>#N/A</v>
      </c>
      <c r="G67" s="67" t="e">
        <f t="shared" ca="1" si="18"/>
        <v>#N/A</v>
      </c>
      <c r="H67" s="67" t="e">
        <f>IF('Demand background (hide)'!AN55&lt;&gt;"",'SPC background (hide)'!C67,NA())</f>
        <v>#N/A</v>
      </c>
      <c r="I67" s="67">
        <f t="shared" ca="1" si="19"/>
        <v>5</v>
      </c>
      <c r="J67" s="5">
        <f t="shared" ca="1" si="20"/>
        <v>0</v>
      </c>
      <c r="K67" s="5">
        <f t="shared" ca="1" si="21"/>
        <v>0</v>
      </c>
      <c r="L67" s="5">
        <f t="shared" ca="1" si="22"/>
        <v>0</v>
      </c>
      <c r="M67" s="5">
        <f t="shared" ca="1" si="23"/>
        <v>0</v>
      </c>
      <c r="N67" s="5">
        <f t="shared" ca="1" si="24"/>
        <v>0</v>
      </c>
      <c r="O67" s="5">
        <f t="shared" ca="1" si="25"/>
        <v>0</v>
      </c>
      <c r="P67" s="5">
        <f t="shared" ca="1" si="26"/>
        <v>0</v>
      </c>
      <c r="Q67" s="5" t="e">
        <f t="shared" ca="1" si="27"/>
        <v>#N/A</v>
      </c>
      <c r="R67" s="5">
        <f t="shared" ca="1" si="32"/>
        <v>0</v>
      </c>
      <c r="S67" s="67" t="e">
        <f t="shared" ca="1" si="33"/>
        <v>#N/A</v>
      </c>
      <c r="T67" s="67">
        <f t="shared" ca="1" si="34"/>
        <v>0</v>
      </c>
      <c r="U67" s="67" t="e">
        <f t="shared" ca="1" si="35"/>
        <v>#N/A</v>
      </c>
      <c r="V67" s="5">
        <f t="shared" ca="1" si="14"/>
        <v>0</v>
      </c>
      <c r="W67" s="5" t="e">
        <f t="shared" ca="1" si="28"/>
        <v>#N/A</v>
      </c>
      <c r="X67" s="67">
        <f t="shared" ca="1" si="29"/>
        <v>0</v>
      </c>
      <c r="Y67" s="67" t="e">
        <f t="shared" ca="1" si="36"/>
        <v>#N/A</v>
      </c>
      <c r="Z67" s="67" t="e">
        <f t="shared" ca="1" si="37"/>
        <v>#N/A</v>
      </c>
      <c r="AA67" s="5" t="str">
        <f>IF(Setup!$I$15="Yes",'Demand background (hide)'!AJ55+'SPC background (hide)'!C67,"")</f>
        <v/>
      </c>
      <c r="AC67" s="5" t="str">
        <f t="shared" ca="1" si="30"/>
        <v/>
      </c>
      <c r="AD67" s="5" t="str">
        <f t="shared" ca="1" si="31"/>
        <v/>
      </c>
    </row>
    <row r="68" spans="1:30" x14ac:dyDescent="0.2">
      <c r="A68" s="67" t="str">
        <f ca="1">Demand!C65</f>
        <v/>
      </c>
      <c r="B68" s="67">
        <v>53</v>
      </c>
      <c r="C68" s="5">
        <f ca="1">'Demand background (hide)'!Y56</f>
        <v>0</v>
      </c>
      <c r="D68" s="67">
        <f t="shared" si="15"/>
        <v>0</v>
      </c>
      <c r="E68" s="67" t="e">
        <f t="shared" ca="1" si="16"/>
        <v>#N/A</v>
      </c>
      <c r="F68" s="67" t="e">
        <f t="shared" ca="1" si="17"/>
        <v>#N/A</v>
      </c>
      <c r="G68" s="67" t="e">
        <f t="shared" ca="1" si="18"/>
        <v>#N/A</v>
      </c>
      <c r="H68" s="67" t="e">
        <f>IF('Demand background (hide)'!AN56&lt;&gt;"",'SPC background (hide)'!C68,NA())</f>
        <v>#N/A</v>
      </c>
      <c r="I68" s="67">
        <f t="shared" ca="1" si="19"/>
        <v>5</v>
      </c>
      <c r="J68" s="5">
        <f t="shared" ca="1" si="20"/>
        <v>0</v>
      </c>
      <c r="K68" s="5">
        <f t="shared" ca="1" si="21"/>
        <v>0</v>
      </c>
      <c r="L68" s="5">
        <f t="shared" ca="1" si="22"/>
        <v>0</v>
      </c>
      <c r="M68" s="5">
        <f t="shared" ca="1" si="23"/>
        <v>0</v>
      </c>
      <c r="N68" s="5">
        <f t="shared" ca="1" si="24"/>
        <v>0</v>
      </c>
      <c r="O68" s="5">
        <f t="shared" ca="1" si="25"/>
        <v>0</v>
      </c>
      <c r="P68" s="5">
        <f t="shared" ca="1" si="26"/>
        <v>0</v>
      </c>
      <c r="Q68" s="5" t="e">
        <f t="shared" ca="1" si="27"/>
        <v>#N/A</v>
      </c>
      <c r="R68" s="5">
        <f t="shared" ca="1" si="32"/>
        <v>0</v>
      </c>
      <c r="S68" s="67" t="e">
        <f t="shared" ca="1" si="33"/>
        <v>#N/A</v>
      </c>
      <c r="T68" s="67">
        <f t="shared" ca="1" si="34"/>
        <v>0</v>
      </c>
      <c r="U68" s="67" t="e">
        <f t="shared" ca="1" si="35"/>
        <v>#N/A</v>
      </c>
      <c r="V68" s="5">
        <f t="shared" ca="1" si="14"/>
        <v>0</v>
      </c>
      <c r="W68" s="5" t="e">
        <f t="shared" ca="1" si="28"/>
        <v>#N/A</v>
      </c>
      <c r="X68" s="67">
        <f t="shared" ca="1" si="29"/>
        <v>0</v>
      </c>
      <c r="Y68" s="67" t="e">
        <f t="shared" ca="1" si="36"/>
        <v>#N/A</v>
      </c>
      <c r="Z68" s="67" t="e">
        <f t="shared" ca="1" si="37"/>
        <v>#N/A</v>
      </c>
      <c r="AA68" s="5" t="str">
        <f>IF(Setup!$I$15="Yes",'Demand background (hide)'!AJ56+'SPC background (hide)'!C68,"")</f>
        <v/>
      </c>
      <c r="AC68" s="5" t="str">
        <f t="shared" ca="1" si="30"/>
        <v/>
      </c>
      <c r="AD68" s="5" t="str">
        <f t="shared" ca="1" si="31"/>
        <v/>
      </c>
    </row>
    <row r="69" spans="1:30" x14ac:dyDescent="0.2">
      <c r="A69" s="67" t="str">
        <f ca="1">Demand!C66</f>
        <v/>
      </c>
      <c r="B69" s="67">
        <v>54</v>
      </c>
      <c r="C69" s="5">
        <f ca="1">'Demand background (hide)'!Y57</f>
        <v>0</v>
      </c>
      <c r="D69" s="67">
        <f t="shared" si="15"/>
        <v>0</v>
      </c>
      <c r="E69" s="67" t="e">
        <f t="shared" ca="1" si="16"/>
        <v>#N/A</v>
      </c>
      <c r="F69" s="67" t="e">
        <f t="shared" ca="1" si="17"/>
        <v>#N/A</v>
      </c>
      <c r="G69" s="67" t="e">
        <f t="shared" ca="1" si="18"/>
        <v>#N/A</v>
      </c>
      <c r="H69" s="67" t="e">
        <f>IF('Demand background (hide)'!AN57&lt;&gt;"",'SPC background (hide)'!C69,NA())</f>
        <v>#N/A</v>
      </c>
      <c r="I69" s="67">
        <f t="shared" ca="1" si="19"/>
        <v>5</v>
      </c>
      <c r="J69" s="5">
        <f t="shared" ca="1" si="20"/>
        <v>0</v>
      </c>
      <c r="K69" s="5">
        <f t="shared" ca="1" si="21"/>
        <v>0</v>
      </c>
      <c r="L69" s="5">
        <f t="shared" ca="1" si="22"/>
        <v>0</v>
      </c>
      <c r="M69" s="5">
        <f t="shared" ca="1" si="23"/>
        <v>0</v>
      </c>
      <c r="N69" s="5">
        <f t="shared" ca="1" si="24"/>
        <v>0</v>
      </c>
      <c r="O69" s="5">
        <f t="shared" ca="1" si="25"/>
        <v>0</v>
      </c>
      <c r="P69" s="5">
        <f t="shared" ca="1" si="26"/>
        <v>0</v>
      </c>
      <c r="Q69" s="5" t="e">
        <f t="shared" ca="1" si="27"/>
        <v>#N/A</v>
      </c>
      <c r="R69" s="5">
        <f t="shared" ca="1" si="32"/>
        <v>0</v>
      </c>
      <c r="S69" s="67" t="e">
        <f t="shared" ca="1" si="33"/>
        <v>#N/A</v>
      </c>
      <c r="T69" s="67">
        <f t="shared" ca="1" si="34"/>
        <v>0</v>
      </c>
      <c r="U69" s="67" t="e">
        <f t="shared" ca="1" si="35"/>
        <v>#N/A</v>
      </c>
      <c r="V69" s="5">
        <f t="shared" ca="1" si="14"/>
        <v>0</v>
      </c>
      <c r="W69" s="5" t="e">
        <f t="shared" ca="1" si="28"/>
        <v>#N/A</v>
      </c>
      <c r="X69" s="67">
        <f t="shared" ca="1" si="29"/>
        <v>0</v>
      </c>
      <c r="Y69" s="67" t="e">
        <f t="shared" ca="1" si="36"/>
        <v>#N/A</v>
      </c>
      <c r="Z69" s="67" t="e">
        <f t="shared" ca="1" si="37"/>
        <v>#N/A</v>
      </c>
      <c r="AA69" s="5" t="str">
        <f>IF(Setup!$I$15="Yes",'Demand background (hide)'!AJ57+'SPC background (hide)'!C69,"")</f>
        <v/>
      </c>
      <c r="AC69" s="5" t="str">
        <f t="shared" ca="1" si="30"/>
        <v/>
      </c>
      <c r="AD69" s="5" t="str">
        <f t="shared" ca="1" si="31"/>
        <v/>
      </c>
    </row>
    <row r="70" spans="1:30" x14ac:dyDescent="0.2">
      <c r="A70" s="67" t="str">
        <f ca="1">Demand!C67</f>
        <v/>
      </c>
      <c r="B70" s="67">
        <v>55</v>
      </c>
      <c r="C70" s="5">
        <f ca="1">'Demand background (hide)'!Y58</f>
        <v>0</v>
      </c>
      <c r="D70" s="67">
        <f t="shared" si="15"/>
        <v>0</v>
      </c>
      <c r="E70" s="67" t="e">
        <f t="shared" ca="1" si="16"/>
        <v>#N/A</v>
      </c>
      <c r="F70" s="67" t="e">
        <f t="shared" ca="1" si="17"/>
        <v>#N/A</v>
      </c>
      <c r="G70" s="67" t="e">
        <f t="shared" ca="1" si="18"/>
        <v>#N/A</v>
      </c>
      <c r="H70" s="67" t="e">
        <f>IF('Demand background (hide)'!AN58&lt;&gt;"",'SPC background (hide)'!C70,NA())</f>
        <v>#N/A</v>
      </c>
      <c r="I70" s="67">
        <f t="shared" ca="1" si="19"/>
        <v>5</v>
      </c>
      <c r="J70" s="5">
        <f t="shared" ca="1" si="20"/>
        <v>0</v>
      </c>
      <c r="K70" s="5">
        <f t="shared" ca="1" si="21"/>
        <v>0</v>
      </c>
      <c r="L70" s="5">
        <f t="shared" ca="1" si="22"/>
        <v>0</v>
      </c>
      <c r="M70" s="5">
        <f t="shared" ca="1" si="23"/>
        <v>0</v>
      </c>
      <c r="N70" s="5">
        <f t="shared" ca="1" si="24"/>
        <v>0</v>
      </c>
      <c r="O70" s="5">
        <f t="shared" ca="1" si="25"/>
        <v>0</v>
      </c>
      <c r="P70" s="5">
        <f t="shared" ca="1" si="26"/>
        <v>0</v>
      </c>
      <c r="Q70" s="5" t="e">
        <f t="shared" ca="1" si="27"/>
        <v>#N/A</v>
      </c>
      <c r="R70" s="5">
        <f t="shared" ca="1" si="32"/>
        <v>0</v>
      </c>
      <c r="S70" s="67" t="e">
        <f t="shared" ca="1" si="33"/>
        <v>#N/A</v>
      </c>
      <c r="T70" s="67">
        <f t="shared" ca="1" si="34"/>
        <v>0</v>
      </c>
      <c r="U70" s="67" t="e">
        <f t="shared" ca="1" si="35"/>
        <v>#N/A</v>
      </c>
      <c r="V70" s="5">
        <f t="shared" ca="1" si="14"/>
        <v>0</v>
      </c>
      <c r="W70" s="5" t="e">
        <f t="shared" ca="1" si="28"/>
        <v>#N/A</v>
      </c>
      <c r="X70" s="67">
        <f t="shared" ca="1" si="29"/>
        <v>0</v>
      </c>
      <c r="Y70" s="67" t="e">
        <f t="shared" ca="1" si="36"/>
        <v>#N/A</v>
      </c>
      <c r="Z70" s="67" t="e">
        <f t="shared" ca="1" si="37"/>
        <v>#N/A</v>
      </c>
      <c r="AA70" s="5" t="str">
        <f>IF(Setup!$I$15="Yes",'Demand background (hide)'!AJ58+'SPC background (hide)'!C70,"")</f>
        <v/>
      </c>
      <c r="AC70" s="5" t="str">
        <f t="shared" ca="1" si="30"/>
        <v/>
      </c>
      <c r="AD70" s="5" t="str">
        <f t="shared" ca="1" si="31"/>
        <v/>
      </c>
    </row>
    <row r="71" spans="1:30" x14ac:dyDescent="0.2">
      <c r="A71" s="67" t="str">
        <f ca="1">Demand!C68</f>
        <v/>
      </c>
      <c r="B71" s="67">
        <v>56</v>
      </c>
      <c r="C71" s="5">
        <f ca="1">'Demand background (hide)'!Y59</f>
        <v>0</v>
      </c>
      <c r="D71" s="67">
        <f t="shared" si="15"/>
        <v>0</v>
      </c>
      <c r="E71" s="67" t="e">
        <f t="shared" ca="1" si="16"/>
        <v>#N/A</v>
      </c>
      <c r="F71" s="67" t="e">
        <f t="shared" ca="1" si="17"/>
        <v>#N/A</v>
      </c>
      <c r="G71" s="67" t="e">
        <f t="shared" ca="1" si="18"/>
        <v>#N/A</v>
      </c>
      <c r="H71" s="67" t="e">
        <f>IF('Demand background (hide)'!AN59&lt;&gt;"",'SPC background (hide)'!C71,NA())</f>
        <v>#N/A</v>
      </c>
      <c r="I71" s="67">
        <f t="shared" ca="1" si="19"/>
        <v>5</v>
      </c>
      <c r="J71" s="5">
        <f t="shared" ca="1" si="20"/>
        <v>0</v>
      </c>
      <c r="K71" s="5">
        <f t="shared" ca="1" si="21"/>
        <v>0</v>
      </c>
      <c r="L71" s="5">
        <f t="shared" ca="1" si="22"/>
        <v>0</v>
      </c>
      <c r="M71" s="5">
        <f t="shared" ca="1" si="23"/>
        <v>0</v>
      </c>
      <c r="N71" s="5">
        <f t="shared" ca="1" si="24"/>
        <v>0</v>
      </c>
      <c r="O71" s="5">
        <f t="shared" ca="1" si="25"/>
        <v>0</v>
      </c>
      <c r="P71" s="5">
        <f t="shared" ca="1" si="26"/>
        <v>0</v>
      </c>
      <c r="Q71" s="5" t="e">
        <f t="shared" ca="1" si="27"/>
        <v>#N/A</v>
      </c>
      <c r="R71" s="5">
        <f t="shared" ca="1" si="32"/>
        <v>0</v>
      </c>
      <c r="S71" s="67" t="e">
        <f t="shared" ca="1" si="33"/>
        <v>#N/A</v>
      </c>
      <c r="T71" s="67">
        <f t="shared" ca="1" si="34"/>
        <v>0</v>
      </c>
      <c r="U71" s="67" t="e">
        <f t="shared" ca="1" si="35"/>
        <v>#N/A</v>
      </c>
      <c r="V71" s="5">
        <f t="shared" ca="1" si="14"/>
        <v>0</v>
      </c>
      <c r="W71" s="5" t="e">
        <f t="shared" ca="1" si="28"/>
        <v>#N/A</v>
      </c>
      <c r="X71" s="67">
        <f t="shared" ca="1" si="29"/>
        <v>0</v>
      </c>
      <c r="Y71" s="67" t="e">
        <f t="shared" ca="1" si="36"/>
        <v>#N/A</v>
      </c>
      <c r="Z71" s="67" t="e">
        <f t="shared" ca="1" si="37"/>
        <v>#N/A</v>
      </c>
      <c r="AA71" s="5" t="str">
        <f>IF(Setup!$I$15="Yes",'Demand background (hide)'!AJ59+'SPC background (hide)'!C71,"")</f>
        <v/>
      </c>
      <c r="AC71" s="5" t="str">
        <f t="shared" ca="1" si="30"/>
        <v/>
      </c>
      <c r="AD71" s="5" t="str">
        <f t="shared" ca="1" si="31"/>
        <v/>
      </c>
    </row>
    <row r="72" spans="1:30" x14ac:dyDescent="0.2">
      <c r="A72" s="67" t="str">
        <f ca="1">Demand!C69</f>
        <v/>
      </c>
      <c r="B72" s="67">
        <v>57</v>
      </c>
      <c r="C72" s="5">
        <f ca="1">'Demand background (hide)'!Y60</f>
        <v>0</v>
      </c>
      <c r="D72" s="67">
        <f t="shared" si="15"/>
        <v>0</v>
      </c>
      <c r="E72" s="67" t="e">
        <f t="shared" ca="1" si="16"/>
        <v>#N/A</v>
      </c>
      <c r="F72" s="67" t="e">
        <f t="shared" ca="1" si="17"/>
        <v>#N/A</v>
      </c>
      <c r="G72" s="67" t="e">
        <f t="shared" ca="1" si="18"/>
        <v>#N/A</v>
      </c>
      <c r="H72" s="67" t="e">
        <f>IF('Demand background (hide)'!AN60&lt;&gt;"",'SPC background (hide)'!C72,NA())</f>
        <v>#N/A</v>
      </c>
      <c r="I72" s="67">
        <f t="shared" ca="1" si="19"/>
        <v>5</v>
      </c>
      <c r="J72" s="5">
        <f t="shared" ca="1" si="20"/>
        <v>0</v>
      </c>
      <c r="K72" s="5">
        <f t="shared" ca="1" si="21"/>
        <v>0</v>
      </c>
      <c r="L72" s="5">
        <f t="shared" ca="1" si="22"/>
        <v>0</v>
      </c>
      <c r="M72" s="5">
        <f t="shared" ca="1" si="23"/>
        <v>0</v>
      </c>
      <c r="N72" s="5">
        <f t="shared" ca="1" si="24"/>
        <v>0</v>
      </c>
      <c r="O72" s="5">
        <f t="shared" ca="1" si="25"/>
        <v>0</v>
      </c>
      <c r="P72" s="5">
        <f t="shared" ca="1" si="26"/>
        <v>0</v>
      </c>
      <c r="Q72" s="5" t="e">
        <f t="shared" ca="1" si="27"/>
        <v>#N/A</v>
      </c>
      <c r="R72" s="5">
        <f t="shared" ca="1" si="32"/>
        <v>0</v>
      </c>
      <c r="S72" s="67" t="e">
        <f t="shared" ca="1" si="33"/>
        <v>#N/A</v>
      </c>
      <c r="T72" s="67">
        <f t="shared" ca="1" si="34"/>
        <v>0</v>
      </c>
      <c r="U72" s="67" t="e">
        <f t="shared" ca="1" si="35"/>
        <v>#N/A</v>
      </c>
      <c r="V72" s="5">
        <f t="shared" ca="1" si="14"/>
        <v>0</v>
      </c>
      <c r="W72" s="5" t="e">
        <f t="shared" ca="1" si="28"/>
        <v>#N/A</v>
      </c>
      <c r="X72" s="67">
        <f t="shared" ca="1" si="29"/>
        <v>0</v>
      </c>
      <c r="Y72" s="67" t="e">
        <f t="shared" ca="1" si="36"/>
        <v>#N/A</v>
      </c>
      <c r="Z72" s="67" t="e">
        <f t="shared" ca="1" si="37"/>
        <v>#N/A</v>
      </c>
      <c r="AA72" s="5" t="str">
        <f>IF(Setup!$I$15="Yes",'Demand background (hide)'!AJ60+'SPC background (hide)'!C72,"")</f>
        <v/>
      </c>
      <c r="AC72" s="5" t="str">
        <f t="shared" ca="1" si="30"/>
        <v/>
      </c>
      <c r="AD72" s="5" t="str">
        <f t="shared" ca="1" si="31"/>
        <v/>
      </c>
    </row>
    <row r="73" spans="1:30" x14ac:dyDescent="0.2">
      <c r="A73" s="67" t="str">
        <f ca="1">Demand!C70</f>
        <v/>
      </c>
      <c r="B73" s="67">
        <v>58</v>
      </c>
      <c r="C73" s="5">
        <f ca="1">'Demand background (hide)'!Y61</f>
        <v>0</v>
      </c>
      <c r="D73" s="67">
        <f t="shared" si="15"/>
        <v>0</v>
      </c>
      <c r="E73" s="67" t="e">
        <f t="shared" ca="1" si="16"/>
        <v>#N/A</v>
      </c>
      <c r="F73" s="67" t="e">
        <f t="shared" ca="1" si="17"/>
        <v>#N/A</v>
      </c>
      <c r="G73" s="67" t="e">
        <f t="shared" ca="1" si="18"/>
        <v>#N/A</v>
      </c>
      <c r="H73" s="67" t="e">
        <f>IF('Demand background (hide)'!AN61&lt;&gt;"",'SPC background (hide)'!C73,NA())</f>
        <v>#N/A</v>
      </c>
      <c r="I73" s="67">
        <f t="shared" ca="1" si="19"/>
        <v>5</v>
      </c>
      <c r="J73" s="5">
        <f t="shared" ca="1" si="20"/>
        <v>0</v>
      </c>
      <c r="K73" s="5">
        <f t="shared" ca="1" si="21"/>
        <v>0</v>
      </c>
      <c r="L73" s="5">
        <f t="shared" ca="1" si="22"/>
        <v>0</v>
      </c>
      <c r="M73" s="5">
        <f t="shared" ca="1" si="23"/>
        <v>0</v>
      </c>
      <c r="N73" s="5">
        <f t="shared" ca="1" si="24"/>
        <v>0</v>
      </c>
      <c r="O73" s="5">
        <f t="shared" ca="1" si="25"/>
        <v>0</v>
      </c>
      <c r="P73" s="5">
        <f t="shared" ca="1" si="26"/>
        <v>0</v>
      </c>
      <c r="Q73" s="5" t="e">
        <f t="shared" ca="1" si="27"/>
        <v>#N/A</v>
      </c>
      <c r="R73" s="5">
        <f t="shared" ca="1" si="32"/>
        <v>0</v>
      </c>
      <c r="S73" s="67" t="e">
        <f t="shared" ca="1" si="33"/>
        <v>#N/A</v>
      </c>
      <c r="T73" s="67">
        <f t="shared" ca="1" si="34"/>
        <v>0</v>
      </c>
      <c r="U73" s="67" t="e">
        <f t="shared" ca="1" si="35"/>
        <v>#N/A</v>
      </c>
      <c r="V73" s="5">
        <f t="shared" ca="1" si="14"/>
        <v>0</v>
      </c>
      <c r="W73" s="5" t="e">
        <f t="shared" ca="1" si="28"/>
        <v>#N/A</v>
      </c>
      <c r="X73" s="67">
        <f t="shared" ca="1" si="29"/>
        <v>0</v>
      </c>
      <c r="Y73" s="67" t="e">
        <f t="shared" ca="1" si="36"/>
        <v>#N/A</v>
      </c>
      <c r="Z73" s="67" t="e">
        <f t="shared" ca="1" si="37"/>
        <v>#N/A</v>
      </c>
      <c r="AA73" s="5" t="str">
        <f>IF(Setup!$I$15="Yes",'Demand background (hide)'!AJ61+'SPC background (hide)'!C73,"")</f>
        <v/>
      </c>
      <c r="AC73" s="5" t="str">
        <f t="shared" ca="1" si="30"/>
        <v/>
      </c>
      <c r="AD73" s="5" t="str">
        <f t="shared" ca="1" si="31"/>
        <v/>
      </c>
    </row>
    <row r="74" spans="1:30" x14ac:dyDescent="0.2">
      <c r="A74" s="67" t="str">
        <f ca="1">Demand!C71</f>
        <v/>
      </c>
      <c r="B74" s="67">
        <v>59</v>
      </c>
      <c r="C74" s="5">
        <f ca="1">'Demand background (hide)'!Y62</f>
        <v>0</v>
      </c>
      <c r="D74" s="67">
        <f t="shared" si="15"/>
        <v>0</v>
      </c>
      <c r="E74" s="67" t="e">
        <f t="shared" ca="1" si="16"/>
        <v>#N/A</v>
      </c>
      <c r="F74" s="67" t="e">
        <f t="shared" ca="1" si="17"/>
        <v>#N/A</v>
      </c>
      <c r="G74" s="67" t="e">
        <f t="shared" ca="1" si="18"/>
        <v>#N/A</v>
      </c>
      <c r="H74" s="67" t="e">
        <f>IF('Demand background (hide)'!AN62&lt;&gt;"",'SPC background (hide)'!C74,NA())</f>
        <v>#N/A</v>
      </c>
      <c r="I74" s="67">
        <f t="shared" ca="1" si="19"/>
        <v>5</v>
      </c>
      <c r="J74" s="5">
        <f t="shared" ca="1" si="20"/>
        <v>0</v>
      </c>
      <c r="K74" s="5">
        <f t="shared" ca="1" si="21"/>
        <v>0</v>
      </c>
      <c r="L74" s="5">
        <f t="shared" ca="1" si="22"/>
        <v>0</v>
      </c>
      <c r="M74" s="5">
        <f t="shared" ca="1" si="23"/>
        <v>0</v>
      </c>
      <c r="N74" s="5">
        <f t="shared" ca="1" si="24"/>
        <v>0</v>
      </c>
      <c r="O74" s="5">
        <f t="shared" ca="1" si="25"/>
        <v>0</v>
      </c>
      <c r="P74" s="5">
        <f t="shared" ca="1" si="26"/>
        <v>0</v>
      </c>
      <c r="Q74" s="5" t="e">
        <f t="shared" ca="1" si="27"/>
        <v>#N/A</v>
      </c>
      <c r="R74" s="5">
        <f t="shared" ca="1" si="32"/>
        <v>0</v>
      </c>
      <c r="S74" s="67" t="e">
        <f t="shared" ca="1" si="33"/>
        <v>#N/A</v>
      </c>
      <c r="T74" s="67">
        <f t="shared" ca="1" si="34"/>
        <v>0</v>
      </c>
      <c r="U74" s="67" t="e">
        <f t="shared" ca="1" si="35"/>
        <v>#N/A</v>
      </c>
      <c r="V74" s="5">
        <f t="shared" ca="1" si="14"/>
        <v>0</v>
      </c>
      <c r="W74" s="5" t="e">
        <f t="shared" ca="1" si="28"/>
        <v>#N/A</v>
      </c>
      <c r="X74" s="67">
        <f t="shared" ca="1" si="29"/>
        <v>0</v>
      </c>
      <c r="Y74" s="67" t="e">
        <f t="shared" ca="1" si="36"/>
        <v>#N/A</v>
      </c>
      <c r="Z74" s="67" t="e">
        <f t="shared" ca="1" si="37"/>
        <v>#N/A</v>
      </c>
      <c r="AA74" s="5" t="str">
        <f>IF(Setup!$I$15="Yes",'Demand background (hide)'!AJ62+'SPC background (hide)'!C74,"")</f>
        <v/>
      </c>
      <c r="AC74" s="5" t="str">
        <f t="shared" ca="1" si="30"/>
        <v/>
      </c>
      <c r="AD74" s="5" t="str">
        <f t="shared" ca="1" si="31"/>
        <v/>
      </c>
    </row>
    <row r="75" spans="1:30" x14ac:dyDescent="0.2">
      <c r="A75" s="67" t="str">
        <f ca="1">Demand!C72</f>
        <v/>
      </c>
      <c r="B75" s="67">
        <v>60</v>
      </c>
      <c r="C75" s="5">
        <f ca="1">'Demand background (hide)'!Y63</f>
        <v>0</v>
      </c>
      <c r="D75" s="67">
        <f t="shared" si="15"/>
        <v>0</v>
      </c>
      <c r="E75" s="67" t="e">
        <f t="shared" ca="1" si="16"/>
        <v>#N/A</v>
      </c>
      <c r="F75" s="67" t="e">
        <f t="shared" ca="1" si="17"/>
        <v>#N/A</v>
      </c>
      <c r="G75" s="67" t="e">
        <f t="shared" ca="1" si="18"/>
        <v>#N/A</v>
      </c>
      <c r="H75" s="67" t="e">
        <f>IF('Demand background (hide)'!AN63&lt;&gt;"",'SPC background (hide)'!C75,NA())</f>
        <v>#N/A</v>
      </c>
      <c r="I75" s="67">
        <f t="shared" ca="1" si="19"/>
        <v>5</v>
      </c>
      <c r="J75" s="5">
        <f t="shared" ca="1" si="20"/>
        <v>0</v>
      </c>
      <c r="K75" s="5">
        <f t="shared" ca="1" si="21"/>
        <v>0</v>
      </c>
      <c r="L75" s="5">
        <f t="shared" ca="1" si="22"/>
        <v>0</v>
      </c>
      <c r="M75" s="5">
        <f t="shared" ca="1" si="23"/>
        <v>0</v>
      </c>
      <c r="N75" s="5">
        <f t="shared" ca="1" si="24"/>
        <v>0</v>
      </c>
      <c r="O75" s="5">
        <f t="shared" ca="1" si="25"/>
        <v>0</v>
      </c>
      <c r="P75" s="5">
        <f t="shared" ca="1" si="26"/>
        <v>0</v>
      </c>
      <c r="Q75" s="5" t="e">
        <f t="shared" ca="1" si="27"/>
        <v>#N/A</v>
      </c>
      <c r="R75" s="5">
        <f t="shared" ca="1" si="32"/>
        <v>0</v>
      </c>
      <c r="S75" s="67" t="e">
        <f t="shared" ca="1" si="33"/>
        <v>#N/A</v>
      </c>
      <c r="T75" s="67">
        <f t="shared" ca="1" si="34"/>
        <v>0</v>
      </c>
      <c r="U75" s="67" t="e">
        <f t="shared" ca="1" si="35"/>
        <v>#N/A</v>
      </c>
      <c r="V75" s="5">
        <f t="shared" ca="1" si="14"/>
        <v>0</v>
      </c>
      <c r="W75" s="5" t="e">
        <f t="shared" ca="1" si="28"/>
        <v>#N/A</v>
      </c>
      <c r="X75" s="67">
        <f t="shared" ca="1" si="29"/>
        <v>0</v>
      </c>
      <c r="Y75" s="67" t="e">
        <f t="shared" ca="1" si="36"/>
        <v>#N/A</v>
      </c>
      <c r="Z75" s="67" t="e">
        <f t="shared" ca="1" si="37"/>
        <v>#N/A</v>
      </c>
      <c r="AA75" s="5" t="str">
        <f>IF(Setup!$I$15="Yes",'Demand background (hide)'!AJ63+'SPC background (hide)'!C75,"")</f>
        <v/>
      </c>
      <c r="AC75" s="5" t="str">
        <f t="shared" ca="1" si="30"/>
        <v/>
      </c>
      <c r="AD75" s="5" t="str">
        <f t="shared" ca="1" si="31"/>
        <v/>
      </c>
    </row>
    <row r="76" spans="1:30" x14ac:dyDescent="0.2">
      <c r="A76" s="67" t="str">
        <f ca="1">Demand!C73</f>
        <v/>
      </c>
      <c r="B76" s="67">
        <v>61</v>
      </c>
      <c r="C76" s="5">
        <f ca="1">'Demand background (hide)'!Y64</f>
        <v>0</v>
      </c>
      <c r="D76" s="67">
        <f t="shared" si="15"/>
        <v>0</v>
      </c>
      <c r="E76" s="67" t="e">
        <f t="shared" ca="1" si="16"/>
        <v>#N/A</v>
      </c>
      <c r="F76" s="67" t="e">
        <f t="shared" ca="1" si="17"/>
        <v>#N/A</v>
      </c>
      <c r="G76" s="67" t="e">
        <f t="shared" ca="1" si="18"/>
        <v>#N/A</v>
      </c>
      <c r="H76" s="67" t="e">
        <f>IF('Demand background (hide)'!AN64&lt;&gt;"",'SPC background (hide)'!C76,NA())</f>
        <v>#N/A</v>
      </c>
      <c r="I76" s="67">
        <f t="shared" ca="1" si="19"/>
        <v>5</v>
      </c>
      <c r="J76" s="5">
        <f t="shared" ca="1" si="20"/>
        <v>0</v>
      </c>
      <c r="K76" s="5">
        <f t="shared" ca="1" si="21"/>
        <v>0</v>
      </c>
      <c r="L76" s="5">
        <f t="shared" ca="1" si="22"/>
        <v>0</v>
      </c>
      <c r="M76" s="5">
        <f t="shared" ca="1" si="23"/>
        <v>0</v>
      </c>
      <c r="N76" s="5">
        <f t="shared" ca="1" si="24"/>
        <v>0</v>
      </c>
      <c r="O76" s="5">
        <f t="shared" ca="1" si="25"/>
        <v>0</v>
      </c>
      <c r="P76" s="5">
        <f t="shared" ca="1" si="26"/>
        <v>0</v>
      </c>
      <c r="Q76" s="5" t="e">
        <f t="shared" ca="1" si="27"/>
        <v>#N/A</v>
      </c>
      <c r="R76" s="5">
        <f t="shared" ca="1" si="32"/>
        <v>0</v>
      </c>
      <c r="S76" s="67" t="e">
        <f t="shared" ca="1" si="33"/>
        <v>#N/A</v>
      </c>
      <c r="T76" s="67">
        <f t="shared" ca="1" si="34"/>
        <v>0</v>
      </c>
      <c r="U76" s="67" t="e">
        <f t="shared" ca="1" si="35"/>
        <v>#N/A</v>
      </c>
      <c r="V76" s="5">
        <f t="shared" ca="1" si="14"/>
        <v>0</v>
      </c>
      <c r="W76" s="5" t="e">
        <f t="shared" ca="1" si="28"/>
        <v>#N/A</v>
      </c>
      <c r="X76" s="67">
        <f t="shared" ca="1" si="29"/>
        <v>0</v>
      </c>
      <c r="Y76" s="67" t="e">
        <f t="shared" ca="1" si="36"/>
        <v>#N/A</v>
      </c>
      <c r="Z76" s="67" t="e">
        <f t="shared" ca="1" si="37"/>
        <v>#N/A</v>
      </c>
      <c r="AA76" s="5" t="str">
        <f>IF(Setup!$I$15="Yes",'Demand background (hide)'!AJ64+'SPC background (hide)'!C76,"")</f>
        <v/>
      </c>
      <c r="AC76" s="5" t="str">
        <f t="shared" ca="1" si="30"/>
        <v/>
      </c>
      <c r="AD76" s="5" t="str">
        <f t="shared" ca="1" si="31"/>
        <v/>
      </c>
    </row>
    <row r="77" spans="1:30" x14ac:dyDescent="0.2">
      <c r="A77" s="67" t="str">
        <f ca="1">Demand!C74</f>
        <v/>
      </c>
      <c r="B77" s="67">
        <v>62</v>
      </c>
      <c r="C77" s="5">
        <f ca="1">'Demand background (hide)'!Y65</f>
        <v>0</v>
      </c>
      <c r="D77" s="67">
        <f t="shared" si="15"/>
        <v>0</v>
      </c>
      <c r="E77" s="67" t="e">
        <f t="shared" ca="1" si="16"/>
        <v>#N/A</v>
      </c>
      <c r="F77" s="67" t="e">
        <f t="shared" ca="1" si="17"/>
        <v>#N/A</v>
      </c>
      <c r="G77" s="67" t="e">
        <f t="shared" ca="1" si="18"/>
        <v>#N/A</v>
      </c>
      <c r="H77" s="67" t="e">
        <f>IF('Demand background (hide)'!AN65&lt;&gt;"",'SPC background (hide)'!C77,NA())</f>
        <v>#N/A</v>
      </c>
      <c r="I77" s="67">
        <f t="shared" ca="1" si="19"/>
        <v>5</v>
      </c>
      <c r="J77" s="5">
        <f t="shared" ca="1" si="20"/>
        <v>0</v>
      </c>
      <c r="K77" s="5">
        <f t="shared" ca="1" si="21"/>
        <v>0</v>
      </c>
      <c r="L77" s="5">
        <f t="shared" ca="1" si="22"/>
        <v>0</v>
      </c>
      <c r="M77" s="5">
        <f t="shared" ca="1" si="23"/>
        <v>0</v>
      </c>
      <c r="N77" s="5">
        <f t="shared" ca="1" si="24"/>
        <v>0</v>
      </c>
      <c r="O77" s="5">
        <f t="shared" ca="1" si="25"/>
        <v>0</v>
      </c>
      <c r="P77" s="5">
        <f t="shared" ca="1" si="26"/>
        <v>0</v>
      </c>
      <c r="Q77" s="5" t="e">
        <f t="shared" ca="1" si="27"/>
        <v>#N/A</v>
      </c>
      <c r="R77" s="5">
        <f t="shared" ca="1" si="32"/>
        <v>0</v>
      </c>
      <c r="S77" s="67" t="e">
        <f t="shared" ca="1" si="33"/>
        <v>#N/A</v>
      </c>
      <c r="T77" s="67">
        <f t="shared" ca="1" si="34"/>
        <v>0</v>
      </c>
      <c r="U77" s="67" t="e">
        <f t="shared" ca="1" si="35"/>
        <v>#N/A</v>
      </c>
      <c r="V77" s="5">
        <f t="shared" ca="1" si="14"/>
        <v>0</v>
      </c>
      <c r="W77" s="5" t="e">
        <f t="shared" ca="1" si="28"/>
        <v>#N/A</v>
      </c>
      <c r="X77" s="67">
        <f t="shared" ca="1" si="29"/>
        <v>0</v>
      </c>
      <c r="Y77" s="67" t="e">
        <f t="shared" ca="1" si="36"/>
        <v>#N/A</v>
      </c>
      <c r="Z77" s="67" t="e">
        <f t="shared" ca="1" si="37"/>
        <v>#N/A</v>
      </c>
      <c r="AA77" s="5" t="str">
        <f>IF(Setup!$I$15="Yes",'Demand background (hide)'!AJ65+'SPC background (hide)'!C77,"")</f>
        <v/>
      </c>
      <c r="AC77" s="5" t="str">
        <f t="shared" ca="1" si="30"/>
        <v/>
      </c>
      <c r="AD77" s="5" t="str">
        <f t="shared" ca="1" si="31"/>
        <v/>
      </c>
    </row>
    <row r="78" spans="1:30" x14ac:dyDescent="0.2">
      <c r="A78" s="67" t="str">
        <f ca="1">Demand!C75</f>
        <v/>
      </c>
      <c r="B78" s="67">
        <v>63</v>
      </c>
      <c r="C78" s="5">
        <f ca="1">'Demand background (hide)'!Y66</f>
        <v>0</v>
      </c>
      <c r="D78" s="67">
        <f t="shared" si="15"/>
        <v>0</v>
      </c>
      <c r="E78" s="67" t="e">
        <f t="shared" ca="1" si="16"/>
        <v>#N/A</v>
      </c>
      <c r="F78" s="67" t="e">
        <f t="shared" ca="1" si="17"/>
        <v>#N/A</v>
      </c>
      <c r="G78" s="67" t="e">
        <f t="shared" ca="1" si="18"/>
        <v>#N/A</v>
      </c>
      <c r="H78" s="67" t="e">
        <f>IF('Demand background (hide)'!AN66&lt;&gt;"",'SPC background (hide)'!C78,NA())</f>
        <v>#N/A</v>
      </c>
      <c r="I78" s="67">
        <f t="shared" ca="1" si="19"/>
        <v>5</v>
      </c>
      <c r="J78" s="5">
        <f t="shared" ca="1" si="20"/>
        <v>0</v>
      </c>
      <c r="K78" s="5">
        <f t="shared" ca="1" si="21"/>
        <v>0</v>
      </c>
      <c r="L78" s="5">
        <f t="shared" ca="1" si="22"/>
        <v>0</v>
      </c>
      <c r="M78" s="5">
        <f t="shared" ca="1" si="23"/>
        <v>0</v>
      </c>
      <c r="N78" s="5">
        <f t="shared" ca="1" si="24"/>
        <v>0</v>
      </c>
      <c r="O78" s="5">
        <f t="shared" ca="1" si="25"/>
        <v>0</v>
      </c>
      <c r="P78" s="5">
        <f t="shared" ca="1" si="26"/>
        <v>0</v>
      </c>
      <c r="Q78" s="5" t="e">
        <f t="shared" ca="1" si="27"/>
        <v>#N/A</v>
      </c>
      <c r="R78" s="5">
        <f t="shared" ca="1" si="32"/>
        <v>0</v>
      </c>
      <c r="S78" s="67" t="e">
        <f t="shared" ca="1" si="33"/>
        <v>#N/A</v>
      </c>
      <c r="T78" s="67">
        <f t="shared" ca="1" si="34"/>
        <v>0</v>
      </c>
      <c r="U78" s="67" t="e">
        <f t="shared" ca="1" si="35"/>
        <v>#N/A</v>
      </c>
      <c r="V78" s="5">
        <f t="shared" ca="1" si="14"/>
        <v>0</v>
      </c>
      <c r="W78" s="5" t="e">
        <f t="shared" ca="1" si="28"/>
        <v>#N/A</v>
      </c>
      <c r="X78" s="67">
        <f t="shared" ca="1" si="29"/>
        <v>0</v>
      </c>
      <c r="Y78" s="67" t="e">
        <f t="shared" ca="1" si="36"/>
        <v>#N/A</v>
      </c>
      <c r="Z78" s="67" t="e">
        <f t="shared" ca="1" si="37"/>
        <v>#N/A</v>
      </c>
      <c r="AA78" s="5" t="str">
        <f>IF(Setup!$I$15="Yes",'Demand background (hide)'!AJ66+'SPC background (hide)'!C78,"")</f>
        <v/>
      </c>
      <c r="AC78" s="5" t="str">
        <f t="shared" ca="1" si="30"/>
        <v/>
      </c>
      <c r="AD78" s="5" t="str">
        <f t="shared" ca="1" si="31"/>
        <v/>
      </c>
    </row>
    <row r="79" spans="1:30" x14ac:dyDescent="0.2">
      <c r="A79" s="67" t="str">
        <f ca="1">Demand!C76</f>
        <v/>
      </c>
      <c r="B79" s="67">
        <v>64</v>
      </c>
      <c r="C79" s="5">
        <f ca="1">'Demand background (hide)'!Y67</f>
        <v>0</v>
      </c>
      <c r="D79" s="67">
        <f t="shared" si="15"/>
        <v>0</v>
      </c>
      <c r="E79" s="67" t="e">
        <f t="shared" ca="1" si="16"/>
        <v>#N/A</v>
      </c>
      <c r="F79" s="67" t="e">
        <f t="shared" ca="1" si="17"/>
        <v>#N/A</v>
      </c>
      <c r="G79" s="67" t="e">
        <f t="shared" ca="1" si="18"/>
        <v>#N/A</v>
      </c>
      <c r="H79" s="67" t="e">
        <f>IF('Demand background (hide)'!AN67&lt;&gt;"",'SPC background (hide)'!C79,NA())</f>
        <v>#N/A</v>
      </c>
      <c r="I79" s="67">
        <f t="shared" ca="1" si="19"/>
        <v>5</v>
      </c>
      <c r="J79" s="5">
        <f t="shared" ca="1" si="20"/>
        <v>0</v>
      </c>
      <c r="K79" s="5">
        <f t="shared" ca="1" si="21"/>
        <v>0</v>
      </c>
      <c r="L79" s="5">
        <f t="shared" ca="1" si="22"/>
        <v>0</v>
      </c>
      <c r="M79" s="5">
        <f t="shared" ca="1" si="23"/>
        <v>0</v>
      </c>
      <c r="N79" s="5">
        <f t="shared" ca="1" si="24"/>
        <v>0</v>
      </c>
      <c r="O79" s="5">
        <f t="shared" ca="1" si="25"/>
        <v>0</v>
      </c>
      <c r="P79" s="5">
        <f t="shared" ca="1" si="26"/>
        <v>0</v>
      </c>
      <c r="Q79" s="5" t="e">
        <f t="shared" ca="1" si="27"/>
        <v>#N/A</v>
      </c>
      <c r="R79" s="5">
        <f t="shared" ca="1" si="32"/>
        <v>0</v>
      </c>
      <c r="S79" s="67" t="e">
        <f t="shared" ca="1" si="33"/>
        <v>#N/A</v>
      </c>
      <c r="T79" s="67">
        <f t="shared" ca="1" si="34"/>
        <v>0</v>
      </c>
      <c r="U79" s="67" t="e">
        <f t="shared" ca="1" si="35"/>
        <v>#N/A</v>
      </c>
      <c r="V79" s="5">
        <f t="shared" ca="1" si="14"/>
        <v>0</v>
      </c>
      <c r="W79" s="5" t="e">
        <f t="shared" ca="1" si="28"/>
        <v>#N/A</v>
      </c>
      <c r="X79" s="67">
        <f t="shared" ca="1" si="29"/>
        <v>0</v>
      </c>
      <c r="Y79" s="67" t="e">
        <f t="shared" ca="1" si="36"/>
        <v>#N/A</v>
      </c>
      <c r="Z79" s="67" t="e">
        <f t="shared" ca="1" si="37"/>
        <v>#N/A</v>
      </c>
      <c r="AA79" s="5" t="str">
        <f>IF(Setup!$I$15="Yes",'Demand background (hide)'!AJ67+'SPC background (hide)'!C79,"")</f>
        <v/>
      </c>
      <c r="AC79" s="5" t="str">
        <f t="shared" ca="1" si="30"/>
        <v/>
      </c>
      <c r="AD79" s="5" t="str">
        <f t="shared" ca="1" si="31"/>
        <v/>
      </c>
    </row>
    <row r="80" spans="1:30" x14ac:dyDescent="0.2">
      <c r="A80" s="67" t="str">
        <f ca="1">Demand!C77</f>
        <v/>
      </c>
      <c r="B80" s="67">
        <v>65</v>
      </c>
      <c r="C80" s="5">
        <f ca="1">'Demand background (hide)'!Y68</f>
        <v>0</v>
      </c>
      <c r="D80" s="67">
        <f t="shared" si="15"/>
        <v>0</v>
      </c>
      <c r="E80" s="67" t="e">
        <f t="shared" ca="1" si="16"/>
        <v>#N/A</v>
      </c>
      <c r="F80" s="67" t="e">
        <f t="shared" ca="1" si="17"/>
        <v>#N/A</v>
      </c>
      <c r="G80" s="67" t="e">
        <f t="shared" ca="1" si="18"/>
        <v>#N/A</v>
      </c>
      <c r="H80" s="67" t="e">
        <f>IF('Demand background (hide)'!AN68&lt;&gt;"",'SPC background (hide)'!C80,NA())</f>
        <v>#N/A</v>
      </c>
      <c r="I80" s="67">
        <f t="shared" ca="1" si="19"/>
        <v>5</v>
      </c>
      <c r="J80" s="5">
        <f t="shared" ca="1" si="20"/>
        <v>0</v>
      </c>
      <c r="K80" s="5">
        <f t="shared" ca="1" si="21"/>
        <v>0</v>
      </c>
      <c r="L80" s="5">
        <f t="shared" ca="1" si="22"/>
        <v>0</v>
      </c>
      <c r="M80" s="5">
        <f t="shared" ca="1" si="23"/>
        <v>0</v>
      </c>
      <c r="N80" s="5">
        <f t="shared" ca="1" si="24"/>
        <v>0</v>
      </c>
      <c r="O80" s="5">
        <f t="shared" ca="1" si="25"/>
        <v>0</v>
      </c>
      <c r="P80" s="5">
        <f t="shared" ca="1" si="26"/>
        <v>0</v>
      </c>
      <c r="Q80" s="5" t="e">
        <f t="shared" ca="1" si="27"/>
        <v>#N/A</v>
      </c>
      <c r="R80" s="5">
        <f t="shared" ca="1" si="32"/>
        <v>0</v>
      </c>
      <c r="S80" s="67" t="e">
        <f t="shared" ca="1" si="33"/>
        <v>#N/A</v>
      </c>
      <c r="T80" s="67">
        <f t="shared" ca="1" si="34"/>
        <v>0</v>
      </c>
      <c r="U80" s="67" t="e">
        <f t="shared" ca="1" si="35"/>
        <v>#N/A</v>
      </c>
      <c r="V80" s="5">
        <f t="shared" ref="V80:V143" ca="1" si="38">IF(C80&lt;M80,-1,IF(C80&gt;M80,1,0))</f>
        <v>0</v>
      </c>
      <c r="W80" s="5" t="e">
        <f t="shared" ca="1" si="28"/>
        <v>#N/A</v>
      </c>
      <c r="X80" s="67">
        <f t="shared" ca="1" si="29"/>
        <v>0</v>
      </c>
      <c r="Y80" s="67" t="e">
        <f t="shared" ca="1" si="36"/>
        <v>#N/A</v>
      </c>
      <c r="Z80" s="67" t="e">
        <f t="shared" ca="1" si="37"/>
        <v>#N/A</v>
      </c>
      <c r="AA80" s="5" t="str">
        <f>IF(Setup!$I$15="Yes",'Demand background (hide)'!AJ68+'SPC background (hide)'!C80,"")</f>
        <v/>
      </c>
      <c r="AC80" s="5" t="str">
        <f t="shared" ca="1" si="30"/>
        <v/>
      </c>
      <c r="AD80" s="5" t="str">
        <f t="shared" ca="1" si="31"/>
        <v/>
      </c>
    </row>
    <row r="81" spans="1:30" x14ac:dyDescent="0.2">
      <c r="A81" s="67" t="str">
        <f ca="1">Demand!C78</f>
        <v/>
      </c>
      <c r="B81" s="67">
        <v>66</v>
      </c>
      <c r="C81" s="5">
        <f ca="1">'Demand background (hide)'!Y69</f>
        <v>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5</v>
      </c>
      <c r="J81" s="5">
        <f t="shared" ref="J81:J144" ca="1" si="44">VLOOKUP($A81,$AG$2:$AQ$54,COLUMN(E$1),0)</f>
        <v>0</v>
      </c>
      <c r="K81" s="5">
        <f t="shared" ref="K81:K144" ca="1" si="45">VLOOKUP($A81,$AG$2:$AQ$54,COLUMN(F$1),0)</f>
        <v>0</v>
      </c>
      <c r="L81" s="5">
        <f t="shared" ref="L81:L144" ca="1" si="46">VLOOKUP($A81,$AG$2:$AQ$54,COLUMN(G$1),0)</f>
        <v>0</v>
      </c>
      <c r="M81" s="5">
        <f t="shared" ref="M81:M144" ca="1" si="47">VLOOKUP($A81,$AG$2:$AQ$54,COLUMN(H$1),0)</f>
        <v>0</v>
      </c>
      <c r="N81" s="5">
        <f t="shared" ref="N81:N144" ca="1" si="48">VLOOKUP($A81,$AG$2:$AQ$54,COLUMN(I$1),0)</f>
        <v>0</v>
      </c>
      <c r="O81" s="5">
        <f t="shared" ref="O81:O144" ca="1" si="49">VLOOKUP($A81,$AG$2:$AQ$54,COLUMN(J$1),0)</f>
        <v>0</v>
      </c>
      <c r="P81" s="5">
        <f t="shared" ref="P81:P144" ca="1" si="50">VLOOKUP($A81,$AG$2:$AQ$54,COLUMN(K$1),0)</f>
        <v>0</v>
      </c>
      <c r="Q81" s="5" t="e">
        <f t="shared" ref="Q81:Q144" ca="1" si="51">IF(ISNA(H81)=TRUE,IF(OR(C81&gt;P81,C81&lt;J81),C81,NA()),NA())</f>
        <v>#N/A</v>
      </c>
      <c r="R81" s="5">
        <f t="shared" ca="1" si="32"/>
        <v>0</v>
      </c>
      <c r="S81" s="67" t="e">
        <f t="shared" ca="1" si="33"/>
        <v>#N/A</v>
      </c>
      <c r="T81" s="67">
        <f t="shared" ca="1" si="34"/>
        <v>0</v>
      </c>
      <c r="U81" s="67" t="e">
        <f t="shared" ca="1" si="35"/>
        <v>#N/A</v>
      </c>
      <c r="V81" s="5">
        <f t="shared" ca="1" si="38"/>
        <v>0</v>
      </c>
      <c r="W81" s="5" t="e">
        <f t="shared" ref="W81:W144" ca="1" si="52">IF(ISNA(H81)=TRUE,IF(ABS(SUM(V81:V89))=9,C81,NA()),NA())</f>
        <v>#N/A</v>
      </c>
      <c r="X81" s="67">
        <f t="shared" ref="X81:X144" ca="1" si="53">IF(C81&gt;C80,1,IF(C81&lt;C80,-1,0))</f>
        <v>0</v>
      </c>
      <c r="Y81" s="67" t="e">
        <f t="shared" ca="1" si="36"/>
        <v>#N/A</v>
      </c>
      <c r="Z81" s="67" t="e">
        <f t="shared" ca="1" si="37"/>
        <v>#N/A</v>
      </c>
      <c r="AA81" s="5" t="str">
        <f>IF(Setup!$I$15="Yes",'Demand background (hide)'!AJ69+'SPC background (hide)'!C81,"")</f>
        <v/>
      </c>
      <c r="AC81" s="5" t="str">
        <f t="shared" ref="AC81:AC144" ca="1" si="54">VLOOKUP($A81,$AG$2:$AS$54,12,0)</f>
        <v/>
      </c>
      <c r="AD81" s="5" t="str">
        <f t="shared" ref="AD81:AD144" ca="1" si="55">VLOOKUP($A81,$AG$2:$AS$54,13,0)</f>
        <v/>
      </c>
    </row>
    <row r="82" spans="1:30" x14ac:dyDescent="0.2">
      <c r="A82" s="67" t="str">
        <f ca="1">Demand!C79</f>
        <v/>
      </c>
      <c r="B82" s="67">
        <v>67</v>
      </c>
      <c r="C82" s="5">
        <f ca="1">'Demand background (hide)'!Y70</f>
        <v>0</v>
      </c>
      <c r="D82" s="67">
        <f t="shared" si="39"/>
        <v>0</v>
      </c>
      <c r="E82" s="67" t="e">
        <f t="shared" ca="1" si="40"/>
        <v>#N/A</v>
      </c>
      <c r="F82" s="67" t="e">
        <f t="shared" ca="1" si="41"/>
        <v>#N/A</v>
      </c>
      <c r="G82" s="67" t="e">
        <f t="shared" ca="1" si="42"/>
        <v>#N/A</v>
      </c>
      <c r="H82" s="67" t="e">
        <f>IF('Demand background (hide)'!AN70&lt;&gt;"",'SPC background (hide)'!C82,NA())</f>
        <v>#N/A</v>
      </c>
      <c r="I82" s="67">
        <f t="shared" ca="1" si="43"/>
        <v>5</v>
      </c>
      <c r="J82" s="5">
        <f t="shared" ca="1" si="44"/>
        <v>0</v>
      </c>
      <c r="K82" s="5">
        <f t="shared" ca="1" si="45"/>
        <v>0</v>
      </c>
      <c r="L82" s="5">
        <f t="shared" ca="1" si="46"/>
        <v>0</v>
      </c>
      <c r="M82" s="5">
        <f t="shared" ca="1" si="47"/>
        <v>0</v>
      </c>
      <c r="N82" s="5">
        <f t="shared" ca="1" si="48"/>
        <v>0</v>
      </c>
      <c r="O82" s="5">
        <f t="shared" ca="1" si="49"/>
        <v>0</v>
      </c>
      <c r="P82" s="5">
        <f t="shared" ca="1" si="50"/>
        <v>0</v>
      </c>
      <c r="Q82" s="5" t="e">
        <f t="shared" ca="1" si="51"/>
        <v>#N/A</v>
      </c>
      <c r="R82" s="5">
        <f t="shared" ref="R82:R145" ca="1" si="56">IF(C82&gt;O82,2,IF(C82&lt;K82,-2,IF(C82&gt;M82,1,IF(C82&lt;M82,-1,0))))</f>
        <v>0</v>
      </c>
      <c r="S82" s="67" t="e">
        <f t="shared" ref="S82:S145" ca="1" si="57">IF(ISNA(H82),IF(ABS(SUM(R82:R84))&gt;=5,C82,NA()),NA())</f>
        <v>#N/A</v>
      </c>
      <c r="T82" s="67">
        <f t="shared" ref="T82:T145" ca="1" si="58">IF(C82&gt;N82,2,IF(C82&lt;L82,-2,IF(C82&gt;M82,1,IF(C82&lt;M82,-1,0))))</f>
        <v>0</v>
      </c>
      <c r="U82" s="67" t="e">
        <f t="shared" ref="U82:U145" ca="1" si="59">IF(ISNA(H82)=TRUE,IF(ABS(SUM(T82:T86))&gt;=9,C82,NA()),NA())</f>
        <v>#N/A</v>
      </c>
      <c r="V82" s="5">
        <f t="shared" ca="1" si="38"/>
        <v>0</v>
      </c>
      <c r="W82" s="5" t="e">
        <f t="shared" ca="1" si="52"/>
        <v>#N/A</v>
      </c>
      <c r="X82" s="67">
        <f t="shared" ca="1" si="53"/>
        <v>0</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t="str">
        <f t="shared" ca="1" si="54"/>
        <v/>
      </c>
      <c r="AD82" s="5" t="str">
        <f t="shared" ca="1" si="55"/>
        <v/>
      </c>
    </row>
    <row r="83" spans="1:30" x14ac:dyDescent="0.2">
      <c r="A83" s="67" t="str">
        <f ca="1">Demand!C80</f>
        <v/>
      </c>
      <c r="B83" s="67">
        <v>68</v>
      </c>
      <c r="C83" s="5">
        <f ca="1">'Demand background (hide)'!Y71</f>
        <v>0</v>
      </c>
      <c r="D83" s="67">
        <f t="shared" si="39"/>
        <v>0</v>
      </c>
      <c r="E83" s="67" t="e">
        <f t="shared" ca="1" si="40"/>
        <v>#N/A</v>
      </c>
      <c r="F83" s="67" t="e">
        <f t="shared" ca="1" si="41"/>
        <v>#N/A</v>
      </c>
      <c r="G83" s="67" t="e">
        <f t="shared" ca="1" si="42"/>
        <v>#N/A</v>
      </c>
      <c r="H83" s="67" t="e">
        <f>IF('Demand background (hide)'!AN71&lt;&gt;"",'SPC background (hide)'!C83,NA())</f>
        <v>#N/A</v>
      </c>
      <c r="I83" s="67">
        <f t="shared" ca="1" si="43"/>
        <v>5</v>
      </c>
      <c r="J83" s="5">
        <f t="shared" ca="1" si="44"/>
        <v>0</v>
      </c>
      <c r="K83" s="5">
        <f t="shared" ca="1" si="45"/>
        <v>0</v>
      </c>
      <c r="L83" s="5">
        <f t="shared" ca="1" si="46"/>
        <v>0</v>
      </c>
      <c r="M83" s="5">
        <f t="shared" ca="1" si="47"/>
        <v>0</v>
      </c>
      <c r="N83" s="5">
        <f t="shared" ca="1" si="48"/>
        <v>0</v>
      </c>
      <c r="O83" s="5">
        <f t="shared" ca="1" si="49"/>
        <v>0</v>
      </c>
      <c r="P83" s="5">
        <f t="shared" ca="1" si="50"/>
        <v>0</v>
      </c>
      <c r="Q83" s="5" t="e">
        <f t="shared" ca="1" si="51"/>
        <v>#N/A</v>
      </c>
      <c r="R83" s="5">
        <f t="shared" ca="1" si="56"/>
        <v>0</v>
      </c>
      <c r="S83" s="67" t="e">
        <f t="shared" ca="1" si="57"/>
        <v>#N/A</v>
      </c>
      <c r="T83" s="67">
        <f t="shared" ca="1" si="58"/>
        <v>0</v>
      </c>
      <c r="U83" s="67" t="e">
        <f t="shared" ca="1" si="59"/>
        <v>#N/A</v>
      </c>
      <c r="V83" s="5">
        <f t="shared" ca="1" si="38"/>
        <v>0</v>
      </c>
      <c r="W83" s="5" t="e">
        <f t="shared" ca="1" si="52"/>
        <v>#N/A</v>
      </c>
      <c r="X83" s="67">
        <f t="shared" ca="1" si="53"/>
        <v>0</v>
      </c>
      <c r="Y83" s="67" t="e">
        <f t="shared" ca="1" si="60"/>
        <v>#N/A</v>
      </c>
      <c r="Z83" s="67" t="e">
        <f t="shared" ca="1" si="61"/>
        <v>#N/A</v>
      </c>
      <c r="AA83" s="5" t="str">
        <f>IF(Setup!$I$15="Yes",'Demand background (hide)'!AJ71+'SPC background (hide)'!C83,"")</f>
        <v/>
      </c>
      <c r="AC83" s="5" t="str">
        <f t="shared" ca="1" si="54"/>
        <v/>
      </c>
      <c r="AD83" s="5" t="str">
        <f t="shared" ca="1" si="55"/>
        <v/>
      </c>
    </row>
    <row r="84" spans="1:30" x14ac:dyDescent="0.2">
      <c r="A84" s="67" t="str">
        <f ca="1">Demand!C81</f>
        <v/>
      </c>
      <c r="B84" s="67">
        <v>69</v>
      </c>
      <c r="C84" s="5">
        <f ca="1">'Demand background (hide)'!Y72</f>
        <v>0</v>
      </c>
      <c r="D84" s="67">
        <f t="shared" si="39"/>
        <v>0</v>
      </c>
      <c r="E84" s="67" t="e">
        <f t="shared" ca="1" si="40"/>
        <v>#N/A</v>
      </c>
      <c r="F84" s="67" t="e">
        <f t="shared" ca="1" si="41"/>
        <v>#N/A</v>
      </c>
      <c r="G84" s="67" t="e">
        <f t="shared" ca="1" si="42"/>
        <v>#N/A</v>
      </c>
      <c r="H84" s="67" t="e">
        <f>IF('Demand background (hide)'!AN72&lt;&gt;"",'SPC background (hide)'!C84,NA())</f>
        <v>#N/A</v>
      </c>
      <c r="I84" s="67">
        <f t="shared" ca="1" si="43"/>
        <v>5</v>
      </c>
      <c r="J84" s="5">
        <f t="shared" ca="1" si="44"/>
        <v>0</v>
      </c>
      <c r="K84" s="5">
        <f t="shared" ca="1" si="45"/>
        <v>0</v>
      </c>
      <c r="L84" s="5">
        <f t="shared" ca="1" si="46"/>
        <v>0</v>
      </c>
      <c r="M84" s="5">
        <f t="shared" ca="1" si="47"/>
        <v>0</v>
      </c>
      <c r="N84" s="5">
        <f t="shared" ca="1" si="48"/>
        <v>0</v>
      </c>
      <c r="O84" s="5">
        <f t="shared" ca="1" si="49"/>
        <v>0</v>
      </c>
      <c r="P84" s="5">
        <f t="shared" ca="1" si="50"/>
        <v>0</v>
      </c>
      <c r="Q84" s="5" t="e">
        <f t="shared" ca="1" si="51"/>
        <v>#N/A</v>
      </c>
      <c r="R84" s="5">
        <f t="shared" ca="1" si="56"/>
        <v>0</v>
      </c>
      <c r="S84" s="67" t="e">
        <f t="shared" ca="1" si="57"/>
        <v>#N/A</v>
      </c>
      <c r="T84" s="67">
        <f t="shared" ca="1" si="58"/>
        <v>0</v>
      </c>
      <c r="U84" s="67" t="e">
        <f t="shared" ca="1" si="59"/>
        <v>#N/A</v>
      </c>
      <c r="V84" s="5">
        <f t="shared" ca="1" si="38"/>
        <v>0</v>
      </c>
      <c r="W84" s="5" t="e">
        <f t="shared" ca="1" si="52"/>
        <v>#N/A</v>
      </c>
      <c r="X84" s="67">
        <f t="shared" ca="1" si="53"/>
        <v>0</v>
      </c>
      <c r="Y84" s="67" t="e">
        <f t="shared" ca="1" si="60"/>
        <v>#N/A</v>
      </c>
      <c r="Z84" s="67" t="e">
        <f t="shared" ca="1" si="61"/>
        <v>#N/A</v>
      </c>
      <c r="AA84" s="5" t="str">
        <f>IF(Setup!$I$15="Yes",'Demand background (hide)'!AJ72+'SPC background (hide)'!C84,"")</f>
        <v/>
      </c>
      <c r="AC84" s="5" t="str">
        <f t="shared" ca="1" si="54"/>
        <v/>
      </c>
      <c r="AD84" s="5" t="str">
        <f t="shared" ca="1" si="55"/>
        <v/>
      </c>
    </row>
    <row r="85" spans="1:30" x14ac:dyDescent="0.2">
      <c r="A85" s="67" t="str">
        <f ca="1">Demand!C82</f>
        <v/>
      </c>
      <c r="B85" s="67">
        <v>70</v>
      </c>
      <c r="C85" s="5">
        <f ca="1">'Demand background (hide)'!Y73</f>
        <v>0</v>
      </c>
      <c r="D85" s="67">
        <f t="shared" si="39"/>
        <v>0</v>
      </c>
      <c r="E85" s="67" t="e">
        <f t="shared" ca="1" si="40"/>
        <v>#N/A</v>
      </c>
      <c r="F85" s="67" t="e">
        <f t="shared" ca="1" si="41"/>
        <v>#N/A</v>
      </c>
      <c r="G85" s="67" t="e">
        <f t="shared" ca="1" si="42"/>
        <v>#N/A</v>
      </c>
      <c r="H85" s="67" t="e">
        <f>IF('Demand background (hide)'!AN73&lt;&gt;"",'SPC background (hide)'!C85,NA())</f>
        <v>#N/A</v>
      </c>
      <c r="I85" s="67">
        <f t="shared" ca="1" si="43"/>
        <v>5</v>
      </c>
      <c r="J85" s="5">
        <f t="shared" ca="1" si="44"/>
        <v>0</v>
      </c>
      <c r="K85" s="5">
        <f t="shared" ca="1" si="45"/>
        <v>0</v>
      </c>
      <c r="L85" s="5">
        <f t="shared" ca="1" si="46"/>
        <v>0</v>
      </c>
      <c r="M85" s="5">
        <f t="shared" ca="1" si="47"/>
        <v>0</v>
      </c>
      <c r="N85" s="5">
        <f t="shared" ca="1" si="48"/>
        <v>0</v>
      </c>
      <c r="O85" s="5">
        <f t="shared" ca="1" si="49"/>
        <v>0</v>
      </c>
      <c r="P85" s="5">
        <f t="shared" ca="1" si="50"/>
        <v>0</v>
      </c>
      <c r="Q85" s="5" t="e">
        <f t="shared" ca="1" si="51"/>
        <v>#N/A</v>
      </c>
      <c r="R85" s="5">
        <f t="shared" ca="1" si="56"/>
        <v>0</v>
      </c>
      <c r="S85" s="67" t="e">
        <f t="shared" ca="1" si="57"/>
        <v>#N/A</v>
      </c>
      <c r="T85" s="67">
        <f t="shared" ca="1" si="58"/>
        <v>0</v>
      </c>
      <c r="U85" s="67" t="e">
        <f t="shared" ca="1" si="59"/>
        <v>#N/A</v>
      </c>
      <c r="V85" s="5">
        <f t="shared" ca="1" si="38"/>
        <v>0</v>
      </c>
      <c r="W85" s="5" t="e">
        <f t="shared" ca="1" si="52"/>
        <v>#N/A</v>
      </c>
      <c r="X85" s="67">
        <f t="shared" ca="1" si="53"/>
        <v>0</v>
      </c>
      <c r="Y85" s="67" t="e">
        <f t="shared" ca="1" si="60"/>
        <v>#N/A</v>
      </c>
      <c r="Z85" s="67" t="e">
        <f t="shared" ca="1" si="61"/>
        <v>#N/A</v>
      </c>
      <c r="AA85" s="5" t="str">
        <f>IF(Setup!$I$15="Yes",'Demand background (hide)'!AJ73+'SPC background (hide)'!C85,"")</f>
        <v/>
      </c>
      <c r="AC85" s="5" t="str">
        <f t="shared" ca="1" si="54"/>
        <v/>
      </c>
      <c r="AD85" s="5" t="str">
        <f t="shared" ca="1" si="55"/>
        <v/>
      </c>
    </row>
    <row r="86" spans="1:30" x14ac:dyDescent="0.2">
      <c r="A86" s="67" t="str">
        <f ca="1">Demand!C83</f>
        <v/>
      </c>
      <c r="B86" s="67">
        <v>71</v>
      </c>
      <c r="C86" s="5">
        <f ca="1">'Demand background (hide)'!Y74</f>
        <v>0</v>
      </c>
      <c r="D86" s="67">
        <f t="shared" si="39"/>
        <v>0</v>
      </c>
      <c r="E86" s="67" t="e">
        <f t="shared" ca="1" si="40"/>
        <v>#N/A</v>
      </c>
      <c r="F86" s="67" t="e">
        <f t="shared" ca="1" si="41"/>
        <v>#N/A</v>
      </c>
      <c r="G86" s="67" t="e">
        <f t="shared" ca="1" si="42"/>
        <v>#N/A</v>
      </c>
      <c r="H86" s="67" t="e">
        <f>IF('Demand background (hide)'!AN74&lt;&gt;"",'SPC background (hide)'!C86,NA())</f>
        <v>#N/A</v>
      </c>
      <c r="I86" s="67">
        <f t="shared" ca="1" si="43"/>
        <v>5</v>
      </c>
      <c r="J86" s="5">
        <f t="shared" ca="1" si="44"/>
        <v>0</v>
      </c>
      <c r="K86" s="5">
        <f t="shared" ca="1" si="45"/>
        <v>0</v>
      </c>
      <c r="L86" s="5">
        <f t="shared" ca="1" si="46"/>
        <v>0</v>
      </c>
      <c r="M86" s="5">
        <f t="shared" ca="1" si="47"/>
        <v>0</v>
      </c>
      <c r="N86" s="5">
        <f t="shared" ca="1" si="48"/>
        <v>0</v>
      </c>
      <c r="O86" s="5">
        <f t="shared" ca="1" si="49"/>
        <v>0</v>
      </c>
      <c r="P86" s="5">
        <f t="shared" ca="1" si="50"/>
        <v>0</v>
      </c>
      <c r="Q86" s="5" t="e">
        <f t="shared" ca="1" si="51"/>
        <v>#N/A</v>
      </c>
      <c r="R86" s="5">
        <f t="shared" ca="1" si="56"/>
        <v>0</v>
      </c>
      <c r="S86" s="67" t="e">
        <f t="shared" ca="1" si="57"/>
        <v>#N/A</v>
      </c>
      <c r="T86" s="67">
        <f t="shared" ca="1" si="58"/>
        <v>0</v>
      </c>
      <c r="U86" s="67" t="e">
        <f t="shared" ca="1" si="59"/>
        <v>#N/A</v>
      </c>
      <c r="V86" s="5">
        <f t="shared" ca="1" si="38"/>
        <v>0</v>
      </c>
      <c r="W86" s="5" t="e">
        <f t="shared" ca="1" si="52"/>
        <v>#N/A</v>
      </c>
      <c r="X86" s="67">
        <f t="shared" ca="1" si="53"/>
        <v>0</v>
      </c>
      <c r="Y86" s="67" t="e">
        <f t="shared" ca="1" si="60"/>
        <v>#N/A</v>
      </c>
      <c r="Z86" s="67" t="e">
        <f t="shared" ca="1" si="61"/>
        <v>#N/A</v>
      </c>
      <c r="AA86" s="5" t="str">
        <f>IF(Setup!$I$15="Yes",'Demand background (hide)'!AJ74+'SPC background (hide)'!C86,"")</f>
        <v/>
      </c>
      <c r="AC86" s="5" t="str">
        <f t="shared" ca="1" si="54"/>
        <v/>
      </c>
      <c r="AD86" s="5" t="str">
        <f t="shared" ca="1" si="55"/>
        <v/>
      </c>
    </row>
    <row r="87" spans="1:30" x14ac:dyDescent="0.2">
      <c r="A87" s="67" t="str">
        <f ca="1">Demand!C84</f>
        <v/>
      </c>
      <c r="B87" s="67">
        <v>72</v>
      </c>
      <c r="C87" s="5">
        <f ca="1">'Demand background (hide)'!Y75</f>
        <v>0</v>
      </c>
      <c r="D87" s="67">
        <f t="shared" si="39"/>
        <v>0</v>
      </c>
      <c r="E87" s="67" t="e">
        <f t="shared" ca="1" si="40"/>
        <v>#N/A</v>
      </c>
      <c r="F87" s="67" t="e">
        <f t="shared" ca="1" si="41"/>
        <v>#N/A</v>
      </c>
      <c r="G87" s="67" t="e">
        <f t="shared" ca="1" si="42"/>
        <v>#N/A</v>
      </c>
      <c r="H87" s="67" t="e">
        <f>IF('Demand background (hide)'!AN75&lt;&gt;"",'SPC background (hide)'!C87,NA())</f>
        <v>#N/A</v>
      </c>
      <c r="I87" s="67">
        <f t="shared" ca="1" si="43"/>
        <v>5</v>
      </c>
      <c r="J87" s="5">
        <f t="shared" ca="1" si="44"/>
        <v>0</v>
      </c>
      <c r="K87" s="5">
        <f t="shared" ca="1" si="45"/>
        <v>0</v>
      </c>
      <c r="L87" s="5">
        <f t="shared" ca="1" si="46"/>
        <v>0</v>
      </c>
      <c r="M87" s="5">
        <f t="shared" ca="1" si="47"/>
        <v>0</v>
      </c>
      <c r="N87" s="5">
        <f t="shared" ca="1" si="48"/>
        <v>0</v>
      </c>
      <c r="O87" s="5">
        <f t="shared" ca="1" si="49"/>
        <v>0</v>
      </c>
      <c r="P87" s="5">
        <f t="shared" ca="1" si="50"/>
        <v>0</v>
      </c>
      <c r="Q87" s="5" t="e">
        <f t="shared" ca="1" si="51"/>
        <v>#N/A</v>
      </c>
      <c r="R87" s="5">
        <f t="shared" ca="1" si="56"/>
        <v>0</v>
      </c>
      <c r="S87" s="67" t="e">
        <f t="shared" ca="1" si="57"/>
        <v>#N/A</v>
      </c>
      <c r="T87" s="67">
        <f t="shared" ca="1" si="58"/>
        <v>0</v>
      </c>
      <c r="U87" s="67" t="e">
        <f t="shared" ca="1" si="59"/>
        <v>#N/A</v>
      </c>
      <c r="V87" s="5">
        <f t="shared" ca="1" si="38"/>
        <v>0</v>
      </c>
      <c r="W87" s="5" t="e">
        <f t="shared" ca="1" si="52"/>
        <v>#N/A</v>
      </c>
      <c r="X87" s="67">
        <f t="shared" ca="1" si="53"/>
        <v>0</v>
      </c>
      <c r="Y87" s="67" t="e">
        <f t="shared" ca="1" si="60"/>
        <v>#N/A</v>
      </c>
      <c r="Z87" s="67" t="e">
        <f t="shared" ca="1" si="61"/>
        <v>#N/A</v>
      </c>
      <c r="AA87" s="5" t="str">
        <f>IF(Setup!$I$15="Yes",'Demand background (hide)'!AJ75+'SPC background (hide)'!C87,"")</f>
        <v/>
      </c>
      <c r="AC87" s="5" t="str">
        <f t="shared" ca="1" si="54"/>
        <v/>
      </c>
      <c r="AD87" s="5" t="str">
        <f t="shared" ca="1" si="55"/>
        <v/>
      </c>
    </row>
    <row r="88" spans="1:30" x14ac:dyDescent="0.2">
      <c r="A88" s="67" t="str">
        <f ca="1">Demand!C85</f>
        <v/>
      </c>
      <c r="B88" s="67">
        <v>73</v>
      </c>
      <c r="C88" s="5">
        <f ca="1">'Demand background (hide)'!Y76</f>
        <v>0</v>
      </c>
      <c r="D88" s="67">
        <f t="shared" si="39"/>
        <v>0</v>
      </c>
      <c r="E88" s="67" t="e">
        <f t="shared" ca="1" si="40"/>
        <v>#N/A</v>
      </c>
      <c r="F88" s="67" t="e">
        <f t="shared" ca="1" si="41"/>
        <v>#N/A</v>
      </c>
      <c r="G88" s="67" t="e">
        <f t="shared" ca="1" si="42"/>
        <v>#N/A</v>
      </c>
      <c r="H88" s="67" t="e">
        <f>IF('Demand background (hide)'!AN76&lt;&gt;"",'SPC background (hide)'!C88,NA())</f>
        <v>#N/A</v>
      </c>
      <c r="I88" s="67">
        <f t="shared" ca="1" si="43"/>
        <v>5</v>
      </c>
      <c r="J88" s="5">
        <f t="shared" ca="1" si="44"/>
        <v>0</v>
      </c>
      <c r="K88" s="5">
        <f t="shared" ca="1" si="45"/>
        <v>0</v>
      </c>
      <c r="L88" s="5">
        <f t="shared" ca="1" si="46"/>
        <v>0</v>
      </c>
      <c r="M88" s="5">
        <f t="shared" ca="1" si="47"/>
        <v>0</v>
      </c>
      <c r="N88" s="5">
        <f t="shared" ca="1" si="48"/>
        <v>0</v>
      </c>
      <c r="O88" s="5">
        <f t="shared" ca="1" si="49"/>
        <v>0</v>
      </c>
      <c r="P88" s="5">
        <f t="shared" ca="1" si="50"/>
        <v>0</v>
      </c>
      <c r="Q88" s="5" t="e">
        <f t="shared" ca="1" si="51"/>
        <v>#N/A</v>
      </c>
      <c r="R88" s="5">
        <f t="shared" ca="1" si="56"/>
        <v>0</v>
      </c>
      <c r="S88" s="67" t="e">
        <f t="shared" ca="1" si="57"/>
        <v>#N/A</v>
      </c>
      <c r="T88" s="67">
        <f t="shared" ca="1" si="58"/>
        <v>0</v>
      </c>
      <c r="U88" s="67" t="e">
        <f t="shared" ca="1" si="59"/>
        <v>#N/A</v>
      </c>
      <c r="V88" s="5">
        <f t="shared" ca="1" si="38"/>
        <v>0</v>
      </c>
      <c r="W88" s="5" t="e">
        <f t="shared" ca="1" si="52"/>
        <v>#N/A</v>
      </c>
      <c r="X88" s="67">
        <f t="shared" ca="1" si="53"/>
        <v>0</v>
      </c>
      <c r="Y88" s="67" t="e">
        <f t="shared" ca="1" si="60"/>
        <v>#N/A</v>
      </c>
      <c r="Z88" s="67" t="e">
        <f t="shared" ca="1" si="61"/>
        <v>#N/A</v>
      </c>
      <c r="AA88" s="5" t="str">
        <f>IF(Setup!$I$15="Yes",'Demand background (hide)'!AJ76+'SPC background (hide)'!C88,"")</f>
        <v/>
      </c>
      <c r="AC88" s="5" t="str">
        <f t="shared" ca="1" si="54"/>
        <v/>
      </c>
      <c r="AD88" s="5" t="str">
        <f t="shared" ca="1" si="55"/>
        <v/>
      </c>
    </row>
    <row r="89" spans="1:30" x14ac:dyDescent="0.2">
      <c r="A89" s="67" t="str">
        <f ca="1">Demand!C86</f>
        <v/>
      </c>
      <c r="B89" s="67">
        <v>74</v>
      </c>
      <c r="C89" s="5">
        <f ca="1">'Demand background (hide)'!Y77</f>
        <v>0</v>
      </c>
      <c r="D89" s="67">
        <f t="shared" si="39"/>
        <v>0</v>
      </c>
      <c r="E89" s="67" t="e">
        <f t="shared" ca="1" si="40"/>
        <v>#N/A</v>
      </c>
      <c r="F89" s="67" t="e">
        <f t="shared" ca="1" si="41"/>
        <v>#N/A</v>
      </c>
      <c r="G89" s="67" t="e">
        <f t="shared" ca="1" si="42"/>
        <v>#N/A</v>
      </c>
      <c r="H89" s="67" t="e">
        <f>IF('Demand background (hide)'!AN77&lt;&gt;"",'SPC background (hide)'!C89,NA())</f>
        <v>#N/A</v>
      </c>
      <c r="I89" s="67">
        <f t="shared" ca="1" si="43"/>
        <v>5</v>
      </c>
      <c r="J89" s="5">
        <f t="shared" ca="1" si="44"/>
        <v>0</v>
      </c>
      <c r="K89" s="5">
        <f t="shared" ca="1" si="45"/>
        <v>0</v>
      </c>
      <c r="L89" s="5">
        <f t="shared" ca="1" si="46"/>
        <v>0</v>
      </c>
      <c r="M89" s="5">
        <f t="shared" ca="1" si="47"/>
        <v>0</v>
      </c>
      <c r="N89" s="5">
        <f t="shared" ca="1" si="48"/>
        <v>0</v>
      </c>
      <c r="O89" s="5">
        <f t="shared" ca="1" si="49"/>
        <v>0</v>
      </c>
      <c r="P89" s="5">
        <f t="shared" ca="1" si="50"/>
        <v>0</v>
      </c>
      <c r="Q89" s="5" t="e">
        <f t="shared" ca="1" si="51"/>
        <v>#N/A</v>
      </c>
      <c r="R89" s="5">
        <f t="shared" ca="1" si="56"/>
        <v>0</v>
      </c>
      <c r="S89" s="67" t="e">
        <f t="shared" ca="1" si="57"/>
        <v>#N/A</v>
      </c>
      <c r="T89" s="67">
        <f t="shared" ca="1" si="58"/>
        <v>0</v>
      </c>
      <c r="U89" s="67" t="e">
        <f t="shared" ca="1" si="59"/>
        <v>#N/A</v>
      </c>
      <c r="V89" s="5">
        <f t="shared" ca="1" si="38"/>
        <v>0</v>
      </c>
      <c r="W89" s="5" t="e">
        <f t="shared" ca="1" si="52"/>
        <v>#N/A</v>
      </c>
      <c r="X89" s="67">
        <f t="shared" ca="1" si="53"/>
        <v>0</v>
      </c>
      <c r="Y89" s="67" t="e">
        <f t="shared" ca="1" si="60"/>
        <v>#N/A</v>
      </c>
      <c r="Z89" s="67" t="e">
        <f t="shared" ca="1" si="61"/>
        <v>#N/A</v>
      </c>
      <c r="AA89" s="5" t="str">
        <f>IF(Setup!$I$15="Yes",'Demand background (hide)'!AJ77+'SPC background (hide)'!C89,"")</f>
        <v/>
      </c>
      <c r="AC89" s="5" t="str">
        <f t="shared" ca="1" si="54"/>
        <v/>
      </c>
      <c r="AD89" s="5" t="str">
        <f t="shared" ca="1" si="55"/>
        <v/>
      </c>
    </row>
    <row r="90" spans="1:30" x14ac:dyDescent="0.2">
      <c r="A90" s="67" t="str">
        <f ca="1">Demand!C87</f>
        <v/>
      </c>
      <c r="B90" s="67">
        <v>75</v>
      </c>
      <c r="C90" s="5">
        <f ca="1">'Demand background (hide)'!Y78</f>
        <v>0</v>
      </c>
      <c r="D90" s="67">
        <f t="shared" si="39"/>
        <v>0</v>
      </c>
      <c r="E90" s="67" t="e">
        <f t="shared" ca="1" si="40"/>
        <v>#N/A</v>
      </c>
      <c r="F90" s="67" t="e">
        <f t="shared" ca="1" si="41"/>
        <v>#N/A</v>
      </c>
      <c r="G90" s="67" t="e">
        <f t="shared" ca="1" si="42"/>
        <v>#N/A</v>
      </c>
      <c r="H90" s="67" t="e">
        <f>IF('Demand background (hide)'!AN78&lt;&gt;"",'SPC background (hide)'!C90,NA())</f>
        <v>#N/A</v>
      </c>
      <c r="I90" s="67">
        <f t="shared" ca="1" si="43"/>
        <v>5</v>
      </c>
      <c r="J90" s="5">
        <f t="shared" ca="1" si="44"/>
        <v>0</v>
      </c>
      <c r="K90" s="5">
        <f t="shared" ca="1" si="45"/>
        <v>0</v>
      </c>
      <c r="L90" s="5">
        <f t="shared" ca="1" si="46"/>
        <v>0</v>
      </c>
      <c r="M90" s="5">
        <f t="shared" ca="1" si="47"/>
        <v>0</v>
      </c>
      <c r="N90" s="5">
        <f t="shared" ca="1" si="48"/>
        <v>0</v>
      </c>
      <c r="O90" s="5">
        <f t="shared" ca="1" si="49"/>
        <v>0</v>
      </c>
      <c r="P90" s="5">
        <f t="shared" ca="1" si="50"/>
        <v>0</v>
      </c>
      <c r="Q90" s="5" t="e">
        <f t="shared" ca="1" si="51"/>
        <v>#N/A</v>
      </c>
      <c r="R90" s="5">
        <f t="shared" ca="1" si="56"/>
        <v>0</v>
      </c>
      <c r="S90" s="67" t="e">
        <f t="shared" ca="1" si="57"/>
        <v>#N/A</v>
      </c>
      <c r="T90" s="67">
        <f t="shared" ca="1" si="58"/>
        <v>0</v>
      </c>
      <c r="U90" s="67" t="e">
        <f t="shared" ca="1" si="59"/>
        <v>#N/A</v>
      </c>
      <c r="V90" s="5">
        <f t="shared" ca="1" si="38"/>
        <v>0</v>
      </c>
      <c r="W90" s="5" t="e">
        <f t="shared" ca="1" si="52"/>
        <v>#N/A</v>
      </c>
      <c r="X90" s="67">
        <f t="shared" ca="1" si="53"/>
        <v>0</v>
      </c>
      <c r="Y90" s="67" t="e">
        <f t="shared" ca="1" si="60"/>
        <v>#N/A</v>
      </c>
      <c r="Z90" s="67" t="e">
        <f t="shared" ca="1" si="61"/>
        <v>#N/A</v>
      </c>
      <c r="AA90" s="5" t="str">
        <f>IF(Setup!$I$15="Yes",'Demand background (hide)'!AJ78+'SPC background (hide)'!C90,"")</f>
        <v/>
      </c>
      <c r="AC90" s="5" t="str">
        <f t="shared" ca="1" si="54"/>
        <v/>
      </c>
      <c r="AD90" s="5" t="str">
        <f t="shared" ca="1" si="55"/>
        <v/>
      </c>
    </row>
    <row r="91" spans="1:30" x14ac:dyDescent="0.2">
      <c r="A91" s="67" t="str">
        <f ca="1">Demand!C88</f>
        <v/>
      </c>
      <c r="B91" s="67">
        <v>76</v>
      </c>
      <c r="C91" s="5">
        <f ca="1">'Demand background (hide)'!Y79</f>
        <v>0</v>
      </c>
      <c r="D91" s="67">
        <f t="shared" si="39"/>
        <v>0</v>
      </c>
      <c r="E91" s="67" t="e">
        <f t="shared" ca="1" si="40"/>
        <v>#N/A</v>
      </c>
      <c r="F91" s="67" t="e">
        <f t="shared" ca="1" si="41"/>
        <v>#N/A</v>
      </c>
      <c r="G91" s="67" t="e">
        <f t="shared" ca="1" si="42"/>
        <v>#N/A</v>
      </c>
      <c r="H91" s="67" t="e">
        <f>IF('Demand background (hide)'!AN79&lt;&gt;"",'SPC background (hide)'!C91,NA())</f>
        <v>#N/A</v>
      </c>
      <c r="I91" s="67">
        <f t="shared" ca="1" si="43"/>
        <v>5</v>
      </c>
      <c r="J91" s="5">
        <f t="shared" ca="1" si="44"/>
        <v>0</v>
      </c>
      <c r="K91" s="5">
        <f t="shared" ca="1" si="45"/>
        <v>0</v>
      </c>
      <c r="L91" s="5">
        <f t="shared" ca="1" si="46"/>
        <v>0</v>
      </c>
      <c r="M91" s="5">
        <f t="shared" ca="1" si="47"/>
        <v>0</v>
      </c>
      <c r="N91" s="5">
        <f t="shared" ca="1" si="48"/>
        <v>0</v>
      </c>
      <c r="O91" s="5">
        <f t="shared" ca="1" si="49"/>
        <v>0</v>
      </c>
      <c r="P91" s="5">
        <f t="shared" ca="1" si="50"/>
        <v>0</v>
      </c>
      <c r="Q91" s="5" t="e">
        <f t="shared" ca="1" si="51"/>
        <v>#N/A</v>
      </c>
      <c r="R91" s="5">
        <f t="shared" ca="1" si="56"/>
        <v>0</v>
      </c>
      <c r="S91" s="67" t="e">
        <f t="shared" ca="1" si="57"/>
        <v>#N/A</v>
      </c>
      <c r="T91" s="67">
        <f t="shared" ca="1" si="58"/>
        <v>0</v>
      </c>
      <c r="U91" s="67" t="e">
        <f t="shared" ca="1" si="59"/>
        <v>#N/A</v>
      </c>
      <c r="V91" s="5">
        <f t="shared" ca="1" si="38"/>
        <v>0</v>
      </c>
      <c r="W91" s="5" t="e">
        <f t="shared" ca="1" si="52"/>
        <v>#N/A</v>
      </c>
      <c r="X91" s="67">
        <f t="shared" ca="1" si="53"/>
        <v>0</v>
      </c>
      <c r="Y91" s="67" t="e">
        <f t="shared" ca="1" si="60"/>
        <v>#N/A</v>
      </c>
      <c r="Z91" s="67" t="e">
        <f t="shared" ca="1" si="61"/>
        <v>#N/A</v>
      </c>
      <c r="AA91" s="5" t="str">
        <f>IF(Setup!$I$15="Yes",'Demand background (hide)'!AJ79+'SPC background (hide)'!C91,"")</f>
        <v/>
      </c>
      <c r="AC91" s="5" t="str">
        <f t="shared" ca="1" si="54"/>
        <v/>
      </c>
      <c r="AD91" s="5" t="str">
        <f t="shared" ca="1" si="55"/>
        <v/>
      </c>
    </row>
    <row r="92" spans="1:30" x14ac:dyDescent="0.2">
      <c r="A92" s="67" t="str">
        <f ca="1">Demand!C89</f>
        <v/>
      </c>
      <c r="B92" s="67">
        <v>77</v>
      </c>
      <c r="C92" s="5">
        <f ca="1">'Demand background (hide)'!Y80</f>
        <v>0</v>
      </c>
      <c r="D92" s="67">
        <f t="shared" si="39"/>
        <v>0</v>
      </c>
      <c r="E92" s="67" t="e">
        <f t="shared" ca="1" si="40"/>
        <v>#N/A</v>
      </c>
      <c r="F92" s="67" t="e">
        <f t="shared" ca="1" si="41"/>
        <v>#N/A</v>
      </c>
      <c r="G92" s="67" t="e">
        <f t="shared" ca="1" si="42"/>
        <v>#N/A</v>
      </c>
      <c r="H92" s="67" t="e">
        <f>IF('Demand background (hide)'!AN80&lt;&gt;"",'SPC background (hide)'!C92,NA())</f>
        <v>#N/A</v>
      </c>
      <c r="I92" s="67">
        <f t="shared" ca="1" si="43"/>
        <v>5</v>
      </c>
      <c r="J92" s="5">
        <f t="shared" ca="1" si="44"/>
        <v>0</v>
      </c>
      <c r="K92" s="5">
        <f t="shared" ca="1" si="45"/>
        <v>0</v>
      </c>
      <c r="L92" s="5">
        <f t="shared" ca="1" si="46"/>
        <v>0</v>
      </c>
      <c r="M92" s="5">
        <f t="shared" ca="1" si="47"/>
        <v>0</v>
      </c>
      <c r="N92" s="5">
        <f t="shared" ca="1" si="48"/>
        <v>0</v>
      </c>
      <c r="O92" s="5">
        <f t="shared" ca="1" si="49"/>
        <v>0</v>
      </c>
      <c r="P92" s="5">
        <f t="shared" ca="1" si="50"/>
        <v>0</v>
      </c>
      <c r="Q92" s="5" t="e">
        <f t="shared" ca="1" si="51"/>
        <v>#N/A</v>
      </c>
      <c r="R92" s="5">
        <f t="shared" ca="1" si="56"/>
        <v>0</v>
      </c>
      <c r="S92" s="67" t="e">
        <f t="shared" ca="1" si="57"/>
        <v>#N/A</v>
      </c>
      <c r="T92" s="67">
        <f t="shared" ca="1" si="58"/>
        <v>0</v>
      </c>
      <c r="U92" s="67" t="e">
        <f t="shared" ca="1" si="59"/>
        <v>#N/A</v>
      </c>
      <c r="V92" s="5">
        <f t="shared" ca="1" si="38"/>
        <v>0</v>
      </c>
      <c r="W92" s="5" t="e">
        <f t="shared" ca="1" si="52"/>
        <v>#N/A</v>
      </c>
      <c r="X92" s="67">
        <f t="shared" ca="1" si="53"/>
        <v>0</v>
      </c>
      <c r="Y92" s="67" t="e">
        <f t="shared" ca="1" si="60"/>
        <v>#N/A</v>
      </c>
      <c r="Z92" s="67" t="e">
        <f t="shared" ca="1" si="61"/>
        <v>#N/A</v>
      </c>
      <c r="AA92" s="5" t="str">
        <f>IF(Setup!$I$15="Yes",'Demand background (hide)'!AJ80+'SPC background (hide)'!C92,"")</f>
        <v/>
      </c>
      <c r="AC92" s="5" t="str">
        <f t="shared" ca="1" si="54"/>
        <v/>
      </c>
      <c r="AD92" s="5" t="str">
        <f t="shared" ca="1" si="55"/>
        <v/>
      </c>
    </row>
    <row r="93" spans="1:30" x14ac:dyDescent="0.2">
      <c r="A93" s="67" t="str">
        <f ca="1">Demand!C90</f>
        <v/>
      </c>
      <c r="B93" s="67">
        <v>78</v>
      </c>
      <c r="C93" s="5">
        <f ca="1">'Demand background (hide)'!Y81</f>
        <v>0</v>
      </c>
      <c r="D93" s="67">
        <f t="shared" si="39"/>
        <v>0</v>
      </c>
      <c r="E93" s="67" t="e">
        <f t="shared" ca="1" si="40"/>
        <v>#N/A</v>
      </c>
      <c r="F93" s="67" t="e">
        <f t="shared" ca="1" si="41"/>
        <v>#N/A</v>
      </c>
      <c r="G93" s="67" t="e">
        <f t="shared" ca="1" si="42"/>
        <v>#N/A</v>
      </c>
      <c r="H93" s="67" t="e">
        <f>IF('Demand background (hide)'!AN81&lt;&gt;"",'SPC background (hide)'!C93,NA())</f>
        <v>#N/A</v>
      </c>
      <c r="I93" s="67">
        <f t="shared" ca="1" si="43"/>
        <v>5</v>
      </c>
      <c r="J93" s="5">
        <f t="shared" ca="1" si="44"/>
        <v>0</v>
      </c>
      <c r="K93" s="5">
        <f t="shared" ca="1" si="45"/>
        <v>0</v>
      </c>
      <c r="L93" s="5">
        <f t="shared" ca="1" si="46"/>
        <v>0</v>
      </c>
      <c r="M93" s="5">
        <f t="shared" ca="1" si="47"/>
        <v>0</v>
      </c>
      <c r="N93" s="5">
        <f t="shared" ca="1" si="48"/>
        <v>0</v>
      </c>
      <c r="O93" s="5">
        <f t="shared" ca="1" si="49"/>
        <v>0</v>
      </c>
      <c r="P93" s="5">
        <f t="shared" ca="1" si="50"/>
        <v>0</v>
      </c>
      <c r="Q93" s="5" t="e">
        <f t="shared" ca="1" si="51"/>
        <v>#N/A</v>
      </c>
      <c r="R93" s="5">
        <f t="shared" ca="1" si="56"/>
        <v>0</v>
      </c>
      <c r="S93" s="67" t="e">
        <f t="shared" ca="1" si="57"/>
        <v>#N/A</v>
      </c>
      <c r="T93" s="67">
        <f t="shared" ca="1" si="58"/>
        <v>0</v>
      </c>
      <c r="U93" s="67" t="e">
        <f t="shared" ca="1" si="59"/>
        <v>#N/A</v>
      </c>
      <c r="V93" s="5">
        <f t="shared" ca="1" si="38"/>
        <v>0</v>
      </c>
      <c r="W93" s="5" t="e">
        <f t="shared" ca="1" si="52"/>
        <v>#N/A</v>
      </c>
      <c r="X93" s="67">
        <f t="shared" ca="1" si="53"/>
        <v>0</v>
      </c>
      <c r="Y93" s="67" t="e">
        <f t="shared" ca="1" si="60"/>
        <v>#N/A</v>
      </c>
      <c r="Z93" s="67" t="e">
        <f t="shared" ca="1" si="61"/>
        <v>#N/A</v>
      </c>
      <c r="AA93" s="5" t="str">
        <f>IF(Setup!$I$15="Yes",'Demand background (hide)'!AJ81+'SPC background (hide)'!C93,"")</f>
        <v/>
      </c>
      <c r="AC93" s="5" t="str">
        <f t="shared" ca="1" si="54"/>
        <v/>
      </c>
      <c r="AD93" s="5" t="str">
        <f t="shared" ca="1" si="55"/>
        <v/>
      </c>
    </row>
    <row r="94" spans="1:30" x14ac:dyDescent="0.2">
      <c r="A94" s="67" t="str">
        <f ca="1">Demand!C91</f>
        <v/>
      </c>
      <c r="B94" s="67">
        <v>79</v>
      </c>
      <c r="C94" s="5">
        <f ca="1">'Demand background (hide)'!Y82</f>
        <v>0</v>
      </c>
      <c r="D94" s="67">
        <f t="shared" si="39"/>
        <v>0</v>
      </c>
      <c r="E94" s="67" t="e">
        <f t="shared" ca="1" si="40"/>
        <v>#N/A</v>
      </c>
      <c r="F94" s="67" t="e">
        <f t="shared" ca="1" si="41"/>
        <v>#N/A</v>
      </c>
      <c r="G94" s="67" t="e">
        <f t="shared" ca="1" si="42"/>
        <v>#N/A</v>
      </c>
      <c r="H94" s="67" t="e">
        <f>IF('Demand background (hide)'!AN82&lt;&gt;"",'SPC background (hide)'!C94,NA())</f>
        <v>#N/A</v>
      </c>
      <c r="I94" s="67">
        <f t="shared" ca="1" si="43"/>
        <v>5</v>
      </c>
      <c r="J94" s="5">
        <f t="shared" ca="1" si="44"/>
        <v>0</v>
      </c>
      <c r="K94" s="5">
        <f t="shared" ca="1" si="45"/>
        <v>0</v>
      </c>
      <c r="L94" s="5">
        <f t="shared" ca="1" si="46"/>
        <v>0</v>
      </c>
      <c r="M94" s="5">
        <f t="shared" ca="1" si="47"/>
        <v>0</v>
      </c>
      <c r="N94" s="5">
        <f t="shared" ca="1" si="48"/>
        <v>0</v>
      </c>
      <c r="O94" s="5">
        <f t="shared" ca="1" si="49"/>
        <v>0</v>
      </c>
      <c r="P94" s="5">
        <f t="shared" ca="1" si="50"/>
        <v>0</v>
      </c>
      <c r="Q94" s="5" t="e">
        <f t="shared" ca="1" si="51"/>
        <v>#N/A</v>
      </c>
      <c r="R94" s="5">
        <f t="shared" ca="1" si="56"/>
        <v>0</v>
      </c>
      <c r="S94" s="67" t="e">
        <f t="shared" ca="1" si="57"/>
        <v>#N/A</v>
      </c>
      <c r="T94" s="67">
        <f t="shared" ca="1" si="58"/>
        <v>0</v>
      </c>
      <c r="U94" s="67" t="e">
        <f t="shared" ca="1" si="59"/>
        <v>#N/A</v>
      </c>
      <c r="V94" s="5">
        <f t="shared" ca="1" si="38"/>
        <v>0</v>
      </c>
      <c r="W94" s="5" t="e">
        <f t="shared" ca="1" si="52"/>
        <v>#N/A</v>
      </c>
      <c r="X94" s="67">
        <f t="shared" ca="1" si="53"/>
        <v>0</v>
      </c>
      <c r="Y94" s="67" t="e">
        <f t="shared" ca="1" si="60"/>
        <v>#N/A</v>
      </c>
      <c r="Z94" s="67" t="e">
        <f t="shared" ca="1" si="61"/>
        <v>#N/A</v>
      </c>
      <c r="AA94" s="5" t="str">
        <f>IF(Setup!$I$15="Yes",'Demand background (hide)'!AJ82+'SPC background (hide)'!C94,"")</f>
        <v/>
      </c>
      <c r="AC94" s="5" t="str">
        <f t="shared" ca="1" si="54"/>
        <v/>
      </c>
      <c r="AD94" s="5" t="str">
        <f t="shared" ca="1" si="55"/>
        <v/>
      </c>
    </row>
    <row r="95" spans="1:30" x14ac:dyDescent="0.2">
      <c r="A95" s="67" t="str">
        <f ca="1">Demand!C92</f>
        <v/>
      </c>
      <c r="B95" s="67">
        <v>80</v>
      </c>
      <c r="C95" s="5">
        <f ca="1">'Demand background (hide)'!Y83</f>
        <v>0</v>
      </c>
      <c r="D95" s="67">
        <f t="shared" si="39"/>
        <v>0</v>
      </c>
      <c r="E95" s="67" t="e">
        <f t="shared" ca="1" si="40"/>
        <v>#N/A</v>
      </c>
      <c r="F95" s="67" t="e">
        <f t="shared" ca="1" si="41"/>
        <v>#N/A</v>
      </c>
      <c r="G95" s="67" t="e">
        <f t="shared" ca="1" si="42"/>
        <v>#N/A</v>
      </c>
      <c r="H95" s="67" t="e">
        <f>IF('Demand background (hide)'!AN83&lt;&gt;"",'SPC background (hide)'!C95,NA())</f>
        <v>#N/A</v>
      </c>
      <c r="I95" s="67">
        <f t="shared" ca="1" si="43"/>
        <v>5</v>
      </c>
      <c r="J95" s="5">
        <f t="shared" ca="1" si="44"/>
        <v>0</v>
      </c>
      <c r="K95" s="5">
        <f t="shared" ca="1" si="45"/>
        <v>0</v>
      </c>
      <c r="L95" s="5">
        <f t="shared" ca="1" si="46"/>
        <v>0</v>
      </c>
      <c r="M95" s="5">
        <f t="shared" ca="1" si="47"/>
        <v>0</v>
      </c>
      <c r="N95" s="5">
        <f t="shared" ca="1" si="48"/>
        <v>0</v>
      </c>
      <c r="O95" s="5">
        <f t="shared" ca="1" si="49"/>
        <v>0</v>
      </c>
      <c r="P95" s="5">
        <f t="shared" ca="1" si="50"/>
        <v>0</v>
      </c>
      <c r="Q95" s="5" t="e">
        <f t="shared" ca="1" si="51"/>
        <v>#N/A</v>
      </c>
      <c r="R95" s="5">
        <f t="shared" ca="1" si="56"/>
        <v>0</v>
      </c>
      <c r="S95" s="67" t="e">
        <f t="shared" ca="1" si="57"/>
        <v>#N/A</v>
      </c>
      <c r="T95" s="67">
        <f t="shared" ca="1" si="58"/>
        <v>0</v>
      </c>
      <c r="U95" s="67" t="e">
        <f t="shared" ca="1" si="59"/>
        <v>#N/A</v>
      </c>
      <c r="V95" s="5">
        <f t="shared" ca="1" si="38"/>
        <v>0</v>
      </c>
      <c r="W95" s="5" t="e">
        <f t="shared" ca="1" si="52"/>
        <v>#N/A</v>
      </c>
      <c r="X95" s="67">
        <f t="shared" ca="1" si="53"/>
        <v>0</v>
      </c>
      <c r="Y95" s="67" t="e">
        <f t="shared" ca="1" si="60"/>
        <v>#N/A</v>
      </c>
      <c r="Z95" s="67" t="e">
        <f t="shared" ca="1" si="61"/>
        <v>#N/A</v>
      </c>
      <c r="AA95" s="5" t="str">
        <f>IF(Setup!$I$15="Yes",'Demand background (hide)'!AJ83+'SPC background (hide)'!C95,"")</f>
        <v/>
      </c>
      <c r="AC95" s="5" t="str">
        <f t="shared" ca="1" si="54"/>
        <v/>
      </c>
      <c r="AD95" s="5" t="str">
        <f t="shared" ca="1" si="55"/>
        <v/>
      </c>
    </row>
    <row r="96" spans="1:30" x14ac:dyDescent="0.2">
      <c r="A96" s="67" t="str">
        <f ca="1">Demand!C93</f>
        <v/>
      </c>
      <c r="B96" s="67">
        <v>81</v>
      </c>
      <c r="C96" s="5">
        <f ca="1">'Demand background (hide)'!Y84</f>
        <v>0</v>
      </c>
      <c r="D96" s="67">
        <f t="shared" si="39"/>
        <v>0</v>
      </c>
      <c r="E96" s="67" t="e">
        <f t="shared" ca="1" si="40"/>
        <v>#N/A</v>
      </c>
      <c r="F96" s="67" t="e">
        <f t="shared" ca="1" si="41"/>
        <v>#N/A</v>
      </c>
      <c r="G96" s="67" t="e">
        <f t="shared" ca="1" si="42"/>
        <v>#N/A</v>
      </c>
      <c r="H96" s="67" t="e">
        <f>IF('Demand background (hide)'!AN84&lt;&gt;"",'SPC background (hide)'!C96,NA())</f>
        <v>#N/A</v>
      </c>
      <c r="I96" s="67">
        <f t="shared" ca="1" si="43"/>
        <v>5</v>
      </c>
      <c r="J96" s="5">
        <f t="shared" ca="1" si="44"/>
        <v>0</v>
      </c>
      <c r="K96" s="5">
        <f t="shared" ca="1" si="45"/>
        <v>0</v>
      </c>
      <c r="L96" s="5">
        <f t="shared" ca="1" si="46"/>
        <v>0</v>
      </c>
      <c r="M96" s="5">
        <f t="shared" ca="1" si="47"/>
        <v>0</v>
      </c>
      <c r="N96" s="5">
        <f t="shared" ca="1" si="48"/>
        <v>0</v>
      </c>
      <c r="O96" s="5">
        <f t="shared" ca="1" si="49"/>
        <v>0</v>
      </c>
      <c r="P96" s="5">
        <f t="shared" ca="1" si="50"/>
        <v>0</v>
      </c>
      <c r="Q96" s="5" t="e">
        <f t="shared" ca="1" si="51"/>
        <v>#N/A</v>
      </c>
      <c r="R96" s="5">
        <f t="shared" ca="1" si="56"/>
        <v>0</v>
      </c>
      <c r="S96" s="67" t="e">
        <f t="shared" ca="1" si="57"/>
        <v>#N/A</v>
      </c>
      <c r="T96" s="67">
        <f t="shared" ca="1" si="58"/>
        <v>0</v>
      </c>
      <c r="U96" s="67" t="e">
        <f t="shared" ca="1" si="59"/>
        <v>#N/A</v>
      </c>
      <c r="V96" s="5">
        <f t="shared" ca="1" si="38"/>
        <v>0</v>
      </c>
      <c r="W96" s="5" t="e">
        <f t="shared" ca="1" si="52"/>
        <v>#N/A</v>
      </c>
      <c r="X96" s="67">
        <f t="shared" ca="1" si="53"/>
        <v>0</v>
      </c>
      <c r="Y96" s="67" t="e">
        <f t="shared" ca="1" si="60"/>
        <v>#N/A</v>
      </c>
      <c r="Z96" s="67" t="e">
        <f t="shared" ca="1" si="61"/>
        <v>#N/A</v>
      </c>
      <c r="AA96" s="5" t="str">
        <f>IF(Setup!$I$15="Yes",'Demand background (hide)'!AJ84+'SPC background (hide)'!C96,"")</f>
        <v/>
      </c>
      <c r="AC96" s="5" t="str">
        <f t="shared" ca="1" si="54"/>
        <v/>
      </c>
      <c r="AD96" s="5" t="str">
        <f t="shared" ca="1" si="55"/>
        <v/>
      </c>
    </row>
    <row r="97" spans="1:30" x14ac:dyDescent="0.2">
      <c r="A97" s="67" t="str">
        <f ca="1">Demand!C94</f>
        <v/>
      </c>
      <c r="B97" s="67">
        <v>82</v>
      </c>
      <c r="C97" s="5">
        <f ca="1">'Demand background (hide)'!Y85</f>
        <v>0</v>
      </c>
      <c r="D97" s="67">
        <f t="shared" si="39"/>
        <v>0</v>
      </c>
      <c r="E97" s="67" t="e">
        <f t="shared" ca="1" si="40"/>
        <v>#N/A</v>
      </c>
      <c r="F97" s="67" t="e">
        <f t="shared" ca="1" si="41"/>
        <v>#N/A</v>
      </c>
      <c r="G97" s="67" t="e">
        <f t="shared" ca="1" si="42"/>
        <v>#N/A</v>
      </c>
      <c r="H97" s="67" t="e">
        <f>IF('Demand background (hide)'!AN85&lt;&gt;"",'SPC background (hide)'!C97,NA())</f>
        <v>#N/A</v>
      </c>
      <c r="I97" s="67">
        <f t="shared" ca="1" si="43"/>
        <v>5</v>
      </c>
      <c r="J97" s="5">
        <f t="shared" ca="1" si="44"/>
        <v>0</v>
      </c>
      <c r="K97" s="5">
        <f t="shared" ca="1" si="45"/>
        <v>0</v>
      </c>
      <c r="L97" s="5">
        <f t="shared" ca="1" si="46"/>
        <v>0</v>
      </c>
      <c r="M97" s="5">
        <f t="shared" ca="1" si="47"/>
        <v>0</v>
      </c>
      <c r="N97" s="5">
        <f t="shared" ca="1" si="48"/>
        <v>0</v>
      </c>
      <c r="O97" s="5">
        <f t="shared" ca="1" si="49"/>
        <v>0</v>
      </c>
      <c r="P97" s="5">
        <f t="shared" ca="1" si="50"/>
        <v>0</v>
      </c>
      <c r="Q97" s="5" t="e">
        <f t="shared" ca="1" si="51"/>
        <v>#N/A</v>
      </c>
      <c r="R97" s="5">
        <f t="shared" ca="1" si="56"/>
        <v>0</v>
      </c>
      <c r="S97" s="67" t="e">
        <f t="shared" ca="1" si="57"/>
        <v>#N/A</v>
      </c>
      <c r="T97" s="67">
        <f t="shared" ca="1" si="58"/>
        <v>0</v>
      </c>
      <c r="U97" s="67" t="e">
        <f t="shared" ca="1" si="59"/>
        <v>#N/A</v>
      </c>
      <c r="V97" s="5">
        <f t="shared" ca="1" si="38"/>
        <v>0</v>
      </c>
      <c r="W97" s="5" t="e">
        <f t="shared" ca="1" si="52"/>
        <v>#N/A</v>
      </c>
      <c r="X97" s="67">
        <f t="shared" ca="1" si="53"/>
        <v>0</v>
      </c>
      <c r="Y97" s="67" t="e">
        <f t="shared" ca="1" si="60"/>
        <v>#N/A</v>
      </c>
      <c r="Z97" s="67" t="e">
        <f t="shared" ca="1" si="61"/>
        <v>#N/A</v>
      </c>
      <c r="AA97" s="5" t="str">
        <f>IF(Setup!$I$15="Yes",'Demand background (hide)'!AJ85+'SPC background (hide)'!C97,"")</f>
        <v/>
      </c>
      <c r="AC97" s="5" t="str">
        <f t="shared" ca="1" si="54"/>
        <v/>
      </c>
      <c r="AD97" s="5" t="str">
        <f t="shared" ca="1" si="55"/>
        <v/>
      </c>
    </row>
    <row r="98" spans="1:30" x14ac:dyDescent="0.2">
      <c r="A98" s="67" t="str">
        <f ca="1">Demand!C95</f>
        <v/>
      </c>
      <c r="B98" s="67">
        <v>83</v>
      </c>
      <c r="C98" s="5">
        <f ca="1">'Demand background (hide)'!Y86</f>
        <v>0</v>
      </c>
      <c r="D98" s="67">
        <f t="shared" si="39"/>
        <v>0</v>
      </c>
      <c r="E98" s="67" t="e">
        <f t="shared" ca="1" si="40"/>
        <v>#N/A</v>
      </c>
      <c r="F98" s="67" t="e">
        <f t="shared" ca="1" si="41"/>
        <v>#N/A</v>
      </c>
      <c r="G98" s="67" t="e">
        <f t="shared" ca="1" si="42"/>
        <v>#N/A</v>
      </c>
      <c r="H98" s="67" t="e">
        <f>IF('Demand background (hide)'!AN86&lt;&gt;"",'SPC background (hide)'!C98,NA())</f>
        <v>#N/A</v>
      </c>
      <c r="I98" s="67">
        <f t="shared" ca="1" si="43"/>
        <v>5</v>
      </c>
      <c r="J98" s="5">
        <f t="shared" ca="1" si="44"/>
        <v>0</v>
      </c>
      <c r="K98" s="5">
        <f t="shared" ca="1" si="45"/>
        <v>0</v>
      </c>
      <c r="L98" s="5">
        <f t="shared" ca="1" si="46"/>
        <v>0</v>
      </c>
      <c r="M98" s="5">
        <f t="shared" ca="1" si="47"/>
        <v>0</v>
      </c>
      <c r="N98" s="5">
        <f t="shared" ca="1" si="48"/>
        <v>0</v>
      </c>
      <c r="O98" s="5">
        <f t="shared" ca="1" si="49"/>
        <v>0</v>
      </c>
      <c r="P98" s="5">
        <f t="shared" ca="1" si="50"/>
        <v>0</v>
      </c>
      <c r="Q98" s="5" t="e">
        <f t="shared" ca="1" si="51"/>
        <v>#N/A</v>
      </c>
      <c r="R98" s="5">
        <f t="shared" ca="1" si="56"/>
        <v>0</v>
      </c>
      <c r="S98" s="67" t="e">
        <f t="shared" ca="1" si="57"/>
        <v>#N/A</v>
      </c>
      <c r="T98" s="67">
        <f t="shared" ca="1" si="58"/>
        <v>0</v>
      </c>
      <c r="U98" s="67" t="e">
        <f t="shared" ca="1" si="59"/>
        <v>#N/A</v>
      </c>
      <c r="V98" s="5">
        <f t="shared" ca="1" si="38"/>
        <v>0</v>
      </c>
      <c r="W98" s="5" t="e">
        <f t="shared" ca="1" si="52"/>
        <v>#N/A</v>
      </c>
      <c r="X98" s="67">
        <f t="shared" ca="1" si="53"/>
        <v>0</v>
      </c>
      <c r="Y98" s="67" t="e">
        <f t="shared" ca="1" si="60"/>
        <v>#N/A</v>
      </c>
      <c r="Z98" s="67" t="e">
        <f t="shared" ca="1" si="61"/>
        <v>#N/A</v>
      </c>
      <c r="AA98" s="5" t="str">
        <f>IF(Setup!$I$15="Yes",'Demand background (hide)'!AJ86+'SPC background (hide)'!C98,"")</f>
        <v/>
      </c>
      <c r="AC98" s="5" t="str">
        <f t="shared" ca="1" si="54"/>
        <v/>
      </c>
      <c r="AD98" s="5" t="str">
        <f t="shared" ca="1" si="55"/>
        <v/>
      </c>
    </row>
    <row r="99" spans="1:30" x14ac:dyDescent="0.2">
      <c r="A99" s="67" t="str">
        <f ca="1">Demand!C96</f>
        <v/>
      </c>
      <c r="B99" s="67">
        <v>84</v>
      </c>
      <c r="C99" s="5">
        <f ca="1">'Demand background (hide)'!Y87</f>
        <v>0</v>
      </c>
      <c r="D99" s="67">
        <f t="shared" si="39"/>
        <v>0</v>
      </c>
      <c r="E99" s="67" t="e">
        <f t="shared" ca="1" si="40"/>
        <v>#N/A</v>
      </c>
      <c r="F99" s="67" t="e">
        <f t="shared" ca="1" si="41"/>
        <v>#N/A</v>
      </c>
      <c r="G99" s="67" t="e">
        <f t="shared" ca="1" si="42"/>
        <v>#N/A</v>
      </c>
      <c r="H99" s="67" t="e">
        <f>IF('Demand background (hide)'!AN87&lt;&gt;"",'SPC background (hide)'!C99,NA())</f>
        <v>#N/A</v>
      </c>
      <c r="I99" s="67">
        <f t="shared" ca="1" si="43"/>
        <v>5</v>
      </c>
      <c r="J99" s="5">
        <f t="shared" ca="1" si="44"/>
        <v>0</v>
      </c>
      <c r="K99" s="5">
        <f t="shared" ca="1" si="45"/>
        <v>0</v>
      </c>
      <c r="L99" s="5">
        <f t="shared" ca="1" si="46"/>
        <v>0</v>
      </c>
      <c r="M99" s="5">
        <f t="shared" ca="1" si="47"/>
        <v>0</v>
      </c>
      <c r="N99" s="5">
        <f t="shared" ca="1" si="48"/>
        <v>0</v>
      </c>
      <c r="O99" s="5">
        <f t="shared" ca="1" si="49"/>
        <v>0</v>
      </c>
      <c r="P99" s="5">
        <f t="shared" ca="1" si="50"/>
        <v>0</v>
      </c>
      <c r="Q99" s="5" t="e">
        <f t="shared" ca="1" si="51"/>
        <v>#N/A</v>
      </c>
      <c r="R99" s="5">
        <f t="shared" ca="1" si="56"/>
        <v>0</v>
      </c>
      <c r="S99" s="67" t="e">
        <f t="shared" ca="1" si="57"/>
        <v>#N/A</v>
      </c>
      <c r="T99" s="67">
        <f t="shared" ca="1" si="58"/>
        <v>0</v>
      </c>
      <c r="U99" s="67" t="e">
        <f t="shared" ca="1" si="59"/>
        <v>#N/A</v>
      </c>
      <c r="V99" s="5">
        <f t="shared" ca="1" si="38"/>
        <v>0</v>
      </c>
      <c r="W99" s="5" t="e">
        <f t="shared" ca="1" si="52"/>
        <v>#N/A</v>
      </c>
      <c r="X99" s="67">
        <f t="shared" ca="1" si="53"/>
        <v>0</v>
      </c>
      <c r="Y99" s="67" t="e">
        <f t="shared" ca="1" si="60"/>
        <v>#N/A</v>
      </c>
      <c r="Z99" s="67" t="e">
        <f t="shared" ca="1" si="61"/>
        <v>#N/A</v>
      </c>
      <c r="AA99" s="5" t="str">
        <f>IF(Setup!$I$15="Yes",'Demand background (hide)'!AJ87+'SPC background (hide)'!C99,"")</f>
        <v/>
      </c>
      <c r="AC99" s="5" t="str">
        <f t="shared" ca="1" si="54"/>
        <v/>
      </c>
      <c r="AD99" s="5" t="str">
        <f t="shared" ca="1" si="55"/>
        <v/>
      </c>
    </row>
    <row r="100" spans="1:30" x14ac:dyDescent="0.2">
      <c r="A100" s="67" t="str">
        <f ca="1">Demand!C97</f>
        <v/>
      </c>
      <c r="B100" s="67">
        <v>85</v>
      </c>
      <c r="C100" s="5">
        <f ca="1">'Demand background (hide)'!Y88</f>
        <v>0</v>
      </c>
      <c r="D100" s="67">
        <f t="shared" si="39"/>
        <v>0</v>
      </c>
      <c r="E100" s="67" t="e">
        <f t="shared" ca="1" si="40"/>
        <v>#N/A</v>
      </c>
      <c r="F100" s="67" t="e">
        <f t="shared" ca="1" si="41"/>
        <v>#N/A</v>
      </c>
      <c r="G100" s="67" t="e">
        <f t="shared" ca="1" si="42"/>
        <v>#N/A</v>
      </c>
      <c r="H100" s="67" t="e">
        <f>IF('Demand background (hide)'!AN88&lt;&gt;"",'SPC background (hide)'!C100,NA())</f>
        <v>#N/A</v>
      </c>
      <c r="I100" s="67">
        <f t="shared" ca="1" si="43"/>
        <v>5</v>
      </c>
      <c r="J100" s="5">
        <f t="shared" ca="1" si="44"/>
        <v>0</v>
      </c>
      <c r="K100" s="5">
        <f t="shared" ca="1" si="45"/>
        <v>0</v>
      </c>
      <c r="L100" s="5">
        <f t="shared" ca="1" si="46"/>
        <v>0</v>
      </c>
      <c r="M100" s="5">
        <f t="shared" ca="1" si="47"/>
        <v>0</v>
      </c>
      <c r="N100" s="5">
        <f t="shared" ca="1" si="48"/>
        <v>0</v>
      </c>
      <c r="O100" s="5">
        <f t="shared" ca="1" si="49"/>
        <v>0</v>
      </c>
      <c r="P100" s="5">
        <f t="shared" ca="1" si="50"/>
        <v>0</v>
      </c>
      <c r="Q100" s="5" t="e">
        <f t="shared" ca="1" si="51"/>
        <v>#N/A</v>
      </c>
      <c r="R100" s="5">
        <f t="shared" ca="1" si="56"/>
        <v>0</v>
      </c>
      <c r="S100" s="67" t="e">
        <f t="shared" ca="1" si="57"/>
        <v>#N/A</v>
      </c>
      <c r="T100" s="67">
        <f t="shared" ca="1" si="58"/>
        <v>0</v>
      </c>
      <c r="U100" s="67" t="e">
        <f t="shared" ca="1" si="59"/>
        <v>#N/A</v>
      </c>
      <c r="V100" s="5">
        <f t="shared" ca="1" si="38"/>
        <v>0</v>
      </c>
      <c r="W100" s="5" t="e">
        <f t="shared" ca="1" si="52"/>
        <v>#N/A</v>
      </c>
      <c r="X100" s="67">
        <f t="shared" ca="1" si="53"/>
        <v>0</v>
      </c>
      <c r="Y100" s="67" t="e">
        <f t="shared" ca="1" si="60"/>
        <v>#N/A</v>
      </c>
      <c r="Z100" s="67" t="e">
        <f t="shared" ca="1" si="61"/>
        <v>#N/A</v>
      </c>
      <c r="AA100" s="5" t="str">
        <f>IF(Setup!$I$15="Yes",'Demand background (hide)'!AJ88+'SPC background (hide)'!C100,"")</f>
        <v/>
      </c>
      <c r="AC100" s="5" t="str">
        <f t="shared" ca="1" si="54"/>
        <v/>
      </c>
      <c r="AD100" s="5" t="str">
        <f t="shared" ca="1" si="55"/>
        <v/>
      </c>
    </row>
    <row r="101" spans="1:30" x14ac:dyDescent="0.2">
      <c r="A101" s="67" t="str">
        <f ca="1">Demand!C98</f>
        <v/>
      </c>
      <c r="B101" s="67">
        <v>86</v>
      </c>
      <c r="C101" s="5">
        <f ca="1">'Demand background (hide)'!Y89</f>
        <v>0</v>
      </c>
      <c r="D101" s="67">
        <f t="shared" si="39"/>
        <v>0</v>
      </c>
      <c r="E101" s="67" t="e">
        <f t="shared" ca="1" si="40"/>
        <v>#N/A</v>
      </c>
      <c r="F101" s="67" t="e">
        <f t="shared" ca="1" si="41"/>
        <v>#N/A</v>
      </c>
      <c r="G101" s="67" t="e">
        <f t="shared" ca="1" si="42"/>
        <v>#N/A</v>
      </c>
      <c r="H101" s="67" t="e">
        <f>IF('Demand background (hide)'!AN89&lt;&gt;"",'SPC background (hide)'!C101,NA())</f>
        <v>#N/A</v>
      </c>
      <c r="I101" s="67">
        <f t="shared" ca="1" si="43"/>
        <v>5</v>
      </c>
      <c r="J101" s="5">
        <f t="shared" ca="1" si="44"/>
        <v>0</v>
      </c>
      <c r="K101" s="5">
        <f t="shared" ca="1" si="45"/>
        <v>0</v>
      </c>
      <c r="L101" s="5">
        <f t="shared" ca="1" si="46"/>
        <v>0</v>
      </c>
      <c r="M101" s="5">
        <f t="shared" ca="1" si="47"/>
        <v>0</v>
      </c>
      <c r="N101" s="5">
        <f t="shared" ca="1" si="48"/>
        <v>0</v>
      </c>
      <c r="O101" s="5">
        <f t="shared" ca="1" si="49"/>
        <v>0</v>
      </c>
      <c r="P101" s="5">
        <f t="shared" ca="1" si="50"/>
        <v>0</v>
      </c>
      <c r="Q101" s="5" t="e">
        <f t="shared" ca="1" si="51"/>
        <v>#N/A</v>
      </c>
      <c r="R101" s="5">
        <f t="shared" ca="1" si="56"/>
        <v>0</v>
      </c>
      <c r="S101" s="67" t="e">
        <f t="shared" ca="1" si="57"/>
        <v>#N/A</v>
      </c>
      <c r="T101" s="67">
        <f t="shared" ca="1" si="58"/>
        <v>0</v>
      </c>
      <c r="U101" s="67" t="e">
        <f t="shared" ca="1" si="59"/>
        <v>#N/A</v>
      </c>
      <c r="V101" s="5">
        <f t="shared" ca="1" si="38"/>
        <v>0</v>
      </c>
      <c r="W101" s="5" t="e">
        <f t="shared" ca="1" si="52"/>
        <v>#N/A</v>
      </c>
      <c r="X101" s="67">
        <f t="shared" ca="1" si="53"/>
        <v>0</v>
      </c>
      <c r="Y101" s="67" t="e">
        <f t="shared" ca="1" si="60"/>
        <v>#N/A</v>
      </c>
      <c r="Z101" s="67" t="e">
        <f t="shared" ca="1" si="61"/>
        <v>#N/A</v>
      </c>
      <c r="AA101" s="5" t="str">
        <f>IF(Setup!$I$15="Yes",'Demand background (hide)'!AJ89+'SPC background (hide)'!C101,"")</f>
        <v/>
      </c>
      <c r="AC101" s="5" t="str">
        <f t="shared" ca="1" si="54"/>
        <v/>
      </c>
      <c r="AD101" s="5" t="str">
        <f t="shared" ca="1" si="55"/>
        <v/>
      </c>
    </row>
    <row r="102" spans="1:30" x14ac:dyDescent="0.2">
      <c r="A102" s="67" t="str">
        <f ca="1">Demand!C99</f>
        <v/>
      </c>
      <c r="B102" s="67">
        <v>87</v>
      </c>
      <c r="C102" s="5">
        <f ca="1">'Demand background (hide)'!Y90</f>
        <v>0</v>
      </c>
      <c r="D102" s="67">
        <f t="shared" si="39"/>
        <v>0</v>
      </c>
      <c r="E102" s="67" t="e">
        <f t="shared" ca="1" si="40"/>
        <v>#N/A</v>
      </c>
      <c r="F102" s="67" t="e">
        <f t="shared" ca="1" si="41"/>
        <v>#N/A</v>
      </c>
      <c r="G102" s="67" t="e">
        <f t="shared" ca="1" si="42"/>
        <v>#N/A</v>
      </c>
      <c r="H102" s="67" t="e">
        <f>IF('Demand background (hide)'!AN90&lt;&gt;"",'SPC background (hide)'!C102,NA())</f>
        <v>#N/A</v>
      </c>
      <c r="I102" s="67">
        <f t="shared" ca="1" si="43"/>
        <v>5</v>
      </c>
      <c r="J102" s="5">
        <f t="shared" ca="1" si="44"/>
        <v>0</v>
      </c>
      <c r="K102" s="5">
        <f t="shared" ca="1" si="45"/>
        <v>0</v>
      </c>
      <c r="L102" s="5">
        <f t="shared" ca="1" si="46"/>
        <v>0</v>
      </c>
      <c r="M102" s="5">
        <f t="shared" ca="1" si="47"/>
        <v>0</v>
      </c>
      <c r="N102" s="5">
        <f t="shared" ca="1" si="48"/>
        <v>0</v>
      </c>
      <c r="O102" s="5">
        <f t="shared" ca="1" si="49"/>
        <v>0</v>
      </c>
      <c r="P102" s="5">
        <f t="shared" ca="1" si="50"/>
        <v>0</v>
      </c>
      <c r="Q102" s="5" t="e">
        <f t="shared" ca="1" si="51"/>
        <v>#N/A</v>
      </c>
      <c r="R102" s="5">
        <f t="shared" ca="1" si="56"/>
        <v>0</v>
      </c>
      <c r="S102" s="67" t="e">
        <f t="shared" ca="1" si="57"/>
        <v>#N/A</v>
      </c>
      <c r="T102" s="67">
        <f t="shared" ca="1" si="58"/>
        <v>0</v>
      </c>
      <c r="U102" s="67" t="e">
        <f t="shared" ca="1" si="59"/>
        <v>#N/A</v>
      </c>
      <c r="V102" s="5">
        <f t="shared" ca="1" si="38"/>
        <v>0</v>
      </c>
      <c r="W102" s="5" t="e">
        <f t="shared" ca="1" si="52"/>
        <v>#N/A</v>
      </c>
      <c r="X102" s="67">
        <f t="shared" ca="1" si="53"/>
        <v>0</v>
      </c>
      <c r="Y102" s="67" t="e">
        <f t="shared" ca="1" si="60"/>
        <v>#N/A</v>
      </c>
      <c r="Z102" s="67" t="e">
        <f t="shared" ca="1" si="61"/>
        <v>#N/A</v>
      </c>
      <c r="AA102" s="5" t="str">
        <f>IF(Setup!$I$15="Yes",'Demand background (hide)'!AJ90+'SPC background (hide)'!C102,"")</f>
        <v/>
      </c>
      <c r="AC102" s="5" t="str">
        <f t="shared" ca="1" si="54"/>
        <v/>
      </c>
      <c r="AD102" s="5" t="str">
        <f t="shared" ca="1" si="55"/>
        <v/>
      </c>
    </row>
    <row r="103" spans="1:30" x14ac:dyDescent="0.2">
      <c r="A103" s="67" t="str">
        <f ca="1">Demand!C100</f>
        <v/>
      </c>
      <c r="B103" s="67">
        <v>88</v>
      </c>
      <c r="C103" s="5">
        <f ca="1">'Demand background (hide)'!Y91</f>
        <v>0</v>
      </c>
      <c r="D103" s="67">
        <f t="shared" si="39"/>
        <v>0</v>
      </c>
      <c r="E103" s="67" t="e">
        <f t="shared" ca="1" si="40"/>
        <v>#N/A</v>
      </c>
      <c r="F103" s="67" t="e">
        <f t="shared" ca="1" si="41"/>
        <v>#N/A</v>
      </c>
      <c r="G103" s="67" t="e">
        <f t="shared" ca="1" si="42"/>
        <v>#N/A</v>
      </c>
      <c r="H103" s="67" t="e">
        <f>IF('Demand background (hide)'!AN91&lt;&gt;"",'SPC background (hide)'!C103,NA())</f>
        <v>#N/A</v>
      </c>
      <c r="I103" s="67">
        <f t="shared" ca="1" si="43"/>
        <v>5</v>
      </c>
      <c r="J103" s="5">
        <f t="shared" ca="1" si="44"/>
        <v>0</v>
      </c>
      <c r="K103" s="5">
        <f t="shared" ca="1" si="45"/>
        <v>0</v>
      </c>
      <c r="L103" s="5">
        <f t="shared" ca="1" si="46"/>
        <v>0</v>
      </c>
      <c r="M103" s="5">
        <f t="shared" ca="1" si="47"/>
        <v>0</v>
      </c>
      <c r="N103" s="5">
        <f t="shared" ca="1" si="48"/>
        <v>0</v>
      </c>
      <c r="O103" s="5">
        <f t="shared" ca="1" si="49"/>
        <v>0</v>
      </c>
      <c r="P103" s="5">
        <f t="shared" ca="1" si="50"/>
        <v>0</v>
      </c>
      <c r="Q103" s="5" t="e">
        <f t="shared" ca="1" si="51"/>
        <v>#N/A</v>
      </c>
      <c r="R103" s="5">
        <f t="shared" ca="1" si="56"/>
        <v>0</v>
      </c>
      <c r="S103" s="67" t="e">
        <f t="shared" ca="1" si="57"/>
        <v>#N/A</v>
      </c>
      <c r="T103" s="67">
        <f t="shared" ca="1" si="58"/>
        <v>0</v>
      </c>
      <c r="U103" s="67" t="e">
        <f t="shared" ca="1" si="59"/>
        <v>#N/A</v>
      </c>
      <c r="V103" s="5">
        <f t="shared" ca="1" si="38"/>
        <v>0</v>
      </c>
      <c r="W103" s="5" t="e">
        <f t="shared" ca="1" si="52"/>
        <v>#N/A</v>
      </c>
      <c r="X103" s="67">
        <f t="shared" ca="1" si="53"/>
        <v>0</v>
      </c>
      <c r="Y103" s="67" t="e">
        <f t="shared" ca="1" si="60"/>
        <v>#N/A</v>
      </c>
      <c r="Z103" s="67" t="e">
        <f t="shared" ca="1" si="61"/>
        <v>#N/A</v>
      </c>
      <c r="AA103" s="5" t="str">
        <f>IF(Setup!$I$15="Yes",'Demand background (hide)'!AJ91+'SPC background (hide)'!C103,"")</f>
        <v/>
      </c>
      <c r="AC103" s="5" t="str">
        <f t="shared" ca="1" si="54"/>
        <v/>
      </c>
      <c r="AD103" s="5" t="str">
        <f t="shared" ca="1" si="55"/>
        <v/>
      </c>
    </row>
    <row r="104" spans="1:30" x14ac:dyDescent="0.2">
      <c r="A104" s="67" t="str">
        <f ca="1">Demand!C101</f>
        <v/>
      </c>
      <c r="B104" s="67">
        <v>89</v>
      </c>
      <c r="C104" s="5">
        <f ca="1">'Demand background (hide)'!Y92</f>
        <v>0</v>
      </c>
      <c r="D104" s="67">
        <f t="shared" si="39"/>
        <v>0</v>
      </c>
      <c r="E104" s="67" t="e">
        <f t="shared" ca="1" si="40"/>
        <v>#N/A</v>
      </c>
      <c r="F104" s="67" t="e">
        <f t="shared" ca="1" si="41"/>
        <v>#N/A</v>
      </c>
      <c r="G104" s="67" t="e">
        <f t="shared" ca="1" si="42"/>
        <v>#N/A</v>
      </c>
      <c r="H104" s="67" t="e">
        <f>IF('Demand background (hide)'!AN92&lt;&gt;"",'SPC background (hide)'!C104,NA())</f>
        <v>#N/A</v>
      </c>
      <c r="I104" s="67">
        <f t="shared" ca="1" si="43"/>
        <v>5</v>
      </c>
      <c r="J104" s="5">
        <f t="shared" ca="1" si="44"/>
        <v>0</v>
      </c>
      <c r="K104" s="5">
        <f t="shared" ca="1" si="45"/>
        <v>0</v>
      </c>
      <c r="L104" s="5">
        <f t="shared" ca="1" si="46"/>
        <v>0</v>
      </c>
      <c r="M104" s="5">
        <f t="shared" ca="1" si="47"/>
        <v>0</v>
      </c>
      <c r="N104" s="5">
        <f t="shared" ca="1" si="48"/>
        <v>0</v>
      </c>
      <c r="O104" s="5">
        <f t="shared" ca="1" si="49"/>
        <v>0</v>
      </c>
      <c r="P104" s="5">
        <f t="shared" ca="1" si="50"/>
        <v>0</v>
      </c>
      <c r="Q104" s="5" t="e">
        <f t="shared" ca="1" si="51"/>
        <v>#N/A</v>
      </c>
      <c r="R104" s="5">
        <f t="shared" ca="1" si="56"/>
        <v>0</v>
      </c>
      <c r="S104" s="67" t="e">
        <f t="shared" ca="1" si="57"/>
        <v>#N/A</v>
      </c>
      <c r="T104" s="67">
        <f t="shared" ca="1" si="58"/>
        <v>0</v>
      </c>
      <c r="U104" s="67" t="e">
        <f t="shared" ca="1" si="59"/>
        <v>#N/A</v>
      </c>
      <c r="V104" s="5">
        <f t="shared" ca="1" si="38"/>
        <v>0</v>
      </c>
      <c r="W104" s="5" t="e">
        <f t="shared" ca="1" si="52"/>
        <v>#N/A</v>
      </c>
      <c r="X104" s="67">
        <f t="shared" ca="1" si="53"/>
        <v>0</v>
      </c>
      <c r="Y104" s="67" t="e">
        <f t="shared" ca="1" si="60"/>
        <v>#N/A</v>
      </c>
      <c r="Z104" s="67" t="e">
        <f t="shared" ca="1" si="61"/>
        <v>#N/A</v>
      </c>
      <c r="AA104" s="5" t="str">
        <f>IF(Setup!$I$15="Yes",'Demand background (hide)'!AJ92+'SPC background (hide)'!C104,"")</f>
        <v/>
      </c>
      <c r="AC104" s="5" t="str">
        <f t="shared" ca="1" si="54"/>
        <v/>
      </c>
      <c r="AD104" s="5" t="str">
        <f t="shared" ca="1" si="55"/>
        <v/>
      </c>
    </row>
    <row r="105" spans="1:30" x14ac:dyDescent="0.2">
      <c r="A105" s="67" t="str">
        <f ca="1">Demand!C102</f>
        <v/>
      </c>
      <c r="B105" s="67">
        <v>90</v>
      </c>
      <c r="C105" s="5">
        <f ca="1">'Demand background (hide)'!Y93</f>
        <v>0</v>
      </c>
      <c r="D105" s="67">
        <f t="shared" si="39"/>
        <v>0</v>
      </c>
      <c r="E105" s="67" t="e">
        <f t="shared" ca="1" si="40"/>
        <v>#N/A</v>
      </c>
      <c r="F105" s="67" t="e">
        <f t="shared" ca="1" si="41"/>
        <v>#N/A</v>
      </c>
      <c r="G105" s="67" t="e">
        <f t="shared" ca="1" si="42"/>
        <v>#N/A</v>
      </c>
      <c r="H105" s="67" t="e">
        <f>IF('Demand background (hide)'!AN93&lt;&gt;"",'SPC background (hide)'!C105,NA())</f>
        <v>#N/A</v>
      </c>
      <c r="I105" s="67">
        <f t="shared" ca="1" si="43"/>
        <v>5</v>
      </c>
      <c r="J105" s="5">
        <f t="shared" ca="1" si="44"/>
        <v>0</v>
      </c>
      <c r="K105" s="5">
        <f t="shared" ca="1" si="45"/>
        <v>0</v>
      </c>
      <c r="L105" s="5">
        <f t="shared" ca="1" si="46"/>
        <v>0</v>
      </c>
      <c r="M105" s="5">
        <f t="shared" ca="1" si="47"/>
        <v>0</v>
      </c>
      <c r="N105" s="5">
        <f t="shared" ca="1" si="48"/>
        <v>0</v>
      </c>
      <c r="O105" s="5">
        <f t="shared" ca="1" si="49"/>
        <v>0</v>
      </c>
      <c r="P105" s="5">
        <f t="shared" ca="1" si="50"/>
        <v>0</v>
      </c>
      <c r="Q105" s="5" t="e">
        <f t="shared" ca="1" si="51"/>
        <v>#N/A</v>
      </c>
      <c r="R105" s="5">
        <f t="shared" ca="1" si="56"/>
        <v>0</v>
      </c>
      <c r="S105" s="67" t="e">
        <f t="shared" ca="1" si="57"/>
        <v>#N/A</v>
      </c>
      <c r="T105" s="67">
        <f t="shared" ca="1" si="58"/>
        <v>0</v>
      </c>
      <c r="U105" s="67" t="e">
        <f t="shared" ca="1" si="59"/>
        <v>#N/A</v>
      </c>
      <c r="V105" s="5">
        <f t="shared" ca="1" si="38"/>
        <v>0</v>
      </c>
      <c r="W105" s="5" t="e">
        <f t="shared" ca="1" si="52"/>
        <v>#N/A</v>
      </c>
      <c r="X105" s="67">
        <f t="shared" ca="1" si="53"/>
        <v>0</v>
      </c>
      <c r="Y105" s="67" t="e">
        <f t="shared" ca="1" si="60"/>
        <v>#N/A</v>
      </c>
      <c r="Z105" s="67" t="e">
        <f t="shared" ca="1" si="61"/>
        <v>#N/A</v>
      </c>
      <c r="AA105" s="5" t="str">
        <f>IF(Setup!$I$15="Yes",'Demand background (hide)'!AJ93+'SPC background (hide)'!C105,"")</f>
        <v/>
      </c>
      <c r="AC105" s="5" t="str">
        <f t="shared" ca="1" si="54"/>
        <v/>
      </c>
      <c r="AD105" s="5" t="str">
        <f t="shared" ca="1" si="55"/>
        <v/>
      </c>
    </row>
    <row r="106" spans="1:30" x14ac:dyDescent="0.2">
      <c r="A106" s="67" t="str">
        <f ca="1">Demand!C103</f>
        <v/>
      </c>
      <c r="B106" s="67">
        <v>91</v>
      </c>
      <c r="C106" s="5">
        <f ca="1">'Demand background (hide)'!Y94</f>
        <v>0</v>
      </c>
      <c r="D106" s="67">
        <f t="shared" si="39"/>
        <v>0</v>
      </c>
      <c r="E106" s="67" t="e">
        <f t="shared" ca="1" si="40"/>
        <v>#N/A</v>
      </c>
      <c r="F106" s="67" t="e">
        <f t="shared" ca="1" si="41"/>
        <v>#N/A</v>
      </c>
      <c r="G106" s="67" t="e">
        <f t="shared" ca="1" si="42"/>
        <v>#N/A</v>
      </c>
      <c r="H106" s="67" t="e">
        <f>IF('Demand background (hide)'!AN94&lt;&gt;"",'SPC background (hide)'!C106,NA())</f>
        <v>#N/A</v>
      </c>
      <c r="I106" s="67">
        <f t="shared" ca="1" si="43"/>
        <v>5</v>
      </c>
      <c r="J106" s="5">
        <f t="shared" ca="1" si="44"/>
        <v>0</v>
      </c>
      <c r="K106" s="5">
        <f t="shared" ca="1" si="45"/>
        <v>0</v>
      </c>
      <c r="L106" s="5">
        <f t="shared" ca="1" si="46"/>
        <v>0</v>
      </c>
      <c r="M106" s="5">
        <f t="shared" ca="1" si="47"/>
        <v>0</v>
      </c>
      <c r="N106" s="5">
        <f t="shared" ca="1" si="48"/>
        <v>0</v>
      </c>
      <c r="O106" s="5">
        <f t="shared" ca="1" si="49"/>
        <v>0</v>
      </c>
      <c r="P106" s="5">
        <f t="shared" ca="1" si="50"/>
        <v>0</v>
      </c>
      <c r="Q106" s="5" t="e">
        <f t="shared" ca="1" si="51"/>
        <v>#N/A</v>
      </c>
      <c r="R106" s="5">
        <f t="shared" ca="1" si="56"/>
        <v>0</v>
      </c>
      <c r="S106" s="67" t="e">
        <f t="shared" ca="1" si="57"/>
        <v>#N/A</v>
      </c>
      <c r="T106" s="67">
        <f t="shared" ca="1" si="58"/>
        <v>0</v>
      </c>
      <c r="U106" s="67" t="e">
        <f t="shared" ca="1" si="59"/>
        <v>#N/A</v>
      </c>
      <c r="V106" s="5">
        <f t="shared" ca="1" si="38"/>
        <v>0</v>
      </c>
      <c r="W106" s="5" t="e">
        <f t="shared" ca="1" si="52"/>
        <v>#N/A</v>
      </c>
      <c r="X106" s="67">
        <f t="shared" ca="1" si="53"/>
        <v>0</v>
      </c>
      <c r="Y106" s="67" t="e">
        <f t="shared" ca="1" si="60"/>
        <v>#N/A</v>
      </c>
      <c r="Z106" s="67" t="e">
        <f t="shared" ca="1" si="61"/>
        <v>#N/A</v>
      </c>
      <c r="AA106" s="5" t="str">
        <f>IF(Setup!$I$15="Yes",'Demand background (hide)'!AJ94+'SPC background (hide)'!C106,"")</f>
        <v/>
      </c>
      <c r="AC106" s="5" t="str">
        <f t="shared" ca="1" si="54"/>
        <v/>
      </c>
      <c r="AD106" s="5" t="str">
        <f t="shared" ca="1" si="55"/>
        <v/>
      </c>
    </row>
    <row r="107" spans="1:30" x14ac:dyDescent="0.2">
      <c r="A107" s="67" t="str">
        <f ca="1">Demand!C104</f>
        <v/>
      </c>
      <c r="B107" s="67">
        <v>92</v>
      </c>
      <c r="C107" s="5">
        <f ca="1">'Demand background (hide)'!Y95</f>
        <v>0</v>
      </c>
      <c r="D107" s="67">
        <f t="shared" si="39"/>
        <v>0</v>
      </c>
      <c r="E107" s="67" t="e">
        <f t="shared" ca="1" si="40"/>
        <v>#N/A</v>
      </c>
      <c r="F107" s="67" t="e">
        <f t="shared" ca="1" si="41"/>
        <v>#N/A</v>
      </c>
      <c r="G107" s="67" t="e">
        <f t="shared" ca="1" si="42"/>
        <v>#N/A</v>
      </c>
      <c r="H107" s="67" t="e">
        <f>IF('Demand background (hide)'!AN95&lt;&gt;"",'SPC background (hide)'!C107,NA())</f>
        <v>#N/A</v>
      </c>
      <c r="I107" s="67">
        <f t="shared" ca="1" si="43"/>
        <v>5</v>
      </c>
      <c r="J107" s="5">
        <f t="shared" ca="1" si="44"/>
        <v>0</v>
      </c>
      <c r="K107" s="5">
        <f t="shared" ca="1" si="45"/>
        <v>0</v>
      </c>
      <c r="L107" s="5">
        <f t="shared" ca="1" si="46"/>
        <v>0</v>
      </c>
      <c r="M107" s="5">
        <f t="shared" ca="1" si="47"/>
        <v>0</v>
      </c>
      <c r="N107" s="5">
        <f t="shared" ca="1" si="48"/>
        <v>0</v>
      </c>
      <c r="O107" s="5">
        <f t="shared" ca="1" si="49"/>
        <v>0</v>
      </c>
      <c r="P107" s="5">
        <f t="shared" ca="1" si="50"/>
        <v>0</v>
      </c>
      <c r="Q107" s="5" t="e">
        <f t="shared" ca="1" si="51"/>
        <v>#N/A</v>
      </c>
      <c r="R107" s="5">
        <f t="shared" ca="1" si="56"/>
        <v>0</v>
      </c>
      <c r="S107" s="67" t="e">
        <f t="shared" ca="1" si="57"/>
        <v>#N/A</v>
      </c>
      <c r="T107" s="67">
        <f t="shared" ca="1" si="58"/>
        <v>0</v>
      </c>
      <c r="U107" s="67" t="e">
        <f t="shared" ca="1" si="59"/>
        <v>#N/A</v>
      </c>
      <c r="V107" s="5">
        <f t="shared" ca="1" si="38"/>
        <v>0</v>
      </c>
      <c r="W107" s="5" t="e">
        <f t="shared" ca="1" si="52"/>
        <v>#N/A</v>
      </c>
      <c r="X107" s="67">
        <f t="shared" ca="1" si="53"/>
        <v>0</v>
      </c>
      <c r="Y107" s="67" t="e">
        <f t="shared" ca="1" si="60"/>
        <v>#N/A</v>
      </c>
      <c r="Z107" s="67" t="e">
        <f t="shared" ca="1" si="61"/>
        <v>#N/A</v>
      </c>
      <c r="AA107" s="5" t="str">
        <f>IF(Setup!$I$15="Yes",'Demand background (hide)'!AJ95+'SPC background (hide)'!C107,"")</f>
        <v/>
      </c>
      <c r="AC107" s="5" t="str">
        <f t="shared" ca="1" si="54"/>
        <v/>
      </c>
      <c r="AD107" s="5" t="str">
        <f t="shared" ca="1" si="55"/>
        <v/>
      </c>
    </row>
    <row r="108" spans="1:30" x14ac:dyDescent="0.2">
      <c r="A108" s="67" t="str">
        <f ca="1">Demand!C105</f>
        <v/>
      </c>
      <c r="B108" s="67">
        <v>93</v>
      </c>
      <c r="C108" s="5">
        <f ca="1">'Demand background (hide)'!Y96</f>
        <v>0</v>
      </c>
      <c r="D108" s="67">
        <f t="shared" si="39"/>
        <v>0</v>
      </c>
      <c r="E108" s="67" t="e">
        <f t="shared" ca="1" si="40"/>
        <v>#N/A</v>
      </c>
      <c r="F108" s="67" t="e">
        <f t="shared" ca="1" si="41"/>
        <v>#N/A</v>
      </c>
      <c r="G108" s="67" t="e">
        <f t="shared" ca="1" si="42"/>
        <v>#N/A</v>
      </c>
      <c r="H108" s="67" t="e">
        <f>IF('Demand background (hide)'!AN96&lt;&gt;"",'SPC background (hide)'!C108,NA())</f>
        <v>#N/A</v>
      </c>
      <c r="I108" s="67">
        <f t="shared" ca="1" si="43"/>
        <v>5</v>
      </c>
      <c r="J108" s="5">
        <f t="shared" ca="1" si="44"/>
        <v>0</v>
      </c>
      <c r="K108" s="5">
        <f t="shared" ca="1" si="45"/>
        <v>0</v>
      </c>
      <c r="L108" s="5">
        <f t="shared" ca="1" si="46"/>
        <v>0</v>
      </c>
      <c r="M108" s="5">
        <f t="shared" ca="1" si="47"/>
        <v>0</v>
      </c>
      <c r="N108" s="5">
        <f t="shared" ca="1" si="48"/>
        <v>0</v>
      </c>
      <c r="O108" s="5">
        <f t="shared" ca="1" si="49"/>
        <v>0</v>
      </c>
      <c r="P108" s="5">
        <f t="shared" ca="1" si="50"/>
        <v>0</v>
      </c>
      <c r="Q108" s="5" t="e">
        <f t="shared" ca="1" si="51"/>
        <v>#N/A</v>
      </c>
      <c r="R108" s="5">
        <f t="shared" ca="1" si="56"/>
        <v>0</v>
      </c>
      <c r="S108" s="67" t="e">
        <f t="shared" ca="1" si="57"/>
        <v>#N/A</v>
      </c>
      <c r="T108" s="67">
        <f t="shared" ca="1" si="58"/>
        <v>0</v>
      </c>
      <c r="U108" s="67" t="e">
        <f t="shared" ca="1" si="59"/>
        <v>#N/A</v>
      </c>
      <c r="V108" s="5">
        <f t="shared" ca="1" si="38"/>
        <v>0</v>
      </c>
      <c r="W108" s="5" t="e">
        <f t="shared" ca="1" si="52"/>
        <v>#N/A</v>
      </c>
      <c r="X108" s="67">
        <f t="shared" ca="1" si="53"/>
        <v>0</v>
      </c>
      <c r="Y108" s="67" t="e">
        <f t="shared" ca="1" si="60"/>
        <v>#N/A</v>
      </c>
      <c r="Z108" s="67" t="e">
        <f t="shared" ca="1" si="61"/>
        <v>#N/A</v>
      </c>
      <c r="AA108" s="5" t="str">
        <f>IF(Setup!$I$15="Yes",'Demand background (hide)'!AJ96+'SPC background (hide)'!C108,"")</f>
        <v/>
      </c>
      <c r="AC108" s="5" t="str">
        <f t="shared" ca="1" si="54"/>
        <v/>
      </c>
      <c r="AD108" s="5" t="str">
        <f t="shared" ca="1" si="55"/>
        <v/>
      </c>
    </row>
    <row r="109" spans="1:30" x14ac:dyDescent="0.2">
      <c r="A109" s="67" t="str">
        <f ca="1">Demand!C106</f>
        <v/>
      </c>
      <c r="B109" s="67">
        <v>94</v>
      </c>
      <c r="C109" s="5">
        <f ca="1">'Demand background (hide)'!Y97</f>
        <v>0</v>
      </c>
      <c r="D109" s="67">
        <f t="shared" si="39"/>
        <v>0</v>
      </c>
      <c r="E109" s="67" t="e">
        <f t="shared" ca="1" si="40"/>
        <v>#N/A</v>
      </c>
      <c r="F109" s="67" t="e">
        <f t="shared" ca="1" si="41"/>
        <v>#N/A</v>
      </c>
      <c r="G109" s="67" t="e">
        <f t="shared" ca="1" si="42"/>
        <v>#N/A</v>
      </c>
      <c r="H109" s="67" t="e">
        <f>IF('Demand background (hide)'!AN97&lt;&gt;"",'SPC background (hide)'!C109,NA())</f>
        <v>#N/A</v>
      </c>
      <c r="I109" s="67">
        <f t="shared" ca="1" si="43"/>
        <v>5</v>
      </c>
      <c r="J109" s="5">
        <f t="shared" ca="1" si="44"/>
        <v>0</v>
      </c>
      <c r="K109" s="5">
        <f t="shared" ca="1" si="45"/>
        <v>0</v>
      </c>
      <c r="L109" s="5">
        <f t="shared" ca="1" si="46"/>
        <v>0</v>
      </c>
      <c r="M109" s="5">
        <f t="shared" ca="1" si="47"/>
        <v>0</v>
      </c>
      <c r="N109" s="5">
        <f t="shared" ca="1" si="48"/>
        <v>0</v>
      </c>
      <c r="O109" s="5">
        <f t="shared" ca="1" si="49"/>
        <v>0</v>
      </c>
      <c r="P109" s="5">
        <f t="shared" ca="1" si="50"/>
        <v>0</v>
      </c>
      <c r="Q109" s="5" t="e">
        <f t="shared" ca="1" si="51"/>
        <v>#N/A</v>
      </c>
      <c r="R109" s="5">
        <f t="shared" ca="1" si="56"/>
        <v>0</v>
      </c>
      <c r="S109" s="67" t="e">
        <f t="shared" ca="1" si="57"/>
        <v>#N/A</v>
      </c>
      <c r="T109" s="67">
        <f t="shared" ca="1" si="58"/>
        <v>0</v>
      </c>
      <c r="U109" s="67" t="e">
        <f t="shared" ca="1" si="59"/>
        <v>#N/A</v>
      </c>
      <c r="V109" s="5">
        <f t="shared" ca="1" si="38"/>
        <v>0</v>
      </c>
      <c r="W109" s="5" t="e">
        <f t="shared" ca="1" si="52"/>
        <v>#N/A</v>
      </c>
      <c r="X109" s="67">
        <f t="shared" ca="1" si="53"/>
        <v>0</v>
      </c>
      <c r="Y109" s="67" t="e">
        <f t="shared" ca="1" si="60"/>
        <v>#N/A</v>
      </c>
      <c r="Z109" s="67" t="e">
        <f t="shared" ca="1" si="61"/>
        <v>#N/A</v>
      </c>
      <c r="AA109" s="5" t="str">
        <f>IF(Setup!$I$15="Yes",'Demand background (hide)'!AJ97+'SPC background (hide)'!C109,"")</f>
        <v/>
      </c>
      <c r="AC109" s="5" t="str">
        <f t="shared" ca="1" si="54"/>
        <v/>
      </c>
      <c r="AD109" s="5" t="str">
        <f t="shared" ca="1" si="55"/>
        <v/>
      </c>
    </row>
    <row r="110" spans="1:30" x14ac:dyDescent="0.2">
      <c r="A110" s="67" t="str">
        <f ca="1">Demand!C107</f>
        <v/>
      </c>
      <c r="B110" s="67">
        <v>95</v>
      </c>
      <c r="C110" s="5">
        <f ca="1">'Demand background (hide)'!Y98</f>
        <v>0</v>
      </c>
      <c r="D110" s="67">
        <f t="shared" si="39"/>
        <v>0</v>
      </c>
      <c r="E110" s="67" t="e">
        <f t="shared" ca="1" si="40"/>
        <v>#N/A</v>
      </c>
      <c r="F110" s="67" t="e">
        <f t="shared" ca="1" si="41"/>
        <v>#N/A</v>
      </c>
      <c r="G110" s="67" t="e">
        <f t="shared" ca="1" si="42"/>
        <v>#N/A</v>
      </c>
      <c r="H110" s="67" t="e">
        <f>IF('Demand background (hide)'!AN98&lt;&gt;"",'SPC background (hide)'!C110,NA())</f>
        <v>#N/A</v>
      </c>
      <c r="I110" s="67">
        <f t="shared" ca="1" si="43"/>
        <v>5</v>
      </c>
      <c r="J110" s="5">
        <f t="shared" ca="1" si="44"/>
        <v>0</v>
      </c>
      <c r="K110" s="5">
        <f t="shared" ca="1" si="45"/>
        <v>0</v>
      </c>
      <c r="L110" s="5">
        <f t="shared" ca="1" si="46"/>
        <v>0</v>
      </c>
      <c r="M110" s="5">
        <f t="shared" ca="1" si="47"/>
        <v>0</v>
      </c>
      <c r="N110" s="5">
        <f t="shared" ca="1" si="48"/>
        <v>0</v>
      </c>
      <c r="O110" s="5">
        <f t="shared" ca="1" si="49"/>
        <v>0</v>
      </c>
      <c r="P110" s="5">
        <f t="shared" ca="1" si="50"/>
        <v>0</v>
      </c>
      <c r="Q110" s="5" t="e">
        <f t="shared" ca="1" si="51"/>
        <v>#N/A</v>
      </c>
      <c r="R110" s="5">
        <f t="shared" ca="1" si="56"/>
        <v>0</v>
      </c>
      <c r="S110" s="67" t="e">
        <f t="shared" ca="1" si="57"/>
        <v>#N/A</v>
      </c>
      <c r="T110" s="67">
        <f t="shared" ca="1" si="58"/>
        <v>0</v>
      </c>
      <c r="U110" s="67" t="e">
        <f t="shared" ca="1" si="59"/>
        <v>#N/A</v>
      </c>
      <c r="V110" s="5">
        <f t="shared" ca="1" si="38"/>
        <v>0</v>
      </c>
      <c r="W110" s="5" t="e">
        <f t="shared" ca="1" si="52"/>
        <v>#N/A</v>
      </c>
      <c r="X110" s="67">
        <f t="shared" ca="1" si="53"/>
        <v>0</v>
      </c>
      <c r="Y110" s="67" t="e">
        <f t="shared" ca="1" si="60"/>
        <v>#N/A</v>
      </c>
      <c r="Z110" s="67" t="e">
        <f t="shared" ca="1" si="61"/>
        <v>#N/A</v>
      </c>
      <c r="AA110" s="5" t="str">
        <f>IF(Setup!$I$15="Yes",'Demand background (hide)'!AJ98+'SPC background (hide)'!C110,"")</f>
        <v/>
      </c>
      <c r="AC110" s="5" t="str">
        <f t="shared" ca="1" si="54"/>
        <v/>
      </c>
      <c r="AD110" s="5" t="str">
        <f t="shared" ca="1" si="55"/>
        <v/>
      </c>
    </row>
    <row r="111" spans="1:30" x14ac:dyDescent="0.2">
      <c r="A111" s="67" t="str">
        <f ca="1">Demand!C108</f>
        <v/>
      </c>
      <c r="B111" s="67">
        <v>96</v>
      </c>
      <c r="C111" s="5">
        <f ca="1">'Demand background (hide)'!Y99</f>
        <v>0</v>
      </c>
      <c r="D111" s="67">
        <f t="shared" si="39"/>
        <v>0</v>
      </c>
      <c r="E111" s="67" t="e">
        <f t="shared" ca="1" si="40"/>
        <v>#N/A</v>
      </c>
      <c r="F111" s="67" t="e">
        <f t="shared" ca="1" si="41"/>
        <v>#N/A</v>
      </c>
      <c r="G111" s="67" t="e">
        <f t="shared" ca="1" si="42"/>
        <v>#N/A</v>
      </c>
      <c r="H111" s="67" t="e">
        <f>IF('Demand background (hide)'!AN99&lt;&gt;"",'SPC background (hide)'!C111,NA())</f>
        <v>#N/A</v>
      </c>
      <c r="I111" s="67">
        <f t="shared" ca="1" si="43"/>
        <v>5</v>
      </c>
      <c r="J111" s="5">
        <f t="shared" ca="1" si="44"/>
        <v>0</v>
      </c>
      <c r="K111" s="5">
        <f t="shared" ca="1" si="45"/>
        <v>0</v>
      </c>
      <c r="L111" s="5">
        <f t="shared" ca="1" si="46"/>
        <v>0</v>
      </c>
      <c r="M111" s="5">
        <f t="shared" ca="1" si="47"/>
        <v>0</v>
      </c>
      <c r="N111" s="5">
        <f t="shared" ca="1" si="48"/>
        <v>0</v>
      </c>
      <c r="O111" s="5">
        <f t="shared" ca="1" si="49"/>
        <v>0</v>
      </c>
      <c r="P111" s="5">
        <f t="shared" ca="1" si="50"/>
        <v>0</v>
      </c>
      <c r="Q111" s="5" t="e">
        <f t="shared" ca="1" si="51"/>
        <v>#N/A</v>
      </c>
      <c r="R111" s="5">
        <f t="shared" ca="1" si="56"/>
        <v>0</v>
      </c>
      <c r="S111" s="67" t="e">
        <f t="shared" ca="1" si="57"/>
        <v>#N/A</v>
      </c>
      <c r="T111" s="67">
        <f t="shared" ca="1" si="58"/>
        <v>0</v>
      </c>
      <c r="U111" s="67" t="e">
        <f t="shared" ca="1" si="59"/>
        <v>#N/A</v>
      </c>
      <c r="V111" s="5">
        <f t="shared" ca="1" si="38"/>
        <v>0</v>
      </c>
      <c r="W111" s="5" t="e">
        <f t="shared" ca="1" si="52"/>
        <v>#N/A</v>
      </c>
      <c r="X111" s="67">
        <f t="shared" ca="1" si="53"/>
        <v>0</v>
      </c>
      <c r="Y111" s="67" t="e">
        <f t="shared" ca="1" si="60"/>
        <v>#N/A</v>
      </c>
      <c r="Z111" s="67" t="e">
        <f t="shared" ca="1" si="61"/>
        <v>#N/A</v>
      </c>
      <c r="AA111" s="5" t="str">
        <f>IF(Setup!$I$15="Yes",'Demand background (hide)'!AJ99+'SPC background (hide)'!C111,"")</f>
        <v/>
      </c>
      <c r="AC111" s="5" t="str">
        <f t="shared" ca="1" si="54"/>
        <v/>
      </c>
      <c r="AD111" s="5" t="str">
        <f t="shared" ca="1" si="55"/>
        <v/>
      </c>
    </row>
    <row r="112" spans="1:30" x14ac:dyDescent="0.2">
      <c r="A112" s="67" t="str">
        <f ca="1">Demand!C109</f>
        <v/>
      </c>
      <c r="B112" s="67">
        <v>97</v>
      </c>
      <c r="C112" s="5">
        <f ca="1">'Demand background (hide)'!Y100</f>
        <v>0</v>
      </c>
      <c r="D112" s="67">
        <f t="shared" si="39"/>
        <v>0</v>
      </c>
      <c r="E112" s="67" t="e">
        <f t="shared" ca="1" si="40"/>
        <v>#N/A</v>
      </c>
      <c r="F112" s="67" t="e">
        <f t="shared" ca="1" si="41"/>
        <v>#N/A</v>
      </c>
      <c r="G112" s="67" t="e">
        <f t="shared" ca="1" si="42"/>
        <v>#N/A</v>
      </c>
      <c r="H112" s="67" t="e">
        <f>IF('Demand background (hide)'!AN100&lt;&gt;"",'SPC background (hide)'!C112,NA())</f>
        <v>#N/A</v>
      </c>
      <c r="I112" s="67">
        <f t="shared" ca="1" si="43"/>
        <v>5</v>
      </c>
      <c r="J112" s="5">
        <f t="shared" ca="1" si="44"/>
        <v>0</v>
      </c>
      <c r="K112" s="5">
        <f t="shared" ca="1" si="45"/>
        <v>0</v>
      </c>
      <c r="L112" s="5">
        <f t="shared" ca="1" si="46"/>
        <v>0</v>
      </c>
      <c r="M112" s="5">
        <f t="shared" ca="1" si="47"/>
        <v>0</v>
      </c>
      <c r="N112" s="5">
        <f t="shared" ca="1" si="48"/>
        <v>0</v>
      </c>
      <c r="O112" s="5">
        <f t="shared" ca="1" si="49"/>
        <v>0</v>
      </c>
      <c r="P112" s="5">
        <f t="shared" ca="1" si="50"/>
        <v>0</v>
      </c>
      <c r="Q112" s="5" t="e">
        <f t="shared" ca="1" si="51"/>
        <v>#N/A</v>
      </c>
      <c r="R112" s="5">
        <f t="shared" ca="1" si="56"/>
        <v>0</v>
      </c>
      <c r="S112" s="67" t="e">
        <f t="shared" ca="1" si="57"/>
        <v>#N/A</v>
      </c>
      <c r="T112" s="67">
        <f t="shared" ca="1" si="58"/>
        <v>0</v>
      </c>
      <c r="U112" s="67" t="e">
        <f t="shared" ca="1" si="59"/>
        <v>#N/A</v>
      </c>
      <c r="V112" s="5">
        <f t="shared" ca="1" si="38"/>
        <v>0</v>
      </c>
      <c r="W112" s="5" t="e">
        <f t="shared" ca="1" si="52"/>
        <v>#N/A</v>
      </c>
      <c r="X112" s="67">
        <f t="shared" ca="1" si="53"/>
        <v>0</v>
      </c>
      <c r="Y112" s="67" t="e">
        <f t="shared" ca="1" si="60"/>
        <v>#N/A</v>
      </c>
      <c r="Z112" s="67" t="e">
        <f t="shared" ca="1" si="61"/>
        <v>#N/A</v>
      </c>
      <c r="AA112" s="5" t="str">
        <f>IF(Setup!$I$15="Yes",'Demand background (hide)'!AJ100+'SPC background (hide)'!C112,"")</f>
        <v/>
      </c>
      <c r="AC112" s="5" t="str">
        <f t="shared" ca="1" si="54"/>
        <v/>
      </c>
      <c r="AD112" s="5" t="str">
        <f t="shared" ca="1" si="55"/>
        <v/>
      </c>
    </row>
    <row r="113" spans="1:30" x14ac:dyDescent="0.2">
      <c r="A113" s="67" t="str">
        <f ca="1">Demand!C110</f>
        <v/>
      </c>
      <c r="B113" s="67">
        <v>98</v>
      </c>
      <c r="C113" s="5">
        <f ca="1">'Demand background (hide)'!Y101</f>
        <v>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0</v>
      </c>
      <c r="K113" s="5">
        <f t="shared" ca="1" si="45"/>
        <v>0</v>
      </c>
      <c r="L113" s="5">
        <f t="shared" ca="1" si="46"/>
        <v>0</v>
      </c>
      <c r="M113" s="5">
        <f t="shared" ca="1" si="47"/>
        <v>0</v>
      </c>
      <c r="N113" s="5">
        <f t="shared" ca="1" si="48"/>
        <v>0</v>
      </c>
      <c r="O113" s="5">
        <f t="shared" ca="1" si="49"/>
        <v>0</v>
      </c>
      <c r="P113" s="5">
        <f t="shared" ca="1" si="50"/>
        <v>0</v>
      </c>
      <c r="Q113" s="5" t="e">
        <f t="shared" ca="1" si="51"/>
        <v>#N/A</v>
      </c>
      <c r="R113" s="5">
        <f t="shared" ca="1" si="56"/>
        <v>0</v>
      </c>
      <c r="S113" s="67" t="e">
        <f t="shared" ca="1" si="57"/>
        <v>#N/A</v>
      </c>
      <c r="T113" s="67">
        <f t="shared" ca="1" si="58"/>
        <v>0</v>
      </c>
      <c r="U113" s="67" t="e">
        <f t="shared" ca="1" si="59"/>
        <v>#N/A</v>
      </c>
      <c r="V113" s="5">
        <f t="shared" ca="1" si="38"/>
        <v>0</v>
      </c>
      <c r="W113" s="5" t="e">
        <f t="shared" ca="1" si="52"/>
        <v>#N/A</v>
      </c>
      <c r="X113" s="67">
        <f t="shared" ca="1" si="53"/>
        <v>0</v>
      </c>
      <c r="Y113" s="67" t="e">
        <f t="shared" ca="1" si="60"/>
        <v>#N/A</v>
      </c>
      <c r="Z113" s="67" t="e">
        <f t="shared" ca="1" si="61"/>
        <v>#N/A</v>
      </c>
      <c r="AA113" s="5" t="str">
        <f>IF(Setup!$I$15="Yes",'Demand background (hide)'!AJ101+'SPC background (hide)'!C113,"")</f>
        <v/>
      </c>
      <c r="AC113" s="5" t="str">
        <f t="shared" ca="1" si="54"/>
        <v/>
      </c>
      <c r="AD113" s="5" t="str">
        <f t="shared" ca="1" si="55"/>
        <v/>
      </c>
    </row>
    <row r="114" spans="1:30" x14ac:dyDescent="0.2">
      <c r="A114" s="67" t="str">
        <f ca="1">Demand!C111</f>
        <v/>
      </c>
      <c r="B114" s="67">
        <v>99</v>
      </c>
      <c r="C114" s="5">
        <f ca="1">'Demand background (hide)'!Y102</f>
        <v>0</v>
      </c>
      <c r="D114" s="67">
        <f t="shared" si="39"/>
        <v>1</v>
      </c>
      <c r="E114" s="67" t="e">
        <f t="shared" ca="1" si="40"/>
        <v>#N/A</v>
      </c>
      <c r="F114" s="67" t="e">
        <f t="shared" ca="1" si="41"/>
        <v>#N/A</v>
      </c>
      <c r="G114" s="67" t="e">
        <f t="shared" ca="1" si="42"/>
        <v>#N/A</v>
      </c>
      <c r="H114" s="67" t="e">
        <f>IF('Demand background (hide)'!AN102&lt;&gt;"",'SPC background (hide)'!C114,NA())</f>
        <v>#N/A</v>
      </c>
      <c r="I114" s="67">
        <f t="shared" ca="1" si="43"/>
        <v>5</v>
      </c>
      <c r="J114" s="5">
        <f t="shared" ca="1" si="44"/>
        <v>0</v>
      </c>
      <c r="K114" s="5">
        <f t="shared" ca="1" si="45"/>
        <v>0</v>
      </c>
      <c r="L114" s="5">
        <f t="shared" ca="1" si="46"/>
        <v>0</v>
      </c>
      <c r="M114" s="5">
        <f t="shared" ca="1" si="47"/>
        <v>0</v>
      </c>
      <c r="N114" s="5">
        <f t="shared" ca="1" si="48"/>
        <v>0</v>
      </c>
      <c r="O114" s="5">
        <f t="shared" ca="1" si="49"/>
        <v>0</v>
      </c>
      <c r="P114" s="5">
        <f t="shared" ca="1" si="50"/>
        <v>0</v>
      </c>
      <c r="Q114" s="5" t="e">
        <f t="shared" ca="1" si="51"/>
        <v>#N/A</v>
      </c>
      <c r="R114" s="5">
        <f t="shared" ca="1" si="56"/>
        <v>0</v>
      </c>
      <c r="S114" s="67" t="e">
        <f t="shared" ca="1" si="57"/>
        <v>#N/A</v>
      </c>
      <c r="T114" s="67">
        <f t="shared" ca="1" si="58"/>
        <v>0</v>
      </c>
      <c r="U114" s="67" t="e">
        <f t="shared" ca="1" si="59"/>
        <v>#N/A</v>
      </c>
      <c r="V114" s="5">
        <f t="shared" ca="1" si="38"/>
        <v>0</v>
      </c>
      <c r="W114" s="5" t="e">
        <f t="shared" ca="1" si="52"/>
        <v>#N/A</v>
      </c>
      <c r="X114" s="67">
        <f t="shared" ca="1" si="53"/>
        <v>0</v>
      </c>
      <c r="Y114" s="67" t="e">
        <f t="shared" ca="1" si="60"/>
        <v>#N/A</v>
      </c>
      <c r="Z114" s="67" t="e">
        <f t="shared" ca="1" si="61"/>
        <v>#N/A</v>
      </c>
      <c r="AA114" s="5" t="str">
        <f>IF(Setup!$I$15="Yes",'Demand background (hide)'!AJ102+'SPC background (hide)'!C114,"")</f>
        <v/>
      </c>
      <c r="AC114" s="5" t="str">
        <f t="shared" ca="1" si="54"/>
        <v/>
      </c>
      <c r="AD114" s="5" t="str">
        <f t="shared" ca="1" si="55"/>
        <v/>
      </c>
    </row>
    <row r="115" spans="1:30" x14ac:dyDescent="0.2">
      <c r="A115" s="67" t="str">
        <f ca="1">Demand!C112</f>
        <v/>
      </c>
      <c r="B115" s="67">
        <v>100</v>
      </c>
      <c r="C115" s="5">
        <f ca="1">'Demand background (hide)'!Y103</f>
        <v>0</v>
      </c>
      <c r="D115" s="67">
        <f t="shared" si="39"/>
        <v>1</v>
      </c>
      <c r="E115" s="67" t="e">
        <f t="shared" ca="1" si="40"/>
        <v>#N/A</v>
      </c>
      <c r="F115" s="67" t="e">
        <f t="shared" ca="1" si="41"/>
        <v>#N/A</v>
      </c>
      <c r="G115" s="67" t="e">
        <f t="shared" ca="1" si="42"/>
        <v>#N/A</v>
      </c>
      <c r="H115" s="67" t="e">
        <f>IF('Demand background (hide)'!AN103&lt;&gt;"",'SPC background (hide)'!C115,NA())</f>
        <v>#N/A</v>
      </c>
      <c r="I115" s="67">
        <f t="shared" ca="1" si="43"/>
        <v>5</v>
      </c>
      <c r="J115" s="5">
        <f t="shared" ca="1" si="44"/>
        <v>0</v>
      </c>
      <c r="K115" s="5">
        <f t="shared" ca="1" si="45"/>
        <v>0</v>
      </c>
      <c r="L115" s="5">
        <f t="shared" ca="1" si="46"/>
        <v>0</v>
      </c>
      <c r="M115" s="5">
        <f t="shared" ca="1" si="47"/>
        <v>0</v>
      </c>
      <c r="N115" s="5">
        <f t="shared" ca="1" si="48"/>
        <v>0</v>
      </c>
      <c r="O115" s="5">
        <f t="shared" ca="1" si="49"/>
        <v>0</v>
      </c>
      <c r="P115" s="5">
        <f t="shared" ca="1" si="50"/>
        <v>0</v>
      </c>
      <c r="Q115" s="5" t="e">
        <f t="shared" ca="1" si="51"/>
        <v>#N/A</v>
      </c>
      <c r="R115" s="5">
        <f t="shared" ca="1" si="56"/>
        <v>0</v>
      </c>
      <c r="S115" s="67" t="e">
        <f t="shared" ca="1" si="57"/>
        <v>#N/A</v>
      </c>
      <c r="T115" s="67">
        <f t="shared" ca="1" si="58"/>
        <v>0</v>
      </c>
      <c r="U115" s="67" t="e">
        <f t="shared" ca="1" si="59"/>
        <v>#N/A</v>
      </c>
      <c r="V115" s="5">
        <f t="shared" ca="1" si="38"/>
        <v>0</v>
      </c>
      <c r="W115" s="5" t="e">
        <f t="shared" ca="1" si="52"/>
        <v>#N/A</v>
      </c>
      <c r="X115" s="67">
        <f t="shared" ca="1" si="53"/>
        <v>0</v>
      </c>
      <c r="Y115" s="67" t="e">
        <f t="shared" ca="1" si="60"/>
        <v>#N/A</v>
      </c>
      <c r="Z115" s="67" t="e">
        <f t="shared" ca="1" si="61"/>
        <v>#N/A</v>
      </c>
      <c r="AA115" s="5" t="str">
        <f>IF(Setup!$I$15="Yes",'Demand background (hide)'!AJ103+'SPC background (hide)'!C115,"")</f>
        <v/>
      </c>
      <c r="AC115" s="5" t="str">
        <f t="shared" ca="1" si="54"/>
        <v/>
      </c>
      <c r="AD115" s="5" t="str">
        <f t="shared" ca="1" si="55"/>
        <v/>
      </c>
    </row>
    <row r="116" spans="1:30" x14ac:dyDescent="0.2">
      <c r="A116" s="67" t="str">
        <f ca="1">Demand!C113</f>
        <v/>
      </c>
      <c r="B116" s="67">
        <v>101</v>
      </c>
      <c r="C116" s="5">
        <f ca="1">'Demand background (hide)'!Y104</f>
        <v>0</v>
      </c>
      <c r="D116" s="67">
        <f t="shared" si="39"/>
        <v>1</v>
      </c>
      <c r="E116" s="67" t="e">
        <f t="shared" ca="1" si="40"/>
        <v>#N/A</v>
      </c>
      <c r="F116" s="67" t="e">
        <f t="shared" ca="1" si="41"/>
        <v>#N/A</v>
      </c>
      <c r="G116" s="67" t="e">
        <f t="shared" ca="1" si="42"/>
        <v>#N/A</v>
      </c>
      <c r="H116" s="67" t="e">
        <f>IF('Demand background (hide)'!AN104&lt;&gt;"",'SPC background (hide)'!C116,NA())</f>
        <v>#N/A</v>
      </c>
      <c r="I116" s="67">
        <f t="shared" ca="1" si="43"/>
        <v>5</v>
      </c>
      <c r="J116" s="5">
        <f t="shared" ca="1" si="44"/>
        <v>0</v>
      </c>
      <c r="K116" s="5">
        <f t="shared" ca="1" si="45"/>
        <v>0</v>
      </c>
      <c r="L116" s="5">
        <f t="shared" ca="1" si="46"/>
        <v>0</v>
      </c>
      <c r="M116" s="5">
        <f t="shared" ca="1" si="47"/>
        <v>0</v>
      </c>
      <c r="N116" s="5">
        <f t="shared" ca="1" si="48"/>
        <v>0</v>
      </c>
      <c r="O116" s="5">
        <f t="shared" ca="1" si="49"/>
        <v>0</v>
      </c>
      <c r="P116" s="5">
        <f t="shared" ca="1" si="50"/>
        <v>0</v>
      </c>
      <c r="Q116" s="5" t="e">
        <f t="shared" ca="1" si="51"/>
        <v>#N/A</v>
      </c>
      <c r="R116" s="5">
        <f t="shared" ca="1" si="56"/>
        <v>0</v>
      </c>
      <c r="S116" s="67" t="e">
        <f t="shared" ca="1" si="57"/>
        <v>#N/A</v>
      </c>
      <c r="T116" s="67">
        <f t="shared" ca="1" si="58"/>
        <v>0</v>
      </c>
      <c r="U116" s="67" t="e">
        <f t="shared" ca="1" si="59"/>
        <v>#N/A</v>
      </c>
      <c r="V116" s="5">
        <f t="shared" ca="1" si="38"/>
        <v>0</v>
      </c>
      <c r="W116" s="5" t="e">
        <f t="shared" ca="1" si="52"/>
        <v>#N/A</v>
      </c>
      <c r="X116" s="67">
        <f t="shared" ca="1" si="53"/>
        <v>0</v>
      </c>
      <c r="Y116" s="67" t="e">
        <f t="shared" ca="1" si="60"/>
        <v>#N/A</v>
      </c>
      <c r="Z116" s="67" t="e">
        <f t="shared" ca="1" si="61"/>
        <v>#N/A</v>
      </c>
      <c r="AA116" s="5" t="str">
        <f>IF(Setup!$I$15="Yes",'Demand background (hide)'!AJ104+'SPC background (hide)'!C116,"")</f>
        <v/>
      </c>
      <c r="AC116" s="5" t="str">
        <f t="shared" ca="1" si="54"/>
        <v/>
      </c>
      <c r="AD116" s="5" t="str">
        <f t="shared" ca="1" si="55"/>
        <v/>
      </c>
    </row>
    <row r="117" spans="1:30" x14ac:dyDescent="0.2">
      <c r="A117" s="67" t="str">
        <f ca="1">Demand!C114</f>
        <v/>
      </c>
      <c r="B117" s="67">
        <v>102</v>
      </c>
      <c r="C117" s="5">
        <f ca="1">'Demand background (hide)'!Y105</f>
        <v>0</v>
      </c>
      <c r="D117" s="67">
        <f t="shared" si="39"/>
        <v>1</v>
      </c>
      <c r="E117" s="67" t="e">
        <f t="shared" ca="1" si="40"/>
        <v>#N/A</v>
      </c>
      <c r="F117" s="67" t="e">
        <f t="shared" ca="1" si="41"/>
        <v>#N/A</v>
      </c>
      <c r="G117" s="67" t="e">
        <f t="shared" ca="1" si="42"/>
        <v>#N/A</v>
      </c>
      <c r="H117" s="67" t="e">
        <f>IF('Demand background (hide)'!AN105&lt;&gt;"",'SPC background (hide)'!C117,NA())</f>
        <v>#N/A</v>
      </c>
      <c r="I117" s="67">
        <f t="shared" ca="1" si="43"/>
        <v>5</v>
      </c>
      <c r="J117" s="5">
        <f t="shared" ca="1" si="44"/>
        <v>0</v>
      </c>
      <c r="K117" s="5">
        <f t="shared" ca="1" si="45"/>
        <v>0</v>
      </c>
      <c r="L117" s="5">
        <f t="shared" ca="1" si="46"/>
        <v>0</v>
      </c>
      <c r="M117" s="5">
        <f t="shared" ca="1" si="47"/>
        <v>0</v>
      </c>
      <c r="N117" s="5">
        <f t="shared" ca="1" si="48"/>
        <v>0</v>
      </c>
      <c r="O117" s="5">
        <f t="shared" ca="1" si="49"/>
        <v>0</v>
      </c>
      <c r="P117" s="5">
        <f t="shared" ca="1" si="50"/>
        <v>0</v>
      </c>
      <c r="Q117" s="5" t="e">
        <f t="shared" ca="1" si="51"/>
        <v>#N/A</v>
      </c>
      <c r="R117" s="5">
        <f t="shared" ca="1" si="56"/>
        <v>0</v>
      </c>
      <c r="S117" s="67" t="e">
        <f t="shared" ca="1" si="57"/>
        <v>#N/A</v>
      </c>
      <c r="T117" s="67">
        <f t="shared" ca="1" si="58"/>
        <v>0</v>
      </c>
      <c r="U117" s="67" t="e">
        <f t="shared" ca="1" si="59"/>
        <v>#N/A</v>
      </c>
      <c r="V117" s="5">
        <f t="shared" ca="1" si="38"/>
        <v>0</v>
      </c>
      <c r="W117" s="5" t="e">
        <f t="shared" ca="1" si="52"/>
        <v>#N/A</v>
      </c>
      <c r="X117" s="67">
        <f t="shared" ca="1" si="53"/>
        <v>0</v>
      </c>
      <c r="Y117" s="67" t="e">
        <f t="shared" ca="1" si="60"/>
        <v>#N/A</v>
      </c>
      <c r="Z117" s="67" t="e">
        <f t="shared" ca="1" si="61"/>
        <v>#N/A</v>
      </c>
      <c r="AA117" s="5" t="str">
        <f>IF(Setup!$I$15="Yes",'Demand background (hide)'!AJ105+'SPC background (hide)'!C117,"")</f>
        <v/>
      </c>
      <c r="AC117" s="5" t="str">
        <f t="shared" ca="1" si="54"/>
        <v/>
      </c>
      <c r="AD117" s="5" t="str">
        <f t="shared" ca="1" si="55"/>
        <v/>
      </c>
    </row>
    <row r="118" spans="1:30" x14ac:dyDescent="0.2">
      <c r="A118" s="67" t="str">
        <f ca="1">Demand!C115</f>
        <v/>
      </c>
      <c r="B118" s="67">
        <v>103</v>
      </c>
      <c r="C118" s="5">
        <f ca="1">'Demand background (hide)'!Y106</f>
        <v>0</v>
      </c>
      <c r="D118" s="67">
        <f t="shared" si="39"/>
        <v>1</v>
      </c>
      <c r="E118" s="67" t="e">
        <f t="shared" ca="1" si="40"/>
        <v>#N/A</v>
      </c>
      <c r="F118" s="67" t="e">
        <f t="shared" ca="1" si="41"/>
        <v>#N/A</v>
      </c>
      <c r="G118" s="67" t="e">
        <f t="shared" ca="1" si="42"/>
        <v>#N/A</v>
      </c>
      <c r="H118" s="67" t="e">
        <f>IF('Demand background (hide)'!AN106&lt;&gt;"",'SPC background (hide)'!C118,NA())</f>
        <v>#N/A</v>
      </c>
      <c r="I118" s="67">
        <f t="shared" ca="1" si="43"/>
        <v>5</v>
      </c>
      <c r="J118" s="5">
        <f t="shared" ca="1" si="44"/>
        <v>0</v>
      </c>
      <c r="K118" s="5">
        <f t="shared" ca="1" si="45"/>
        <v>0</v>
      </c>
      <c r="L118" s="5">
        <f t="shared" ca="1" si="46"/>
        <v>0</v>
      </c>
      <c r="M118" s="5">
        <f t="shared" ca="1" si="47"/>
        <v>0</v>
      </c>
      <c r="N118" s="5">
        <f t="shared" ca="1" si="48"/>
        <v>0</v>
      </c>
      <c r="O118" s="5">
        <f t="shared" ca="1" si="49"/>
        <v>0</v>
      </c>
      <c r="P118" s="5">
        <f t="shared" ca="1" si="50"/>
        <v>0</v>
      </c>
      <c r="Q118" s="5" t="e">
        <f t="shared" ca="1" si="51"/>
        <v>#N/A</v>
      </c>
      <c r="R118" s="5">
        <f t="shared" ca="1" si="56"/>
        <v>0</v>
      </c>
      <c r="S118" s="67" t="e">
        <f t="shared" ca="1" si="57"/>
        <v>#N/A</v>
      </c>
      <c r="T118" s="67">
        <f t="shared" ca="1" si="58"/>
        <v>0</v>
      </c>
      <c r="U118" s="67" t="e">
        <f t="shared" ca="1" si="59"/>
        <v>#N/A</v>
      </c>
      <c r="V118" s="5">
        <f t="shared" ca="1" si="38"/>
        <v>0</v>
      </c>
      <c r="W118" s="5" t="e">
        <f t="shared" ca="1" si="52"/>
        <v>#N/A</v>
      </c>
      <c r="X118" s="67">
        <f t="shared" ca="1" si="53"/>
        <v>0</v>
      </c>
      <c r="Y118" s="67" t="e">
        <f t="shared" ca="1" si="60"/>
        <v>#N/A</v>
      </c>
      <c r="Z118" s="67" t="e">
        <f t="shared" ca="1" si="61"/>
        <v>#N/A</v>
      </c>
      <c r="AA118" s="5" t="str">
        <f>IF(Setup!$I$15="Yes",'Demand background (hide)'!AJ106+'SPC background (hide)'!C118,"")</f>
        <v/>
      </c>
      <c r="AC118" s="5" t="str">
        <f t="shared" ca="1" si="54"/>
        <v/>
      </c>
      <c r="AD118" s="5" t="str">
        <f t="shared" ca="1" si="55"/>
        <v/>
      </c>
    </row>
    <row r="119" spans="1:30" x14ac:dyDescent="0.2">
      <c r="A119" s="67" t="str">
        <f ca="1">Demand!C116</f>
        <v/>
      </c>
      <c r="B119" s="67">
        <v>104</v>
      </c>
      <c r="C119" s="5">
        <f ca="1">'Demand background (hide)'!Y107</f>
        <v>0</v>
      </c>
      <c r="D119" s="67">
        <f t="shared" si="39"/>
        <v>1</v>
      </c>
      <c r="E119" s="67" t="e">
        <f t="shared" ca="1" si="40"/>
        <v>#N/A</v>
      </c>
      <c r="F119" s="67" t="e">
        <f t="shared" ca="1" si="41"/>
        <v>#N/A</v>
      </c>
      <c r="G119" s="67" t="e">
        <f t="shared" ca="1" si="42"/>
        <v>#N/A</v>
      </c>
      <c r="H119" s="67" t="e">
        <f>IF('Demand background (hide)'!AN107&lt;&gt;"",'SPC background (hide)'!C119,NA())</f>
        <v>#N/A</v>
      </c>
      <c r="I119" s="67">
        <f t="shared" ca="1" si="43"/>
        <v>5</v>
      </c>
      <c r="J119" s="5">
        <f t="shared" ca="1" si="44"/>
        <v>0</v>
      </c>
      <c r="K119" s="5">
        <f t="shared" ca="1" si="45"/>
        <v>0</v>
      </c>
      <c r="L119" s="5">
        <f t="shared" ca="1" si="46"/>
        <v>0</v>
      </c>
      <c r="M119" s="5">
        <f t="shared" ca="1" si="47"/>
        <v>0</v>
      </c>
      <c r="N119" s="5">
        <f t="shared" ca="1" si="48"/>
        <v>0</v>
      </c>
      <c r="O119" s="5">
        <f t="shared" ca="1" si="49"/>
        <v>0</v>
      </c>
      <c r="P119" s="5">
        <f t="shared" ca="1" si="50"/>
        <v>0</v>
      </c>
      <c r="Q119" s="5" t="e">
        <f t="shared" ca="1" si="51"/>
        <v>#N/A</v>
      </c>
      <c r="R119" s="5">
        <f t="shared" ca="1" si="56"/>
        <v>0</v>
      </c>
      <c r="S119" s="67" t="e">
        <f t="shared" ca="1" si="57"/>
        <v>#N/A</v>
      </c>
      <c r="T119" s="67">
        <f t="shared" ca="1" si="58"/>
        <v>0</v>
      </c>
      <c r="U119" s="67" t="e">
        <f t="shared" ca="1" si="59"/>
        <v>#N/A</v>
      </c>
      <c r="V119" s="5">
        <f t="shared" ca="1" si="38"/>
        <v>0</v>
      </c>
      <c r="W119" s="5" t="e">
        <f t="shared" ca="1" si="52"/>
        <v>#N/A</v>
      </c>
      <c r="X119" s="67">
        <f t="shared" ca="1" si="53"/>
        <v>0</v>
      </c>
      <c r="Y119" s="67" t="e">
        <f t="shared" ca="1" si="60"/>
        <v>#N/A</v>
      </c>
      <c r="Z119" s="67" t="e">
        <f t="shared" ca="1" si="61"/>
        <v>#N/A</v>
      </c>
      <c r="AA119" s="5" t="str">
        <f>IF(Setup!$I$15="Yes",'Demand background (hide)'!AJ107+'SPC background (hide)'!C119,"")</f>
        <v/>
      </c>
      <c r="AC119" s="5" t="str">
        <f t="shared" ca="1" si="54"/>
        <v/>
      </c>
      <c r="AD119" s="5" t="str">
        <f t="shared" ca="1" si="55"/>
        <v/>
      </c>
    </row>
    <row r="120" spans="1:30" x14ac:dyDescent="0.2">
      <c r="A120" s="67" t="str">
        <f ca="1">Demand!C117</f>
        <v/>
      </c>
      <c r="B120" s="67">
        <v>105</v>
      </c>
      <c r="C120" s="5">
        <f ca="1">'Demand background (hide)'!Y108</f>
        <v>0</v>
      </c>
      <c r="D120" s="67">
        <f t="shared" si="39"/>
        <v>1</v>
      </c>
      <c r="E120" s="67" t="e">
        <f t="shared" ca="1" si="40"/>
        <v>#N/A</v>
      </c>
      <c r="F120" s="67" t="e">
        <f t="shared" ca="1" si="41"/>
        <v>#N/A</v>
      </c>
      <c r="G120" s="67" t="e">
        <f t="shared" ca="1" si="42"/>
        <v>#N/A</v>
      </c>
      <c r="H120" s="67" t="e">
        <f>IF('Demand background (hide)'!AN108&lt;&gt;"",'SPC background (hide)'!C120,NA())</f>
        <v>#N/A</v>
      </c>
      <c r="I120" s="67">
        <f t="shared" ca="1" si="43"/>
        <v>5</v>
      </c>
      <c r="J120" s="5">
        <f t="shared" ca="1" si="44"/>
        <v>0</v>
      </c>
      <c r="K120" s="5">
        <f t="shared" ca="1" si="45"/>
        <v>0</v>
      </c>
      <c r="L120" s="5">
        <f t="shared" ca="1" si="46"/>
        <v>0</v>
      </c>
      <c r="M120" s="5">
        <f t="shared" ca="1" si="47"/>
        <v>0</v>
      </c>
      <c r="N120" s="5">
        <f t="shared" ca="1" si="48"/>
        <v>0</v>
      </c>
      <c r="O120" s="5">
        <f t="shared" ca="1" si="49"/>
        <v>0</v>
      </c>
      <c r="P120" s="5">
        <f t="shared" ca="1" si="50"/>
        <v>0</v>
      </c>
      <c r="Q120" s="5" t="e">
        <f t="shared" ca="1" si="51"/>
        <v>#N/A</v>
      </c>
      <c r="R120" s="5">
        <f t="shared" ca="1" si="56"/>
        <v>0</v>
      </c>
      <c r="S120" s="67" t="e">
        <f t="shared" ca="1" si="57"/>
        <v>#N/A</v>
      </c>
      <c r="T120" s="67">
        <f t="shared" ca="1" si="58"/>
        <v>0</v>
      </c>
      <c r="U120" s="67" t="e">
        <f t="shared" ca="1" si="59"/>
        <v>#N/A</v>
      </c>
      <c r="V120" s="5">
        <f t="shared" ca="1" si="38"/>
        <v>0</v>
      </c>
      <c r="W120" s="5" t="e">
        <f t="shared" ca="1" si="52"/>
        <v>#N/A</v>
      </c>
      <c r="X120" s="67">
        <f t="shared" ca="1" si="53"/>
        <v>0</v>
      </c>
      <c r="Y120" s="67" t="e">
        <f t="shared" ca="1" si="60"/>
        <v>#N/A</v>
      </c>
      <c r="Z120" s="67" t="e">
        <f t="shared" ca="1" si="61"/>
        <v>#N/A</v>
      </c>
      <c r="AA120" s="5" t="str">
        <f>IF(Setup!$I$15="Yes",'Demand background (hide)'!AJ108+'SPC background (hide)'!C120,"")</f>
        <v/>
      </c>
      <c r="AC120" s="5" t="str">
        <f t="shared" ca="1" si="54"/>
        <v/>
      </c>
      <c r="AD120" s="5" t="str">
        <f t="shared" ca="1" si="55"/>
        <v/>
      </c>
    </row>
    <row r="121" spans="1:30" x14ac:dyDescent="0.2">
      <c r="A121" s="67" t="str">
        <f ca="1">Demand!C118</f>
        <v/>
      </c>
      <c r="B121" s="67">
        <v>106</v>
      </c>
      <c r="C121" s="5">
        <f ca="1">'Demand background (hide)'!Y109</f>
        <v>0</v>
      </c>
      <c r="D121" s="67">
        <f t="shared" si="39"/>
        <v>1</v>
      </c>
      <c r="E121" s="67" t="e">
        <f t="shared" ca="1" si="40"/>
        <v>#N/A</v>
      </c>
      <c r="F121" s="67" t="e">
        <f t="shared" ca="1" si="41"/>
        <v>#N/A</v>
      </c>
      <c r="G121" s="67" t="e">
        <f t="shared" ca="1" si="42"/>
        <v>#N/A</v>
      </c>
      <c r="H121" s="67" t="e">
        <f>IF('Demand background (hide)'!AN109&lt;&gt;"",'SPC background (hide)'!C121,NA())</f>
        <v>#N/A</v>
      </c>
      <c r="I121" s="67">
        <f t="shared" ca="1" si="43"/>
        <v>5</v>
      </c>
      <c r="J121" s="5">
        <f t="shared" ca="1" si="44"/>
        <v>0</v>
      </c>
      <c r="K121" s="5">
        <f t="shared" ca="1" si="45"/>
        <v>0</v>
      </c>
      <c r="L121" s="5">
        <f t="shared" ca="1" si="46"/>
        <v>0</v>
      </c>
      <c r="M121" s="5">
        <f t="shared" ca="1" si="47"/>
        <v>0</v>
      </c>
      <c r="N121" s="5">
        <f t="shared" ca="1" si="48"/>
        <v>0</v>
      </c>
      <c r="O121" s="5">
        <f t="shared" ca="1" si="49"/>
        <v>0</v>
      </c>
      <c r="P121" s="5">
        <f t="shared" ca="1" si="50"/>
        <v>0</v>
      </c>
      <c r="Q121" s="5" t="e">
        <f t="shared" ca="1" si="51"/>
        <v>#N/A</v>
      </c>
      <c r="R121" s="5">
        <f t="shared" ca="1" si="56"/>
        <v>0</v>
      </c>
      <c r="S121" s="67" t="e">
        <f t="shared" ca="1" si="57"/>
        <v>#N/A</v>
      </c>
      <c r="T121" s="67">
        <f t="shared" ca="1" si="58"/>
        <v>0</v>
      </c>
      <c r="U121" s="67" t="e">
        <f t="shared" ca="1" si="59"/>
        <v>#N/A</v>
      </c>
      <c r="V121" s="5">
        <f t="shared" ca="1" si="38"/>
        <v>0</v>
      </c>
      <c r="W121" s="5" t="e">
        <f t="shared" ca="1" si="52"/>
        <v>#N/A</v>
      </c>
      <c r="X121" s="67">
        <f t="shared" ca="1" si="53"/>
        <v>0</v>
      </c>
      <c r="Y121" s="67" t="e">
        <f t="shared" ca="1" si="60"/>
        <v>#N/A</v>
      </c>
      <c r="Z121" s="67" t="e">
        <f t="shared" ca="1" si="61"/>
        <v>#N/A</v>
      </c>
      <c r="AA121" s="5" t="str">
        <f>IF(Setup!$I$15="Yes",'Demand background (hide)'!AJ109+'SPC background (hide)'!C121,"")</f>
        <v/>
      </c>
      <c r="AC121" s="5" t="str">
        <f t="shared" ca="1" si="54"/>
        <v/>
      </c>
      <c r="AD121" s="5" t="str">
        <f t="shared" ca="1" si="55"/>
        <v/>
      </c>
    </row>
    <row r="122" spans="1:30" x14ac:dyDescent="0.2">
      <c r="A122" s="67" t="str">
        <f ca="1">Demand!C119</f>
        <v/>
      </c>
      <c r="B122" s="67">
        <v>107</v>
      </c>
      <c r="C122" s="5">
        <f ca="1">'Demand background (hide)'!Y110</f>
        <v>0</v>
      </c>
      <c r="D122" s="67">
        <f t="shared" si="39"/>
        <v>1</v>
      </c>
      <c r="E122" s="67" t="e">
        <f t="shared" ca="1" si="40"/>
        <v>#N/A</v>
      </c>
      <c r="F122" s="67" t="e">
        <f t="shared" ca="1" si="41"/>
        <v>#N/A</v>
      </c>
      <c r="G122" s="67" t="e">
        <f t="shared" ca="1" si="42"/>
        <v>#N/A</v>
      </c>
      <c r="H122" s="67" t="e">
        <f>IF('Demand background (hide)'!AN110&lt;&gt;"",'SPC background (hide)'!C122,NA())</f>
        <v>#N/A</v>
      </c>
      <c r="I122" s="67">
        <f t="shared" ca="1" si="43"/>
        <v>5</v>
      </c>
      <c r="J122" s="5">
        <f t="shared" ca="1" si="44"/>
        <v>0</v>
      </c>
      <c r="K122" s="5">
        <f t="shared" ca="1" si="45"/>
        <v>0</v>
      </c>
      <c r="L122" s="5">
        <f t="shared" ca="1" si="46"/>
        <v>0</v>
      </c>
      <c r="M122" s="5">
        <f t="shared" ca="1" si="47"/>
        <v>0</v>
      </c>
      <c r="N122" s="5">
        <f t="shared" ca="1" si="48"/>
        <v>0</v>
      </c>
      <c r="O122" s="5">
        <f t="shared" ca="1" si="49"/>
        <v>0</v>
      </c>
      <c r="P122" s="5">
        <f t="shared" ca="1" si="50"/>
        <v>0</v>
      </c>
      <c r="Q122" s="5" t="e">
        <f t="shared" ca="1" si="51"/>
        <v>#N/A</v>
      </c>
      <c r="R122" s="5">
        <f t="shared" ca="1" si="56"/>
        <v>0</v>
      </c>
      <c r="S122" s="67" t="e">
        <f t="shared" ca="1" si="57"/>
        <v>#N/A</v>
      </c>
      <c r="T122" s="67">
        <f t="shared" ca="1" si="58"/>
        <v>0</v>
      </c>
      <c r="U122" s="67" t="e">
        <f t="shared" ca="1" si="59"/>
        <v>#N/A</v>
      </c>
      <c r="V122" s="5">
        <f t="shared" ca="1" si="38"/>
        <v>0</v>
      </c>
      <c r="W122" s="5" t="e">
        <f t="shared" ca="1" si="52"/>
        <v>#N/A</v>
      </c>
      <c r="X122" s="67">
        <f t="shared" ca="1" si="53"/>
        <v>0</v>
      </c>
      <c r="Y122" s="67" t="e">
        <f t="shared" ca="1" si="60"/>
        <v>#N/A</v>
      </c>
      <c r="Z122" s="67" t="e">
        <f t="shared" ca="1" si="61"/>
        <v>#N/A</v>
      </c>
      <c r="AA122" s="5" t="str">
        <f>IF(Setup!$I$15="Yes",'Demand background (hide)'!AJ110+'SPC background (hide)'!C122,"")</f>
        <v/>
      </c>
      <c r="AC122" s="5" t="str">
        <f t="shared" ca="1" si="54"/>
        <v/>
      </c>
      <c r="AD122" s="5" t="str">
        <f t="shared" ca="1" si="55"/>
        <v/>
      </c>
    </row>
    <row r="123" spans="1:30" x14ac:dyDescent="0.2">
      <c r="A123" s="67" t="str">
        <f ca="1">Demand!C120</f>
        <v/>
      </c>
      <c r="B123" s="67">
        <v>108</v>
      </c>
      <c r="C123" s="5">
        <f ca="1">'Demand background (hide)'!Y111</f>
        <v>0</v>
      </c>
      <c r="D123" s="67">
        <f t="shared" si="39"/>
        <v>1</v>
      </c>
      <c r="E123" s="67" t="e">
        <f t="shared" ca="1" si="40"/>
        <v>#N/A</v>
      </c>
      <c r="F123" s="67" t="e">
        <f t="shared" ca="1" si="41"/>
        <v>#N/A</v>
      </c>
      <c r="G123" s="67" t="e">
        <f t="shared" ca="1" si="42"/>
        <v>#N/A</v>
      </c>
      <c r="H123" s="67" t="e">
        <f>IF('Demand background (hide)'!AN111&lt;&gt;"",'SPC background (hide)'!C123,NA())</f>
        <v>#N/A</v>
      </c>
      <c r="I123" s="67">
        <f t="shared" ca="1" si="43"/>
        <v>5</v>
      </c>
      <c r="J123" s="5">
        <f t="shared" ca="1" si="44"/>
        <v>0</v>
      </c>
      <c r="K123" s="5">
        <f t="shared" ca="1" si="45"/>
        <v>0</v>
      </c>
      <c r="L123" s="5">
        <f t="shared" ca="1" si="46"/>
        <v>0</v>
      </c>
      <c r="M123" s="5">
        <f t="shared" ca="1" si="47"/>
        <v>0</v>
      </c>
      <c r="N123" s="5">
        <f t="shared" ca="1" si="48"/>
        <v>0</v>
      </c>
      <c r="O123" s="5">
        <f t="shared" ca="1" si="49"/>
        <v>0</v>
      </c>
      <c r="P123" s="5">
        <f t="shared" ca="1" si="50"/>
        <v>0</v>
      </c>
      <c r="Q123" s="5" t="e">
        <f t="shared" ca="1" si="51"/>
        <v>#N/A</v>
      </c>
      <c r="R123" s="5">
        <f t="shared" ca="1" si="56"/>
        <v>0</v>
      </c>
      <c r="S123" s="67" t="e">
        <f t="shared" ca="1" si="57"/>
        <v>#N/A</v>
      </c>
      <c r="T123" s="67">
        <f t="shared" ca="1" si="58"/>
        <v>0</v>
      </c>
      <c r="U123" s="67" t="e">
        <f t="shared" ca="1" si="59"/>
        <v>#N/A</v>
      </c>
      <c r="V123" s="5">
        <f t="shared" ca="1" si="38"/>
        <v>0</v>
      </c>
      <c r="W123" s="5" t="e">
        <f t="shared" ca="1" si="52"/>
        <v>#N/A</v>
      </c>
      <c r="X123" s="67">
        <f t="shared" ca="1" si="53"/>
        <v>0</v>
      </c>
      <c r="Y123" s="67" t="e">
        <f t="shared" ca="1" si="60"/>
        <v>#N/A</v>
      </c>
      <c r="Z123" s="67" t="e">
        <f t="shared" ca="1" si="61"/>
        <v>#N/A</v>
      </c>
      <c r="AA123" s="5" t="str">
        <f>IF(Setup!$I$15="Yes",'Demand background (hide)'!AJ111+'SPC background (hide)'!C123,"")</f>
        <v/>
      </c>
      <c r="AC123" s="5" t="str">
        <f t="shared" ca="1" si="54"/>
        <v/>
      </c>
      <c r="AD123" s="5" t="str">
        <f t="shared" ca="1" si="55"/>
        <v/>
      </c>
    </row>
    <row r="124" spans="1:30" x14ac:dyDescent="0.2">
      <c r="A124" s="67" t="str">
        <f ca="1">Demand!C121</f>
        <v/>
      </c>
      <c r="B124" s="67">
        <v>109</v>
      </c>
      <c r="C124" s="5">
        <f ca="1">'Demand background (hide)'!Y112</f>
        <v>0</v>
      </c>
      <c r="D124" s="67">
        <f t="shared" si="39"/>
        <v>1</v>
      </c>
      <c r="E124" s="67" t="e">
        <f t="shared" ca="1" si="40"/>
        <v>#N/A</v>
      </c>
      <c r="F124" s="67" t="e">
        <f t="shared" ca="1" si="41"/>
        <v>#N/A</v>
      </c>
      <c r="G124" s="67" t="e">
        <f t="shared" ca="1" si="42"/>
        <v>#N/A</v>
      </c>
      <c r="H124" s="67" t="e">
        <f>IF('Demand background (hide)'!AN112&lt;&gt;"",'SPC background (hide)'!C124,NA())</f>
        <v>#N/A</v>
      </c>
      <c r="I124" s="67">
        <f t="shared" ca="1" si="43"/>
        <v>5</v>
      </c>
      <c r="J124" s="5">
        <f t="shared" ca="1" si="44"/>
        <v>0</v>
      </c>
      <c r="K124" s="5">
        <f t="shared" ca="1" si="45"/>
        <v>0</v>
      </c>
      <c r="L124" s="5">
        <f t="shared" ca="1" si="46"/>
        <v>0</v>
      </c>
      <c r="M124" s="5">
        <f t="shared" ca="1" si="47"/>
        <v>0</v>
      </c>
      <c r="N124" s="5">
        <f t="shared" ca="1" si="48"/>
        <v>0</v>
      </c>
      <c r="O124" s="5">
        <f t="shared" ca="1" si="49"/>
        <v>0</v>
      </c>
      <c r="P124" s="5">
        <f t="shared" ca="1" si="50"/>
        <v>0</v>
      </c>
      <c r="Q124" s="5" t="e">
        <f t="shared" ca="1" si="51"/>
        <v>#N/A</v>
      </c>
      <c r="R124" s="5">
        <f t="shared" ca="1" si="56"/>
        <v>0</v>
      </c>
      <c r="S124" s="67" t="e">
        <f t="shared" ca="1" si="57"/>
        <v>#N/A</v>
      </c>
      <c r="T124" s="67">
        <f t="shared" ca="1" si="58"/>
        <v>0</v>
      </c>
      <c r="U124" s="67" t="e">
        <f t="shared" ca="1" si="59"/>
        <v>#N/A</v>
      </c>
      <c r="V124" s="5">
        <f t="shared" ca="1" si="38"/>
        <v>0</v>
      </c>
      <c r="W124" s="5" t="e">
        <f t="shared" ca="1" si="52"/>
        <v>#N/A</v>
      </c>
      <c r="X124" s="67">
        <f t="shared" ca="1" si="53"/>
        <v>0</v>
      </c>
      <c r="Y124" s="67" t="e">
        <f t="shared" ca="1" si="60"/>
        <v>#N/A</v>
      </c>
      <c r="Z124" s="67" t="e">
        <f t="shared" ca="1" si="61"/>
        <v>#N/A</v>
      </c>
      <c r="AA124" s="5" t="str">
        <f>IF(Setup!$I$15="Yes",'Demand background (hide)'!AJ112+'SPC background (hide)'!C124,"")</f>
        <v/>
      </c>
      <c r="AC124" s="5" t="str">
        <f t="shared" ca="1" si="54"/>
        <v/>
      </c>
      <c r="AD124" s="5" t="str">
        <f t="shared" ca="1" si="55"/>
        <v/>
      </c>
    </row>
    <row r="125" spans="1:30" x14ac:dyDescent="0.2">
      <c r="A125" s="67" t="str">
        <f ca="1">Demand!C122</f>
        <v/>
      </c>
      <c r="B125" s="67">
        <v>110</v>
      </c>
      <c r="C125" s="5">
        <f ca="1">'Demand background (hide)'!Y113</f>
        <v>0</v>
      </c>
      <c r="D125" s="67">
        <f t="shared" si="39"/>
        <v>1</v>
      </c>
      <c r="E125" s="67" t="e">
        <f t="shared" ca="1" si="40"/>
        <v>#N/A</v>
      </c>
      <c r="F125" s="67" t="e">
        <f t="shared" ca="1" si="41"/>
        <v>#N/A</v>
      </c>
      <c r="G125" s="67" t="e">
        <f t="shared" ca="1" si="42"/>
        <v>#N/A</v>
      </c>
      <c r="H125" s="67" t="e">
        <f>IF('Demand background (hide)'!AN113&lt;&gt;"",'SPC background (hide)'!C125,NA())</f>
        <v>#N/A</v>
      </c>
      <c r="I125" s="67">
        <f t="shared" ca="1" si="43"/>
        <v>5</v>
      </c>
      <c r="J125" s="5">
        <f t="shared" ca="1" si="44"/>
        <v>0</v>
      </c>
      <c r="K125" s="5">
        <f t="shared" ca="1" si="45"/>
        <v>0</v>
      </c>
      <c r="L125" s="5">
        <f t="shared" ca="1" si="46"/>
        <v>0</v>
      </c>
      <c r="M125" s="5">
        <f t="shared" ca="1" si="47"/>
        <v>0</v>
      </c>
      <c r="N125" s="5">
        <f t="shared" ca="1" si="48"/>
        <v>0</v>
      </c>
      <c r="O125" s="5">
        <f t="shared" ca="1" si="49"/>
        <v>0</v>
      </c>
      <c r="P125" s="5">
        <f t="shared" ca="1" si="50"/>
        <v>0</v>
      </c>
      <c r="Q125" s="5" t="e">
        <f t="shared" ca="1" si="51"/>
        <v>#N/A</v>
      </c>
      <c r="R125" s="5">
        <f t="shared" ca="1" si="56"/>
        <v>0</v>
      </c>
      <c r="S125" s="67" t="e">
        <f t="shared" ca="1" si="57"/>
        <v>#N/A</v>
      </c>
      <c r="T125" s="67">
        <f t="shared" ca="1" si="58"/>
        <v>0</v>
      </c>
      <c r="U125" s="67" t="e">
        <f t="shared" ca="1" si="59"/>
        <v>#N/A</v>
      </c>
      <c r="V125" s="5">
        <f t="shared" ca="1" si="38"/>
        <v>0</v>
      </c>
      <c r="W125" s="5" t="e">
        <f t="shared" ca="1" si="52"/>
        <v>#N/A</v>
      </c>
      <c r="X125" s="67">
        <f t="shared" ca="1" si="53"/>
        <v>0</v>
      </c>
      <c r="Y125" s="67" t="e">
        <f t="shared" ca="1" si="60"/>
        <v>#N/A</v>
      </c>
      <c r="Z125" s="67" t="e">
        <f t="shared" ca="1" si="61"/>
        <v>#N/A</v>
      </c>
      <c r="AA125" s="5" t="str">
        <f>IF(Setup!$I$15="Yes",'Demand background (hide)'!AJ113+'SPC background (hide)'!C125,"")</f>
        <v/>
      </c>
      <c r="AC125" s="5" t="str">
        <f t="shared" ca="1" si="54"/>
        <v/>
      </c>
      <c r="AD125" s="5" t="str">
        <f t="shared" ca="1" si="55"/>
        <v/>
      </c>
    </row>
    <row r="126" spans="1:30" x14ac:dyDescent="0.2">
      <c r="A126" s="67" t="str">
        <f ca="1">Demand!C123</f>
        <v/>
      </c>
      <c r="B126" s="67">
        <v>111</v>
      </c>
      <c r="C126" s="5">
        <f ca="1">'Demand background (hide)'!Y114</f>
        <v>0</v>
      </c>
      <c r="D126" s="67">
        <f t="shared" si="39"/>
        <v>1</v>
      </c>
      <c r="E126" s="67" t="e">
        <f t="shared" ca="1" si="40"/>
        <v>#N/A</v>
      </c>
      <c r="F126" s="67" t="e">
        <f t="shared" ca="1" si="41"/>
        <v>#N/A</v>
      </c>
      <c r="G126" s="67" t="e">
        <f t="shared" ca="1" si="42"/>
        <v>#N/A</v>
      </c>
      <c r="H126" s="67" t="e">
        <f>IF('Demand background (hide)'!AN114&lt;&gt;"",'SPC background (hide)'!C126,NA())</f>
        <v>#N/A</v>
      </c>
      <c r="I126" s="67">
        <f t="shared" ca="1" si="43"/>
        <v>5</v>
      </c>
      <c r="J126" s="5">
        <f t="shared" ca="1" si="44"/>
        <v>0</v>
      </c>
      <c r="K126" s="5">
        <f t="shared" ca="1" si="45"/>
        <v>0</v>
      </c>
      <c r="L126" s="5">
        <f t="shared" ca="1" si="46"/>
        <v>0</v>
      </c>
      <c r="M126" s="5">
        <f t="shared" ca="1" si="47"/>
        <v>0</v>
      </c>
      <c r="N126" s="5">
        <f t="shared" ca="1" si="48"/>
        <v>0</v>
      </c>
      <c r="O126" s="5">
        <f t="shared" ca="1" si="49"/>
        <v>0</v>
      </c>
      <c r="P126" s="5">
        <f t="shared" ca="1" si="50"/>
        <v>0</v>
      </c>
      <c r="Q126" s="5" t="e">
        <f t="shared" ca="1" si="51"/>
        <v>#N/A</v>
      </c>
      <c r="R126" s="5">
        <f t="shared" ca="1" si="56"/>
        <v>0</v>
      </c>
      <c r="S126" s="67" t="e">
        <f t="shared" ca="1" si="57"/>
        <v>#N/A</v>
      </c>
      <c r="T126" s="67">
        <f t="shared" ca="1" si="58"/>
        <v>0</v>
      </c>
      <c r="U126" s="67" t="e">
        <f t="shared" ca="1" si="59"/>
        <v>#N/A</v>
      </c>
      <c r="V126" s="5">
        <f t="shared" ca="1" si="38"/>
        <v>0</v>
      </c>
      <c r="W126" s="5" t="e">
        <f t="shared" ca="1" si="52"/>
        <v>#N/A</v>
      </c>
      <c r="X126" s="67">
        <f t="shared" ca="1" si="53"/>
        <v>0</v>
      </c>
      <c r="Y126" s="67" t="e">
        <f t="shared" ca="1" si="60"/>
        <v>#N/A</v>
      </c>
      <c r="Z126" s="67" t="e">
        <f t="shared" ca="1" si="61"/>
        <v>#N/A</v>
      </c>
      <c r="AA126" s="5" t="str">
        <f>IF(Setup!$I$15="Yes",'Demand background (hide)'!AJ114+'SPC background (hide)'!C126,"")</f>
        <v/>
      </c>
      <c r="AC126" s="5" t="str">
        <f t="shared" ca="1" si="54"/>
        <v/>
      </c>
      <c r="AD126" s="5" t="str">
        <f t="shared" ca="1" si="55"/>
        <v/>
      </c>
    </row>
    <row r="127" spans="1:30" x14ac:dyDescent="0.2">
      <c r="A127" s="67" t="str">
        <f ca="1">Demand!C124</f>
        <v/>
      </c>
      <c r="B127" s="67">
        <v>112</v>
      </c>
      <c r="C127" s="5">
        <f ca="1">'Demand background (hide)'!Y115</f>
        <v>0</v>
      </c>
      <c r="D127" s="67">
        <f t="shared" si="39"/>
        <v>1</v>
      </c>
      <c r="E127" s="67" t="e">
        <f t="shared" ca="1" si="40"/>
        <v>#N/A</v>
      </c>
      <c r="F127" s="67" t="e">
        <f t="shared" ca="1" si="41"/>
        <v>#N/A</v>
      </c>
      <c r="G127" s="67" t="e">
        <f t="shared" ca="1" si="42"/>
        <v>#N/A</v>
      </c>
      <c r="H127" s="67" t="e">
        <f>IF('Demand background (hide)'!AN115&lt;&gt;"",'SPC background (hide)'!C127,NA())</f>
        <v>#N/A</v>
      </c>
      <c r="I127" s="67">
        <f t="shared" ca="1" si="43"/>
        <v>5</v>
      </c>
      <c r="J127" s="5">
        <f t="shared" ca="1" si="44"/>
        <v>0</v>
      </c>
      <c r="K127" s="5">
        <f t="shared" ca="1" si="45"/>
        <v>0</v>
      </c>
      <c r="L127" s="5">
        <f t="shared" ca="1" si="46"/>
        <v>0</v>
      </c>
      <c r="M127" s="5">
        <f t="shared" ca="1" si="47"/>
        <v>0</v>
      </c>
      <c r="N127" s="5">
        <f t="shared" ca="1" si="48"/>
        <v>0</v>
      </c>
      <c r="O127" s="5">
        <f t="shared" ca="1" si="49"/>
        <v>0</v>
      </c>
      <c r="P127" s="5">
        <f t="shared" ca="1" si="50"/>
        <v>0</v>
      </c>
      <c r="Q127" s="5" t="e">
        <f t="shared" ca="1" si="51"/>
        <v>#N/A</v>
      </c>
      <c r="R127" s="5">
        <f t="shared" ca="1" si="56"/>
        <v>0</v>
      </c>
      <c r="S127" s="67" t="e">
        <f t="shared" ca="1" si="57"/>
        <v>#N/A</v>
      </c>
      <c r="T127" s="67">
        <f t="shared" ca="1" si="58"/>
        <v>0</v>
      </c>
      <c r="U127" s="67" t="e">
        <f t="shared" ca="1" si="59"/>
        <v>#N/A</v>
      </c>
      <c r="V127" s="5">
        <f t="shared" ca="1" si="38"/>
        <v>0</v>
      </c>
      <c r="W127" s="5" t="e">
        <f t="shared" ca="1" si="52"/>
        <v>#N/A</v>
      </c>
      <c r="X127" s="67">
        <f t="shared" ca="1" si="53"/>
        <v>0</v>
      </c>
      <c r="Y127" s="67" t="e">
        <f t="shared" ca="1" si="60"/>
        <v>#N/A</v>
      </c>
      <c r="Z127" s="67" t="e">
        <f t="shared" ca="1" si="61"/>
        <v>#N/A</v>
      </c>
      <c r="AA127" s="5" t="str">
        <f>IF(Setup!$I$15="Yes",'Demand background (hide)'!AJ115+'SPC background (hide)'!C127,"")</f>
        <v/>
      </c>
      <c r="AC127" s="5" t="str">
        <f t="shared" ca="1" si="54"/>
        <v/>
      </c>
      <c r="AD127" s="5" t="str">
        <f t="shared" ca="1" si="55"/>
        <v/>
      </c>
    </row>
    <row r="128" spans="1:30" x14ac:dyDescent="0.2">
      <c r="A128" s="67" t="str">
        <f ca="1">Demand!C125</f>
        <v/>
      </c>
      <c r="B128" s="67">
        <v>113</v>
      </c>
      <c r="C128" s="5">
        <f ca="1">'Demand background (hide)'!Y116</f>
        <v>0</v>
      </c>
      <c r="D128" s="67">
        <f t="shared" si="39"/>
        <v>1</v>
      </c>
      <c r="E128" s="67" t="e">
        <f t="shared" ca="1" si="40"/>
        <v>#N/A</v>
      </c>
      <c r="F128" s="67" t="e">
        <f t="shared" ca="1" si="41"/>
        <v>#N/A</v>
      </c>
      <c r="G128" s="67" t="e">
        <f t="shared" ca="1" si="42"/>
        <v>#N/A</v>
      </c>
      <c r="H128" s="67" t="e">
        <f>IF('Demand background (hide)'!AN116&lt;&gt;"",'SPC background (hide)'!C128,NA())</f>
        <v>#N/A</v>
      </c>
      <c r="I128" s="67">
        <f t="shared" ca="1" si="43"/>
        <v>5</v>
      </c>
      <c r="J128" s="5">
        <f t="shared" ca="1" si="44"/>
        <v>0</v>
      </c>
      <c r="K128" s="5">
        <f t="shared" ca="1" si="45"/>
        <v>0</v>
      </c>
      <c r="L128" s="5">
        <f t="shared" ca="1" si="46"/>
        <v>0</v>
      </c>
      <c r="M128" s="5">
        <f t="shared" ca="1" si="47"/>
        <v>0</v>
      </c>
      <c r="N128" s="5">
        <f t="shared" ca="1" si="48"/>
        <v>0</v>
      </c>
      <c r="O128" s="5">
        <f t="shared" ca="1" si="49"/>
        <v>0</v>
      </c>
      <c r="P128" s="5">
        <f t="shared" ca="1" si="50"/>
        <v>0</v>
      </c>
      <c r="Q128" s="5" t="e">
        <f t="shared" ca="1" si="51"/>
        <v>#N/A</v>
      </c>
      <c r="R128" s="5">
        <f t="shared" ca="1" si="56"/>
        <v>0</v>
      </c>
      <c r="S128" s="67" t="e">
        <f t="shared" ca="1" si="57"/>
        <v>#N/A</v>
      </c>
      <c r="T128" s="67">
        <f t="shared" ca="1" si="58"/>
        <v>0</v>
      </c>
      <c r="U128" s="67" t="e">
        <f t="shared" ca="1" si="59"/>
        <v>#N/A</v>
      </c>
      <c r="V128" s="5">
        <f t="shared" ca="1" si="38"/>
        <v>0</v>
      </c>
      <c r="W128" s="5" t="e">
        <f t="shared" ca="1" si="52"/>
        <v>#N/A</v>
      </c>
      <c r="X128" s="67">
        <f t="shared" ca="1" si="53"/>
        <v>0</v>
      </c>
      <c r="Y128" s="67" t="e">
        <f t="shared" ca="1" si="60"/>
        <v>#N/A</v>
      </c>
      <c r="Z128" s="67" t="e">
        <f t="shared" ca="1" si="61"/>
        <v>#N/A</v>
      </c>
      <c r="AA128" s="5" t="str">
        <f>IF(Setup!$I$15="Yes",'Demand background (hide)'!AJ116+'SPC background (hide)'!C128,"")</f>
        <v/>
      </c>
      <c r="AC128" s="5" t="str">
        <f t="shared" ca="1" si="54"/>
        <v/>
      </c>
      <c r="AD128" s="5" t="str">
        <f t="shared" ca="1" si="55"/>
        <v/>
      </c>
    </row>
    <row r="129" spans="1:30" x14ac:dyDescent="0.2">
      <c r="A129" s="67" t="str">
        <f ca="1">Demand!C126</f>
        <v/>
      </c>
      <c r="B129" s="67">
        <v>114</v>
      </c>
      <c r="C129" s="5">
        <f ca="1">'Demand background (hide)'!Y117</f>
        <v>0</v>
      </c>
      <c r="D129" s="67">
        <f t="shared" si="39"/>
        <v>1</v>
      </c>
      <c r="E129" s="67" t="e">
        <f t="shared" ca="1" si="40"/>
        <v>#N/A</v>
      </c>
      <c r="F129" s="67" t="e">
        <f t="shared" ca="1" si="41"/>
        <v>#N/A</v>
      </c>
      <c r="G129" s="67" t="e">
        <f t="shared" ca="1" si="42"/>
        <v>#N/A</v>
      </c>
      <c r="H129" s="67" t="e">
        <f>IF('Demand background (hide)'!AN117&lt;&gt;"",'SPC background (hide)'!C129,NA())</f>
        <v>#N/A</v>
      </c>
      <c r="I129" s="67">
        <f t="shared" ca="1" si="43"/>
        <v>5</v>
      </c>
      <c r="J129" s="5">
        <f t="shared" ca="1" si="44"/>
        <v>0</v>
      </c>
      <c r="K129" s="5">
        <f t="shared" ca="1" si="45"/>
        <v>0</v>
      </c>
      <c r="L129" s="5">
        <f t="shared" ca="1" si="46"/>
        <v>0</v>
      </c>
      <c r="M129" s="5">
        <f t="shared" ca="1" si="47"/>
        <v>0</v>
      </c>
      <c r="N129" s="5">
        <f t="shared" ca="1" si="48"/>
        <v>0</v>
      </c>
      <c r="O129" s="5">
        <f t="shared" ca="1" si="49"/>
        <v>0</v>
      </c>
      <c r="P129" s="5">
        <f t="shared" ca="1" si="50"/>
        <v>0</v>
      </c>
      <c r="Q129" s="5" t="e">
        <f t="shared" ca="1" si="51"/>
        <v>#N/A</v>
      </c>
      <c r="R129" s="5">
        <f t="shared" ca="1" si="56"/>
        <v>0</v>
      </c>
      <c r="S129" s="67" t="e">
        <f t="shared" ca="1" si="57"/>
        <v>#N/A</v>
      </c>
      <c r="T129" s="67">
        <f t="shared" ca="1" si="58"/>
        <v>0</v>
      </c>
      <c r="U129" s="67" t="e">
        <f t="shared" ca="1" si="59"/>
        <v>#N/A</v>
      </c>
      <c r="V129" s="5">
        <f t="shared" ca="1" si="38"/>
        <v>0</v>
      </c>
      <c r="W129" s="5" t="e">
        <f t="shared" ca="1" si="52"/>
        <v>#N/A</v>
      </c>
      <c r="X129" s="67">
        <f t="shared" ca="1" si="53"/>
        <v>0</v>
      </c>
      <c r="Y129" s="67" t="e">
        <f t="shared" ca="1" si="60"/>
        <v>#N/A</v>
      </c>
      <c r="Z129" s="67" t="e">
        <f t="shared" ca="1" si="61"/>
        <v>#N/A</v>
      </c>
      <c r="AA129" s="5" t="str">
        <f>IF(Setup!$I$15="Yes",'Demand background (hide)'!AJ117+'SPC background (hide)'!C129,"")</f>
        <v/>
      </c>
      <c r="AC129" s="5" t="str">
        <f t="shared" ca="1" si="54"/>
        <v/>
      </c>
      <c r="AD129" s="5" t="str">
        <f t="shared" ca="1" si="55"/>
        <v/>
      </c>
    </row>
    <row r="130" spans="1:30" x14ac:dyDescent="0.2">
      <c r="A130" s="67" t="str">
        <f ca="1">Demand!C127</f>
        <v/>
      </c>
      <c r="B130" s="67">
        <v>115</v>
      </c>
      <c r="C130" s="5">
        <f ca="1">'Demand background (hide)'!Y118</f>
        <v>0</v>
      </c>
      <c r="D130" s="67">
        <f t="shared" si="39"/>
        <v>1</v>
      </c>
      <c r="E130" s="67" t="e">
        <f t="shared" ca="1" si="40"/>
        <v>#N/A</v>
      </c>
      <c r="F130" s="67" t="e">
        <f t="shared" ca="1" si="41"/>
        <v>#N/A</v>
      </c>
      <c r="G130" s="67" t="e">
        <f t="shared" ca="1" si="42"/>
        <v>#N/A</v>
      </c>
      <c r="H130" s="67" t="e">
        <f>IF('Demand background (hide)'!AN118&lt;&gt;"",'SPC background (hide)'!C130,NA())</f>
        <v>#N/A</v>
      </c>
      <c r="I130" s="67">
        <f t="shared" ca="1" si="43"/>
        <v>5</v>
      </c>
      <c r="J130" s="5">
        <f t="shared" ca="1" si="44"/>
        <v>0</v>
      </c>
      <c r="K130" s="5">
        <f t="shared" ca="1" si="45"/>
        <v>0</v>
      </c>
      <c r="L130" s="5">
        <f t="shared" ca="1" si="46"/>
        <v>0</v>
      </c>
      <c r="M130" s="5">
        <f t="shared" ca="1" si="47"/>
        <v>0</v>
      </c>
      <c r="N130" s="5">
        <f t="shared" ca="1" si="48"/>
        <v>0</v>
      </c>
      <c r="O130" s="5">
        <f t="shared" ca="1" si="49"/>
        <v>0</v>
      </c>
      <c r="P130" s="5">
        <f t="shared" ca="1" si="50"/>
        <v>0</v>
      </c>
      <c r="Q130" s="5" t="e">
        <f t="shared" ca="1" si="51"/>
        <v>#N/A</v>
      </c>
      <c r="R130" s="5">
        <f t="shared" ca="1" si="56"/>
        <v>0</v>
      </c>
      <c r="S130" s="67" t="e">
        <f t="shared" ca="1" si="57"/>
        <v>#N/A</v>
      </c>
      <c r="T130" s="67">
        <f t="shared" ca="1" si="58"/>
        <v>0</v>
      </c>
      <c r="U130" s="67" t="e">
        <f t="shared" ca="1" si="59"/>
        <v>#N/A</v>
      </c>
      <c r="V130" s="5">
        <f t="shared" ca="1" si="38"/>
        <v>0</v>
      </c>
      <c r="W130" s="5" t="e">
        <f t="shared" ca="1" si="52"/>
        <v>#N/A</v>
      </c>
      <c r="X130" s="67">
        <f t="shared" ca="1" si="53"/>
        <v>0</v>
      </c>
      <c r="Y130" s="67" t="e">
        <f t="shared" ca="1" si="60"/>
        <v>#N/A</v>
      </c>
      <c r="Z130" s="67" t="e">
        <f t="shared" ca="1" si="61"/>
        <v>#N/A</v>
      </c>
      <c r="AA130" s="5" t="str">
        <f>IF(Setup!$I$15="Yes",'Demand background (hide)'!AJ118+'SPC background (hide)'!C130,"")</f>
        <v/>
      </c>
      <c r="AC130" s="5" t="str">
        <f t="shared" ca="1" si="54"/>
        <v/>
      </c>
      <c r="AD130" s="5" t="str">
        <f t="shared" ca="1" si="55"/>
        <v/>
      </c>
    </row>
    <row r="131" spans="1:30" x14ac:dyDescent="0.2">
      <c r="A131" s="67" t="str">
        <f ca="1">Demand!C128</f>
        <v/>
      </c>
      <c r="B131" s="67">
        <v>116</v>
      </c>
      <c r="C131" s="5">
        <f ca="1">'Demand background (hide)'!Y119</f>
        <v>0</v>
      </c>
      <c r="D131" s="67">
        <f t="shared" si="39"/>
        <v>1</v>
      </c>
      <c r="E131" s="67" t="e">
        <f t="shared" ca="1" si="40"/>
        <v>#N/A</v>
      </c>
      <c r="F131" s="67" t="e">
        <f t="shared" ca="1" si="41"/>
        <v>#N/A</v>
      </c>
      <c r="G131" s="67" t="e">
        <f t="shared" ca="1" si="42"/>
        <v>#N/A</v>
      </c>
      <c r="H131" s="67" t="e">
        <f>IF('Demand background (hide)'!AN119&lt;&gt;"",'SPC background (hide)'!C131,NA())</f>
        <v>#N/A</v>
      </c>
      <c r="I131" s="67">
        <f t="shared" ca="1" si="43"/>
        <v>5</v>
      </c>
      <c r="J131" s="5">
        <f t="shared" ca="1" si="44"/>
        <v>0</v>
      </c>
      <c r="K131" s="5">
        <f t="shared" ca="1" si="45"/>
        <v>0</v>
      </c>
      <c r="L131" s="5">
        <f t="shared" ca="1" si="46"/>
        <v>0</v>
      </c>
      <c r="M131" s="5">
        <f t="shared" ca="1" si="47"/>
        <v>0</v>
      </c>
      <c r="N131" s="5">
        <f t="shared" ca="1" si="48"/>
        <v>0</v>
      </c>
      <c r="O131" s="5">
        <f t="shared" ca="1" si="49"/>
        <v>0</v>
      </c>
      <c r="P131" s="5">
        <f t="shared" ca="1" si="50"/>
        <v>0</v>
      </c>
      <c r="Q131" s="5" t="e">
        <f t="shared" ca="1" si="51"/>
        <v>#N/A</v>
      </c>
      <c r="R131" s="5">
        <f t="shared" ca="1" si="56"/>
        <v>0</v>
      </c>
      <c r="S131" s="67" t="e">
        <f t="shared" ca="1" si="57"/>
        <v>#N/A</v>
      </c>
      <c r="T131" s="67">
        <f t="shared" ca="1" si="58"/>
        <v>0</v>
      </c>
      <c r="U131" s="67" t="e">
        <f t="shared" ca="1" si="59"/>
        <v>#N/A</v>
      </c>
      <c r="V131" s="5">
        <f t="shared" ca="1" si="38"/>
        <v>0</v>
      </c>
      <c r="W131" s="5" t="e">
        <f t="shared" ca="1" si="52"/>
        <v>#N/A</v>
      </c>
      <c r="X131" s="67">
        <f t="shared" ca="1" si="53"/>
        <v>0</v>
      </c>
      <c r="Y131" s="67" t="e">
        <f t="shared" ca="1" si="60"/>
        <v>#N/A</v>
      </c>
      <c r="Z131" s="67" t="e">
        <f t="shared" ca="1" si="61"/>
        <v>#N/A</v>
      </c>
      <c r="AA131" s="5" t="str">
        <f>IF(Setup!$I$15="Yes",'Demand background (hide)'!AJ119+'SPC background (hide)'!C131,"")</f>
        <v/>
      </c>
      <c r="AC131" s="5" t="str">
        <f t="shared" ca="1" si="54"/>
        <v/>
      </c>
      <c r="AD131" s="5" t="str">
        <f t="shared" ca="1" si="55"/>
        <v/>
      </c>
    </row>
    <row r="132" spans="1:30" x14ac:dyDescent="0.2">
      <c r="A132" s="67" t="str">
        <f ca="1">Demand!C129</f>
        <v/>
      </c>
      <c r="B132" s="67">
        <v>117</v>
      </c>
      <c r="C132" s="5">
        <f ca="1">'Demand background (hide)'!Y120</f>
        <v>0</v>
      </c>
      <c r="D132" s="67">
        <f t="shared" si="39"/>
        <v>1</v>
      </c>
      <c r="E132" s="67" t="e">
        <f t="shared" ca="1" si="40"/>
        <v>#N/A</v>
      </c>
      <c r="F132" s="67" t="e">
        <f t="shared" ca="1" si="41"/>
        <v>#N/A</v>
      </c>
      <c r="G132" s="67" t="e">
        <f t="shared" ca="1" si="42"/>
        <v>#N/A</v>
      </c>
      <c r="H132" s="67" t="e">
        <f>IF('Demand background (hide)'!AN120&lt;&gt;"",'SPC background (hide)'!C132,NA())</f>
        <v>#N/A</v>
      </c>
      <c r="I132" s="67">
        <f t="shared" ca="1" si="43"/>
        <v>5</v>
      </c>
      <c r="J132" s="5">
        <f t="shared" ca="1" si="44"/>
        <v>0</v>
      </c>
      <c r="K132" s="5">
        <f t="shared" ca="1" si="45"/>
        <v>0</v>
      </c>
      <c r="L132" s="5">
        <f t="shared" ca="1" si="46"/>
        <v>0</v>
      </c>
      <c r="M132" s="5">
        <f t="shared" ca="1" si="47"/>
        <v>0</v>
      </c>
      <c r="N132" s="5">
        <f t="shared" ca="1" si="48"/>
        <v>0</v>
      </c>
      <c r="O132" s="5">
        <f t="shared" ca="1" si="49"/>
        <v>0</v>
      </c>
      <c r="P132" s="5">
        <f t="shared" ca="1" si="50"/>
        <v>0</v>
      </c>
      <c r="Q132" s="5" t="e">
        <f t="shared" ca="1" si="51"/>
        <v>#N/A</v>
      </c>
      <c r="R132" s="5">
        <f t="shared" ca="1" si="56"/>
        <v>0</v>
      </c>
      <c r="S132" s="67" t="e">
        <f t="shared" ca="1" si="57"/>
        <v>#N/A</v>
      </c>
      <c r="T132" s="67">
        <f t="shared" ca="1" si="58"/>
        <v>0</v>
      </c>
      <c r="U132" s="67" t="e">
        <f t="shared" ca="1" si="59"/>
        <v>#N/A</v>
      </c>
      <c r="V132" s="5">
        <f t="shared" ca="1" si="38"/>
        <v>0</v>
      </c>
      <c r="W132" s="5" t="e">
        <f t="shared" ca="1" si="52"/>
        <v>#N/A</v>
      </c>
      <c r="X132" s="67">
        <f t="shared" ca="1" si="53"/>
        <v>0</v>
      </c>
      <c r="Y132" s="67" t="e">
        <f t="shared" ca="1" si="60"/>
        <v>#N/A</v>
      </c>
      <c r="Z132" s="67" t="e">
        <f t="shared" ca="1" si="61"/>
        <v>#N/A</v>
      </c>
      <c r="AA132" s="5" t="str">
        <f>IF(Setup!$I$15="Yes",'Demand background (hide)'!AJ120+'SPC background (hide)'!C132,"")</f>
        <v/>
      </c>
      <c r="AC132" s="5" t="str">
        <f t="shared" ca="1" si="54"/>
        <v/>
      </c>
      <c r="AD132" s="5" t="str">
        <f t="shared" ca="1" si="55"/>
        <v/>
      </c>
    </row>
    <row r="133" spans="1:30" x14ac:dyDescent="0.2">
      <c r="A133" s="67" t="str">
        <f ca="1">Demand!C130</f>
        <v/>
      </c>
      <c r="B133" s="67">
        <v>118</v>
      </c>
      <c r="C133" s="5">
        <f ca="1">'Demand background (hide)'!Y121</f>
        <v>0</v>
      </c>
      <c r="D133" s="67">
        <f t="shared" si="39"/>
        <v>1</v>
      </c>
      <c r="E133" s="67" t="e">
        <f t="shared" ca="1" si="40"/>
        <v>#N/A</v>
      </c>
      <c r="F133" s="67" t="e">
        <f t="shared" ca="1" si="41"/>
        <v>#N/A</v>
      </c>
      <c r="G133" s="67" t="e">
        <f t="shared" ca="1" si="42"/>
        <v>#N/A</v>
      </c>
      <c r="H133" s="67" t="e">
        <f>IF('Demand background (hide)'!AN121&lt;&gt;"",'SPC background (hide)'!C133,NA())</f>
        <v>#N/A</v>
      </c>
      <c r="I133" s="67">
        <f t="shared" ca="1" si="43"/>
        <v>5</v>
      </c>
      <c r="J133" s="5">
        <f t="shared" ca="1" si="44"/>
        <v>0</v>
      </c>
      <c r="K133" s="5">
        <f t="shared" ca="1" si="45"/>
        <v>0</v>
      </c>
      <c r="L133" s="5">
        <f t="shared" ca="1" si="46"/>
        <v>0</v>
      </c>
      <c r="M133" s="5">
        <f t="shared" ca="1" si="47"/>
        <v>0</v>
      </c>
      <c r="N133" s="5">
        <f t="shared" ca="1" si="48"/>
        <v>0</v>
      </c>
      <c r="O133" s="5">
        <f t="shared" ca="1" si="49"/>
        <v>0</v>
      </c>
      <c r="P133" s="5">
        <f t="shared" ca="1" si="50"/>
        <v>0</v>
      </c>
      <c r="Q133" s="5" t="e">
        <f t="shared" ca="1" si="51"/>
        <v>#N/A</v>
      </c>
      <c r="R133" s="5">
        <f t="shared" ca="1" si="56"/>
        <v>0</v>
      </c>
      <c r="S133" s="67" t="e">
        <f t="shared" ca="1" si="57"/>
        <v>#N/A</v>
      </c>
      <c r="T133" s="67">
        <f t="shared" ca="1" si="58"/>
        <v>0</v>
      </c>
      <c r="U133" s="67" t="e">
        <f t="shared" ca="1" si="59"/>
        <v>#N/A</v>
      </c>
      <c r="V133" s="5">
        <f t="shared" ca="1" si="38"/>
        <v>0</v>
      </c>
      <c r="W133" s="5" t="e">
        <f t="shared" ca="1" si="52"/>
        <v>#N/A</v>
      </c>
      <c r="X133" s="67">
        <f t="shared" ca="1" si="53"/>
        <v>0</v>
      </c>
      <c r="Y133" s="67" t="e">
        <f t="shared" ca="1" si="60"/>
        <v>#N/A</v>
      </c>
      <c r="Z133" s="67" t="e">
        <f t="shared" ca="1" si="61"/>
        <v>#N/A</v>
      </c>
      <c r="AA133" s="5" t="str">
        <f>IF(Setup!$I$15="Yes",'Demand background (hide)'!AJ121+'SPC background (hide)'!C133,"")</f>
        <v/>
      </c>
      <c r="AC133" s="5" t="str">
        <f t="shared" ca="1" si="54"/>
        <v/>
      </c>
      <c r="AD133" s="5" t="str">
        <f t="shared" ca="1" si="55"/>
        <v/>
      </c>
    </row>
    <row r="134" spans="1:30" x14ac:dyDescent="0.2">
      <c r="A134" s="67" t="str">
        <f ca="1">Demand!C131</f>
        <v/>
      </c>
      <c r="B134" s="67">
        <v>119</v>
      </c>
      <c r="C134" s="5">
        <f ca="1">'Demand background (hide)'!Y122</f>
        <v>0</v>
      </c>
      <c r="D134" s="67">
        <f t="shared" si="39"/>
        <v>1</v>
      </c>
      <c r="E134" s="67" t="e">
        <f t="shared" ca="1" si="40"/>
        <v>#N/A</v>
      </c>
      <c r="F134" s="67" t="e">
        <f t="shared" ca="1" si="41"/>
        <v>#N/A</v>
      </c>
      <c r="G134" s="67" t="e">
        <f t="shared" ca="1" si="42"/>
        <v>#N/A</v>
      </c>
      <c r="H134" s="67" t="e">
        <f>IF('Demand background (hide)'!AN122&lt;&gt;"",'SPC background (hide)'!C134,NA())</f>
        <v>#N/A</v>
      </c>
      <c r="I134" s="67">
        <f t="shared" ca="1" si="43"/>
        <v>5</v>
      </c>
      <c r="J134" s="5">
        <f t="shared" ca="1" si="44"/>
        <v>0</v>
      </c>
      <c r="K134" s="5">
        <f t="shared" ca="1" si="45"/>
        <v>0</v>
      </c>
      <c r="L134" s="5">
        <f t="shared" ca="1" si="46"/>
        <v>0</v>
      </c>
      <c r="M134" s="5">
        <f t="shared" ca="1" si="47"/>
        <v>0</v>
      </c>
      <c r="N134" s="5">
        <f t="shared" ca="1" si="48"/>
        <v>0</v>
      </c>
      <c r="O134" s="5">
        <f t="shared" ca="1" si="49"/>
        <v>0</v>
      </c>
      <c r="P134" s="5">
        <f t="shared" ca="1" si="50"/>
        <v>0</v>
      </c>
      <c r="Q134" s="5" t="e">
        <f t="shared" ca="1" si="51"/>
        <v>#N/A</v>
      </c>
      <c r="R134" s="5">
        <f t="shared" ca="1" si="56"/>
        <v>0</v>
      </c>
      <c r="S134" s="67" t="e">
        <f t="shared" ca="1" si="57"/>
        <v>#N/A</v>
      </c>
      <c r="T134" s="67">
        <f t="shared" ca="1" si="58"/>
        <v>0</v>
      </c>
      <c r="U134" s="67" t="e">
        <f t="shared" ca="1" si="59"/>
        <v>#N/A</v>
      </c>
      <c r="V134" s="5">
        <f t="shared" ca="1" si="38"/>
        <v>0</v>
      </c>
      <c r="W134" s="5" t="e">
        <f t="shared" ca="1" si="52"/>
        <v>#N/A</v>
      </c>
      <c r="X134" s="67">
        <f t="shared" ca="1" si="53"/>
        <v>0</v>
      </c>
      <c r="Y134" s="67" t="e">
        <f t="shared" ca="1" si="60"/>
        <v>#N/A</v>
      </c>
      <c r="Z134" s="67" t="e">
        <f t="shared" ca="1" si="61"/>
        <v>#N/A</v>
      </c>
      <c r="AA134" s="5" t="str">
        <f>IF(Setup!$I$15="Yes",'Demand background (hide)'!AJ122+'SPC background (hide)'!C134,"")</f>
        <v/>
      </c>
      <c r="AC134" s="5" t="str">
        <f t="shared" ca="1" si="54"/>
        <v/>
      </c>
      <c r="AD134" s="5" t="str">
        <f t="shared" ca="1" si="55"/>
        <v/>
      </c>
    </row>
    <row r="135" spans="1:30" x14ac:dyDescent="0.2">
      <c r="A135" s="67" t="str">
        <f ca="1">Demand!C132</f>
        <v/>
      </c>
      <c r="B135" s="67">
        <v>120</v>
      </c>
      <c r="C135" s="5">
        <f ca="1">'Demand background (hide)'!Y123</f>
        <v>0</v>
      </c>
      <c r="D135" s="67">
        <f t="shared" si="39"/>
        <v>1</v>
      </c>
      <c r="E135" s="67" t="e">
        <f t="shared" ca="1" si="40"/>
        <v>#N/A</v>
      </c>
      <c r="F135" s="67" t="e">
        <f t="shared" ca="1" si="41"/>
        <v>#N/A</v>
      </c>
      <c r="G135" s="67" t="e">
        <f t="shared" ca="1" si="42"/>
        <v>#N/A</v>
      </c>
      <c r="H135" s="67" t="e">
        <f>IF('Demand background (hide)'!AN123&lt;&gt;"",'SPC background (hide)'!C135,NA())</f>
        <v>#N/A</v>
      </c>
      <c r="I135" s="67">
        <f t="shared" ca="1" si="43"/>
        <v>5</v>
      </c>
      <c r="J135" s="5">
        <f t="shared" ca="1" si="44"/>
        <v>0</v>
      </c>
      <c r="K135" s="5">
        <f t="shared" ca="1" si="45"/>
        <v>0</v>
      </c>
      <c r="L135" s="5">
        <f t="shared" ca="1" si="46"/>
        <v>0</v>
      </c>
      <c r="M135" s="5">
        <f t="shared" ca="1" si="47"/>
        <v>0</v>
      </c>
      <c r="N135" s="5">
        <f t="shared" ca="1" si="48"/>
        <v>0</v>
      </c>
      <c r="O135" s="5">
        <f t="shared" ca="1" si="49"/>
        <v>0</v>
      </c>
      <c r="P135" s="5">
        <f t="shared" ca="1" si="50"/>
        <v>0</v>
      </c>
      <c r="Q135" s="5" t="e">
        <f t="shared" ca="1" si="51"/>
        <v>#N/A</v>
      </c>
      <c r="R135" s="5">
        <f t="shared" ca="1" si="56"/>
        <v>0</v>
      </c>
      <c r="S135" s="67" t="e">
        <f t="shared" ca="1" si="57"/>
        <v>#N/A</v>
      </c>
      <c r="T135" s="67">
        <f t="shared" ca="1" si="58"/>
        <v>0</v>
      </c>
      <c r="U135" s="67" t="e">
        <f t="shared" ca="1" si="59"/>
        <v>#N/A</v>
      </c>
      <c r="V135" s="5">
        <f t="shared" ca="1" si="38"/>
        <v>0</v>
      </c>
      <c r="W135" s="5" t="e">
        <f t="shared" ca="1" si="52"/>
        <v>#N/A</v>
      </c>
      <c r="X135" s="67">
        <f t="shared" ca="1" si="53"/>
        <v>0</v>
      </c>
      <c r="Y135" s="67" t="e">
        <f t="shared" ca="1" si="60"/>
        <v>#N/A</v>
      </c>
      <c r="Z135" s="67" t="e">
        <f t="shared" ca="1" si="61"/>
        <v>#N/A</v>
      </c>
      <c r="AA135" s="5" t="str">
        <f>IF(Setup!$I$15="Yes",'Demand background (hide)'!AJ123+'SPC background (hide)'!C135,"")</f>
        <v/>
      </c>
      <c r="AC135" s="5" t="str">
        <f t="shared" ca="1" si="54"/>
        <v/>
      </c>
      <c r="AD135" s="5" t="str">
        <f t="shared" ca="1" si="55"/>
        <v/>
      </c>
    </row>
    <row r="136" spans="1:30" x14ac:dyDescent="0.2">
      <c r="A136" s="67" t="str">
        <f ca="1">Demand!C133</f>
        <v/>
      </c>
      <c r="B136" s="67">
        <v>121</v>
      </c>
      <c r="C136" s="5">
        <f ca="1">'Demand background (hide)'!Y124</f>
        <v>0</v>
      </c>
      <c r="D136" s="67">
        <f t="shared" si="39"/>
        <v>1</v>
      </c>
      <c r="E136" s="67" t="e">
        <f t="shared" ca="1" si="40"/>
        <v>#N/A</v>
      </c>
      <c r="F136" s="67" t="e">
        <f t="shared" ca="1" si="41"/>
        <v>#N/A</v>
      </c>
      <c r="G136" s="67" t="e">
        <f t="shared" ca="1" si="42"/>
        <v>#N/A</v>
      </c>
      <c r="H136" s="67" t="e">
        <f>IF('Demand background (hide)'!AN124&lt;&gt;"",'SPC background (hide)'!C136,NA())</f>
        <v>#N/A</v>
      </c>
      <c r="I136" s="67">
        <f t="shared" ca="1" si="43"/>
        <v>5</v>
      </c>
      <c r="J136" s="5">
        <f t="shared" ca="1" si="44"/>
        <v>0</v>
      </c>
      <c r="K136" s="5">
        <f t="shared" ca="1" si="45"/>
        <v>0</v>
      </c>
      <c r="L136" s="5">
        <f t="shared" ca="1" si="46"/>
        <v>0</v>
      </c>
      <c r="M136" s="5">
        <f t="shared" ca="1" si="47"/>
        <v>0</v>
      </c>
      <c r="N136" s="5">
        <f t="shared" ca="1" si="48"/>
        <v>0</v>
      </c>
      <c r="O136" s="5">
        <f t="shared" ca="1" si="49"/>
        <v>0</v>
      </c>
      <c r="P136" s="5">
        <f t="shared" ca="1" si="50"/>
        <v>0</v>
      </c>
      <c r="Q136" s="5" t="e">
        <f t="shared" ca="1" si="51"/>
        <v>#N/A</v>
      </c>
      <c r="R136" s="5">
        <f t="shared" ca="1" si="56"/>
        <v>0</v>
      </c>
      <c r="S136" s="67" t="e">
        <f t="shared" ca="1" si="57"/>
        <v>#N/A</v>
      </c>
      <c r="T136" s="67">
        <f t="shared" ca="1" si="58"/>
        <v>0</v>
      </c>
      <c r="U136" s="67" t="e">
        <f t="shared" ca="1" si="59"/>
        <v>#N/A</v>
      </c>
      <c r="V136" s="5">
        <f t="shared" ca="1" si="38"/>
        <v>0</v>
      </c>
      <c r="W136" s="5" t="e">
        <f t="shared" ca="1" si="52"/>
        <v>#N/A</v>
      </c>
      <c r="X136" s="67">
        <f t="shared" ca="1" si="53"/>
        <v>0</v>
      </c>
      <c r="Y136" s="67" t="e">
        <f t="shared" ca="1" si="60"/>
        <v>#N/A</v>
      </c>
      <c r="Z136" s="67" t="e">
        <f t="shared" ca="1" si="61"/>
        <v>#N/A</v>
      </c>
      <c r="AA136" s="5" t="str">
        <f>IF(Setup!$I$15="Yes",'Demand background (hide)'!AJ124+'SPC background (hide)'!C136,"")</f>
        <v/>
      </c>
      <c r="AC136" s="5" t="str">
        <f t="shared" ca="1" si="54"/>
        <v/>
      </c>
      <c r="AD136" s="5" t="str">
        <f t="shared" ca="1" si="55"/>
        <v/>
      </c>
    </row>
    <row r="137" spans="1:30" x14ac:dyDescent="0.2">
      <c r="A137" s="67" t="str">
        <f ca="1">Demand!C134</f>
        <v/>
      </c>
      <c r="B137" s="67">
        <v>122</v>
      </c>
      <c r="C137" s="5">
        <f ca="1">'Demand background (hide)'!Y125</f>
        <v>0</v>
      </c>
      <c r="D137" s="67">
        <f t="shared" si="39"/>
        <v>1</v>
      </c>
      <c r="E137" s="67" t="e">
        <f t="shared" ca="1" si="40"/>
        <v>#N/A</v>
      </c>
      <c r="F137" s="67" t="e">
        <f t="shared" ca="1" si="41"/>
        <v>#N/A</v>
      </c>
      <c r="G137" s="67" t="e">
        <f t="shared" ca="1" si="42"/>
        <v>#N/A</v>
      </c>
      <c r="H137" s="67" t="e">
        <f>IF('Demand background (hide)'!AN125&lt;&gt;"",'SPC background (hide)'!C137,NA())</f>
        <v>#N/A</v>
      </c>
      <c r="I137" s="67">
        <f t="shared" ca="1" si="43"/>
        <v>5</v>
      </c>
      <c r="J137" s="5">
        <f t="shared" ca="1" si="44"/>
        <v>0</v>
      </c>
      <c r="K137" s="5">
        <f t="shared" ca="1" si="45"/>
        <v>0</v>
      </c>
      <c r="L137" s="5">
        <f t="shared" ca="1" si="46"/>
        <v>0</v>
      </c>
      <c r="M137" s="5">
        <f t="shared" ca="1" si="47"/>
        <v>0</v>
      </c>
      <c r="N137" s="5">
        <f t="shared" ca="1" si="48"/>
        <v>0</v>
      </c>
      <c r="O137" s="5">
        <f t="shared" ca="1" si="49"/>
        <v>0</v>
      </c>
      <c r="P137" s="5">
        <f t="shared" ca="1" si="50"/>
        <v>0</v>
      </c>
      <c r="Q137" s="5" t="e">
        <f t="shared" ca="1" si="51"/>
        <v>#N/A</v>
      </c>
      <c r="R137" s="5">
        <f t="shared" ca="1" si="56"/>
        <v>0</v>
      </c>
      <c r="S137" s="67" t="e">
        <f t="shared" ca="1" si="57"/>
        <v>#N/A</v>
      </c>
      <c r="T137" s="67">
        <f t="shared" ca="1" si="58"/>
        <v>0</v>
      </c>
      <c r="U137" s="67" t="e">
        <f t="shared" ca="1" si="59"/>
        <v>#N/A</v>
      </c>
      <c r="V137" s="5">
        <f t="shared" ca="1" si="38"/>
        <v>0</v>
      </c>
      <c r="W137" s="5" t="e">
        <f t="shared" ca="1" si="52"/>
        <v>#N/A</v>
      </c>
      <c r="X137" s="67">
        <f t="shared" ca="1" si="53"/>
        <v>0</v>
      </c>
      <c r="Y137" s="67" t="e">
        <f t="shared" ca="1" si="60"/>
        <v>#N/A</v>
      </c>
      <c r="Z137" s="67" t="e">
        <f t="shared" ca="1" si="61"/>
        <v>#N/A</v>
      </c>
      <c r="AA137" s="5" t="str">
        <f>IF(Setup!$I$15="Yes",'Demand background (hide)'!AJ125+'SPC background (hide)'!C137,"")</f>
        <v/>
      </c>
      <c r="AC137" s="5" t="str">
        <f t="shared" ca="1" si="54"/>
        <v/>
      </c>
      <c r="AD137" s="5" t="str">
        <f t="shared" ca="1" si="55"/>
        <v/>
      </c>
    </row>
    <row r="138" spans="1:30" x14ac:dyDescent="0.2">
      <c r="A138" s="67" t="str">
        <f ca="1">Demand!C135</f>
        <v/>
      </c>
      <c r="B138" s="67">
        <v>123</v>
      </c>
      <c r="C138" s="5">
        <f ca="1">'Demand background (hide)'!Y126</f>
        <v>0</v>
      </c>
      <c r="D138" s="67">
        <f t="shared" si="39"/>
        <v>1</v>
      </c>
      <c r="E138" s="67" t="e">
        <f t="shared" ca="1" si="40"/>
        <v>#N/A</v>
      </c>
      <c r="F138" s="67" t="e">
        <f t="shared" ca="1" si="41"/>
        <v>#N/A</v>
      </c>
      <c r="G138" s="67" t="e">
        <f t="shared" ca="1" si="42"/>
        <v>#N/A</v>
      </c>
      <c r="H138" s="67" t="e">
        <f>IF('Demand background (hide)'!AN126&lt;&gt;"",'SPC background (hide)'!C138,NA())</f>
        <v>#N/A</v>
      </c>
      <c r="I138" s="67">
        <f t="shared" ca="1" si="43"/>
        <v>5</v>
      </c>
      <c r="J138" s="5">
        <f t="shared" ca="1" si="44"/>
        <v>0</v>
      </c>
      <c r="K138" s="5">
        <f t="shared" ca="1" si="45"/>
        <v>0</v>
      </c>
      <c r="L138" s="5">
        <f t="shared" ca="1" si="46"/>
        <v>0</v>
      </c>
      <c r="M138" s="5">
        <f t="shared" ca="1" si="47"/>
        <v>0</v>
      </c>
      <c r="N138" s="5">
        <f t="shared" ca="1" si="48"/>
        <v>0</v>
      </c>
      <c r="O138" s="5">
        <f t="shared" ca="1" si="49"/>
        <v>0</v>
      </c>
      <c r="P138" s="5">
        <f t="shared" ca="1" si="50"/>
        <v>0</v>
      </c>
      <c r="Q138" s="5" t="e">
        <f t="shared" ca="1" si="51"/>
        <v>#N/A</v>
      </c>
      <c r="R138" s="5">
        <f t="shared" ca="1" si="56"/>
        <v>0</v>
      </c>
      <c r="S138" s="67" t="e">
        <f t="shared" ca="1" si="57"/>
        <v>#N/A</v>
      </c>
      <c r="T138" s="67">
        <f t="shared" ca="1" si="58"/>
        <v>0</v>
      </c>
      <c r="U138" s="67" t="e">
        <f t="shared" ca="1" si="59"/>
        <v>#N/A</v>
      </c>
      <c r="V138" s="5">
        <f t="shared" ca="1" si="38"/>
        <v>0</v>
      </c>
      <c r="W138" s="5" t="e">
        <f t="shared" ca="1" si="52"/>
        <v>#N/A</v>
      </c>
      <c r="X138" s="67">
        <f t="shared" ca="1" si="53"/>
        <v>0</v>
      </c>
      <c r="Y138" s="67" t="e">
        <f t="shared" ca="1" si="60"/>
        <v>#N/A</v>
      </c>
      <c r="Z138" s="67" t="e">
        <f t="shared" ca="1" si="61"/>
        <v>#N/A</v>
      </c>
      <c r="AA138" s="5" t="str">
        <f>IF(Setup!$I$15="Yes",'Demand background (hide)'!AJ126+'SPC background (hide)'!C138,"")</f>
        <v/>
      </c>
      <c r="AC138" s="5" t="str">
        <f t="shared" ca="1" si="54"/>
        <v/>
      </c>
      <c r="AD138" s="5" t="str">
        <f t="shared" ca="1" si="55"/>
        <v/>
      </c>
    </row>
    <row r="139" spans="1:30" x14ac:dyDescent="0.2">
      <c r="A139" s="67" t="str">
        <f ca="1">Demand!C136</f>
        <v/>
      </c>
      <c r="B139" s="67">
        <v>124</v>
      </c>
      <c r="C139" s="5">
        <f ca="1">'Demand background (hide)'!Y127</f>
        <v>0</v>
      </c>
      <c r="D139" s="67">
        <f t="shared" si="39"/>
        <v>1</v>
      </c>
      <c r="E139" s="67" t="e">
        <f t="shared" ca="1" si="40"/>
        <v>#N/A</v>
      </c>
      <c r="F139" s="67" t="e">
        <f t="shared" ca="1" si="41"/>
        <v>#N/A</v>
      </c>
      <c r="G139" s="67" t="e">
        <f t="shared" ca="1" si="42"/>
        <v>#N/A</v>
      </c>
      <c r="H139" s="67" t="e">
        <f>IF('Demand background (hide)'!AN127&lt;&gt;"",'SPC background (hide)'!C139,NA())</f>
        <v>#N/A</v>
      </c>
      <c r="I139" s="67">
        <f t="shared" ca="1" si="43"/>
        <v>5</v>
      </c>
      <c r="J139" s="5">
        <f t="shared" ca="1" si="44"/>
        <v>0</v>
      </c>
      <c r="K139" s="5">
        <f t="shared" ca="1" si="45"/>
        <v>0</v>
      </c>
      <c r="L139" s="5">
        <f t="shared" ca="1" si="46"/>
        <v>0</v>
      </c>
      <c r="M139" s="5">
        <f t="shared" ca="1" si="47"/>
        <v>0</v>
      </c>
      <c r="N139" s="5">
        <f t="shared" ca="1" si="48"/>
        <v>0</v>
      </c>
      <c r="O139" s="5">
        <f t="shared" ca="1" si="49"/>
        <v>0</v>
      </c>
      <c r="P139" s="5">
        <f t="shared" ca="1" si="50"/>
        <v>0</v>
      </c>
      <c r="Q139" s="5" t="e">
        <f t="shared" ca="1" si="51"/>
        <v>#N/A</v>
      </c>
      <c r="R139" s="5">
        <f t="shared" ca="1" si="56"/>
        <v>0</v>
      </c>
      <c r="S139" s="67" t="e">
        <f t="shared" ca="1" si="57"/>
        <v>#N/A</v>
      </c>
      <c r="T139" s="67">
        <f t="shared" ca="1" si="58"/>
        <v>0</v>
      </c>
      <c r="U139" s="67" t="e">
        <f t="shared" ca="1" si="59"/>
        <v>#N/A</v>
      </c>
      <c r="V139" s="5">
        <f t="shared" ca="1" si="38"/>
        <v>0</v>
      </c>
      <c r="W139" s="5" t="e">
        <f t="shared" ca="1" si="52"/>
        <v>#N/A</v>
      </c>
      <c r="X139" s="67">
        <f t="shared" ca="1" si="53"/>
        <v>0</v>
      </c>
      <c r="Y139" s="67" t="e">
        <f t="shared" ca="1" si="60"/>
        <v>#N/A</v>
      </c>
      <c r="Z139" s="67" t="e">
        <f t="shared" ca="1" si="61"/>
        <v>#N/A</v>
      </c>
      <c r="AA139" s="5" t="str">
        <f>IF(Setup!$I$15="Yes",'Demand background (hide)'!AJ127+'SPC background (hide)'!C139,"")</f>
        <v/>
      </c>
      <c r="AC139" s="5" t="str">
        <f t="shared" ca="1" si="54"/>
        <v/>
      </c>
      <c r="AD139" s="5" t="str">
        <f t="shared" ca="1" si="55"/>
        <v/>
      </c>
    </row>
    <row r="140" spans="1:30" x14ac:dyDescent="0.2">
      <c r="A140" s="67" t="str">
        <f ca="1">Demand!C137</f>
        <v/>
      </c>
      <c r="B140" s="67">
        <v>125</v>
      </c>
      <c r="C140" s="5">
        <f ca="1">'Demand background (hide)'!Y128</f>
        <v>0</v>
      </c>
      <c r="D140" s="67">
        <f t="shared" si="39"/>
        <v>1</v>
      </c>
      <c r="E140" s="67" t="e">
        <f t="shared" ca="1" si="40"/>
        <v>#N/A</v>
      </c>
      <c r="F140" s="67" t="e">
        <f t="shared" ca="1" si="41"/>
        <v>#N/A</v>
      </c>
      <c r="G140" s="67" t="e">
        <f t="shared" ca="1" si="42"/>
        <v>#N/A</v>
      </c>
      <c r="H140" s="67" t="e">
        <f>IF('Demand background (hide)'!AN128&lt;&gt;"",'SPC background (hide)'!C140,NA())</f>
        <v>#N/A</v>
      </c>
      <c r="I140" s="67">
        <f t="shared" ca="1" si="43"/>
        <v>5</v>
      </c>
      <c r="J140" s="5">
        <f t="shared" ca="1" si="44"/>
        <v>0</v>
      </c>
      <c r="K140" s="5">
        <f t="shared" ca="1" si="45"/>
        <v>0</v>
      </c>
      <c r="L140" s="5">
        <f t="shared" ca="1" si="46"/>
        <v>0</v>
      </c>
      <c r="M140" s="5">
        <f t="shared" ca="1" si="47"/>
        <v>0</v>
      </c>
      <c r="N140" s="5">
        <f t="shared" ca="1" si="48"/>
        <v>0</v>
      </c>
      <c r="O140" s="5">
        <f t="shared" ca="1" si="49"/>
        <v>0</v>
      </c>
      <c r="P140" s="5">
        <f t="shared" ca="1" si="50"/>
        <v>0</v>
      </c>
      <c r="Q140" s="5" t="e">
        <f t="shared" ca="1" si="51"/>
        <v>#N/A</v>
      </c>
      <c r="R140" s="5">
        <f t="shared" ca="1" si="56"/>
        <v>0</v>
      </c>
      <c r="S140" s="67" t="e">
        <f t="shared" ca="1" si="57"/>
        <v>#N/A</v>
      </c>
      <c r="T140" s="67">
        <f t="shared" ca="1" si="58"/>
        <v>0</v>
      </c>
      <c r="U140" s="67" t="e">
        <f t="shared" ca="1" si="59"/>
        <v>#N/A</v>
      </c>
      <c r="V140" s="5">
        <f t="shared" ca="1" si="38"/>
        <v>0</v>
      </c>
      <c r="W140" s="5" t="e">
        <f t="shared" ca="1" si="52"/>
        <v>#N/A</v>
      </c>
      <c r="X140" s="67">
        <f t="shared" ca="1" si="53"/>
        <v>0</v>
      </c>
      <c r="Y140" s="67" t="e">
        <f t="shared" ca="1" si="60"/>
        <v>#N/A</v>
      </c>
      <c r="Z140" s="67" t="e">
        <f t="shared" ca="1" si="61"/>
        <v>#N/A</v>
      </c>
      <c r="AA140" s="5" t="str">
        <f>IF(Setup!$I$15="Yes",'Demand background (hide)'!AJ128+'SPC background (hide)'!C140,"")</f>
        <v/>
      </c>
      <c r="AC140" s="5" t="str">
        <f t="shared" ca="1" si="54"/>
        <v/>
      </c>
      <c r="AD140" s="5" t="str">
        <f t="shared" ca="1" si="55"/>
        <v/>
      </c>
    </row>
    <row r="141" spans="1:30" x14ac:dyDescent="0.2">
      <c r="A141" s="67" t="str">
        <f ca="1">Demand!C138</f>
        <v/>
      </c>
      <c r="B141" s="67">
        <v>126</v>
      </c>
      <c r="C141" s="5">
        <f ca="1">'Demand background (hide)'!Y129</f>
        <v>0</v>
      </c>
      <c r="D141" s="67">
        <f t="shared" si="39"/>
        <v>1</v>
      </c>
      <c r="E141" s="67" t="e">
        <f t="shared" ca="1" si="40"/>
        <v>#N/A</v>
      </c>
      <c r="F141" s="67" t="e">
        <f t="shared" ca="1" si="41"/>
        <v>#N/A</v>
      </c>
      <c r="G141" s="67" t="e">
        <f t="shared" ca="1" si="42"/>
        <v>#N/A</v>
      </c>
      <c r="H141" s="67" t="e">
        <f>IF('Demand background (hide)'!AN129&lt;&gt;"",'SPC background (hide)'!C141,NA())</f>
        <v>#N/A</v>
      </c>
      <c r="I141" s="67">
        <f t="shared" ca="1" si="43"/>
        <v>5</v>
      </c>
      <c r="J141" s="5">
        <f t="shared" ca="1" si="44"/>
        <v>0</v>
      </c>
      <c r="K141" s="5">
        <f t="shared" ca="1" si="45"/>
        <v>0</v>
      </c>
      <c r="L141" s="5">
        <f t="shared" ca="1" si="46"/>
        <v>0</v>
      </c>
      <c r="M141" s="5">
        <f t="shared" ca="1" si="47"/>
        <v>0</v>
      </c>
      <c r="N141" s="5">
        <f t="shared" ca="1" si="48"/>
        <v>0</v>
      </c>
      <c r="O141" s="5">
        <f t="shared" ca="1" si="49"/>
        <v>0</v>
      </c>
      <c r="P141" s="5">
        <f t="shared" ca="1" si="50"/>
        <v>0</v>
      </c>
      <c r="Q141" s="5" t="e">
        <f t="shared" ca="1" si="51"/>
        <v>#N/A</v>
      </c>
      <c r="R141" s="5">
        <f t="shared" ca="1" si="56"/>
        <v>0</v>
      </c>
      <c r="S141" s="67" t="e">
        <f t="shared" ca="1" si="57"/>
        <v>#N/A</v>
      </c>
      <c r="T141" s="67">
        <f t="shared" ca="1" si="58"/>
        <v>0</v>
      </c>
      <c r="U141" s="67" t="e">
        <f t="shared" ca="1" si="59"/>
        <v>#N/A</v>
      </c>
      <c r="V141" s="5">
        <f t="shared" ca="1" si="38"/>
        <v>0</v>
      </c>
      <c r="W141" s="5" t="e">
        <f t="shared" ca="1" si="52"/>
        <v>#N/A</v>
      </c>
      <c r="X141" s="67">
        <f t="shared" ca="1" si="53"/>
        <v>0</v>
      </c>
      <c r="Y141" s="67" t="e">
        <f t="shared" ca="1" si="60"/>
        <v>#N/A</v>
      </c>
      <c r="Z141" s="67" t="e">
        <f t="shared" ca="1" si="61"/>
        <v>#N/A</v>
      </c>
      <c r="AA141" s="5" t="str">
        <f>IF(Setup!$I$15="Yes",'Demand background (hide)'!AJ129+'SPC background (hide)'!C141,"")</f>
        <v/>
      </c>
      <c r="AC141" s="5" t="str">
        <f t="shared" ca="1" si="54"/>
        <v/>
      </c>
      <c r="AD141" s="5" t="str">
        <f t="shared" ca="1" si="55"/>
        <v/>
      </c>
    </row>
    <row r="142" spans="1:30" x14ac:dyDescent="0.2">
      <c r="A142" s="67" t="str">
        <f ca="1">Demand!C139</f>
        <v/>
      </c>
      <c r="B142" s="67">
        <v>127</v>
      </c>
      <c r="C142" s="5">
        <f ca="1">'Demand background (hide)'!Y130</f>
        <v>0</v>
      </c>
      <c r="D142" s="67">
        <f t="shared" si="39"/>
        <v>1</v>
      </c>
      <c r="E142" s="67" t="e">
        <f t="shared" ca="1" si="40"/>
        <v>#N/A</v>
      </c>
      <c r="F142" s="67" t="e">
        <f t="shared" ca="1" si="41"/>
        <v>#N/A</v>
      </c>
      <c r="G142" s="67" t="e">
        <f t="shared" ca="1" si="42"/>
        <v>#N/A</v>
      </c>
      <c r="H142" s="67" t="e">
        <f>IF('Demand background (hide)'!AN130&lt;&gt;"",'SPC background (hide)'!C142,NA())</f>
        <v>#N/A</v>
      </c>
      <c r="I142" s="67">
        <f t="shared" ca="1" si="43"/>
        <v>5</v>
      </c>
      <c r="J142" s="5">
        <f t="shared" ca="1" si="44"/>
        <v>0</v>
      </c>
      <c r="K142" s="5">
        <f t="shared" ca="1" si="45"/>
        <v>0</v>
      </c>
      <c r="L142" s="5">
        <f t="shared" ca="1" si="46"/>
        <v>0</v>
      </c>
      <c r="M142" s="5">
        <f t="shared" ca="1" si="47"/>
        <v>0</v>
      </c>
      <c r="N142" s="5">
        <f t="shared" ca="1" si="48"/>
        <v>0</v>
      </c>
      <c r="O142" s="5">
        <f t="shared" ca="1" si="49"/>
        <v>0</v>
      </c>
      <c r="P142" s="5">
        <f t="shared" ca="1" si="50"/>
        <v>0</v>
      </c>
      <c r="Q142" s="5" t="e">
        <f t="shared" ca="1" si="51"/>
        <v>#N/A</v>
      </c>
      <c r="R142" s="5">
        <f t="shared" ca="1" si="56"/>
        <v>0</v>
      </c>
      <c r="S142" s="67" t="e">
        <f t="shared" ca="1" si="57"/>
        <v>#N/A</v>
      </c>
      <c r="T142" s="67">
        <f t="shared" ca="1" si="58"/>
        <v>0</v>
      </c>
      <c r="U142" s="67" t="e">
        <f t="shared" ca="1" si="59"/>
        <v>#N/A</v>
      </c>
      <c r="V142" s="5">
        <f t="shared" ca="1" si="38"/>
        <v>0</v>
      </c>
      <c r="W142" s="5" t="e">
        <f t="shared" ca="1" si="52"/>
        <v>#N/A</v>
      </c>
      <c r="X142" s="67">
        <f t="shared" ca="1" si="53"/>
        <v>0</v>
      </c>
      <c r="Y142" s="67" t="e">
        <f t="shared" ca="1" si="60"/>
        <v>#N/A</v>
      </c>
      <c r="Z142" s="67" t="e">
        <f t="shared" ca="1" si="61"/>
        <v>#N/A</v>
      </c>
      <c r="AA142" s="5" t="str">
        <f>IF(Setup!$I$15="Yes",'Demand background (hide)'!AJ130+'SPC background (hide)'!C142,"")</f>
        <v/>
      </c>
      <c r="AC142" s="5" t="str">
        <f t="shared" ca="1" si="54"/>
        <v/>
      </c>
      <c r="AD142" s="5" t="str">
        <f t="shared" ca="1" si="55"/>
        <v/>
      </c>
    </row>
    <row r="143" spans="1:30" x14ac:dyDescent="0.2">
      <c r="A143" s="67" t="str">
        <f ca="1">Demand!C140</f>
        <v/>
      </c>
      <c r="B143" s="67">
        <v>128</v>
      </c>
      <c r="C143" s="5">
        <f ca="1">'Demand background (hide)'!Y131</f>
        <v>0</v>
      </c>
      <c r="D143" s="67">
        <f t="shared" si="39"/>
        <v>1</v>
      </c>
      <c r="E143" s="67" t="e">
        <f t="shared" ca="1" si="40"/>
        <v>#N/A</v>
      </c>
      <c r="F143" s="67" t="e">
        <f t="shared" ca="1" si="41"/>
        <v>#N/A</v>
      </c>
      <c r="G143" s="67" t="e">
        <f t="shared" ca="1" si="42"/>
        <v>#N/A</v>
      </c>
      <c r="H143" s="67" t="e">
        <f>IF('Demand background (hide)'!AN131&lt;&gt;"",'SPC background (hide)'!C143,NA())</f>
        <v>#N/A</v>
      </c>
      <c r="I143" s="67">
        <f t="shared" ca="1" si="43"/>
        <v>5</v>
      </c>
      <c r="J143" s="5">
        <f t="shared" ca="1" si="44"/>
        <v>0</v>
      </c>
      <c r="K143" s="5">
        <f t="shared" ca="1" si="45"/>
        <v>0</v>
      </c>
      <c r="L143" s="5">
        <f t="shared" ca="1" si="46"/>
        <v>0</v>
      </c>
      <c r="M143" s="5">
        <f t="shared" ca="1" si="47"/>
        <v>0</v>
      </c>
      <c r="N143" s="5">
        <f t="shared" ca="1" si="48"/>
        <v>0</v>
      </c>
      <c r="O143" s="5">
        <f t="shared" ca="1" si="49"/>
        <v>0</v>
      </c>
      <c r="P143" s="5">
        <f t="shared" ca="1" si="50"/>
        <v>0</v>
      </c>
      <c r="Q143" s="5" t="e">
        <f t="shared" ca="1" si="51"/>
        <v>#N/A</v>
      </c>
      <c r="R143" s="5">
        <f t="shared" ca="1" si="56"/>
        <v>0</v>
      </c>
      <c r="S143" s="67" t="e">
        <f t="shared" ca="1" si="57"/>
        <v>#N/A</v>
      </c>
      <c r="T143" s="67">
        <f t="shared" ca="1" si="58"/>
        <v>0</v>
      </c>
      <c r="U143" s="67" t="e">
        <f t="shared" ca="1" si="59"/>
        <v>#N/A</v>
      </c>
      <c r="V143" s="5">
        <f t="shared" ca="1" si="38"/>
        <v>0</v>
      </c>
      <c r="W143" s="5" t="e">
        <f t="shared" ca="1" si="52"/>
        <v>#N/A</v>
      </c>
      <c r="X143" s="67">
        <f t="shared" ca="1" si="53"/>
        <v>0</v>
      </c>
      <c r="Y143" s="67" t="e">
        <f t="shared" ca="1" si="60"/>
        <v>#N/A</v>
      </c>
      <c r="Z143" s="67" t="e">
        <f t="shared" ca="1" si="61"/>
        <v>#N/A</v>
      </c>
      <c r="AA143" s="5" t="str">
        <f>IF(Setup!$I$15="Yes",'Demand background (hide)'!AJ131+'SPC background (hide)'!C143,"")</f>
        <v/>
      </c>
      <c r="AC143" s="5" t="str">
        <f t="shared" ca="1" si="54"/>
        <v/>
      </c>
      <c r="AD143" s="5" t="str">
        <f t="shared" ca="1" si="55"/>
        <v/>
      </c>
    </row>
    <row r="144" spans="1:30" x14ac:dyDescent="0.2">
      <c r="A144" s="67" t="str">
        <f ca="1">Demand!C141</f>
        <v/>
      </c>
      <c r="B144" s="67">
        <v>129</v>
      </c>
      <c r="C144" s="5">
        <f ca="1">'Demand background (hide)'!Y132</f>
        <v>0</v>
      </c>
      <c r="D144" s="67">
        <f t="shared" si="39"/>
        <v>1</v>
      </c>
      <c r="E144" s="67" t="e">
        <f t="shared" ca="1" si="40"/>
        <v>#N/A</v>
      </c>
      <c r="F144" s="67" t="e">
        <f t="shared" ca="1" si="41"/>
        <v>#N/A</v>
      </c>
      <c r="G144" s="67" t="e">
        <f t="shared" ca="1" si="42"/>
        <v>#N/A</v>
      </c>
      <c r="H144" s="67" t="e">
        <f>IF('Demand background (hide)'!AN132&lt;&gt;"",'SPC background (hide)'!C144,NA())</f>
        <v>#N/A</v>
      </c>
      <c r="I144" s="67">
        <f t="shared" ca="1" si="43"/>
        <v>5</v>
      </c>
      <c r="J144" s="5">
        <f t="shared" ca="1" si="44"/>
        <v>0</v>
      </c>
      <c r="K144" s="5">
        <f t="shared" ca="1" si="45"/>
        <v>0</v>
      </c>
      <c r="L144" s="5">
        <f t="shared" ca="1" si="46"/>
        <v>0</v>
      </c>
      <c r="M144" s="5">
        <f t="shared" ca="1" si="47"/>
        <v>0</v>
      </c>
      <c r="N144" s="5">
        <f t="shared" ca="1" si="48"/>
        <v>0</v>
      </c>
      <c r="O144" s="5">
        <f t="shared" ca="1" si="49"/>
        <v>0</v>
      </c>
      <c r="P144" s="5">
        <f t="shared" ca="1" si="50"/>
        <v>0</v>
      </c>
      <c r="Q144" s="5" t="e">
        <f t="shared" ca="1" si="51"/>
        <v>#N/A</v>
      </c>
      <c r="R144" s="5">
        <f t="shared" ca="1" si="56"/>
        <v>0</v>
      </c>
      <c r="S144" s="67" t="e">
        <f t="shared" ca="1" si="57"/>
        <v>#N/A</v>
      </c>
      <c r="T144" s="67">
        <f t="shared" ca="1" si="58"/>
        <v>0</v>
      </c>
      <c r="U144" s="67" t="e">
        <f t="shared" ca="1" si="59"/>
        <v>#N/A</v>
      </c>
      <c r="V144" s="5">
        <f t="shared" ref="V144:V207" ca="1" si="62">IF(C144&lt;M144,-1,IF(C144&gt;M144,1,0))</f>
        <v>0</v>
      </c>
      <c r="W144" s="5" t="e">
        <f t="shared" ca="1" si="52"/>
        <v>#N/A</v>
      </c>
      <c r="X144" s="67">
        <f t="shared" ca="1" si="53"/>
        <v>0</v>
      </c>
      <c r="Y144" s="67" t="e">
        <f t="shared" ca="1" si="60"/>
        <v>#N/A</v>
      </c>
      <c r="Z144" s="67" t="e">
        <f t="shared" ca="1" si="61"/>
        <v>#N/A</v>
      </c>
      <c r="AA144" s="5" t="str">
        <f>IF(Setup!$I$15="Yes",'Demand background (hide)'!AJ132+'SPC background (hide)'!C144,"")</f>
        <v/>
      </c>
      <c r="AC144" s="5" t="str">
        <f t="shared" ca="1" si="54"/>
        <v/>
      </c>
      <c r="AD144" s="5" t="str">
        <f t="shared" ca="1" si="55"/>
        <v/>
      </c>
    </row>
    <row r="145" spans="1:30" x14ac:dyDescent="0.2">
      <c r="A145" s="67" t="str">
        <f ca="1">Demand!C142</f>
        <v/>
      </c>
      <c r="B145" s="67">
        <v>130</v>
      </c>
      <c r="C145" s="5">
        <f ca="1">'Demand background (hide)'!Y133</f>
        <v>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5</v>
      </c>
      <c r="J145" s="5">
        <f t="shared" ref="J145:J208" ca="1" si="68">VLOOKUP($A145,$AG$2:$AQ$54,COLUMN(E$1),0)</f>
        <v>0</v>
      </c>
      <c r="K145" s="5">
        <f t="shared" ref="K145:K208" ca="1" si="69">VLOOKUP($A145,$AG$2:$AQ$54,COLUMN(F$1),0)</f>
        <v>0</v>
      </c>
      <c r="L145" s="5">
        <f t="shared" ref="L145:L208" ca="1" si="70">VLOOKUP($A145,$AG$2:$AQ$54,COLUMN(G$1),0)</f>
        <v>0</v>
      </c>
      <c r="M145" s="5">
        <f t="shared" ref="M145:M208" ca="1" si="71">VLOOKUP($A145,$AG$2:$AQ$54,COLUMN(H$1),0)</f>
        <v>0</v>
      </c>
      <c r="N145" s="5">
        <f t="shared" ref="N145:N208" ca="1" si="72">VLOOKUP($A145,$AG$2:$AQ$54,COLUMN(I$1),0)</f>
        <v>0</v>
      </c>
      <c r="O145" s="5">
        <f t="shared" ref="O145:O208" ca="1" si="73">VLOOKUP($A145,$AG$2:$AQ$54,COLUMN(J$1),0)</f>
        <v>0</v>
      </c>
      <c r="P145" s="5">
        <f t="shared" ref="P145:P208" ca="1" si="74">VLOOKUP($A145,$AG$2:$AQ$54,COLUMN(K$1),0)</f>
        <v>0</v>
      </c>
      <c r="Q145" s="5" t="e">
        <f t="shared" ref="Q145:Q208" ca="1" si="75">IF(ISNA(H145)=TRUE,IF(OR(C145&gt;P145,C145&lt;J145),C145,NA()),NA())</f>
        <v>#N/A</v>
      </c>
      <c r="R145" s="5">
        <f t="shared" ca="1" si="56"/>
        <v>0</v>
      </c>
      <c r="S145" s="67" t="e">
        <f t="shared" ca="1" si="57"/>
        <v>#N/A</v>
      </c>
      <c r="T145" s="67">
        <f t="shared" ca="1" si="58"/>
        <v>0</v>
      </c>
      <c r="U145" s="67" t="e">
        <f t="shared" ca="1" si="59"/>
        <v>#N/A</v>
      </c>
      <c r="V145" s="5">
        <f t="shared" ca="1" si="62"/>
        <v>0</v>
      </c>
      <c r="W145" s="5" t="e">
        <f t="shared" ref="W145:W208" ca="1" si="76">IF(ISNA(H145)=TRUE,IF(ABS(SUM(V145:V153))=9,C145,NA()),NA())</f>
        <v>#N/A</v>
      </c>
      <c r="X145" s="67">
        <f t="shared" ref="X145:X208" ca="1" si="77">IF(C145&gt;C144,1,IF(C145&lt;C144,-1,0))</f>
        <v>0</v>
      </c>
      <c r="Y145" s="67" t="e">
        <f t="shared" ca="1" si="60"/>
        <v>#N/A</v>
      </c>
      <c r="Z145" s="67" t="e">
        <f t="shared" ca="1" si="61"/>
        <v>#N/A</v>
      </c>
      <c r="AA145" s="5" t="str">
        <f>IF(Setup!$I$15="Yes",'Demand background (hide)'!AJ133+'SPC background (hide)'!C145,"")</f>
        <v/>
      </c>
      <c r="AC145" s="5" t="str">
        <f t="shared" ref="AC145:AC208" ca="1" si="78">VLOOKUP($A145,$AG$2:$AS$54,12,0)</f>
        <v/>
      </c>
      <c r="AD145" s="5" t="str">
        <f t="shared" ref="AD145:AD208" ca="1" si="79">VLOOKUP($A145,$AG$2:$AS$54,13,0)</f>
        <v/>
      </c>
    </row>
    <row r="146" spans="1:30" x14ac:dyDescent="0.2">
      <c r="A146" s="67" t="str">
        <f ca="1">Demand!C143</f>
        <v/>
      </c>
      <c r="B146" s="67">
        <v>131</v>
      </c>
      <c r="C146" s="5">
        <f ca="1">'Demand background (hide)'!Y134</f>
        <v>0</v>
      </c>
      <c r="D146" s="67">
        <f t="shared" si="63"/>
        <v>1</v>
      </c>
      <c r="E146" s="67" t="e">
        <f t="shared" ca="1" si="64"/>
        <v>#N/A</v>
      </c>
      <c r="F146" s="67" t="e">
        <f t="shared" ca="1" si="65"/>
        <v>#N/A</v>
      </c>
      <c r="G146" s="67" t="e">
        <f t="shared" ca="1" si="66"/>
        <v>#N/A</v>
      </c>
      <c r="H146" s="67" t="e">
        <f>IF('Demand background (hide)'!AN134&lt;&gt;"",'SPC background (hide)'!C146,NA())</f>
        <v>#N/A</v>
      </c>
      <c r="I146" s="67">
        <f t="shared" ca="1" si="67"/>
        <v>5</v>
      </c>
      <c r="J146" s="5">
        <f t="shared" ca="1" si="68"/>
        <v>0</v>
      </c>
      <c r="K146" s="5">
        <f t="shared" ca="1" si="69"/>
        <v>0</v>
      </c>
      <c r="L146" s="5">
        <f t="shared" ca="1" si="70"/>
        <v>0</v>
      </c>
      <c r="M146" s="5">
        <f t="shared" ca="1" si="71"/>
        <v>0</v>
      </c>
      <c r="N146" s="5">
        <f t="shared" ca="1" si="72"/>
        <v>0</v>
      </c>
      <c r="O146" s="5">
        <f t="shared" ca="1" si="73"/>
        <v>0</v>
      </c>
      <c r="P146" s="5">
        <f t="shared" ca="1" si="74"/>
        <v>0</v>
      </c>
      <c r="Q146" s="5" t="e">
        <f t="shared" ca="1" si="75"/>
        <v>#N/A</v>
      </c>
      <c r="R146" s="5">
        <f t="shared" ref="R146:R209" ca="1" si="80">IF(C146&gt;O146,2,IF(C146&lt;K146,-2,IF(C146&gt;M146,1,IF(C146&lt;M146,-1,0))))</f>
        <v>0</v>
      </c>
      <c r="S146" s="67" t="e">
        <f t="shared" ref="S146:S209" ca="1" si="81">IF(ISNA(H146),IF(ABS(SUM(R146:R148))&gt;=5,C146,NA()),NA())</f>
        <v>#N/A</v>
      </c>
      <c r="T146" s="67">
        <f t="shared" ref="T146:T209" ca="1" si="82">IF(C146&gt;N146,2,IF(C146&lt;L146,-2,IF(C146&gt;M146,1,IF(C146&lt;M146,-1,0))))</f>
        <v>0</v>
      </c>
      <c r="U146" s="67" t="e">
        <f t="shared" ref="U146:U209" ca="1" si="83">IF(ISNA(H146)=TRUE,IF(ABS(SUM(T146:T150))&gt;=9,C146,NA()),NA())</f>
        <v>#N/A</v>
      </c>
      <c r="V146" s="5">
        <f t="shared" ca="1" si="62"/>
        <v>0</v>
      </c>
      <c r="W146" s="5" t="e">
        <f t="shared" ca="1" si="76"/>
        <v>#N/A</v>
      </c>
      <c r="X146" s="67">
        <f t="shared" ca="1" si="77"/>
        <v>0</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t="str">
        <f t="shared" ca="1" si="78"/>
        <v/>
      </c>
      <c r="AD146" s="5" t="str">
        <f t="shared" ca="1" si="79"/>
        <v/>
      </c>
    </row>
    <row r="147" spans="1:30" x14ac:dyDescent="0.2">
      <c r="A147" s="67" t="str">
        <f ca="1">Demand!C144</f>
        <v/>
      </c>
      <c r="B147" s="67">
        <v>132</v>
      </c>
      <c r="C147" s="5">
        <f ca="1">'Demand background (hide)'!Y135</f>
        <v>0</v>
      </c>
      <c r="D147" s="67">
        <f t="shared" si="63"/>
        <v>1</v>
      </c>
      <c r="E147" s="67" t="e">
        <f t="shared" ca="1" si="64"/>
        <v>#N/A</v>
      </c>
      <c r="F147" s="67" t="e">
        <f t="shared" ca="1" si="65"/>
        <v>#N/A</v>
      </c>
      <c r="G147" s="67" t="e">
        <f t="shared" ca="1" si="66"/>
        <v>#N/A</v>
      </c>
      <c r="H147" s="67" t="e">
        <f>IF('Demand background (hide)'!AN135&lt;&gt;"",'SPC background (hide)'!C147,NA())</f>
        <v>#N/A</v>
      </c>
      <c r="I147" s="67">
        <f t="shared" ca="1" si="67"/>
        <v>5</v>
      </c>
      <c r="J147" s="5">
        <f t="shared" ca="1" si="68"/>
        <v>0</v>
      </c>
      <c r="K147" s="5">
        <f t="shared" ca="1" si="69"/>
        <v>0</v>
      </c>
      <c r="L147" s="5">
        <f t="shared" ca="1" si="70"/>
        <v>0</v>
      </c>
      <c r="M147" s="5">
        <f t="shared" ca="1" si="71"/>
        <v>0</v>
      </c>
      <c r="N147" s="5">
        <f t="shared" ca="1" si="72"/>
        <v>0</v>
      </c>
      <c r="O147" s="5">
        <f t="shared" ca="1" si="73"/>
        <v>0</v>
      </c>
      <c r="P147" s="5">
        <f t="shared" ca="1" si="74"/>
        <v>0</v>
      </c>
      <c r="Q147" s="5" t="e">
        <f t="shared" ca="1" si="75"/>
        <v>#N/A</v>
      </c>
      <c r="R147" s="5">
        <f t="shared" ca="1" si="80"/>
        <v>0</v>
      </c>
      <c r="S147" s="67" t="e">
        <f t="shared" ca="1" si="81"/>
        <v>#N/A</v>
      </c>
      <c r="T147" s="67">
        <f t="shared" ca="1" si="82"/>
        <v>0</v>
      </c>
      <c r="U147" s="67" t="e">
        <f t="shared" ca="1" si="83"/>
        <v>#N/A</v>
      </c>
      <c r="V147" s="5">
        <f t="shared" ca="1" si="62"/>
        <v>0</v>
      </c>
      <c r="W147" s="5" t="e">
        <f t="shared" ca="1" si="76"/>
        <v>#N/A</v>
      </c>
      <c r="X147" s="67">
        <f t="shared" ca="1" si="77"/>
        <v>0</v>
      </c>
      <c r="Y147" s="67" t="e">
        <f t="shared" ca="1" si="84"/>
        <v>#N/A</v>
      </c>
      <c r="Z147" s="67" t="e">
        <f t="shared" ca="1" si="85"/>
        <v>#N/A</v>
      </c>
      <c r="AA147" s="5" t="str">
        <f>IF(Setup!$I$15="Yes",'Demand background (hide)'!AJ135+'SPC background (hide)'!C147,"")</f>
        <v/>
      </c>
      <c r="AC147" s="5" t="str">
        <f t="shared" ca="1" si="78"/>
        <v/>
      </c>
      <c r="AD147" s="5" t="str">
        <f t="shared" ca="1" si="79"/>
        <v/>
      </c>
    </row>
    <row r="148" spans="1:30" x14ac:dyDescent="0.2">
      <c r="A148" s="67" t="str">
        <f ca="1">Demand!C145</f>
        <v/>
      </c>
      <c r="B148" s="67">
        <v>133</v>
      </c>
      <c r="C148" s="5">
        <f ca="1">'Demand background (hide)'!Y136</f>
        <v>0</v>
      </c>
      <c r="D148" s="67">
        <f t="shared" si="63"/>
        <v>1</v>
      </c>
      <c r="E148" s="67" t="e">
        <f t="shared" ca="1" si="64"/>
        <v>#N/A</v>
      </c>
      <c r="F148" s="67" t="e">
        <f t="shared" ca="1" si="65"/>
        <v>#N/A</v>
      </c>
      <c r="G148" s="67" t="e">
        <f t="shared" ca="1" si="66"/>
        <v>#N/A</v>
      </c>
      <c r="H148" s="67" t="e">
        <f>IF('Demand background (hide)'!AN136&lt;&gt;"",'SPC background (hide)'!C148,NA())</f>
        <v>#N/A</v>
      </c>
      <c r="I148" s="67">
        <f t="shared" ca="1" si="67"/>
        <v>5</v>
      </c>
      <c r="J148" s="5">
        <f t="shared" ca="1" si="68"/>
        <v>0</v>
      </c>
      <c r="K148" s="5">
        <f t="shared" ca="1" si="69"/>
        <v>0</v>
      </c>
      <c r="L148" s="5">
        <f t="shared" ca="1" si="70"/>
        <v>0</v>
      </c>
      <c r="M148" s="5">
        <f t="shared" ca="1" si="71"/>
        <v>0</v>
      </c>
      <c r="N148" s="5">
        <f t="shared" ca="1" si="72"/>
        <v>0</v>
      </c>
      <c r="O148" s="5">
        <f t="shared" ca="1" si="73"/>
        <v>0</v>
      </c>
      <c r="P148" s="5">
        <f t="shared" ca="1" si="74"/>
        <v>0</v>
      </c>
      <c r="Q148" s="5" t="e">
        <f t="shared" ca="1" si="75"/>
        <v>#N/A</v>
      </c>
      <c r="R148" s="5">
        <f t="shared" ca="1" si="80"/>
        <v>0</v>
      </c>
      <c r="S148" s="67" t="e">
        <f t="shared" ca="1" si="81"/>
        <v>#N/A</v>
      </c>
      <c r="T148" s="67">
        <f t="shared" ca="1" si="82"/>
        <v>0</v>
      </c>
      <c r="U148" s="67" t="e">
        <f t="shared" ca="1" si="83"/>
        <v>#N/A</v>
      </c>
      <c r="V148" s="5">
        <f t="shared" ca="1" si="62"/>
        <v>0</v>
      </c>
      <c r="W148" s="5" t="e">
        <f t="shared" ca="1" si="76"/>
        <v>#N/A</v>
      </c>
      <c r="X148" s="67">
        <f t="shared" ca="1" si="77"/>
        <v>0</v>
      </c>
      <c r="Y148" s="67" t="e">
        <f t="shared" ca="1" si="84"/>
        <v>#N/A</v>
      </c>
      <c r="Z148" s="67" t="e">
        <f t="shared" ca="1" si="85"/>
        <v>#N/A</v>
      </c>
      <c r="AA148" s="5" t="str">
        <f>IF(Setup!$I$15="Yes",'Demand background (hide)'!AJ136+'SPC background (hide)'!C148,"")</f>
        <v/>
      </c>
      <c r="AC148" s="5" t="str">
        <f t="shared" ca="1" si="78"/>
        <v/>
      </c>
      <c r="AD148" s="5" t="str">
        <f t="shared" ca="1" si="79"/>
        <v/>
      </c>
    </row>
    <row r="149" spans="1:30" x14ac:dyDescent="0.2">
      <c r="A149" s="67" t="str">
        <f ca="1">Demand!C146</f>
        <v/>
      </c>
      <c r="B149" s="67">
        <v>134</v>
      </c>
      <c r="C149" s="5">
        <f ca="1">'Demand background (hide)'!Y137</f>
        <v>0</v>
      </c>
      <c r="D149" s="67">
        <f t="shared" si="63"/>
        <v>1</v>
      </c>
      <c r="E149" s="67" t="e">
        <f t="shared" ca="1" si="64"/>
        <v>#N/A</v>
      </c>
      <c r="F149" s="67" t="e">
        <f t="shared" ca="1" si="65"/>
        <v>#N/A</v>
      </c>
      <c r="G149" s="67" t="e">
        <f t="shared" ca="1" si="66"/>
        <v>#N/A</v>
      </c>
      <c r="H149" s="67" t="e">
        <f>IF('Demand background (hide)'!AN137&lt;&gt;"",'SPC background (hide)'!C149,NA())</f>
        <v>#N/A</v>
      </c>
      <c r="I149" s="67">
        <f t="shared" ca="1" si="67"/>
        <v>5</v>
      </c>
      <c r="J149" s="5">
        <f t="shared" ca="1" si="68"/>
        <v>0</v>
      </c>
      <c r="K149" s="5">
        <f t="shared" ca="1" si="69"/>
        <v>0</v>
      </c>
      <c r="L149" s="5">
        <f t="shared" ca="1" si="70"/>
        <v>0</v>
      </c>
      <c r="M149" s="5">
        <f t="shared" ca="1" si="71"/>
        <v>0</v>
      </c>
      <c r="N149" s="5">
        <f t="shared" ca="1" si="72"/>
        <v>0</v>
      </c>
      <c r="O149" s="5">
        <f t="shared" ca="1" si="73"/>
        <v>0</v>
      </c>
      <c r="P149" s="5">
        <f t="shared" ca="1" si="74"/>
        <v>0</v>
      </c>
      <c r="Q149" s="5" t="e">
        <f t="shared" ca="1" si="75"/>
        <v>#N/A</v>
      </c>
      <c r="R149" s="5">
        <f t="shared" ca="1" si="80"/>
        <v>0</v>
      </c>
      <c r="S149" s="67" t="e">
        <f t="shared" ca="1" si="81"/>
        <v>#N/A</v>
      </c>
      <c r="T149" s="67">
        <f t="shared" ca="1" si="82"/>
        <v>0</v>
      </c>
      <c r="U149" s="67" t="e">
        <f t="shared" ca="1" si="83"/>
        <v>#N/A</v>
      </c>
      <c r="V149" s="5">
        <f t="shared" ca="1" si="62"/>
        <v>0</v>
      </c>
      <c r="W149" s="5" t="e">
        <f t="shared" ca="1" si="76"/>
        <v>#N/A</v>
      </c>
      <c r="X149" s="67">
        <f t="shared" ca="1" si="77"/>
        <v>0</v>
      </c>
      <c r="Y149" s="67" t="e">
        <f t="shared" ca="1" si="84"/>
        <v>#N/A</v>
      </c>
      <c r="Z149" s="67" t="e">
        <f t="shared" ca="1" si="85"/>
        <v>#N/A</v>
      </c>
      <c r="AA149" s="5" t="str">
        <f>IF(Setup!$I$15="Yes",'Demand background (hide)'!AJ137+'SPC background (hide)'!C149,"")</f>
        <v/>
      </c>
      <c r="AC149" s="5" t="str">
        <f t="shared" ca="1" si="78"/>
        <v/>
      </c>
      <c r="AD149" s="5" t="str">
        <f t="shared" ca="1" si="79"/>
        <v/>
      </c>
    </row>
    <row r="150" spans="1:30" x14ac:dyDescent="0.2">
      <c r="A150" s="67" t="str">
        <f ca="1">Demand!C147</f>
        <v/>
      </c>
      <c r="B150" s="67">
        <v>135</v>
      </c>
      <c r="C150" s="5">
        <f ca="1">'Demand background (hide)'!Y138</f>
        <v>0</v>
      </c>
      <c r="D150" s="67">
        <f t="shared" si="63"/>
        <v>1</v>
      </c>
      <c r="E150" s="67" t="e">
        <f t="shared" ca="1" si="64"/>
        <v>#N/A</v>
      </c>
      <c r="F150" s="67" t="e">
        <f t="shared" ca="1" si="65"/>
        <v>#N/A</v>
      </c>
      <c r="G150" s="67" t="e">
        <f t="shared" ca="1" si="66"/>
        <v>#N/A</v>
      </c>
      <c r="H150" s="67" t="e">
        <f>IF('Demand background (hide)'!AN138&lt;&gt;"",'SPC background (hide)'!C150,NA())</f>
        <v>#N/A</v>
      </c>
      <c r="I150" s="67">
        <f t="shared" ca="1" si="67"/>
        <v>5</v>
      </c>
      <c r="J150" s="5">
        <f t="shared" ca="1" si="68"/>
        <v>0</v>
      </c>
      <c r="K150" s="5">
        <f t="shared" ca="1" si="69"/>
        <v>0</v>
      </c>
      <c r="L150" s="5">
        <f t="shared" ca="1" si="70"/>
        <v>0</v>
      </c>
      <c r="M150" s="5">
        <f t="shared" ca="1" si="71"/>
        <v>0</v>
      </c>
      <c r="N150" s="5">
        <f t="shared" ca="1" si="72"/>
        <v>0</v>
      </c>
      <c r="O150" s="5">
        <f t="shared" ca="1" si="73"/>
        <v>0</v>
      </c>
      <c r="P150" s="5">
        <f t="shared" ca="1" si="74"/>
        <v>0</v>
      </c>
      <c r="Q150" s="5" t="e">
        <f t="shared" ca="1" si="75"/>
        <v>#N/A</v>
      </c>
      <c r="R150" s="5">
        <f t="shared" ca="1" si="80"/>
        <v>0</v>
      </c>
      <c r="S150" s="67" t="e">
        <f t="shared" ca="1" si="81"/>
        <v>#N/A</v>
      </c>
      <c r="T150" s="67">
        <f t="shared" ca="1" si="82"/>
        <v>0</v>
      </c>
      <c r="U150" s="67" t="e">
        <f t="shared" ca="1" si="83"/>
        <v>#N/A</v>
      </c>
      <c r="V150" s="5">
        <f t="shared" ca="1" si="62"/>
        <v>0</v>
      </c>
      <c r="W150" s="5" t="e">
        <f t="shared" ca="1" si="76"/>
        <v>#N/A</v>
      </c>
      <c r="X150" s="67">
        <f t="shared" ca="1" si="77"/>
        <v>0</v>
      </c>
      <c r="Y150" s="67" t="e">
        <f t="shared" ca="1" si="84"/>
        <v>#N/A</v>
      </c>
      <c r="Z150" s="67" t="e">
        <f t="shared" ca="1" si="85"/>
        <v>#N/A</v>
      </c>
      <c r="AA150" s="5" t="str">
        <f>IF(Setup!$I$15="Yes",'Demand background (hide)'!AJ138+'SPC background (hide)'!C150,"")</f>
        <v/>
      </c>
      <c r="AC150" s="5" t="str">
        <f t="shared" ca="1" si="78"/>
        <v/>
      </c>
      <c r="AD150" s="5" t="str">
        <f t="shared" ca="1" si="79"/>
        <v/>
      </c>
    </row>
    <row r="151" spans="1:30" x14ac:dyDescent="0.2">
      <c r="A151" s="67" t="str">
        <f ca="1">Demand!C148</f>
        <v/>
      </c>
      <c r="B151" s="67">
        <v>136</v>
      </c>
      <c r="C151" s="5">
        <f ca="1">'Demand background (hide)'!Y139</f>
        <v>0</v>
      </c>
      <c r="D151" s="67">
        <f t="shared" si="63"/>
        <v>1</v>
      </c>
      <c r="E151" s="67" t="e">
        <f t="shared" ca="1" si="64"/>
        <v>#N/A</v>
      </c>
      <c r="F151" s="67" t="e">
        <f t="shared" ca="1" si="65"/>
        <v>#N/A</v>
      </c>
      <c r="G151" s="67" t="e">
        <f t="shared" ca="1" si="66"/>
        <v>#N/A</v>
      </c>
      <c r="H151" s="67" t="e">
        <f>IF('Demand background (hide)'!AN139&lt;&gt;"",'SPC background (hide)'!C151,NA())</f>
        <v>#N/A</v>
      </c>
      <c r="I151" s="67">
        <f t="shared" ca="1" si="67"/>
        <v>5</v>
      </c>
      <c r="J151" s="5">
        <f t="shared" ca="1" si="68"/>
        <v>0</v>
      </c>
      <c r="K151" s="5">
        <f t="shared" ca="1" si="69"/>
        <v>0</v>
      </c>
      <c r="L151" s="5">
        <f t="shared" ca="1" si="70"/>
        <v>0</v>
      </c>
      <c r="M151" s="5">
        <f t="shared" ca="1" si="71"/>
        <v>0</v>
      </c>
      <c r="N151" s="5">
        <f t="shared" ca="1" si="72"/>
        <v>0</v>
      </c>
      <c r="O151" s="5">
        <f t="shared" ca="1" si="73"/>
        <v>0</v>
      </c>
      <c r="P151" s="5">
        <f t="shared" ca="1" si="74"/>
        <v>0</v>
      </c>
      <c r="Q151" s="5" t="e">
        <f t="shared" ca="1" si="75"/>
        <v>#N/A</v>
      </c>
      <c r="R151" s="5">
        <f t="shared" ca="1" si="80"/>
        <v>0</v>
      </c>
      <c r="S151" s="67" t="e">
        <f t="shared" ca="1" si="81"/>
        <v>#N/A</v>
      </c>
      <c r="T151" s="67">
        <f t="shared" ca="1" si="82"/>
        <v>0</v>
      </c>
      <c r="U151" s="67" t="e">
        <f t="shared" ca="1" si="83"/>
        <v>#N/A</v>
      </c>
      <c r="V151" s="5">
        <f t="shared" ca="1" si="62"/>
        <v>0</v>
      </c>
      <c r="W151" s="5" t="e">
        <f t="shared" ca="1" si="76"/>
        <v>#N/A</v>
      </c>
      <c r="X151" s="67">
        <f t="shared" ca="1" si="77"/>
        <v>0</v>
      </c>
      <c r="Y151" s="67" t="e">
        <f t="shared" ca="1" si="84"/>
        <v>#N/A</v>
      </c>
      <c r="Z151" s="67" t="e">
        <f t="shared" ca="1" si="85"/>
        <v>#N/A</v>
      </c>
      <c r="AA151" s="5" t="str">
        <f>IF(Setup!$I$15="Yes",'Demand background (hide)'!AJ139+'SPC background (hide)'!C151,"")</f>
        <v/>
      </c>
      <c r="AC151" s="5" t="str">
        <f t="shared" ca="1" si="78"/>
        <v/>
      </c>
      <c r="AD151" s="5" t="str">
        <f t="shared" ca="1" si="79"/>
        <v/>
      </c>
    </row>
    <row r="152" spans="1:30" x14ac:dyDescent="0.2">
      <c r="A152" s="67" t="str">
        <f ca="1">Demand!C149</f>
        <v/>
      </c>
      <c r="B152" s="67">
        <v>137</v>
      </c>
      <c r="C152" s="5">
        <f ca="1">'Demand background (hide)'!Y140</f>
        <v>0</v>
      </c>
      <c r="D152" s="67">
        <f t="shared" si="63"/>
        <v>1</v>
      </c>
      <c r="E152" s="67" t="e">
        <f t="shared" ca="1" si="64"/>
        <v>#N/A</v>
      </c>
      <c r="F152" s="67" t="e">
        <f t="shared" ca="1" si="65"/>
        <v>#N/A</v>
      </c>
      <c r="G152" s="67" t="e">
        <f t="shared" ca="1" si="66"/>
        <v>#N/A</v>
      </c>
      <c r="H152" s="67" t="e">
        <f>IF('Demand background (hide)'!AN140&lt;&gt;"",'SPC background (hide)'!C152,NA())</f>
        <v>#N/A</v>
      </c>
      <c r="I152" s="67">
        <f t="shared" ca="1" si="67"/>
        <v>5</v>
      </c>
      <c r="J152" s="5">
        <f t="shared" ca="1" si="68"/>
        <v>0</v>
      </c>
      <c r="K152" s="5">
        <f t="shared" ca="1" si="69"/>
        <v>0</v>
      </c>
      <c r="L152" s="5">
        <f t="shared" ca="1" si="70"/>
        <v>0</v>
      </c>
      <c r="M152" s="5">
        <f t="shared" ca="1" si="71"/>
        <v>0</v>
      </c>
      <c r="N152" s="5">
        <f t="shared" ca="1" si="72"/>
        <v>0</v>
      </c>
      <c r="O152" s="5">
        <f t="shared" ca="1" si="73"/>
        <v>0</v>
      </c>
      <c r="P152" s="5">
        <f t="shared" ca="1" si="74"/>
        <v>0</v>
      </c>
      <c r="Q152" s="5" t="e">
        <f t="shared" ca="1" si="75"/>
        <v>#N/A</v>
      </c>
      <c r="R152" s="5">
        <f t="shared" ca="1" si="80"/>
        <v>0</v>
      </c>
      <c r="S152" s="67" t="e">
        <f t="shared" ca="1" si="81"/>
        <v>#N/A</v>
      </c>
      <c r="T152" s="67">
        <f t="shared" ca="1" si="82"/>
        <v>0</v>
      </c>
      <c r="U152" s="67" t="e">
        <f t="shared" ca="1" si="83"/>
        <v>#N/A</v>
      </c>
      <c r="V152" s="5">
        <f t="shared" ca="1" si="62"/>
        <v>0</v>
      </c>
      <c r="W152" s="5" t="e">
        <f t="shared" ca="1" si="76"/>
        <v>#N/A</v>
      </c>
      <c r="X152" s="67">
        <f t="shared" ca="1" si="77"/>
        <v>0</v>
      </c>
      <c r="Y152" s="67" t="e">
        <f t="shared" ca="1" si="84"/>
        <v>#N/A</v>
      </c>
      <c r="Z152" s="67" t="e">
        <f t="shared" ca="1" si="85"/>
        <v>#N/A</v>
      </c>
      <c r="AA152" s="5" t="str">
        <f>IF(Setup!$I$15="Yes",'Demand background (hide)'!AJ140+'SPC background (hide)'!C152,"")</f>
        <v/>
      </c>
      <c r="AC152" s="5" t="str">
        <f t="shared" ca="1" si="78"/>
        <v/>
      </c>
      <c r="AD152" s="5" t="str">
        <f t="shared" ca="1" si="79"/>
        <v/>
      </c>
    </row>
    <row r="153" spans="1:30" x14ac:dyDescent="0.2">
      <c r="A153" s="67" t="str">
        <f ca="1">Demand!C150</f>
        <v/>
      </c>
      <c r="B153" s="67">
        <v>138</v>
      </c>
      <c r="C153" s="5">
        <f ca="1">'Demand background (hide)'!Y141</f>
        <v>0</v>
      </c>
      <c r="D153" s="67">
        <f t="shared" si="63"/>
        <v>1</v>
      </c>
      <c r="E153" s="67" t="e">
        <f t="shared" ca="1" si="64"/>
        <v>#N/A</v>
      </c>
      <c r="F153" s="67" t="e">
        <f t="shared" ca="1" si="65"/>
        <v>#N/A</v>
      </c>
      <c r="G153" s="67" t="e">
        <f t="shared" ca="1" si="66"/>
        <v>#N/A</v>
      </c>
      <c r="H153" s="67" t="e">
        <f>IF('Demand background (hide)'!AN141&lt;&gt;"",'SPC background (hide)'!C153,NA())</f>
        <v>#N/A</v>
      </c>
      <c r="I153" s="67">
        <f t="shared" ca="1" si="67"/>
        <v>5</v>
      </c>
      <c r="J153" s="5">
        <f t="shared" ca="1" si="68"/>
        <v>0</v>
      </c>
      <c r="K153" s="5">
        <f t="shared" ca="1" si="69"/>
        <v>0</v>
      </c>
      <c r="L153" s="5">
        <f t="shared" ca="1" si="70"/>
        <v>0</v>
      </c>
      <c r="M153" s="5">
        <f t="shared" ca="1" si="71"/>
        <v>0</v>
      </c>
      <c r="N153" s="5">
        <f t="shared" ca="1" si="72"/>
        <v>0</v>
      </c>
      <c r="O153" s="5">
        <f t="shared" ca="1" si="73"/>
        <v>0</v>
      </c>
      <c r="P153" s="5">
        <f t="shared" ca="1" si="74"/>
        <v>0</v>
      </c>
      <c r="Q153" s="5" t="e">
        <f t="shared" ca="1" si="75"/>
        <v>#N/A</v>
      </c>
      <c r="R153" s="5">
        <f t="shared" ca="1" si="80"/>
        <v>0</v>
      </c>
      <c r="S153" s="67" t="e">
        <f t="shared" ca="1" si="81"/>
        <v>#N/A</v>
      </c>
      <c r="T153" s="67">
        <f t="shared" ca="1" si="82"/>
        <v>0</v>
      </c>
      <c r="U153" s="67" t="e">
        <f t="shared" ca="1" si="83"/>
        <v>#N/A</v>
      </c>
      <c r="V153" s="5">
        <f t="shared" ca="1" si="62"/>
        <v>0</v>
      </c>
      <c r="W153" s="5" t="e">
        <f t="shared" ca="1" si="76"/>
        <v>#N/A</v>
      </c>
      <c r="X153" s="67">
        <f t="shared" ca="1" si="77"/>
        <v>0</v>
      </c>
      <c r="Y153" s="67" t="e">
        <f t="shared" ca="1" si="84"/>
        <v>#N/A</v>
      </c>
      <c r="Z153" s="67" t="e">
        <f t="shared" ca="1" si="85"/>
        <v>#N/A</v>
      </c>
      <c r="AA153" s="5" t="str">
        <f>IF(Setup!$I$15="Yes",'Demand background (hide)'!AJ141+'SPC background (hide)'!C153,"")</f>
        <v/>
      </c>
      <c r="AC153" s="5" t="str">
        <f t="shared" ca="1" si="78"/>
        <v/>
      </c>
      <c r="AD153" s="5" t="str">
        <f t="shared" ca="1" si="79"/>
        <v/>
      </c>
    </row>
    <row r="154" spans="1:30" x14ac:dyDescent="0.2">
      <c r="A154" s="67" t="str">
        <f ca="1">Demand!C151</f>
        <v/>
      </c>
      <c r="B154" s="67">
        <v>139</v>
      </c>
      <c r="C154" s="5">
        <f ca="1">'Demand background (hide)'!Y142</f>
        <v>0</v>
      </c>
      <c r="D154" s="67">
        <f t="shared" si="63"/>
        <v>1</v>
      </c>
      <c r="E154" s="67" t="e">
        <f t="shared" ca="1" si="64"/>
        <v>#N/A</v>
      </c>
      <c r="F154" s="67" t="e">
        <f t="shared" ca="1" si="65"/>
        <v>#N/A</v>
      </c>
      <c r="G154" s="67" t="e">
        <f t="shared" ca="1" si="66"/>
        <v>#N/A</v>
      </c>
      <c r="H154" s="67" t="e">
        <f>IF('Demand background (hide)'!AN142&lt;&gt;"",'SPC background (hide)'!C154,NA())</f>
        <v>#N/A</v>
      </c>
      <c r="I154" s="67">
        <f t="shared" ca="1" si="67"/>
        <v>5</v>
      </c>
      <c r="J154" s="5">
        <f t="shared" ca="1" si="68"/>
        <v>0</v>
      </c>
      <c r="K154" s="5">
        <f t="shared" ca="1" si="69"/>
        <v>0</v>
      </c>
      <c r="L154" s="5">
        <f t="shared" ca="1" si="70"/>
        <v>0</v>
      </c>
      <c r="M154" s="5">
        <f t="shared" ca="1" si="71"/>
        <v>0</v>
      </c>
      <c r="N154" s="5">
        <f t="shared" ca="1" si="72"/>
        <v>0</v>
      </c>
      <c r="O154" s="5">
        <f t="shared" ca="1" si="73"/>
        <v>0</v>
      </c>
      <c r="P154" s="5">
        <f t="shared" ca="1" si="74"/>
        <v>0</v>
      </c>
      <c r="Q154" s="5" t="e">
        <f t="shared" ca="1" si="75"/>
        <v>#N/A</v>
      </c>
      <c r="R154" s="5">
        <f t="shared" ca="1" si="80"/>
        <v>0</v>
      </c>
      <c r="S154" s="67" t="e">
        <f t="shared" ca="1" si="81"/>
        <v>#N/A</v>
      </c>
      <c r="T154" s="67">
        <f t="shared" ca="1" si="82"/>
        <v>0</v>
      </c>
      <c r="U154" s="67" t="e">
        <f t="shared" ca="1" si="83"/>
        <v>#N/A</v>
      </c>
      <c r="V154" s="5">
        <f t="shared" ca="1" si="62"/>
        <v>0</v>
      </c>
      <c r="W154" s="5" t="e">
        <f t="shared" ca="1" si="76"/>
        <v>#N/A</v>
      </c>
      <c r="X154" s="67">
        <f t="shared" ca="1" si="77"/>
        <v>0</v>
      </c>
      <c r="Y154" s="67" t="e">
        <f t="shared" ca="1" si="84"/>
        <v>#N/A</v>
      </c>
      <c r="Z154" s="67" t="e">
        <f t="shared" ca="1" si="85"/>
        <v>#N/A</v>
      </c>
      <c r="AA154" s="5" t="str">
        <f>IF(Setup!$I$15="Yes",'Demand background (hide)'!AJ142+'SPC background (hide)'!C154,"")</f>
        <v/>
      </c>
      <c r="AC154" s="5" t="str">
        <f t="shared" ca="1" si="78"/>
        <v/>
      </c>
      <c r="AD154" s="5" t="str">
        <f t="shared" ca="1" si="79"/>
        <v/>
      </c>
    </row>
    <row r="155" spans="1:30" x14ac:dyDescent="0.2">
      <c r="A155" s="67" t="str">
        <f ca="1">Demand!C152</f>
        <v/>
      </c>
      <c r="B155" s="67">
        <v>140</v>
      </c>
      <c r="C155" s="5">
        <f ca="1">'Demand background (hide)'!Y143</f>
        <v>0</v>
      </c>
      <c r="D155" s="67">
        <f t="shared" si="63"/>
        <v>1</v>
      </c>
      <c r="E155" s="67" t="e">
        <f t="shared" ca="1" si="64"/>
        <v>#N/A</v>
      </c>
      <c r="F155" s="67" t="e">
        <f t="shared" ca="1" si="65"/>
        <v>#N/A</v>
      </c>
      <c r="G155" s="67" t="e">
        <f t="shared" ca="1" si="66"/>
        <v>#N/A</v>
      </c>
      <c r="H155" s="67" t="e">
        <f>IF('Demand background (hide)'!AN143&lt;&gt;"",'SPC background (hide)'!C155,NA())</f>
        <v>#N/A</v>
      </c>
      <c r="I155" s="67">
        <f t="shared" ca="1" si="67"/>
        <v>5</v>
      </c>
      <c r="J155" s="5">
        <f t="shared" ca="1" si="68"/>
        <v>0</v>
      </c>
      <c r="K155" s="5">
        <f t="shared" ca="1" si="69"/>
        <v>0</v>
      </c>
      <c r="L155" s="5">
        <f t="shared" ca="1" si="70"/>
        <v>0</v>
      </c>
      <c r="M155" s="5">
        <f t="shared" ca="1" si="71"/>
        <v>0</v>
      </c>
      <c r="N155" s="5">
        <f t="shared" ca="1" si="72"/>
        <v>0</v>
      </c>
      <c r="O155" s="5">
        <f t="shared" ca="1" si="73"/>
        <v>0</v>
      </c>
      <c r="P155" s="5">
        <f t="shared" ca="1" si="74"/>
        <v>0</v>
      </c>
      <c r="Q155" s="5" t="e">
        <f t="shared" ca="1" si="75"/>
        <v>#N/A</v>
      </c>
      <c r="R155" s="5">
        <f t="shared" ca="1" si="80"/>
        <v>0</v>
      </c>
      <c r="S155" s="67" t="e">
        <f t="shared" ca="1" si="81"/>
        <v>#N/A</v>
      </c>
      <c r="T155" s="67">
        <f t="shared" ca="1" si="82"/>
        <v>0</v>
      </c>
      <c r="U155" s="67" t="e">
        <f t="shared" ca="1" si="83"/>
        <v>#N/A</v>
      </c>
      <c r="V155" s="5">
        <f t="shared" ca="1" si="62"/>
        <v>0</v>
      </c>
      <c r="W155" s="5" t="e">
        <f t="shared" ca="1" si="76"/>
        <v>#N/A</v>
      </c>
      <c r="X155" s="67">
        <f t="shared" ca="1" si="77"/>
        <v>0</v>
      </c>
      <c r="Y155" s="67" t="e">
        <f t="shared" ca="1" si="84"/>
        <v>#N/A</v>
      </c>
      <c r="Z155" s="67" t="e">
        <f t="shared" ca="1" si="85"/>
        <v>#N/A</v>
      </c>
      <c r="AA155" s="5" t="str">
        <f>IF(Setup!$I$15="Yes",'Demand background (hide)'!AJ143+'SPC background (hide)'!C155,"")</f>
        <v/>
      </c>
      <c r="AC155" s="5" t="str">
        <f t="shared" ca="1" si="78"/>
        <v/>
      </c>
      <c r="AD155" s="5" t="str">
        <f t="shared" ca="1" si="79"/>
        <v/>
      </c>
    </row>
    <row r="156" spans="1:30" x14ac:dyDescent="0.2">
      <c r="A156" s="67" t="str">
        <f ca="1">Demand!C153</f>
        <v/>
      </c>
      <c r="B156" s="67">
        <v>141</v>
      </c>
      <c r="C156" s="5">
        <f ca="1">'Demand background (hide)'!Y144</f>
        <v>0</v>
      </c>
      <c r="D156" s="67">
        <f t="shared" si="63"/>
        <v>1</v>
      </c>
      <c r="E156" s="67" t="e">
        <f t="shared" ca="1" si="64"/>
        <v>#N/A</v>
      </c>
      <c r="F156" s="67" t="e">
        <f t="shared" ca="1" si="65"/>
        <v>#N/A</v>
      </c>
      <c r="G156" s="67" t="e">
        <f t="shared" ca="1" si="66"/>
        <v>#N/A</v>
      </c>
      <c r="H156" s="67" t="e">
        <f>IF('Demand background (hide)'!AN144&lt;&gt;"",'SPC background (hide)'!C156,NA())</f>
        <v>#N/A</v>
      </c>
      <c r="I156" s="67">
        <f t="shared" ca="1" si="67"/>
        <v>5</v>
      </c>
      <c r="J156" s="5">
        <f t="shared" ca="1" si="68"/>
        <v>0</v>
      </c>
      <c r="K156" s="5">
        <f t="shared" ca="1" si="69"/>
        <v>0</v>
      </c>
      <c r="L156" s="5">
        <f t="shared" ca="1" si="70"/>
        <v>0</v>
      </c>
      <c r="M156" s="5">
        <f t="shared" ca="1" si="71"/>
        <v>0</v>
      </c>
      <c r="N156" s="5">
        <f t="shared" ca="1" si="72"/>
        <v>0</v>
      </c>
      <c r="O156" s="5">
        <f t="shared" ca="1" si="73"/>
        <v>0</v>
      </c>
      <c r="P156" s="5">
        <f t="shared" ca="1" si="74"/>
        <v>0</v>
      </c>
      <c r="Q156" s="5" t="e">
        <f t="shared" ca="1" si="75"/>
        <v>#N/A</v>
      </c>
      <c r="R156" s="5">
        <f t="shared" ca="1" si="80"/>
        <v>0</v>
      </c>
      <c r="S156" s="67" t="e">
        <f t="shared" ca="1" si="81"/>
        <v>#N/A</v>
      </c>
      <c r="T156" s="67">
        <f t="shared" ca="1" si="82"/>
        <v>0</v>
      </c>
      <c r="U156" s="67" t="e">
        <f t="shared" ca="1" si="83"/>
        <v>#N/A</v>
      </c>
      <c r="V156" s="5">
        <f t="shared" ca="1" si="62"/>
        <v>0</v>
      </c>
      <c r="W156" s="5" t="e">
        <f t="shared" ca="1" si="76"/>
        <v>#N/A</v>
      </c>
      <c r="X156" s="67">
        <f t="shared" ca="1" si="77"/>
        <v>0</v>
      </c>
      <c r="Y156" s="67" t="e">
        <f t="shared" ca="1" si="84"/>
        <v>#N/A</v>
      </c>
      <c r="Z156" s="67" t="e">
        <f t="shared" ca="1" si="85"/>
        <v>#N/A</v>
      </c>
      <c r="AA156" s="5" t="str">
        <f>IF(Setup!$I$15="Yes",'Demand background (hide)'!AJ144+'SPC background (hide)'!C156,"")</f>
        <v/>
      </c>
      <c r="AC156" s="5" t="str">
        <f t="shared" ca="1" si="78"/>
        <v/>
      </c>
      <c r="AD156" s="5" t="str">
        <f t="shared" ca="1" si="79"/>
        <v/>
      </c>
    </row>
    <row r="157" spans="1:30" x14ac:dyDescent="0.2">
      <c r="A157" s="67" t="str">
        <f ca="1">Demand!C154</f>
        <v/>
      </c>
      <c r="B157" s="67">
        <v>142</v>
      </c>
      <c r="C157" s="5">
        <f ca="1">'Demand background (hide)'!Y145</f>
        <v>0</v>
      </c>
      <c r="D157" s="67">
        <f t="shared" si="63"/>
        <v>1</v>
      </c>
      <c r="E157" s="67" t="e">
        <f t="shared" ca="1" si="64"/>
        <v>#N/A</v>
      </c>
      <c r="F157" s="67" t="e">
        <f t="shared" ca="1" si="65"/>
        <v>#N/A</v>
      </c>
      <c r="G157" s="67" t="e">
        <f t="shared" ca="1" si="66"/>
        <v>#N/A</v>
      </c>
      <c r="H157" s="67" t="e">
        <f>IF('Demand background (hide)'!AN145&lt;&gt;"",'SPC background (hide)'!C157,NA())</f>
        <v>#N/A</v>
      </c>
      <c r="I157" s="67">
        <f t="shared" ca="1" si="67"/>
        <v>5</v>
      </c>
      <c r="J157" s="5">
        <f t="shared" ca="1" si="68"/>
        <v>0</v>
      </c>
      <c r="K157" s="5">
        <f t="shared" ca="1" si="69"/>
        <v>0</v>
      </c>
      <c r="L157" s="5">
        <f t="shared" ca="1" si="70"/>
        <v>0</v>
      </c>
      <c r="M157" s="5">
        <f t="shared" ca="1" si="71"/>
        <v>0</v>
      </c>
      <c r="N157" s="5">
        <f t="shared" ca="1" si="72"/>
        <v>0</v>
      </c>
      <c r="O157" s="5">
        <f t="shared" ca="1" si="73"/>
        <v>0</v>
      </c>
      <c r="P157" s="5">
        <f t="shared" ca="1" si="74"/>
        <v>0</v>
      </c>
      <c r="Q157" s="5" t="e">
        <f t="shared" ca="1" si="75"/>
        <v>#N/A</v>
      </c>
      <c r="R157" s="5">
        <f t="shared" ca="1" si="80"/>
        <v>0</v>
      </c>
      <c r="S157" s="67" t="e">
        <f t="shared" ca="1" si="81"/>
        <v>#N/A</v>
      </c>
      <c r="T157" s="67">
        <f t="shared" ca="1" si="82"/>
        <v>0</v>
      </c>
      <c r="U157" s="67" t="e">
        <f t="shared" ca="1" si="83"/>
        <v>#N/A</v>
      </c>
      <c r="V157" s="5">
        <f t="shared" ca="1" si="62"/>
        <v>0</v>
      </c>
      <c r="W157" s="5" t="e">
        <f t="shared" ca="1" si="76"/>
        <v>#N/A</v>
      </c>
      <c r="X157" s="67">
        <f t="shared" ca="1" si="77"/>
        <v>0</v>
      </c>
      <c r="Y157" s="67" t="e">
        <f t="shared" ca="1" si="84"/>
        <v>#N/A</v>
      </c>
      <c r="Z157" s="67" t="e">
        <f t="shared" ca="1" si="85"/>
        <v>#N/A</v>
      </c>
      <c r="AA157" s="5" t="str">
        <f>IF(Setup!$I$15="Yes",'Demand background (hide)'!AJ145+'SPC background (hide)'!C157,"")</f>
        <v/>
      </c>
      <c r="AC157" s="5" t="str">
        <f t="shared" ca="1" si="78"/>
        <v/>
      </c>
      <c r="AD157" s="5" t="str">
        <f t="shared" ca="1" si="79"/>
        <v/>
      </c>
    </row>
    <row r="158" spans="1:30" x14ac:dyDescent="0.2">
      <c r="A158" s="67" t="str">
        <f ca="1">Demand!C155</f>
        <v/>
      </c>
      <c r="B158" s="67">
        <v>143</v>
      </c>
      <c r="C158" s="5">
        <f ca="1">'Demand background (hide)'!Y146</f>
        <v>0</v>
      </c>
      <c r="D158" s="67">
        <f t="shared" si="63"/>
        <v>1</v>
      </c>
      <c r="E158" s="67" t="e">
        <f t="shared" ca="1" si="64"/>
        <v>#N/A</v>
      </c>
      <c r="F158" s="67" t="e">
        <f t="shared" ca="1" si="65"/>
        <v>#N/A</v>
      </c>
      <c r="G158" s="67" t="e">
        <f t="shared" ca="1" si="66"/>
        <v>#N/A</v>
      </c>
      <c r="H158" s="67" t="e">
        <f>IF('Demand background (hide)'!AN146&lt;&gt;"",'SPC background (hide)'!C158,NA())</f>
        <v>#N/A</v>
      </c>
      <c r="I158" s="67">
        <f t="shared" ca="1" si="67"/>
        <v>5</v>
      </c>
      <c r="J158" s="5">
        <f t="shared" ca="1" si="68"/>
        <v>0</v>
      </c>
      <c r="K158" s="5">
        <f t="shared" ca="1" si="69"/>
        <v>0</v>
      </c>
      <c r="L158" s="5">
        <f t="shared" ca="1" si="70"/>
        <v>0</v>
      </c>
      <c r="M158" s="5">
        <f t="shared" ca="1" si="71"/>
        <v>0</v>
      </c>
      <c r="N158" s="5">
        <f t="shared" ca="1" si="72"/>
        <v>0</v>
      </c>
      <c r="O158" s="5">
        <f t="shared" ca="1" si="73"/>
        <v>0</v>
      </c>
      <c r="P158" s="5">
        <f t="shared" ca="1" si="74"/>
        <v>0</v>
      </c>
      <c r="Q158" s="5" t="e">
        <f t="shared" ca="1" si="75"/>
        <v>#N/A</v>
      </c>
      <c r="R158" s="5">
        <f t="shared" ca="1" si="80"/>
        <v>0</v>
      </c>
      <c r="S158" s="67" t="e">
        <f t="shared" ca="1" si="81"/>
        <v>#N/A</v>
      </c>
      <c r="T158" s="67">
        <f t="shared" ca="1" si="82"/>
        <v>0</v>
      </c>
      <c r="U158" s="67" t="e">
        <f t="shared" ca="1" si="83"/>
        <v>#N/A</v>
      </c>
      <c r="V158" s="5">
        <f t="shared" ca="1" si="62"/>
        <v>0</v>
      </c>
      <c r="W158" s="5" t="e">
        <f t="shared" ca="1" si="76"/>
        <v>#N/A</v>
      </c>
      <c r="X158" s="67">
        <f t="shared" ca="1" si="77"/>
        <v>0</v>
      </c>
      <c r="Y158" s="67" t="e">
        <f t="shared" ca="1" si="84"/>
        <v>#N/A</v>
      </c>
      <c r="Z158" s="67" t="e">
        <f t="shared" ca="1" si="85"/>
        <v>#N/A</v>
      </c>
      <c r="AA158" s="5" t="str">
        <f>IF(Setup!$I$15="Yes",'Demand background (hide)'!AJ146+'SPC background (hide)'!C158,"")</f>
        <v/>
      </c>
      <c r="AC158" s="5" t="str">
        <f t="shared" ca="1" si="78"/>
        <v/>
      </c>
      <c r="AD158" s="5" t="str">
        <f t="shared" ca="1" si="79"/>
        <v/>
      </c>
    </row>
    <row r="159" spans="1:30" x14ac:dyDescent="0.2">
      <c r="A159" s="67" t="str">
        <f ca="1">Demand!C156</f>
        <v/>
      </c>
      <c r="B159" s="67">
        <v>144</v>
      </c>
      <c r="C159" s="5">
        <f ca="1">'Demand background (hide)'!Y147</f>
        <v>0</v>
      </c>
      <c r="D159" s="67">
        <f t="shared" si="63"/>
        <v>1</v>
      </c>
      <c r="E159" s="67" t="e">
        <f t="shared" ca="1" si="64"/>
        <v>#N/A</v>
      </c>
      <c r="F159" s="67" t="e">
        <f t="shared" ca="1" si="65"/>
        <v>#N/A</v>
      </c>
      <c r="G159" s="67" t="e">
        <f t="shared" ca="1" si="66"/>
        <v>#N/A</v>
      </c>
      <c r="H159" s="67" t="e">
        <f>IF('Demand background (hide)'!AN147&lt;&gt;"",'SPC background (hide)'!C159,NA())</f>
        <v>#N/A</v>
      </c>
      <c r="I159" s="67">
        <f t="shared" ca="1" si="67"/>
        <v>5</v>
      </c>
      <c r="J159" s="5">
        <f t="shared" ca="1" si="68"/>
        <v>0</v>
      </c>
      <c r="K159" s="5">
        <f t="shared" ca="1" si="69"/>
        <v>0</v>
      </c>
      <c r="L159" s="5">
        <f t="shared" ca="1" si="70"/>
        <v>0</v>
      </c>
      <c r="M159" s="5">
        <f t="shared" ca="1" si="71"/>
        <v>0</v>
      </c>
      <c r="N159" s="5">
        <f t="shared" ca="1" si="72"/>
        <v>0</v>
      </c>
      <c r="O159" s="5">
        <f t="shared" ca="1" si="73"/>
        <v>0</v>
      </c>
      <c r="P159" s="5">
        <f t="shared" ca="1" si="74"/>
        <v>0</v>
      </c>
      <c r="Q159" s="5" t="e">
        <f t="shared" ca="1" si="75"/>
        <v>#N/A</v>
      </c>
      <c r="R159" s="5">
        <f t="shared" ca="1" si="80"/>
        <v>0</v>
      </c>
      <c r="S159" s="67" t="e">
        <f t="shared" ca="1" si="81"/>
        <v>#N/A</v>
      </c>
      <c r="T159" s="67">
        <f t="shared" ca="1" si="82"/>
        <v>0</v>
      </c>
      <c r="U159" s="67" t="e">
        <f t="shared" ca="1" si="83"/>
        <v>#N/A</v>
      </c>
      <c r="V159" s="5">
        <f t="shared" ca="1" si="62"/>
        <v>0</v>
      </c>
      <c r="W159" s="5" t="e">
        <f t="shared" ca="1" si="76"/>
        <v>#N/A</v>
      </c>
      <c r="X159" s="67">
        <f t="shared" ca="1" si="77"/>
        <v>0</v>
      </c>
      <c r="Y159" s="67" t="e">
        <f t="shared" ca="1" si="84"/>
        <v>#N/A</v>
      </c>
      <c r="Z159" s="67" t="e">
        <f t="shared" ca="1" si="85"/>
        <v>#N/A</v>
      </c>
      <c r="AA159" s="5" t="str">
        <f>IF(Setup!$I$15="Yes",'Demand background (hide)'!AJ147+'SPC background (hide)'!C159,"")</f>
        <v/>
      </c>
      <c r="AC159" s="5" t="str">
        <f t="shared" ca="1" si="78"/>
        <v/>
      </c>
      <c r="AD159" s="5" t="str">
        <f t="shared" ca="1" si="79"/>
        <v/>
      </c>
    </row>
    <row r="160" spans="1:30" x14ac:dyDescent="0.2">
      <c r="A160" s="67" t="str">
        <f ca="1">Demand!C157</f>
        <v/>
      </c>
      <c r="B160" s="67">
        <v>145</v>
      </c>
      <c r="C160" s="5">
        <f ca="1">'Demand background (hide)'!Y148</f>
        <v>0</v>
      </c>
      <c r="D160" s="67">
        <f t="shared" si="63"/>
        <v>1</v>
      </c>
      <c r="E160" s="67" t="e">
        <f t="shared" ca="1" si="64"/>
        <v>#N/A</v>
      </c>
      <c r="F160" s="67" t="e">
        <f t="shared" ca="1" si="65"/>
        <v>#N/A</v>
      </c>
      <c r="G160" s="67" t="e">
        <f t="shared" ca="1" si="66"/>
        <v>#N/A</v>
      </c>
      <c r="H160" s="67" t="e">
        <f>IF('Demand background (hide)'!AN148&lt;&gt;"",'SPC background (hide)'!C160,NA())</f>
        <v>#N/A</v>
      </c>
      <c r="I160" s="67">
        <f t="shared" ca="1" si="67"/>
        <v>5</v>
      </c>
      <c r="J160" s="5">
        <f t="shared" ca="1" si="68"/>
        <v>0</v>
      </c>
      <c r="K160" s="5">
        <f t="shared" ca="1" si="69"/>
        <v>0</v>
      </c>
      <c r="L160" s="5">
        <f t="shared" ca="1" si="70"/>
        <v>0</v>
      </c>
      <c r="M160" s="5">
        <f t="shared" ca="1" si="71"/>
        <v>0</v>
      </c>
      <c r="N160" s="5">
        <f t="shared" ca="1" si="72"/>
        <v>0</v>
      </c>
      <c r="O160" s="5">
        <f t="shared" ca="1" si="73"/>
        <v>0</v>
      </c>
      <c r="P160" s="5">
        <f t="shared" ca="1" si="74"/>
        <v>0</v>
      </c>
      <c r="Q160" s="5" t="e">
        <f t="shared" ca="1" si="75"/>
        <v>#N/A</v>
      </c>
      <c r="R160" s="5">
        <f t="shared" ca="1" si="80"/>
        <v>0</v>
      </c>
      <c r="S160" s="67" t="e">
        <f t="shared" ca="1" si="81"/>
        <v>#N/A</v>
      </c>
      <c r="T160" s="67">
        <f t="shared" ca="1" si="82"/>
        <v>0</v>
      </c>
      <c r="U160" s="67" t="e">
        <f t="shared" ca="1" si="83"/>
        <v>#N/A</v>
      </c>
      <c r="V160" s="5">
        <f t="shared" ca="1" si="62"/>
        <v>0</v>
      </c>
      <c r="W160" s="5" t="e">
        <f t="shared" ca="1" si="76"/>
        <v>#N/A</v>
      </c>
      <c r="X160" s="67">
        <f t="shared" ca="1" si="77"/>
        <v>0</v>
      </c>
      <c r="Y160" s="67" t="e">
        <f t="shared" ca="1" si="84"/>
        <v>#N/A</v>
      </c>
      <c r="Z160" s="67" t="e">
        <f t="shared" ca="1" si="85"/>
        <v>#N/A</v>
      </c>
      <c r="AA160" s="5" t="str">
        <f>IF(Setup!$I$15="Yes",'Demand background (hide)'!AJ148+'SPC background (hide)'!C160,"")</f>
        <v/>
      </c>
      <c r="AC160" s="5" t="str">
        <f t="shared" ca="1" si="78"/>
        <v/>
      </c>
      <c r="AD160" s="5" t="str">
        <f t="shared" ca="1" si="79"/>
        <v/>
      </c>
    </row>
    <row r="161" spans="1:30" x14ac:dyDescent="0.2">
      <c r="A161" s="67" t="str">
        <f ca="1">Demand!C158</f>
        <v/>
      </c>
      <c r="B161" s="67">
        <v>146</v>
      </c>
      <c r="C161" s="5">
        <f ca="1">'Demand background (hide)'!Y149</f>
        <v>0</v>
      </c>
      <c r="D161" s="67">
        <f t="shared" si="63"/>
        <v>1</v>
      </c>
      <c r="E161" s="67" t="e">
        <f t="shared" ca="1" si="64"/>
        <v>#N/A</v>
      </c>
      <c r="F161" s="67" t="e">
        <f t="shared" ca="1" si="65"/>
        <v>#N/A</v>
      </c>
      <c r="G161" s="67" t="e">
        <f t="shared" ca="1" si="66"/>
        <v>#N/A</v>
      </c>
      <c r="H161" s="67" t="e">
        <f>IF('Demand background (hide)'!AN149&lt;&gt;"",'SPC background (hide)'!C161,NA())</f>
        <v>#N/A</v>
      </c>
      <c r="I161" s="67">
        <f t="shared" ca="1" si="67"/>
        <v>5</v>
      </c>
      <c r="J161" s="5">
        <f t="shared" ca="1" si="68"/>
        <v>0</v>
      </c>
      <c r="K161" s="5">
        <f t="shared" ca="1" si="69"/>
        <v>0</v>
      </c>
      <c r="L161" s="5">
        <f t="shared" ca="1" si="70"/>
        <v>0</v>
      </c>
      <c r="M161" s="5">
        <f t="shared" ca="1" si="71"/>
        <v>0</v>
      </c>
      <c r="N161" s="5">
        <f t="shared" ca="1" si="72"/>
        <v>0</v>
      </c>
      <c r="O161" s="5">
        <f t="shared" ca="1" si="73"/>
        <v>0</v>
      </c>
      <c r="P161" s="5">
        <f t="shared" ca="1" si="74"/>
        <v>0</v>
      </c>
      <c r="Q161" s="5" t="e">
        <f t="shared" ca="1" si="75"/>
        <v>#N/A</v>
      </c>
      <c r="R161" s="5">
        <f t="shared" ca="1" si="80"/>
        <v>0</v>
      </c>
      <c r="S161" s="67" t="e">
        <f t="shared" ca="1" si="81"/>
        <v>#N/A</v>
      </c>
      <c r="T161" s="67">
        <f t="shared" ca="1" si="82"/>
        <v>0</v>
      </c>
      <c r="U161" s="67" t="e">
        <f t="shared" ca="1" si="83"/>
        <v>#N/A</v>
      </c>
      <c r="V161" s="5">
        <f t="shared" ca="1" si="62"/>
        <v>0</v>
      </c>
      <c r="W161" s="5" t="e">
        <f t="shared" ca="1" si="76"/>
        <v>#N/A</v>
      </c>
      <c r="X161" s="67">
        <f t="shared" ca="1" si="77"/>
        <v>0</v>
      </c>
      <c r="Y161" s="67" t="e">
        <f t="shared" ca="1" si="84"/>
        <v>#N/A</v>
      </c>
      <c r="Z161" s="67" t="e">
        <f t="shared" ca="1" si="85"/>
        <v>#N/A</v>
      </c>
      <c r="AA161" s="5" t="str">
        <f>IF(Setup!$I$15="Yes",'Demand background (hide)'!AJ149+'SPC background (hide)'!C161,"")</f>
        <v/>
      </c>
      <c r="AC161" s="5" t="str">
        <f t="shared" ca="1" si="78"/>
        <v/>
      </c>
      <c r="AD161" s="5" t="str">
        <f t="shared" ca="1" si="79"/>
        <v/>
      </c>
    </row>
    <row r="162" spans="1:30" x14ac:dyDescent="0.2">
      <c r="A162" s="67" t="str">
        <f ca="1">Demand!C159</f>
        <v/>
      </c>
      <c r="B162" s="67">
        <v>147</v>
      </c>
      <c r="C162" s="5">
        <f ca="1">'Demand background (hide)'!Y150</f>
        <v>0</v>
      </c>
      <c r="D162" s="67">
        <f t="shared" si="63"/>
        <v>1</v>
      </c>
      <c r="E162" s="67" t="e">
        <f t="shared" ca="1" si="64"/>
        <v>#N/A</v>
      </c>
      <c r="F162" s="67" t="e">
        <f t="shared" ca="1" si="65"/>
        <v>#N/A</v>
      </c>
      <c r="G162" s="67" t="e">
        <f t="shared" ca="1" si="66"/>
        <v>#N/A</v>
      </c>
      <c r="H162" s="67" t="e">
        <f>IF('Demand background (hide)'!AN150&lt;&gt;"",'SPC background (hide)'!C162,NA())</f>
        <v>#N/A</v>
      </c>
      <c r="I162" s="67">
        <f t="shared" ca="1" si="67"/>
        <v>5</v>
      </c>
      <c r="J162" s="5">
        <f t="shared" ca="1" si="68"/>
        <v>0</v>
      </c>
      <c r="K162" s="5">
        <f t="shared" ca="1" si="69"/>
        <v>0</v>
      </c>
      <c r="L162" s="5">
        <f t="shared" ca="1" si="70"/>
        <v>0</v>
      </c>
      <c r="M162" s="5">
        <f t="shared" ca="1" si="71"/>
        <v>0</v>
      </c>
      <c r="N162" s="5">
        <f t="shared" ca="1" si="72"/>
        <v>0</v>
      </c>
      <c r="O162" s="5">
        <f t="shared" ca="1" si="73"/>
        <v>0</v>
      </c>
      <c r="P162" s="5">
        <f t="shared" ca="1" si="74"/>
        <v>0</v>
      </c>
      <c r="Q162" s="5" t="e">
        <f t="shared" ca="1" si="75"/>
        <v>#N/A</v>
      </c>
      <c r="R162" s="5">
        <f t="shared" ca="1" si="80"/>
        <v>0</v>
      </c>
      <c r="S162" s="67" t="e">
        <f t="shared" ca="1" si="81"/>
        <v>#N/A</v>
      </c>
      <c r="T162" s="67">
        <f t="shared" ca="1" si="82"/>
        <v>0</v>
      </c>
      <c r="U162" s="67" t="e">
        <f t="shared" ca="1" si="83"/>
        <v>#N/A</v>
      </c>
      <c r="V162" s="5">
        <f t="shared" ca="1" si="62"/>
        <v>0</v>
      </c>
      <c r="W162" s="5" t="e">
        <f t="shared" ca="1" si="76"/>
        <v>#N/A</v>
      </c>
      <c r="X162" s="67">
        <f t="shared" ca="1" si="77"/>
        <v>0</v>
      </c>
      <c r="Y162" s="67" t="e">
        <f t="shared" ca="1" si="84"/>
        <v>#N/A</v>
      </c>
      <c r="Z162" s="67" t="e">
        <f t="shared" ca="1" si="85"/>
        <v>#N/A</v>
      </c>
      <c r="AA162" s="5" t="str">
        <f>IF(Setup!$I$15="Yes",'Demand background (hide)'!AJ150+'SPC background (hide)'!C162,"")</f>
        <v/>
      </c>
      <c r="AC162" s="5" t="str">
        <f t="shared" ca="1" si="78"/>
        <v/>
      </c>
      <c r="AD162" s="5" t="str">
        <f t="shared" ca="1" si="79"/>
        <v/>
      </c>
    </row>
    <row r="163" spans="1:30" x14ac:dyDescent="0.2">
      <c r="A163" s="67" t="str">
        <f ca="1">Demand!C160</f>
        <v/>
      </c>
      <c r="B163" s="67">
        <v>148</v>
      </c>
      <c r="C163" s="5">
        <f ca="1">'Demand background (hide)'!Y151</f>
        <v>0</v>
      </c>
      <c r="D163" s="67">
        <f t="shared" si="63"/>
        <v>1</v>
      </c>
      <c r="E163" s="67" t="e">
        <f t="shared" ca="1" si="64"/>
        <v>#N/A</v>
      </c>
      <c r="F163" s="67" t="e">
        <f t="shared" ca="1" si="65"/>
        <v>#N/A</v>
      </c>
      <c r="G163" s="67" t="e">
        <f t="shared" ca="1" si="66"/>
        <v>#N/A</v>
      </c>
      <c r="H163" s="67" t="e">
        <f>IF('Demand background (hide)'!AN151&lt;&gt;"",'SPC background (hide)'!C163,NA())</f>
        <v>#N/A</v>
      </c>
      <c r="I163" s="67">
        <f t="shared" ca="1" si="67"/>
        <v>5</v>
      </c>
      <c r="J163" s="5">
        <f t="shared" ca="1" si="68"/>
        <v>0</v>
      </c>
      <c r="K163" s="5">
        <f t="shared" ca="1" si="69"/>
        <v>0</v>
      </c>
      <c r="L163" s="5">
        <f t="shared" ca="1" si="70"/>
        <v>0</v>
      </c>
      <c r="M163" s="5">
        <f t="shared" ca="1" si="71"/>
        <v>0</v>
      </c>
      <c r="N163" s="5">
        <f t="shared" ca="1" si="72"/>
        <v>0</v>
      </c>
      <c r="O163" s="5">
        <f t="shared" ca="1" si="73"/>
        <v>0</v>
      </c>
      <c r="P163" s="5">
        <f t="shared" ca="1" si="74"/>
        <v>0</v>
      </c>
      <c r="Q163" s="5" t="e">
        <f t="shared" ca="1" si="75"/>
        <v>#N/A</v>
      </c>
      <c r="R163" s="5">
        <f t="shared" ca="1" si="80"/>
        <v>0</v>
      </c>
      <c r="S163" s="67" t="e">
        <f t="shared" ca="1" si="81"/>
        <v>#N/A</v>
      </c>
      <c r="T163" s="67">
        <f t="shared" ca="1" si="82"/>
        <v>0</v>
      </c>
      <c r="U163" s="67" t="e">
        <f t="shared" ca="1" si="83"/>
        <v>#N/A</v>
      </c>
      <c r="V163" s="5">
        <f t="shared" ca="1" si="62"/>
        <v>0</v>
      </c>
      <c r="W163" s="5" t="e">
        <f t="shared" ca="1" si="76"/>
        <v>#N/A</v>
      </c>
      <c r="X163" s="67">
        <f t="shared" ca="1" si="77"/>
        <v>0</v>
      </c>
      <c r="Y163" s="67" t="e">
        <f t="shared" ca="1" si="84"/>
        <v>#N/A</v>
      </c>
      <c r="Z163" s="67" t="e">
        <f t="shared" ca="1" si="85"/>
        <v>#N/A</v>
      </c>
      <c r="AA163" s="5" t="str">
        <f>IF(Setup!$I$15="Yes",'Demand background (hide)'!AJ151+'SPC background (hide)'!C163,"")</f>
        <v/>
      </c>
      <c r="AC163" s="5" t="str">
        <f t="shared" ca="1" si="78"/>
        <v/>
      </c>
      <c r="AD163" s="5" t="str">
        <f t="shared" ca="1" si="79"/>
        <v/>
      </c>
    </row>
    <row r="164" spans="1:30" x14ac:dyDescent="0.2">
      <c r="A164" s="67" t="str">
        <f ca="1">Demand!C161</f>
        <v/>
      </c>
      <c r="B164" s="67">
        <v>149</v>
      </c>
      <c r="C164" s="5">
        <f ca="1">'Demand background (hide)'!Y152</f>
        <v>0</v>
      </c>
      <c r="D164" s="67">
        <f t="shared" si="63"/>
        <v>1</v>
      </c>
      <c r="E164" s="67" t="e">
        <f t="shared" ca="1" si="64"/>
        <v>#N/A</v>
      </c>
      <c r="F164" s="67" t="e">
        <f t="shared" ca="1" si="65"/>
        <v>#N/A</v>
      </c>
      <c r="G164" s="67" t="e">
        <f t="shared" ca="1" si="66"/>
        <v>#N/A</v>
      </c>
      <c r="H164" s="67" t="e">
        <f>IF('Demand background (hide)'!AN152&lt;&gt;"",'SPC background (hide)'!C164,NA())</f>
        <v>#N/A</v>
      </c>
      <c r="I164" s="67">
        <f t="shared" ca="1" si="67"/>
        <v>5</v>
      </c>
      <c r="J164" s="5">
        <f t="shared" ca="1" si="68"/>
        <v>0</v>
      </c>
      <c r="K164" s="5">
        <f t="shared" ca="1" si="69"/>
        <v>0</v>
      </c>
      <c r="L164" s="5">
        <f t="shared" ca="1" si="70"/>
        <v>0</v>
      </c>
      <c r="M164" s="5">
        <f t="shared" ca="1" si="71"/>
        <v>0</v>
      </c>
      <c r="N164" s="5">
        <f t="shared" ca="1" si="72"/>
        <v>0</v>
      </c>
      <c r="O164" s="5">
        <f t="shared" ca="1" si="73"/>
        <v>0</v>
      </c>
      <c r="P164" s="5">
        <f t="shared" ca="1" si="74"/>
        <v>0</v>
      </c>
      <c r="Q164" s="5" t="e">
        <f t="shared" ca="1" si="75"/>
        <v>#N/A</v>
      </c>
      <c r="R164" s="5">
        <f t="shared" ca="1" si="80"/>
        <v>0</v>
      </c>
      <c r="S164" s="67" t="e">
        <f t="shared" ca="1" si="81"/>
        <v>#N/A</v>
      </c>
      <c r="T164" s="67">
        <f t="shared" ca="1" si="82"/>
        <v>0</v>
      </c>
      <c r="U164" s="67" t="e">
        <f t="shared" ca="1" si="83"/>
        <v>#N/A</v>
      </c>
      <c r="V164" s="5">
        <f t="shared" ca="1" si="62"/>
        <v>0</v>
      </c>
      <c r="W164" s="5" t="e">
        <f t="shared" ca="1" si="76"/>
        <v>#N/A</v>
      </c>
      <c r="X164" s="67">
        <f t="shared" ca="1" si="77"/>
        <v>0</v>
      </c>
      <c r="Y164" s="67" t="e">
        <f t="shared" ca="1" si="84"/>
        <v>#N/A</v>
      </c>
      <c r="Z164" s="67" t="e">
        <f t="shared" ca="1" si="85"/>
        <v>#N/A</v>
      </c>
      <c r="AA164" s="5" t="str">
        <f>IF(Setup!$I$15="Yes",'Demand background (hide)'!AJ152+'SPC background (hide)'!C164,"")</f>
        <v/>
      </c>
      <c r="AC164" s="5" t="str">
        <f t="shared" ca="1" si="78"/>
        <v/>
      </c>
      <c r="AD164" s="5" t="str">
        <f t="shared" ca="1" si="79"/>
        <v/>
      </c>
    </row>
    <row r="165" spans="1:30" x14ac:dyDescent="0.2">
      <c r="A165" s="67" t="str">
        <f ca="1">Demand!C162</f>
        <v/>
      </c>
      <c r="B165" s="67">
        <v>150</v>
      </c>
      <c r="C165" s="5">
        <f ca="1">'Demand background (hide)'!Y153</f>
        <v>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0</v>
      </c>
      <c r="K165" s="5">
        <f t="shared" ca="1" si="69"/>
        <v>0</v>
      </c>
      <c r="L165" s="5">
        <f t="shared" ca="1" si="70"/>
        <v>0</v>
      </c>
      <c r="M165" s="5">
        <f t="shared" ca="1" si="71"/>
        <v>0</v>
      </c>
      <c r="N165" s="5">
        <f t="shared" ca="1" si="72"/>
        <v>0</v>
      </c>
      <c r="O165" s="5">
        <f t="shared" ca="1" si="73"/>
        <v>0</v>
      </c>
      <c r="P165" s="5">
        <f t="shared" ca="1" si="74"/>
        <v>0</v>
      </c>
      <c r="Q165" s="5" t="e">
        <f t="shared" ca="1" si="75"/>
        <v>#N/A</v>
      </c>
      <c r="R165" s="5">
        <f t="shared" ca="1" si="80"/>
        <v>0</v>
      </c>
      <c r="S165" s="67" t="e">
        <f t="shared" ca="1" si="81"/>
        <v>#N/A</v>
      </c>
      <c r="T165" s="67">
        <f t="shared" ca="1" si="82"/>
        <v>0</v>
      </c>
      <c r="U165" s="67" t="e">
        <f t="shared" ca="1" si="83"/>
        <v>#N/A</v>
      </c>
      <c r="V165" s="5">
        <f t="shared" ca="1" si="62"/>
        <v>0</v>
      </c>
      <c r="W165" s="5" t="e">
        <f t="shared" ca="1" si="76"/>
        <v>#N/A</v>
      </c>
      <c r="X165" s="67">
        <f t="shared" ca="1" si="77"/>
        <v>0</v>
      </c>
      <c r="Y165" s="67" t="e">
        <f t="shared" ca="1" si="84"/>
        <v>#N/A</v>
      </c>
      <c r="Z165" s="67" t="e">
        <f t="shared" ca="1" si="85"/>
        <v>#N/A</v>
      </c>
      <c r="AA165" s="5" t="str">
        <f>IF(Setup!$I$15="Yes",'Demand background (hide)'!AJ153+'SPC background (hide)'!C165,"")</f>
        <v/>
      </c>
      <c r="AC165" s="5" t="str">
        <f t="shared" ca="1" si="78"/>
        <v/>
      </c>
      <c r="AD165" s="5" t="str">
        <f t="shared" ca="1" si="79"/>
        <v/>
      </c>
    </row>
    <row r="166" spans="1:30" x14ac:dyDescent="0.2">
      <c r="A166" s="67" t="str">
        <f ca="1">Demand!C163</f>
        <v/>
      </c>
      <c r="B166" s="67">
        <v>151</v>
      </c>
      <c r="C166" s="5">
        <f ca="1">'Demand background (hide)'!Y154</f>
        <v>0</v>
      </c>
      <c r="D166" s="67">
        <f t="shared" si="63"/>
        <v>1</v>
      </c>
      <c r="E166" s="67" t="e">
        <f t="shared" ca="1" si="64"/>
        <v>#N/A</v>
      </c>
      <c r="F166" s="67" t="e">
        <f t="shared" ca="1" si="65"/>
        <v>#N/A</v>
      </c>
      <c r="G166" s="67" t="e">
        <f t="shared" ca="1" si="66"/>
        <v>#N/A</v>
      </c>
      <c r="H166" s="67" t="e">
        <f>IF('Demand background (hide)'!AN154&lt;&gt;"",'SPC background (hide)'!C166,NA())</f>
        <v>#N/A</v>
      </c>
      <c r="I166" s="67">
        <f t="shared" ca="1" si="67"/>
        <v>5</v>
      </c>
      <c r="J166" s="5">
        <f t="shared" ca="1" si="68"/>
        <v>0</v>
      </c>
      <c r="K166" s="5">
        <f t="shared" ca="1" si="69"/>
        <v>0</v>
      </c>
      <c r="L166" s="5">
        <f t="shared" ca="1" si="70"/>
        <v>0</v>
      </c>
      <c r="M166" s="5">
        <f t="shared" ca="1" si="71"/>
        <v>0</v>
      </c>
      <c r="N166" s="5">
        <f t="shared" ca="1" si="72"/>
        <v>0</v>
      </c>
      <c r="O166" s="5">
        <f t="shared" ca="1" si="73"/>
        <v>0</v>
      </c>
      <c r="P166" s="5">
        <f t="shared" ca="1" si="74"/>
        <v>0</v>
      </c>
      <c r="Q166" s="5" t="e">
        <f t="shared" ca="1" si="75"/>
        <v>#N/A</v>
      </c>
      <c r="R166" s="5">
        <f t="shared" ca="1" si="80"/>
        <v>0</v>
      </c>
      <c r="S166" s="67" t="e">
        <f t="shared" ca="1" si="81"/>
        <v>#N/A</v>
      </c>
      <c r="T166" s="67">
        <f t="shared" ca="1" si="82"/>
        <v>0</v>
      </c>
      <c r="U166" s="67" t="e">
        <f t="shared" ca="1" si="83"/>
        <v>#N/A</v>
      </c>
      <c r="V166" s="5">
        <f t="shared" ca="1" si="62"/>
        <v>0</v>
      </c>
      <c r="W166" s="5" t="e">
        <f t="shared" ca="1" si="76"/>
        <v>#N/A</v>
      </c>
      <c r="X166" s="67">
        <f t="shared" ca="1" si="77"/>
        <v>0</v>
      </c>
      <c r="Y166" s="67" t="e">
        <f t="shared" ca="1" si="84"/>
        <v>#N/A</v>
      </c>
      <c r="Z166" s="67" t="e">
        <f t="shared" ca="1" si="85"/>
        <v>#N/A</v>
      </c>
      <c r="AA166" s="5" t="str">
        <f>IF(Setup!$I$15="Yes",'Demand background (hide)'!AJ154+'SPC background (hide)'!C166,"")</f>
        <v/>
      </c>
      <c r="AC166" s="5" t="str">
        <f t="shared" ca="1" si="78"/>
        <v/>
      </c>
      <c r="AD166" s="5" t="str">
        <f t="shared" ca="1" si="79"/>
        <v/>
      </c>
    </row>
    <row r="167" spans="1:30" x14ac:dyDescent="0.2">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f t="shared" ca="1" si="67"/>
        <v>5</v>
      </c>
      <c r="J167" s="5">
        <f t="shared" ca="1" si="68"/>
        <v>0</v>
      </c>
      <c r="K167" s="5">
        <f t="shared" ca="1" si="69"/>
        <v>0</v>
      </c>
      <c r="L167" s="5">
        <f t="shared" ca="1" si="70"/>
        <v>0</v>
      </c>
      <c r="M167" s="5">
        <f t="shared" ca="1" si="71"/>
        <v>0</v>
      </c>
      <c r="N167" s="5">
        <f t="shared" ca="1" si="72"/>
        <v>0</v>
      </c>
      <c r="O167" s="5">
        <f t="shared" ca="1" si="73"/>
        <v>0</v>
      </c>
      <c r="P167" s="5">
        <f t="shared" ca="1" si="74"/>
        <v>0</v>
      </c>
      <c r="Q167" s="5" t="e">
        <f t="shared" ca="1" si="75"/>
        <v>#N/A</v>
      </c>
      <c r="R167" s="5">
        <f t="shared" ca="1" si="80"/>
        <v>0</v>
      </c>
      <c r="S167" s="67" t="e">
        <f t="shared" ca="1" si="81"/>
        <v>#N/A</v>
      </c>
      <c r="T167" s="67">
        <f t="shared" ca="1" si="82"/>
        <v>0</v>
      </c>
      <c r="U167" s="67" t="e">
        <f t="shared" ca="1" si="83"/>
        <v>#N/A</v>
      </c>
      <c r="V167" s="5">
        <f t="shared" ca="1" si="62"/>
        <v>0</v>
      </c>
      <c r="W167" s="5" t="e">
        <f t="shared" ca="1" si="76"/>
        <v>#N/A</v>
      </c>
      <c r="X167" s="67">
        <f t="shared" ca="1" si="77"/>
        <v>0</v>
      </c>
      <c r="Y167" s="67" t="e">
        <f t="shared" ca="1" si="84"/>
        <v>#N/A</v>
      </c>
      <c r="Z167" s="67" t="e">
        <f t="shared" ca="1" si="85"/>
        <v>#N/A</v>
      </c>
      <c r="AA167" s="5" t="str">
        <f>IF(Setup!$I$15="Yes",'Demand background (hide)'!AJ155+'SPC background (hide)'!C167,"")</f>
        <v/>
      </c>
      <c r="AC167" s="5" t="str">
        <f t="shared" ca="1" si="78"/>
        <v/>
      </c>
      <c r="AD167" s="5" t="str">
        <f t="shared" ca="1" si="79"/>
        <v/>
      </c>
    </row>
    <row r="168" spans="1:30" x14ac:dyDescent="0.2">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f t="shared" ca="1" si="67"/>
        <v>5</v>
      </c>
      <c r="J168" s="5">
        <f t="shared" ca="1" si="68"/>
        <v>0</v>
      </c>
      <c r="K168" s="5">
        <f t="shared" ca="1" si="69"/>
        <v>0</v>
      </c>
      <c r="L168" s="5">
        <f t="shared" ca="1" si="70"/>
        <v>0</v>
      </c>
      <c r="M168" s="5">
        <f t="shared" ca="1" si="71"/>
        <v>0</v>
      </c>
      <c r="N168" s="5">
        <f t="shared" ca="1" si="72"/>
        <v>0</v>
      </c>
      <c r="O168" s="5">
        <f t="shared" ca="1" si="73"/>
        <v>0</v>
      </c>
      <c r="P168" s="5">
        <f t="shared" ca="1" si="74"/>
        <v>0</v>
      </c>
      <c r="Q168" s="5" t="e">
        <f t="shared" ca="1" si="75"/>
        <v>#N/A</v>
      </c>
      <c r="R168" s="5">
        <f t="shared" ca="1" si="80"/>
        <v>0</v>
      </c>
      <c r="S168" s="67" t="e">
        <f t="shared" ca="1" si="81"/>
        <v>#N/A</v>
      </c>
      <c r="T168" s="67">
        <f t="shared" ca="1" si="82"/>
        <v>0</v>
      </c>
      <c r="U168" s="67" t="e">
        <f t="shared" ca="1" si="83"/>
        <v>#N/A</v>
      </c>
      <c r="V168" s="5">
        <f t="shared" ca="1" si="62"/>
        <v>0</v>
      </c>
      <c r="W168" s="5" t="e">
        <f t="shared" ca="1" si="76"/>
        <v>#N/A</v>
      </c>
      <c r="X168" s="67">
        <f t="shared" ca="1" si="77"/>
        <v>0</v>
      </c>
      <c r="Y168" s="67" t="e">
        <f t="shared" ca="1" si="84"/>
        <v>#N/A</v>
      </c>
      <c r="Z168" s="67" t="e">
        <f t="shared" ca="1" si="85"/>
        <v>#N/A</v>
      </c>
      <c r="AA168" s="5" t="str">
        <f>IF(Setup!$I$15="Yes",'Demand background (hide)'!AJ156+'SPC background (hide)'!C168,"")</f>
        <v/>
      </c>
      <c r="AC168" s="5" t="str">
        <f t="shared" ca="1" si="78"/>
        <v/>
      </c>
      <c r="AD168" s="5" t="str">
        <f t="shared" ca="1" si="79"/>
        <v/>
      </c>
    </row>
    <row r="169" spans="1:30" x14ac:dyDescent="0.2">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f t="shared" ca="1" si="67"/>
        <v>5</v>
      </c>
      <c r="J169" s="5">
        <f t="shared" ca="1" si="68"/>
        <v>0</v>
      </c>
      <c r="K169" s="5">
        <f t="shared" ca="1" si="69"/>
        <v>0</v>
      </c>
      <c r="L169" s="5">
        <f t="shared" ca="1" si="70"/>
        <v>0</v>
      </c>
      <c r="M169" s="5">
        <f t="shared" ca="1" si="71"/>
        <v>0</v>
      </c>
      <c r="N169" s="5">
        <f t="shared" ca="1" si="72"/>
        <v>0</v>
      </c>
      <c r="O169" s="5">
        <f t="shared" ca="1" si="73"/>
        <v>0</v>
      </c>
      <c r="P169" s="5">
        <f t="shared" ca="1" si="74"/>
        <v>0</v>
      </c>
      <c r="Q169" s="5" t="e">
        <f t="shared" ca="1" si="75"/>
        <v>#N/A</v>
      </c>
      <c r="R169" s="5">
        <f t="shared" ca="1" si="80"/>
        <v>0</v>
      </c>
      <c r="S169" s="67" t="e">
        <f t="shared" ca="1" si="81"/>
        <v>#N/A</v>
      </c>
      <c r="T169" s="67">
        <f t="shared" ca="1" si="82"/>
        <v>0</v>
      </c>
      <c r="U169" s="67" t="e">
        <f t="shared" ca="1" si="83"/>
        <v>#N/A</v>
      </c>
      <c r="V169" s="5">
        <f t="shared" ca="1" si="62"/>
        <v>0</v>
      </c>
      <c r="W169" s="5" t="e">
        <f t="shared" ca="1" si="76"/>
        <v>#N/A</v>
      </c>
      <c r="X169" s="67">
        <f t="shared" ca="1" si="77"/>
        <v>0</v>
      </c>
      <c r="Y169" s="67" t="e">
        <f t="shared" ca="1" si="84"/>
        <v>#N/A</v>
      </c>
      <c r="Z169" s="67" t="e">
        <f t="shared" ca="1" si="85"/>
        <v>#N/A</v>
      </c>
      <c r="AA169" s="5" t="str">
        <f>IF(Setup!$I$15="Yes",'Demand background (hide)'!AJ157+'SPC background (hide)'!C169,"")</f>
        <v/>
      </c>
      <c r="AC169" s="5" t="str">
        <f t="shared" ca="1" si="78"/>
        <v/>
      </c>
      <c r="AD169" s="5" t="str">
        <f t="shared" ca="1" si="79"/>
        <v/>
      </c>
    </row>
    <row r="170" spans="1:30" x14ac:dyDescent="0.2">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f t="shared" ca="1" si="67"/>
        <v>5</v>
      </c>
      <c r="J170" s="5">
        <f t="shared" ca="1" si="68"/>
        <v>0</v>
      </c>
      <c r="K170" s="5">
        <f t="shared" ca="1" si="69"/>
        <v>0</v>
      </c>
      <c r="L170" s="5">
        <f t="shared" ca="1" si="70"/>
        <v>0</v>
      </c>
      <c r="M170" s="5">
        <f t="shared" ca="1" si="71"/>
        <v>0</v>
      </c>
      <c r="N170" s="5">
        <f t="shared" ca="1" si="72"/>
        <v>0</v>
      </c>
      <c r="O170" s="5">
        <f t="shared" ca="1" si="73"/>
        <v>0</v>
      </c>
      <c r="P170" s="5">
        <f t="shared" ca="1" si="74"/>
        <v>0</v>
      </c>
      <c r="Q170" s="5" t="e">
        <f t="shared" ca="1" si="75"/>
        <v>#N/A</v>
      </c>
      <c r="R170" s="5">
        <f t="shared" ca="1" si="80"/>
        <v>0</v>
      </c>
      <c r="S170" s="67" t="e">
        <f t="shared" ca="1" si="81"/>
        <v>#N/A</v>
      </c>
      <c r="T170" s="67">
        <f t="shared" ca="1" si="82"/>
        <v>0</v>
      </c>
      <c r="U170" s="67" t="e">
        <f t="shared" ca="1" si="83"/>
        <v>#N/A</v>
      </c>
      <c r="V170" s="5">
        <f t="shared" ca="1" si="62"/>
        <v>0</v>
      </c>
      <c r="W170" s="5" t="e">
        <f t="shared" ca="1" si="76"/>
        <v>#N/A</v>
      </c>
      <c r="X170" s="67">
        <f t="shared" ca="1" si="77"/>
        <v>0</v>
      </c>
      <c r="Y170" s="67" t="e">
        <f t="shared" ca="1" si="84"/>
        <v>#N/A</v>
      </c>
      <c r="Z170" s="67" t="e">
        <f t="shared" ca="1" si="85"/>
        <v>#N/A</v>
      </c>
      <c r="AA170" s="5" t="str">
        <f>IF(Setup!$I$15="Yes",'Demand background (hide)'!AJ158+'SPC background (hide)'!C170,"")</f>
        <v/>
      </c>
      <c r="AC170" s="5" t="str">
        <f t="shared" ca="1" si="78"/>
        <v/>
      </c>
      <c r="AD170" s="5" t="str">
        <f t="shared" ca="1" si="79"/>
        <v/>
      </c>
    </row>
    <row r="171" spans="1:30" x14ac:dyDescent="0.2">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f t="shared" ca="1" si="67"/>
        <v>5</v>
      </c>
      <c r="J171" s="5">
        <f t="shared" ca="1" si="68"/>
        <v>0</v>
      </c>
      <c r="K171" s="5">
        <f t="shared" ca="1" si="69"/>
        <v>0</v>
      </c>
      <c r="L171" s="5">
        <f t="shared" ca="1" si="70"/>
        <v>0</v>
      </c>
      <c r="M171" s="5">
        <f t="shared" ca="1" si="71"/>
        <v>0</v>
      </c>
      <c r="N171" s="5">
        <f t="shared" ca="1" si="72"/>
        <v>0</v>
      </c>
      <c r="O171" s="5">
        <f t="shared" ca="1" si="73"/>
        <v>0</v>
      </c>
      <c r="P171" s="5">
        <f t="shared" ca="1" si="74"/>
        <v>0</v>
      </c>
      <c r="Q171" s="5" t="e">
        <f t="shared" ca="1" si="75"/>
        <v>#N/A</v>
      </c>
      <c r="R171" s="5">
        <f t="shared" ca="1" si="80"/>
        <v>0</v>
      </c>
      <c r="S171" s="67" t="e">
        <f t="shared" ca="1" si="81"/>
        <v>#N/A</v>
      </c>
      <c r="T171" s="67">
        <f t="shared" ca="1" si="82"/>
        <v>0</v>
      </c>
      <c r="U171" s="67" t="e">
        <f t="shared" ca="1" si="83"/>
        <v>#N/A</v>
      </c>
      <c r="V171" s="5">
        <f t="shared" ca="1" si="62"/>
        <v>0</v>
      </c>
      <c r="W171" s="5" t="e">
        <f t="shared" ca="1" si="76"/>
        <v>#N/A</v>
      </c>
      <c r="X171" s="67">
        <f t="shared" ca="1" si="77"/>
        <v>0</v>
      </c>
      <c r="Y171" s="67" t="e">
        <f t="shared" ca="1" si="84"/>
        <v>#N/A</v>
      </c>
      <c r="Z171" s="67" t="e">
        <f t="shared" ca="1" si="85"/>
        <v>#N/A</v>
      </c>
      <c r="AA171" s="5" t="str">
        <f>IF(Setup!$I$15="Yes",'Demand background (hide)'!AJ159+'SPC background (hide)'!C171,"")</f>
        <v/>
      </c>
      <c r="AC171" s="5" t="str">
        <f t="shared" ca="1" si="78"/>
        <v/>
      </c>
      <c r="AD171" s="5" t="str">
        <f t="shared" ca="1" si="79"/>
        <v/>
      </c>
    </row>
    <row r="172" spans="1:30" x14ac:dyDescent="0.2">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f t="shared" ca="1" si="67"/>
        <v>5</v>
      </c>
      <c r="J172" s="5">
        <f t="shared" ca="1" si="68"/>
        <v>0</v>
      </c>
      <c r="K172" s="5">
        <f t="shared" ca="1" si="69"/>
        <v>0</v>
      </c>
      <c r="L172" s="5">
        <f t="shared" ca="1" si="70"/>
        <v>0</v>
      </c>
      <c r="M172" s="5">
        <f t="shared" ca="1" si="71"/>
        <v>0</v>
      </c>
      <c r="N172" s="5">
        <f t="shared" ca="1" si="72"/>
        <v>0</v>
      </c>
      <c r="O172" s="5">
        <f t="shared" ca="1" si="73"/>
        <v>0</v>
      </c>
      <c r="P172" s="5">
        <f t="shared" ca="1" si="74"/>
        <v>0</v>
      </c>
      <c r="Q172" s="5" t="e">
        <f t="shared" ca="1" si="75"/>
        <v>#N/A</v>
      </c>
      <c r="R172" s="5">
        <f t="shared" ca="1" si="80"/>
        <v>0</v>
      </c>
      <c r="S172" s="67" t="e">
        <f t="shared" ca="1" si="81"/>
        <v>#N/A</v>
      </c>
      <c r="T172" s="67">
        <f t="shared" ca="1" si="82"/>
        <v>0</v>
      </c>
      <c r="U172" s="67" t="e">
        <f t="shared" ca="1" si="83"/>
        <v>#N/A</v>
      </c>
      <c r="V172" s="5">
        <f t="shared" ca="1" si="62"/>
        <v>0</v>
      </c>
      <c r="W172" s="5" t="e">
        <f t="shared" ca="1" si="76"/>
        <v>#N/A</v>
      </c>
      <c r="X172" s="67">
        <f t="shared" ca="1" si="77"/>
        <v>0</v>
      </c>
      <c r="Y172" s="67" t="e">
        <f t="shared" ca="1" si="84"/>
        <v>#N/A</v>
      </c>
      <c r="Z172" s="67" t="e">
        <f t="shared" ca="1" si="85"/>
        <v>#N/A</v>
      </c>
      <c r="AA172" s="5" t="str">
        <f>IF(Setup!$I$15="Yes",'Demand background (hide)'!AJ160+'SPC background (hide)'!C172,"")</f>
        <v/>
      </c>
      <c r="AC172" s="5" t="str">
        <f t="shared" ca="1" si="78"/>
        <v/>
      </c>
      <c r="AD172" s="5" t="str">
        <f t="shared" ca="1" si="79"/>
        <v/>
      </c>
    </row>
    <row r="173" spans="1:30" x14ac:dyDescent="0.2">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f t="shared" ca="1" si="67"/>
        <v>5</v>
      </c>
      <c r="J173" s="5">
        <f t="shared" ca="1" si="68"/>
        <v>0</v>
      </c>
      <c r="K173" s="5">
        <f t="shared" ca="1" si="69"/>
        <v>0</v>
      </c>
      <c r="L173" s="5">
        <f t="shared" ca="1" si="70"/>
        <v>0</v>
      </c>
      <c r="M173" s="5">
        <f t="shared" ca="1" si="71"/>
        <v>0</v>
      </c>
      <c r="N173" s="5">
        <f t="shared" ca="1" si="72"/>
        <v>0</v>
      </c>
      <c r="O173" s="5">
        <f t="shared" ca="1" si="73"/>
        <v>0</v>
      </c>
      <c r="P173" s="5">
        <f t="shared" ca="1" si="74"/>
        <v>0</v>
      </c>
      <c r="Q173" s="5" t="e">
        <f t="shared" ca="1" si="75"/>
        <v>#N/A</v>
      </c>
      <c r="R173" s="5">
        <f t="shared" ca="1" si="80"/>
        <v>0</v>
      </c>
      <c r="S173" s="67" t="e">
        <f t="shared" ca="1" si="81"/>
        <v>#N/A</v>
      </c>
      <c r="T173" s="67">
        <f t="shared" ca="1" si="82"/>
        <v>0</v>
      </c>
      <c r="U173" s="67" t="e">
        <f t="shared" ca="1" si="83"/>
        <v>#N/A</v>
      </c>
      <c r="V173" s="5">
        <f t="shared" ca="1" si="62"/>
        <v>0</v>
      </c>
      <c r="W173" s="5" t="e">
        <f t="shared" ca="1" si="76"/>
        <v>#N/A</v>
      </c>
      <c r="X173" s="67">
        <f t="shared" ca="1" si="77"/>
        <v>0</v>
      </c>
      <c r="Y173" s="67" t="e">
        <f t="shared" ca="1" si="84"/>
        <v>#N/A</v>
      </c>
      <c r="Z173" s="67" t="e">
        <f t="shared" ca="1" si="85"/>
        <v>#N/A</v>
      </c>
      <c r="AA173" s="5" t="str">
        <f>IF(Setup!$I$15="Yes",'Demand background (hide)'!AJ161+'SPC background (hide)'!C173,"")</f>
        <v/>
      </c>
      <c r="AC173" s="5" t="str">
        <f t="shared" ca="1" si="78"/>
        <v/>
      </c>
      <c r="AD173" s="5" t="str">
        <f t="shared" ca="1" si="79"/>
        <v/>
      </c>
    </row>
    <row r="174" spans="1:30" x14ac:dyDescent="0.2">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f t="shared" ca="1" si="67"/>
        <v>5</v>
      </c>
      <c r="J174" s="5">
        <f t="shared" ca="1" si="68"/>
        <v>0</v>
      </c>
      <c r="K174" s="5">
        <f t="shared" ca="1" si="69"/>
        <v>0</v>
      </c>
      <c r="L174" s="5">
        <f t="shared" ca="1" si="70"/>
        <v>0</v>
      </c>
      <c r="M174" s="5">
        <f t="shared" ca="1" si="71"/>
        <v>0</v>
      </c>
      <c r="N174" s="5">
        <f t="shared" ca="1" si="72"/>
        <v>0</v>
      </c>
      <c r="O174" s="5">
        <f t="shared" ca="1" si="73"/>
        <v>0</v>
      </c>
      <c r="P174" s="5">
        <f t="shared" ca="1" si="74"/>
        <v>0</v>
      </c>
      <c r="Q174" s="5" t="e">
        <f t="shared" ca="1" si="75"/>
        <v>#N/A</v>
      </c>
      <c r="R174" s="5">
        <f t="shared" ca="1" si="80"/>
        <v>0</v>
      </c>
      <c r="S174" s="67" t="e">
        <f t="shared" ca="1" si="81"/>
        <v>#N/A</v>
      </c>
      <c r="T174" s="67">
        <f t="shared" ca="1" si="82"/>
        <v>0</v>
      </c>
      <c r="U174" s="67" t="e">
        <f t="shared" ca="1" si="83"/>
        <v>#N/A</v>
      </c>
      <c r="V174" s="5">
        <f t="shared" ca="1" si="62"/>
        <v>0</v>
      </c>
      <c r="W174" s="5" t="e">
        <f t="shared" ca="1" si="76"/>
        <v>#N/A</v>
      </c>
      <c r="X174" s="67">
        <f t="shared" ca="1" si="77"/>
        <v>0</v>
      </c>
      <c r="Y174" s="67" t="e">
        <f t="shared" ca="1" si="84"/>
        <v>#N/A</v>
      </c>
      <c r="Z174" s="67" t="e">
        <f t="shared" ca="1" si="85"/>
        <v>#N/A</v>
      </c>
      <c r="AA174" s="5" t="str">
        <f>IF(Setup!$I$15="Yes",'Demand background (hide)'!AJ162+'SPC background (hide)'!C174,"")</f>
        <v/>
      </c>
      <c r="AC174" s="5" t="str">
        <f t="shared" ca="1" si="78"/>
        <v/>
      </c>
      <c r="AD174" s="5" t="str">
        <f t="shared" ca="1" si="79"/>
        <v/>
      </c>
    </row>
    <row r="175" spans="1:30" x14ac:dyDescent="0.2">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f t="shared" ca="1" si="67"/>
        <v>5</v>
      </c>
      <c r="J175" s="5">
        <f t="shared" ca="1" si="68"/>
        <v>0</v>
      </c>
      <c r="K175" s="5">
        <f t="shared" ca="1" si="69"/>
        <v>0</v>
      </c>
      <c r="L175" s="5">
        <f t="shared" ca="1" si="70"/>
        <v>0</v>
      </c>
      <c r="M175" s="5">
        <f t="shared" ca="1" si="71"/>
        <v>0</v>
      </c>
      <c r="N175" s="5">
        <f t="shared" ca="1" si="72"/>
        <v>0</v>
      </c>
      <c r="O175" s="5">
        <f t="shared" ca="1" si="73"/>
        <v>0</v>
      </c>
      <c r="P175" s="5">
        <f t="shared" ca="1" si="74"/>
        <v>0</v>
      </c>
      <c r="Q175" s="5" t="e">
        <f t="shared" ca="1" si="75"/>
        <v>#N/A</v>
      </c>
      <c r="R175" s="5">
        <f t="shared" ca="1" si="80"/>
        <v>0</v>
      </c>
      <c r="S175" s="67" t="e">
        <f t="shared" ca="1" si="81"/>
        <v>#N/A</v>
      </c>
      <c r="T175" s="67">
        <f t="shared" ca="1" si="82"/>
        <v>0</v>
      </c>
      <c r="U175" s="67" t="e">
        <f t="shared" ca="1" si="83"/>
        <v>#N/A</v>
      </c>
      <c r="V175" s="5">
        <f t="shared" ca="1" si="62"/>
        <v>0</v>
      </c>
      <c r="W175" s="5" t="e">
        <f t="shared" ca="1" si="76"/>
        <v>#N/A</v>
      </c>
      <c r="X175" s="67">
        <f t="shared" ca="1" si="77"/>
        <v>0</v>
      </c>
      <c r="Y175" s="67" t="e">
        <f t="shared" ca="1" si="84"/>
        <v>#N/A</v>
      </c>
      <c r="Z175" s="67" t="e">
        <f t="shared" ca="1" si="85"/>
        <v>#N/A</v>
      </c>
      <c r="AA175" s="5" t="str">
        <f>IF(Setup!$I$15="Yes",'Demand background (hide)'!AJ163+'SPC background (hide)'!C175,"")</f>
        <v/>
      </c>
      <c r="AC175" s="5" t="str">
        <f t="shared" ca="1" si="78"/>
        <v/>
      </c>
      <c r="AD175" s="5" t="str">
        <f t="shared" ca="1" si="79"/>
        <v/>
      </c>
    </row>
    <row r="176" spans="1:30" x14ac:dyDescent="0.2">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f t="shared" ca="1" si="67"/>
        <v>5</v>
      </c>
      <c r="J176" s="5">
        <f t="shared" ca="1" si="68"/>
        <v>0</v>
      </c>
      <c r="K176" s="5">
        <f t="shared" ca="1" si="69"/>
        <v>0</v>
      </c>
      <c r="L176" s="5">
        <f t="shared" ca="1" si="70"/>
        <v>0</v>
      </c>
      <c r="M176" s="5">
        <f t="shared" ca="1" si="71"/>
        <v>0</v>
      </c>
      <c r="N176" s="5">
        <f t="shared" ca="1" si="72"/>
        <v>0</v>
      </c>
      <c r="O176" s="5">
        <f t="shared" ca="1" si="73"/>
        <v>0</v>
      </c>
      <c r="P176" s="5">
        <f t="shared" ca="1" si="74"/>
        <v>0</v>
      </c>
      <c r="Q176" s="5" t="e">
        <f t="shared" ca="1" si="75"/>
        <v>#N/A</v>
      </c>
      <c r="R176" s="5">
        <f t="shared" ca="1" si="80"/>
        <v>0</v>
      </c>
      <c r="S176" s="67" t="e">
        <f t="shared" ca="1" si="81"/>
        <v>#N/A</v>
      </c>
      <c r="T176" s="67">
        <f t="shared" ca="1" si="82"/>
        <v>0</v>
      </c>
      <c r="U176" s="67" t="e">
        <f t="shared" ca="1" si="83"/>
        <v>#N/A</v>
      </c>
      <c r="V176" s="5">
        <f t="shared" ca="1" si="62"/>
        <v>0</v>
      </c>
      <c r="W176" s="5" t="e">
        <f t="shared" ca="1" si="76"/>
        <v>#N/A</v>
      </c>
      <c r="X176" s="67">
        <f t="shared" ca="1" si="77"/>
        <v>0</v>
      </c>
      <c r="Y176" s="67" t="e">
        <f t="shared" ca="1" si="84"/>
        <v>#N/A</v>
      </c>
      <c r="Z176" s="67" t="e">
        <f t="shared" ca="1" si="85"/>
        <v>#N/A</v>
      </c>
      <c r="AA176" s="5" t="str">
        <f>IF(Setup!$I$15="Yes",'Demand background (hide)'!AJ164+'SPC background (hide)'!C176,"")</f>
        <v/>
      </c>
      <c r="AC176" s="5" t="str">
        <f t="shared" ca="1" si="78"/>
        <v/>
      </c>
      <c r="AD176" s="5" t="str">
        <f t="shared" ca="1" si="79"/>
        <v/>
      </c>
    </row>
    <row r="177" spans="1:30" x14ac:dyDescent="0.2">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f t="shared" ca="1" si="67"/>
        <v>5</v>
      </c>
      <c r="J177" s="5">
        <f t="shared" ca="1" si="68"/>
        <v>0</v>
      </c>
      <c r="K177" s="5">
        <f t="shared" ca="1" si="69"/>
        <v>0</v>
      </c>
      <c r="L177" s="5">
        <f t="shared" ca="1" si="70"/>
        <v>0</v>
      </c>
      <c r="M177" s="5">
        <f t="shared" ca="1" si="71"/>
        <v>0</v>
      </c>
      <c r="N177" s="5">
        <f t="shared" ca="1" si="72"/>
        <v>0</v>
      </c>
      <c r="O177" s="5">
        <f t="shared" ca="1" si="73"/>
        <v>0</v>
      </c>
      <c r="P177" s="5">
        <f t="shared" ca="1" si="74"/>
        <v>0</v>
      </c>
      <c r="Q177" s="5" t="e">
        <f t="shared" ca="1" si="75"/>
        <v>#N/A</v>
      </c>
      <c r="R177" s="5">
        <f t="shared" ca="1" si="80"/>
        <v>0</v>
      </c>
      <c r="S177" s="67" t="e">
        <f t="shared" ca="1" si="81"/>
        <v>#N/A</v>
      </c>
      <c r="T177" s="67">
        <f t="shared" ca="1" si="82"/>
        <v>0</v>
      </c>
      <c r="U177" s="67" t="e">
        <f t="shared" ca="1" si="83"/>
        <v>#N/A</v>
      </c>
      <c r="V177" s="5">
        <f t="shared" ca="1" si="62"/>
        <v>0</v>
      </c>
      <c r="W177" s="5" t="e">
        <f t="shared" ca="1" si="76"/>
        <v>#N/A</v>
      </c>
      <c r="X177" s="67">
        <f t="shared" ca="1" si="77"/>
        <v>0</v>
      </c>
      <c r="Y177" s="67" t="e">
        <f t="shared" ca="1" si="84"/>
        <v>#N/A</v>
      </c>
      <c r="Z177" s="67" t="e">
        <f t="shared" ca="1" si="85"/>
        <v>#N/A</v>
      </c>
      <c r="AA177" s="5" t="str">
        <f>IF(Setup!$I$15="Yes",'Demand background (hide)'!AJ165+'SPC background (hide)'!C177,"")</f>
        <v/>
      </c>
      <c r="AC177" s="5" t="str">
        <f t="shared" ca="1" si="78"/>
        <v/>
      </c>
      <c r="AD177" s="5" t="str">
        <f t="shared" ca="1" si="79"/>
        <v/>
      </c>
    </row>
    <row r="178" spans="1:30" x14ac:dyDescent="0.2">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f t="shared" ca="1" si="67"/>
        <v>5</v>
      </c>
      <c r="J178" s="5">
        <f t="shared" ca="1" si="68"/>
        <v>0</v>
      </c>
      <c r="K178" s="5">
        <f t="shared" ca="1" si="69"/>
        <v>0</v>
      </c>
      <c r="L178" s="5">
        <f t="shared" ca="1" si="70"/>
        <v>0</v>
      </c>
      <c r="M178" s="5">
        <f t="shared" ca="1" si="71"/>
        <v>0</v>
      </c>
      <c r="N178" s="5">
        <f t="shared" ca="1" si="72"/>
        <v>0</v>
      </c>
      <c r="O178" s="5">
        <f t="shared" ca="1" si="73"/>
        <v>0</v>
      </c>
      <c r="P178" s="5">
        <f t="shared" ca="1" si="74"/>
        <v>0</v>
      </c>
      <c r="Q178" s="5" t="e">
        <f t="shared" ca="1" si="75"/>
        <v>#N/A</v>
      </c>
      <c r="R178" s="5">
        <f t="shared" ca="1" si="80"/>
        <v>0</v>
      </c>
      <c r="S178" s="67" t="e">
        <f t="shared" ca="1" si="81"/>
        <v>#N/A</v>
      </c>
      <c r="T178" s="67">
        <f t="shared" ca="1" si="82"/>
        <v>0</v>
      </c>
      <c r="U178" s="67" t="e">
        <f t="shared" ca="1" si="83"/>
        <v>#N/A</v>
      </c>
      <c r="V178" s="5">
        <f t="shared" ca="1" si="62"/>
        <v>0</v>
      </c>
      <c r="W178" s="5" t="e">
        <f t="shared" ca="1" si="76"/>
        <v>#N/A</v>
      </c>
      <c r="X178" s="67">
        <f t="shared" ca="1" si="77"/>
        <v>0</v>
      </c>
      <c r="Y178" s="67" t="e">
        <f t="shared" ca="1" si="84"/>
        <v>#N/A</v>
      </c>
      <c r="Z178" s="67" t="e">
        <f t="shared" ca="1" si="85"/>
        <v>#N/A</v>
      </c>
      <c r="AA178" s="5" t="str">
        <f>IF(Setup!$I$15="Yes",'Demand background (hide)'!AJ166+'SPC background (hide)'!C178,"")</f>
        <v/>
      </c>
      <c r="AC178" s="5" t="str">
        <f t="shared" ca="1" si="78"/>
        <v/>
      </c>
      <c r="AD178" s="5" t="str">
        <f t="shared" ca="1" si="79"/>
        <v/>
      </c>
    </row>
    <row r="179" spans="1:30" x14ac:dyDescent="0.2">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f t="shared" ca="1" si="67"/>
        <v>5</v>
      </c>
      <c r="J179" s="5">
        <f t="shared" ca="1" si="68"/>
        <v>0</v>
      </c>
      <c r="K179" s="5">
        <f t="shared" ca="1" si="69"/>
        <v>0</v>
      </c>
      <c r="L179" s="5">
        <f t="shared" ca="1" si="70"/>
        <v>0</v>
      </c>
      <c r="M179" s="5">
        <f t="shared" ca="1" si="71"/>
        <v>0</v>
      </c>
      <c r="N179" s="5">
        <f t="shared" ca="1" si="72"/>
        <v>0</v>
      </c>
      <c r="O179" s="5">
        <f t="shared" ca="1" si="73"/>
        <v>0</v>
      </c>
      <c r="P179" s="5">
        <f t="shared" ca="1" si="74"/>
        <v>0</v>
      </c>
      <c r="Q179" s="5" t="e">
        <f t="shared" ca="1" si="75"/>
        <v>#N/A</v>
      </c>
      <c r="R179" s="5">
        <f t="shared" ca="1" si="80"/>
        <v>0</v>
      </c>
      <c r="S179" s="67" t="e">
        <f t="shared" ca="1" si="81"/>
        <v>#N/A</v>
      </c>
      <c r="T179" s="67">
        <f t="shared" ca="1" si="82"/>
        <v>0</v>
      </c>
      <c r="U179" s="67" t="e">
        <f t="shared" ca="1" si="83"/>
        <v>#N/A</v>
      </c>
      <c r="V179" s="5">
        <f t="shared" ca="1" si="62"/>
        <v>0</v>
      </c>
      <c r="W179" s="5" t="e">
        <f t="shared" ca="1" si="76"/>
        <v>#N/A</v>
      </c>
      <c r="X179" s="67">
        <f t="shared" ca="1" si="77"/>
        <v>0</v>
      </c>
      <c r="Y179" s="67" t="e">
        <f t="shared" ca="1" si="84"/>
        <v>#N/A</v>
      </c>
      <c r="Z179" s="67" t="e">
        <f t="shared" ca="1" si="85"/>
        <v>#N/A</v>
      </c>
      <c r="AA179" s="5" t="str">
        <f>IF(Setup!$I$15="Yes",'Demand background (hide)'!AJ167+'SPC background (hide)'!C179,"")</f>
        <v/>
      </c>
      <c r="AC179" s="5" t="str">
        <f t="shared" ca="1" si="78"/>
        <v/>
      </c>
      <c r="AD179" s="5" t="str">
        <f t="shared" ca="1" si="79"/>
        <v/>
      </c>
    </row>
    <row r="180" spans="1:30" x14ac:dyDescent="0.2">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f t="shared" ca="1" si="67"/>
        <v>5</v>
      </c>
      <c r="J180" s="5">
        <f t="shared" ca="1" si="68"/>
        <v>0</v>
      </c>
      <c r="K180" s="5">
        <f t="shared" ca="1" si="69"/>
        <v>0</v>
      </c>
      <c r="L180" s="5">
        <f t="shared" ca="1" si="70"/>
        <v>0</v>
      </c>
      <c r="M180" s="5">
        <f t="shared" ca="1" si="71"/>
        <v>0</v>
      </c>
      <c r="N180" s="5">
        <f t="shared" ca="1" si="72"/>
        <v>0</v>
      </c>
      <c r="O180" s="5">
        <f t="shared" ca="1" si="73"/>
        <v>0</v>
      </c>
      <c r="P180" s="5">
        <f t="shared" ca="1" si="74"/>
        <v>0</v>
      </c>
      <c r="Q180" s="5" t="e">
        <f t="shared" ca="1" si="75"/>
        <v>#N/A</v>
      </c>
      <c r="R180" s="5">
        <f t="shared" ca="1" si="80"/>
        <v>0</v>
      </c>
      <c r="S180" s="67" t="e">
        <f t="shared" ca="1" si="81"/>
        <v>#N/A</v>
      </c>
      <c r="T180" s="67">
        <f t="shared" ca="1" si="82"/>
        <v>0</v>
      </c>
      <c r="U180" s="67" t="e">
        <f t="shared" ca="1" si="83"/>
        <v>#N/A</v>
      </c>
      <c r="V180" s="5">
        <f t="shared" ca="1" si="62"/>
        <v>0</v>
      </c>
      <c r="W180" s="5" t="e">
        <f t="shared" ca="1" si="76"/>
        <v>#N/A</v>
      </c>
      <c r="X180" s="67">
        <f t="shared" ca="1" si="77"/>
        <v>0</v>
      </c>
      <c r="Y180" s="67" t="e">
        <f t="shared" ca="1" si="84"/>
        <v>#N/A</v>
      </c>
      <c r="Z180" s="67" t="e">
        <f t="shared" ca="1" si="85"/>
        <v>#N/A</v>
      </c>
      <c r="AA180" s="5" t="str">
        <f>IF(Setup!$I$15="Yes",'Demand background (hide)'!AJ168+'SPC background (hide)'!C180,"")</f>
        <v/>
      </c>
      <c r="AC180" s="5" t="str">
        <f t="shared" ca="1" si="78"/>
        <v/>
      </c>
      <c r="AD180" s="5" t="str">
        <f t="shared" ca="1" si="79"/>
        <v/>
      </c>
    </row>
    <row r="181" spans="1:30" x14ac:dyDescent="0.2">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f t="shared" ca="1" si="67"/>
        <v>5</v>
      </c>
      <c r="J181" s="5">
        <f t="shared" ca="1" si="68"/>
        <v>0</v>
      </c>
      <c r="K181" s="5">
        <f t="shared" ca="1" si="69"/>
        <v>0</v>
      </c>
      <c r="L181" s="5">
        <f t="shared" ca="1" si="70"/>
        <v>0</v>
      </c>
      <c r="M181" s="5">
        <f t="shared" ca="1" si="71"/>
        <v>0</v>
      </c>
      <c r="N181" s="5">
        <f t="shared" ca="1" si="72"/>
        <v>0</v>
      </c>
      <c r="O181" s="5">
        <f t="shared" ca="1" si="73"/>
        <v>0</v>
      </c>
      <c r="P181" s="5">
        <f t="shared" ca="1" si="74"/>
        <v>0</v>
      </c>
      <c r="Q181" s="5" t="e">
        <f t="shared" ca="1" si="75"/>
        <v>#N/A</v>
      </c>
      <c r="R181" s="5">
        <f t="shared" ca="1" si="80"/>
        <v>0</v>
      </c>
      <c r="S181" s="67" t="e">
        <f t="shared" ca="1" si="81"/>
        <v>#N/A</v>
      </c>
      <c r="T181" s="67">
        <f t="shared" ca="1" si="82"/>
        <v>0</v>
      </c>
      <c r="U181" s="67" t="e">
        <f t="shared" ca="1" si="83"/>
        <v>#N/A</v>
      </c>
      <c r="V181" s="5">
        <f t="shared" ca="1" si="62"/>
        <v>0</v>
      </c>
      <c r="W181" s="5" t="e">
        <f t="shared" ca="1" si="76"/>
        <v>#N/A</v>
      </c>
      <c r="X181" s="67">
        <f t="shared" ca="1" si="77"/>
        <v>0</v>
      </c>
      <c r="Y181" s="67" t="e">
        <f t="shared" ca="1" si="84"/>
        <v>#N/A</v>
      </c>
      <c r="Z181" s="67" t="e">
        <f t="shared" ca="1" si="85"/>
        <v>#N/A</v>
      </c>
      <c r="AA181" s="5" t="str">
        <f>IF(Setup!$I$15="Yes",'Demand background (hide)'!AJ169+'SPC background (hide)'!C181,"")</f>
        <v/>
      </c>
      <c r="AC181" s="5" t="str">
        <f t="shared" ca="1" si="78"/>
        <v/>
      </c>
      <c r="AD181" s="5" t="str">
        <f t="shared" ca="1" si="79"/>
        <v/>
      </c>
    </row>
    <row r="182" spans="1:30" x14ac:dyDescent="0.2">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f t="shared" ca="1" si="67"/>
        <v>5</v>
      </c>
      <c r="J182" s="5">
        <f t="shared" ca="1" si="68"/>
        <v>0</v>
      </c>
      <c r="K182" s="5">
        <f t="shared" ca="1" si="69"/>
        <v>0</v>
      </c>
      <c r="L182" s="5">
        <f t="shared" ca="1" si="70"/>
        <v>0</v>
      </c>
      <c r="M182" s="5">
        <f t="shared" ca="1" si="71"/>
        <v>0</v>
      </c>
      <c r="N182" s="5">
        <f t="shared" ca="1" si="72"/>
        <v>0</v>
      </c>
      <c r="O182" s="5">
        <f t="shared" ca="1" si="73"/>
        <v>0</v>
      </c>
      <c r="P182" s="5">
        <f t="shared" ca="1" si="74"/>
        <v>0</v>
      </c>
      <c r="Q182" s="5" t="e">
        <f t="shared" ca="1" si="75"/>
        <v>#N/A</v>
      </c>
      <c r="R182" s="5">
        <f t="shared" ca="1" si="80"/>
        <v>0</v>
      </c>
      <c r="S182" s="67" t="e">
        <f t="shared" ca="1" si="81"/>
        <v>#N/A</v>
      </c>
      <c r="T182" s="67">
        <f t="shared" ca="1" si="82"/>
        <v>0</v>
      </c>
      <c r="U182" s="67" t="e">
        <f t="shared" ca="1" si="83"/>
        <v>#N/A</v>
      </c>
      <c r="V182" s="5">
        <f t="shared" ca="1" si="62"/>
        <v>0</v>
      </c>
      <c r="W182" s="5" t="e">
        <f t="shared" ca="1" si="76"/>
        <v>#N/A</v>
      </c>
      <c r="X182" s="67">
        <f t="shared" ca="1" si="77"/>
        <v>0</v>
      </c>
      <c r="Y182" s="67" t="e">
        <f t="shared" ca="1" si="84"/>
        <v>#N/A</v>
      </c>
      <c r="Z182" s="67" t="e">
        <f t="shared" ca="1" si="85"/>
        <v>#N/A</v>
      </c>
      <c r="AA182" s="5" t="str">
        <f>IF(Setup!$I$15="Yes",'Demand background (hide)'!AJ170+'SPC background (hide)'!C182,"")</f>
        <v/>
      </c>
      <c r="AC182" s="5" t="str">
        <f t="shared" ca="1" si="78"/>
        <v/>
      </c>
      <c r="AD182" s="5" t="str">
        <f t="shared" ca="1" si="79"/>
        <v/>
      </c>
    </row>
    <row r="183" spans="1:30" x14ac:dyDescent="0.2">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f t="shared" ca="1" si="67"/>
        <v>5</v>
      </c>
      <c r="J183" s="5">
        <f t="shared" ca="1" si="68"/>
        <v>0</v>
      </c>
      <c r="K183" s="5">
        <f t="shared" ca="1" si="69"/>
        <v>0</v>
      </c>
      <c r="L183" s="5">
        <f t="shared" ca="1" si="70"/>
        <v>0</v>
      </c>
      <c r="M183" s="5">
        <f t="shared" ca="1" si="71"/>
        <v>0</v>
      </c>
      <c r="N183" s="5">
        <f t="shared" ca="1" si="72"/>
        <v>0</v>
      </c>
      <c r="O183" s="5">
        <f t="shared" ca="1" si="73"/>
        <v>0</v>
      </c>
      <c r="P183" s="5">
        <f t="shared" ca="1" si="74"/>
        <v>0</v>
      </c>
      <c r="Q183" s="5" t="e">
        <f t="shared" ca="1" si="75"/>
        <v>#N/A</v>
      </c>
      <c r="R183" s="5">
        <f t="shared" ca="1" si="80"/>
        <v>0</v>
      </c>
      <c r="S183" s="67" t="e">
        <f t="shared" ca="1" si="81"/>
        <v>#N/A</v>
      </c>
      <c r="T183" s="67">
        <f t="shared" ca="1" si="82"/>
        <v>0</v>
      </c>
      <c r="U183" s="67" t="e">
        <f t="shared" ca="1" si="83"/>
        <v>#N/A</v>
      </c>
      <c r="V183" s="5">
        <f t="shared" ca="1" si="62"/>
        <v>0</v>
      </c>
      <c r="W183" s="5" t="e">
        <f t="shared" ca="1" si="76"/>
        <v>#N/A</v>
      </c>
      <c r="X183" s="67">
        <f t="shared" ca="1" si="77"/>
        <v>0</v>
      </c>
      <c r="Y183" s="67" t="e">
        <f t="shared" ca="1" si="84"/>
        <v>#N/A</v>
      </c>
      <c r="Z183" s="67" t="e">
        <f t="shared" ca="1" si="85"/>
        <v>#N/A</v>
      </c>
      <c r="AA183" s="5" t="str">
        <f>IF(Setup!$I$15="Yes",'Demand background (hide)'!AJ171+'SPC background (hide)'!C183,"")</f>
        <v/>
      </c>
      <c r="AC183" s="5" t="str">
        <f t="shared" ca="1" si="78"/>
        <v/>
      </c>
      <c r="AD183" s="5" t="str">
        <f t="shared" ca="1" si="79"/>
        <v/>
      </c>
    </row>
    <row r="184" spans="1:30" x14ac:dyDescent="0.2">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f t="shared" ca="1" si="67"/>
        <v>5</v>
      </c>
      <c r="J184" s="5">
        <f t="shared" ca="1" si="68"/>
        <v>0</v>
      </c>
      <c r="K184" s="5">
        <f t="shared" ca="1" si="69"/>
        <v>0</v>
      </c>
      <c r="L184" s="5">
        <f t="shared" ca="1" si="70"/>
        <v>0</v>
      </c>
      <c r="M184" s="5">
        <f t="shared" ca="1" si="71"/>
        <v>0</v>
      </c>
      <c r="N184" s="5">
        <f t="shared" ca="1" si="72"/>
        <v>0</v>
      </c>
      <c r="O184" s="5">
        <f t="shared" ca="1" si="73"/>
        <v>0</v>
      </c>
      <c r="P184" s="5">
        <f t="shared" ca="1" si="74"/>
        <v>0</v>
      </c>
      <c r="Q184" s="5" t="e">
        <f t="shared" ca="1" si="75"/>
        <v>#N/A</v>
      </c>
      <c r="R184" s="5">
        <f t="shared" ca="1" si="80"/>
        <v>0</v>
      </c>
      <c r="S184" s="67" t="e">
        <f t="shared" ca="1" si="81"/>
        <v>#N/A</v>
      </c>
      <c r="T184" s="67">
        <f t="shared" ca="1" si="82"/>
        <v>0</v>
      </c>
      <c r="U184" s="67" t="e">
        <f t="shared" ca="1" si="83"/>
        <v>#N/A</v>
      </c>
      <c r="V184" s="5">
        <f t="shared" ca="1" si="62"/>
        <v>0</v>
      </c>
      <c r="W184" s="5" t="e">
        <f t="shared" ca="1" si="76"/>
        <v>#N/A</v>
      </c>
      <c r="X184" s="67">
        <f t="shared" ca="1" si="77"/>
        <v>0</v>
      </c>
      <c r="Y184" s="67" t="e">
        <f t="shared" ca="1" si="84"/>
        <v>#N/A</v>
      </c>
      <c r="Z184" s="67" t="e">
        <f t="shared" ca="1" si="85"/>
        <v>#N/A</v>
      </c>
      <c r="AA184" s="5" t="str">
        <f>IF(Setup!$I$15="Yes",'Demand background (hide)'!AJ172+'SPC background (hide)'!C184,"")</f>
        <v/>
      </c>
      <c r="AC184" s="5" t="str">
        <f t="shared" ca="1" si="78"/>
        <v/>
      </c>
      <c r="AD184" s="5" t="str">
        <f t="shared" ca="1" si="79"/>
        <v/>
      </c>
    </row>
    <row r="185" spans="1:30" x14ac:dyDescent="0.2">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f t="shared" ca="1" si="67"/>
        <v>5</v>
      </c>
      <c r="J185" s="5">
        <f t="shared" ca="1" si="68"/>
        <v>0</v>
      </c>
      <c r="K185" s="5">
        <f t="shared" ca="1" si="69"/>
        <v>0</v>
      </c>
      <c r="L185" s="5">
        <f t="shared" ca="1" si="70"/>
        <v>0</v>
      </c>
      <c r="M185" s="5">
        <f t="shared" ca="1" si="71"/>
        <v>0</v>
      </c>
      <c r="N185" s="5">
        <f t="shared" ca="1" si="72"/>
        <v>0</v>
      </c>
      <c r="O185" s="5">
        <f t="shared" ca="1" si="73"/>
        <v>0</v>
      </c>
      <c r="P185" s="5">
        <f t="shared" ca="1" si="74"/>
        <v>0</v>
      </c>
      <c r="Q185" s="5" t="e">
        <f t="shared" ca="1" si="75"/>
        <v>#N/A</v>
      </c>
      <c r="R185" s="5">
        <f t="shared" ca="1" si="80"/>
        <v>0</v>
      </c>
      <c r="S185" s="67" t="e">
        <f t="shared" ca="1" si="81"/>
        <v>#N/A</v>
      </c>
      <c r="T185" s="67">
        <f t="shared" ca="1" si="82"/>
        <v>0</v>
      </c>
      <c r="U185" s="67" t="e">
        <f t="shared" ca="1" si="83"/>
        <v>#N/A</v>
      </c>
      <c r="V185" s="5">
        <f t="shared" ca="1" si="62"/>
        <v>0</v>
      </c>
      <c r="W185" s="5" t="e">
        <f t="shared" ca="1" si="76"/>
        <v>#N/A</v>
      </c>
      <c r="X185" s="67">
        <f t="shared" ca="1" si="77"/>
        <v>0</v>
      </c>
      <c r="Y185" s="67" t="e">
        <f t="shared" ca="1" si="84"/>
        <v>#N/A</v>
      </c>
      <c r="Z185" s="67" t="e">
        <f t="shared" ca="1" si="85"/>
        <v>#N/A</v>
      </c>
      <c r="AA185" s="5" t="str">
        <f>IF(Setup!$I$15="Yes",'Demand background (hide)'!AJ173+'SPC background (hide)'!C185,"")</f>
        <v/>
      </c>
      <c r="AC185" s="5" t="str">
        <f t="shared" ca="1" si="78"/>
        <v/>
      </c>
      <c r="AD185" s="5" t="str">
        <f t="shared" ca="1" si="79"/>
        <v/>
      </c>
    </row>
    <row r="186" spans="1:30" x14ac:dyDescent="0.2">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f t="shared" ca="1" si="67"/>
        <v>5</v>
      </c>
      <c r="J186" s="5">
        <f t="shared" ca="1" si="68"/>
        <v>0</v>
      </c>
      <c r="K186" s="5">
        <f t="shared" ca="1" si="69"/>
        <v>0</v>
      </c>
      <c r="L186" s="5">
        <f t="shared" ca="1" si="70"/>
        <v>0</v>
      </c>
      <c r="M186" s="5">
        <f t="shared" ca="1" si="71"/>
        <v>0</v>
      </c>
      <c r="N186" s="5">
        <f t="shared" ca="1" si="72"/>
        <v>0</v>
      </c>
      <c r="O186" s="5">
        <f t="shared" ca="1" si="73"/>
        <v>0</v>
      </c>
      <c r="P186" s="5">
        <f t="shared" ca="1" si="74"/>
        <v>0</v>
      </c>
      <c r="Q186" s="5" t="e">
        <f t="shared" ca="1" si="75"/>
        <v>#N/A</v>
      </c>
      <c r="R186" s="5">
        <f t="shared" ca="1" si="80"/>
        <v>0</v>
      </c>
      <c r="S186" s="67" t="e">
        <f t="shared" ca="1" si="81"/>
        <v>#N/A</v>
      </c>
      <c r="T186" s="67">
        <f t="shared" ca="1" si="82"/>
        <v>0</v>
      </c>
      <c r="U186" s="67" t="e">
        <f t="shared" ca="1" si="83"/>
        <v>#N/A</v>
      </c>
      <c r="V186" s="5">
        <f t="shared" ca="1" si="62"/>
        <v>0</v>
      </c>
      <c r="W186" s="5" t="e">
        <f t="shared" ca="1" si="76"/>
        <v>#N/A</v>
      </c>
      <c r="X186" s="67">
        <f t="shared" ca="1" si="77"/>
        <v>0</v>
      </c>
      <c r="Y186" s="67" t="e">
        <f t="shared" ca="1" si="84"/>
        <v>#N/A</v>
      </c>
      <c r="Z186" s="67" t="e">
        <f t="shared" ca="1" si="85"/>
        <v>#N/A</v>
      </c>
      <c r="AA186" s="5" t="str">
        <f>IF(Setup!$I$15="Yes",'Demand background (hide)'!AJ174+'SPC background (hide)'!C186,"")</f>
        <v/>
      </c>
      <c r="AC186" s="5" t="str">
        <f t="shared" ca="1" si="78"/>
        <v/>
      </c>
      <c r="AD186" s="5" t="str">
        <f t="shared" ca="1" si="79"/>
        <v/>
      </c>
    </row>
    <row r="187" spans="1:30" x14ac:dyDescent="0.2">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f t="shared" ca="1" si="67"/>
        <v>5</v>
      </c>
      <c r="J187" s="5">
        <f t="shared" ca="1" si="68"/>
        <v>0</v>
      </c>
      <c r="K187" s="5">
        <f t="shared" ca="1" si="69"/>
        <v>0</v>
      </c>
      <c r="L187" s="5">
        <f t="shared" ca="1" si="70"/>
        <v>0</v>
      </c>
      <c r="M187" s="5">
        <f t="shared" ca="1" si="71"/>
        <v>0</v>
      </c>
      <c r="N187" s="5">
        <f t="shared" ca="1" si="72"/>
        <v>0</v>
      </c>
      <c r="O187" s="5">
        <f t="shared" ca="1" si="73"/>
        <v>0</v>
      </c>
      <c r="P187" s="5">
        <f t="shared" ca="1" si="74"/>
        <v>0</v>
      </c>
      <c r="Q187" s="5" t="e">
        <f t="shared" ca="1" si="75"/>
        <v>#N/A</v>
      </c>
      <c r="R187" s="5">
        <f t="shared" ca="1" si="80"/>
        <v>0</v>
      </c>
      <c r="S187" s="67" t="e">
        <f t="shared" ca="1" si="81"/>
        <v>#N/A</v>
      </c>
      <c r="T187" s="67">
        <f t="shared" ca="1" si="82"/>
        <v>0</v>
      </c>
      <c r="U187" s="67" t="e">
        <f t="shared" ca="1" si="83"/>
        <v>#N/A</v>
      </c>
      <c r="V187" s="5">
        <f t="shared" ca="1" si="62"/>
        <v>0</v>
      </c>
      <c r="W187" s="5" t="e">
        <f t="shared" ca="1" si="76"/>
        <v>#N/A</v>
      </c>
      <c r="X187" s="67">
        <f t="shared" ca="1" si="77"/>
        <v>0</v>
      </c>
      <c r="Y187" s="67" t="e">
        <f t="shared" ca="1" si="84"/>
        <v>#N/A</v>
      </c>
      <c r="Z187" s="67" t="e">
        <f t="shared" ca="1" si="85"/>
        <v>#N/A</v>
      </c>
      <c r="AA187" s="5" t="str">
        <f>IF(Setup!$I$15="Yes",'Demand background (hide)'!AJ175+'SPC background (hide)'!C187,"")</f>
        <v/>
      </c>
      <c r="AC187" s="5" t="str">
        <f t="shared" ca="1" si="78"/>
        <v/>
      </c>
      <c r="AD187" s="5" t="str">
        <f t="shared" ca="1" si="79"/>
        <v/>
      </c>
    </row>
    <row r="188" spans="1:30" x14ac:dyDescent="0.2">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f t="shared" ca="1" si="67"/>
        <v>5</v>
      </c>
      <c r="J188" s="5">
        <f t="shared" ca="1" si="68"/>
        <v>0</v>
      </c>
      <c r="K188" s="5">
        <f t="shared" ca="1" si="69"/>
        <v>0</v>
      </c>
      <c r="L188" s="5">
        <f t="shared" ca="1" si="70"/>
        <v>0</v>
      </c>
      <c r="M188" s="5">
        <f t="shared" ca="1" si="71"/>
        <v>0</v>
      </c>
      <c r="N188" s="5">
        <f t="shared" ca="1" si="72"/>
        <v>0</v>
      </c>
      <c r="O188" s="5">
        <f t="shared" ca="1" si="73"/>
        <v>0</v>
      </c>
      <c r="P188" s="5">
        <f t="shared" ca="1" si="74"/>
        <v>0</v>
      </c>
      <c r="Q188" s="5" t="e">
        <f t="shared" ca="1" si="75"/>
        <v>#N/A</v>
      </c>
      <c r="R188" s="5">
        <f t="shared" ca="1" si="80"/>
        <v>0</v>
      </c>
      <c r="S188" s="67" t="e">
        <f t="shared" ca="1" si="81"/>
        <v>#N/A</v>
      </c>
      <c r="T188" s="67">
        <f t="shared" ca="1" si="82"/>
        <v>0</v>
      </c>
      <c r="U188" s="67" t="e">
        <f t="shared" ca="1" si="83"/>
        <v>#N/A</v>
      </c>
      <c r="V188" s="5">
        <f t="shared" ca="1" si="62"/>
        <v>0</v>
      </c>
      <c r="W188" s="5" t="e">
        <f t="shared" ca="1" si="76"/>
        <v>#N/A</v>
      </c>
      <c r="X188" s="67">
        <f t="shared" ca="1" si="77"/>
        <v>0</v>
      </c>
      <c r="Y188" s="67" t="e">
        <f t="shared" ca="1" si="84"/>
        <v>#N/A</v>
      </c>
      <c r="Z188" s="67" t="e">
        <f t="shared" ca="1" si="85"/>
        <v>#N/A</v>
      </c>
      <c r="AA188" s="5" t="str">
        <f>IF(Setup!$I$15="Yes",'Demand background (hide)'!AJ176+'SPC background (hide)'!C188,"")</f>
        <v/>
      </c>
      <c r="AC188" s="5" t="str">
        <f t="shared" ca="1" si="78"/>
        <v/>
      </c>
      <c r="AD188" s="5" t="str">
        <f t="shared" ca="1" si="79"/>
        <v/>
      </c>
    </row>
    <row r="189" spans="1:30" x14ac:dyDescent="0.2">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f t="shared" ca="1" si="67"/>
        <v>5</v>
      </c>
      <c r="J189" s="5">
        <f t="shared" ca="1" si="68"/>
        <v>0</v>
      </c>
      <c r="K189" s="5">
        <f t="shared" ca="1" si="69"/>
        <v>0</v>
      </c>
      <c r="L189" s="5">
        <f t="shared" ca="1" si="70"/>
        <v>0</v>
      </c>
      <c r="M189" s="5">
        <f t="shared" ca="1" si="71"/>
        <v>0</v>
      </c>
      <c r="N189" s="5">
        <f t="shared" ca="1" si="72"/>
        <v>0</v>
      </c>
      <c r="O189" s="5">
        <f t="shared" ca="1" si="73"/>
        <v>0</v>
      </c>
      <c r="P189" s="5">
        <f t="shared" ca="1" si="74"/>
        <v>0</v>
      </c>
      <c r="Q189" s="5" t="e">
        <f t="shared" ca="1" si="75"/>
        <v>#N/A</v>
      </c>
      <c r="R189" s="5">
        <f t="shared" ca="1" si="80"/>
        <v>0</v>
      </c>
      <c r="S189" s="67" t="e">
        <f t="shared" ca="1" si="81"/>
        <v>#N/A</v>
      </c>
      <c r="T189" s="67">
        <f t="shared" ca="1" si="82"/>
        <v>0</v>
      </c>
      <c r="U189" s="67" t="e">
        <f t="shared" ca="1" si="83"/>
        <v>#N/A</v>
      </c>
      <c r="V189" s="5">
        <f t="shared" ca="1" si="62"/>
        <v>0</v>
      </c>
      <c r="W189" s="5" t="e">
        <f t="shared" ca="1" si="76"/>
        <v>#N/A</v>
      </c>
      <c r="X189" s="67">
        <f t="shared" ca="1" si="77"/>
        <v>0</v>
      </c>
      <c r="Y189" s="67" t="e">
        <f t="shared" ca="1" si="84"/>
        <v>#N/A</v>
      </c>
      <c r="Z189" s="67" t="e">
        <f t="shared" ca="1" si="85"/>
        <v>#N/A</v>
      </c>
      <c r="AA189" s="5" t="str">
        <f>IF(Setup!$I$15="Yes",'Demand background (hide)'!AJ177+'SPC background (hide)'!C189,"")</f>
        <v/>
      </c>
      <c r="AC189" s="5" t="str">
        <f t="shared" ca="1" si="78"/>
        <v/>
      </c>
      <c r="AD189" s="5" t="str">
        <f t="shared" ca="1" si="79"/>
        <v/>
      </c>
    </row>
    <row r="190" spans="1:30" x14ac:dyDescent="0.2">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f t="shared" ca="1" si="67"/>
        <v>5</v>
      </c>
      <c r="J190" s="5">
        <f t="shared" ca="1" si="68"/>
        <v>0</v>
      </c>
      <c r="K190" s="5">
        <f t="shared" ca="1" si="69"/>
        <v>0</v>
      </c>
      <c r="L190" s="5">
        <f t="shared" ca="1" si="70"/>
        <v>0</v>
      </c>
      <c r="M190" s="5">
        <f t="shared" ca="1" si="71"/>
        <v>0</v>
      </c>
      <c r="N190" s="5">
        <f t="shared" ca="1" si="72"/>
        <v>0</v>
      </c>
      <c r="O190" s="5">
        <f t="shared" ca="1" si="73"/>
        <v>0</v>
      </c>
      <c r="P190" s="5">
        <f t="shared" ca="1" si="74"/>
        <v>0</v>
      </c>
      <c r="Q190" s="5" t="e">
        <f t="shared" ca="1" si="75"/>
        <v>#N/A</v>
      </c>
      <c r="R190" s="5">
        <f t="shared" ca="1" si="80"/>
        <v>0</v>
      </c>
      <c r="S190" s="67" t="e">
        <f t="shared" ca="1" si="81"/>
        <v>#N/A</v>
      </c>
      <c r="T190" s="67">
        <f t="shared" ca="1" si="82"/>
        <v>0</v>
      </c>
      <c r="U190" s="67" t="e">
        <f t="shared" ca="1" si="83"/>
        <v>#N/A</v>
      </c>
      <c r="V190" s="5">
        <f t="shared" ca="1" si="62"/>
        <v>0</v>
      </c>
      <c r="W190" s="5" t="e">
        <f t="shared" ca="1" si="76"/>
        <v>#N/A</v>
      </c>
      <c r="X190" s="67">
        <f t="shared" ca="1" si="77"/>
        <v>0</v>
      </c>
      <c r="Y190" s="67" t="e">
        <f t="shared" ca="1" si="84"/>
        <v>#N/A</v>
      </c>
      <c r="Z190" s="67" t="e">
        <f t="shared" ca="1" si="85"/>
        <v>#N/A</v>
      </c>
      <c r="AA190" s="5" t="str">
        <f>IF(Setup!$I$15="Yes",'Demand background (hide)'!AJ178+'SPC background (hide)'!C190,"")</f>
        <v/>
      </c>
      <c r="AC190" s="5" t="str">
        <f t="shared" ca="1" si="78"/>
        <v/>
      </c>
      <c r="AD190" s="5" t="str">
        <f t="shared" ca="1" si="79"/>
        <v/>
      </c>
    </row>
    <row r="191" spans="1:30" x14ac:dyDescent="0.2">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f t="shared" ca="1" si="67"/>
        <v>5</v>
      </c>
      <c r="J191" s="5">
        <f t="shared" ca="1" si="68"/>
        <v>0</v>
      </c>
      <c r="K191" s="5">
        <f t="shared" ca="1" si="69"/>
        <v>0</v>
      </c>
      <c r="L191" s="5">
        <f t="shared" ca="1" si="70"/>
        <v>0</v>
      </c>
      <c r="M191" s="5">
        <f t="shared" ca="1" si="71"/>
        <v>0</v>
      </c>
      <c r="N191" s="5">
        <f t="shared" ca="1" si="72"/>
        <v>0</v>
      </c>
      <c r="O191" s="5">
        <f t="shared" ca="1" si="73"/>
        <v>0</v>
      </c>
      <c r="P191" s="5">
        <f t="shared" ca="1" si="74"/>
        <v>0</v>
      </c>
      <c r="Q191" s="5" t="e">
        <f t="shared" ca="1" si="75"/>
        <v>#N/A</v>
      </c>
      <c r="R191" s="5">
        <f t="shared" ca="1" si="80"/>
        <v>0</v>
      </c>
      <c r="S191" s="67" t="e">
        <f t="shared" ca="1" si="81"/>
        <v>#N/A</v>
      </c>
      <c r="T191" s="67">
        <f t="shared" ca="1" si="82"/>
        <v>0</v>
      </c>
      <c r="U191" s="67" t="e">
        <f t="shared" ca="1" si="83"/>
        <v>#N/A</v>
      </c>
      <c r="V191" s="5">
        <f t="shared" ca="1" si="62"/>
        <v>0</v>
      </c>
      <c r="W191" s="5" t="e">
        <f t="shared" ca="1" si="76"/>
        <v>#N/A</v>
      </c>
      <c r="X191" s="67">
        <f t="shared" ca="1" si="77"/>
        <v>0</v>
      </c>
      <c r="Y191" s="67" t="e">
        <f t="shared" ca="1" si="84"/>
        <v>#N/A</v>
      </c>
      <c r="Z191" s="67" t="e">
        <f t="shared" ca="1" si="85"/>
        <v>#N/A</v>
      </c>
      <c r="AA191" s="5" t="str">
        <f>IF(Setup!$I$15="Yes",'Demand background (hide)'!AJ179+'SPC background (hide)'!C191,"")</f>
        <v/>
      </c>
      <c r="AC191" s="5" t="str">
        <f t="shared" ca="1" si="78"/>
        <v/>
      </c>
      <c r="AD191" s="5" t="str">
        <f t="shared" ca="1" si="79"/>
        <v/>
      </c>
    </row>
    <row r="192" spans="1:30" x14ac:dyDescent="0.2">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f t="shared" ca="1" si="67"/>
        <v>5</v>
      </c>
      <c r="J192" s="5">
        <f t="shared" ca="1" si="68"/>
        <v>0</v>
      </c>
      <c r="K192" s="5">
        <f t="shared" ca="1" si="69"/>
        <v>0</v>
      </c>
      <c r="L192" s="5">
        <f t="shared" ca="1" si="70"/>
        <v>0</v>
      </c>
      <c r="M192" s="5">
        <f t="shared" ca="1" si="71"/>
        <v>0</v>
      </c>
      <c r="N192" s="5">
        <f t="shared" ca="1" si="72"/>
        <v>0</v>
      </c>
      <c r="O192" s="5">
        <f t="shared" ca="1" si="73"/>
        <v>0</v>
      </c>
      <c r="P192" s="5">
        <f t="shared" ca="1" si="74"/>
        <v>0</v>
      </c>
      <c r="Q192" s="5" t="e">
        <f t="shared" ca="1" si="75"/>
        <v>#N/A</v>
      </c>
      <c r="R192" s="5">
        <f t="shared" ca="1" si="80"/>
        <v>0</v>
      </c>
      <c r="S192" s="67" t="e">
        <f t="shared" ca="1" si="81"/>
        <v>#N/A</v>
      </c>
      <c r="T192" s="67">
        <f t="shared" ca="1" si="82"/>
        <v>0</v>
      </c>
      <c r="U192" s="67" t="e">
        <f t="shared" ca="1" si="83"/>
        <v>#N/A</v>
      </c>
      <c r="V192" s="5">
        <f t="shared" ca="1" si="62"/>
        <v>0</v>
      </c>
      <c r="W192" s="5" t="e">
        <f t="shared" ca="1" si="76"/>
        <v>#N/A</v>
      </c>
      <c r="X192" s="67">
        <f t="shared" ca="1" si="77"/>
        <v>0</v>
      </c>
      <c r="Y192" s="67" t="e">
        <f t="shared" ca="1" si="84"/>
        <v>#N/A</v>
      </c>
      <c r="Z192" s="67" t="e">
        <f t="shared" ca="1" si="85"/>
        <v>#N/A</v>
      </c>
      <c r="AA192" s="5" t="str">
        <f>IF(Setup!$I$15="Yes",'Demand background (hide)'!AJ180+'SPC background (hide)'!C192,"")</f>
        <v/>
      </c>
      <c r="AC192" s="5" t="str">
        <f t="shared" ca="1" si="78"/>
        <v/>
      </c>
      <c r="AD192" s="5" t="str">
        <f t="shared" ca="1" si="79"/>
        <v/>
      </c>
    </row>
    <row r="193" spans="1:30" x14ac:dyDescent="0.2">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f t="shared" ca="1" si="67"/>
        <v>5</v>
      </c>
      <c r="J193" s="5">
        <f t="shared" ca="1" si="68"/>
        <v>0</v>
      </c>
      <c r="K193" s="5">
        <f t="shared" ca="1" si="69"/>
        <v>0</v>
      </c>
      <c r="L193" s="5">
        <f t="shared" ca="1" si="70"/>
        <v>0</v>
      </c>
      <c r="M193" s="5">
        <f t="shared" ca="1" si="71"/>
        <v>0</v>
      </c>
      <c r="N193" s="5">
        <f t="shared" ca="1" si="72"/>
        <v>0</v>
      </c>
      <c r="O193" s="5">
        <f t="shared" ca="1" si="73"/>
        <v>0</v>
      </c>
      <c r="P193" s="5">
        <f t="shared" ca="1" si="74"/>
        <v>0</v>
      </c>
      <c r="Q193" s="5" t="e">
        <f t="shared" ca="1" si="75"/>
        <v>#N/A</v>
      </c>
      <c r="R193" s="5">
        <f t="shared" ca="1" si="80"/>
        <v>0</v>
      </c>
      <c r="S193" s="67" t="e">
        <f t="shared" ca="1" si="81"/>
        <v>#N/A</v>
      </c>
      <c r="T193" s="67">
        <f t="shared" ca="1" si="82"/>
        <v>0</v>
      </c>
      <c r="U193" s="67" t="e">
        <f t="shared" ca="1" si="83"/>
        <v>#N/A</v>
      </c>
      <c r="V193" s="5">
        <f t="shared" ca="1" si="62"/>
        <v>0</v>
      </c>
      <c r="W193" s="5" t="e">
        <f t="shared" ca="1" si="76"/>
        <v>#N/A</v>
      </c>
      <c r="X193" s="67">
        <f t="shared" ca="1" si="77"/>
        <v>0</v>
      </c>
      <c r="Y193" s="67" t="e">
        <f t="shared" ca="1" si="84"/>
        <v>#N/A</v>
      </c>
      <c r="Z193" s="67" t="e">
        <f t="shared" ca="1" si="85"/>
        <v>#N/A</v>
      </c>
      <c r="AA193" s="5" t="str">
        <f>IF(Setup!$I$15="Yes",'Demand background (hide)'!AJ181+'SPC background (hide)'!C193,"")</f>
        <v/>
      </c>
      <c r="AC193" s="5" t="str">
        <f t="shared" ca="1" si="78"/>
        <v/>
      </c>
      <c r="AD193" s="5" t="str">
        <f t="shared" ca="1" si="79"/>
        <v/>
      </c>
    </row>
    <row r="194" spans="1:30" x14ac:dyDescent="0.2">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f t="shared" ca="1" si="67"/>
        <v>5</v>
      </c>
      <c r="J194" s="5">
        <f t="shared" ca="1" si="68"/>
        <v>0</v>
      </c>
      <c r="K194" s="5">
        <f t="shared" ca="1" si="69"/>
        <v>0</v>
      </c>
      <c r="L194" s="5">
        <f t="shared" ca="1" si="70"/>
        <v>0</v>
      </c>
      <c r="M194" s="5">
        <f t="shared" ca="1" si="71"/>
        <v>0</v>
      </c>
      <c r="N194" s="5">
        <f t="shared" ca="1" si="72"/>
        <v>0</v>
      </c>
      <c r="O194" s="5">
        <f t="shared" ca="1" si="73"/>
        <v>0</v>
      </c>
      <c r="P194" s="5">
        <f t="shared" ca="1" si="74"/>
        <v>0</v>
      </c>
      <c r="Q194" s="5" t="e">
        <f t="shared" ca="1" si="75"/>
        <v>#N/A</v>
      </c>
      <c r="R194" s="5">
        <f t="shared" ca="1" si="80"/>
        <v>0</v>
      </c>
      <c r="S194" s="67" t="e">
        <f t="shared" ca="1" si="81"/>
        <v>#N/A</v>
      </c>
      <c r="T194" s="67">
        <f t="shared" ca="1" si="82"/>
        <v>0</v>
      </c>
      <c r="U194" s="67" t="e">
        <f t="shared" ca="1" si="83"/>
        <v>#N/A</v>
      </c>
      <c r="V194" s="5">
        <f t="shared" ca="1" si="62"/>
        <v>0</v>
      </c>
      <c r="W194" s="5" t="e">
        <f t="shared" ca="1" si="76"/>
        <v>#N/A</v>
      </c>
      <c r="X194" s="67">
        <f t="shared" ca="1" si="77"/>
        <v>0</v>
      </c>
      <c r="Y194" s="67" t="e">
        <f t="shared" ca="1" si="84"/>
        <v>#N/A</v>
      </c>
      <c r="Z194" s="67" t="e">
        <f t="shared" ca="1" si="85"/>
        <v>#N/A</v>
      </c>
      <c r="AA194" s="5" t="str">
        <f>IF(Setup!$I$15="Yes",'Demand background (hide)'!AJ182+'SPC background (hide)'!C194,"")</f>
        <v/>
      </c>
      <c r="AC194" s="5" t="str">
        <f t="shared" ca="1" si="78"/>
        <v/>
      </c>
      <c r="AD194" s="5" t="str">
        <f t="shared" ca="1" si="79"/>
        <v/>
      </c>
    </row>
    <row r="195" spans="1:30" x14ac:dyDescent="0.2">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f t="shared" ca="1" si="67"/>
        <v>5</v>
      </c>
      <c r="J195" s="5">
        <f t="shared" ca="1" si="68"/>
        <v>0</v>
      </c>
      <c r="K195" s="5">
        <f t="shared" ca="1" si="69"/>
        <v>0</v>
      </c>
      <c r="L195" s="5">
        <f t="shared" ca="1" si="70"/>
        <v>0</v>
      </c>
      <c r="M195" s="5">
        <f t="shared" ca="1" si="71"/>
        <v>0</v>
      </c>
      <c r="N195" s="5">
        <f t="shared" ca="1" si="72"/>
        <v>0</v>
      </c>
      <c r="O195" s="5">
        <f t="shared" ca="1" si="73"/>
        <v>0</v>
      </c>
      <c r="P195" s="5">
        <f t="shared" ca="1" si="74"/>
        <v>0</v>
      </c>
      <c r="Q195" s="5" t="e">
        <f t="shared" ca="1" si="75"/>
        <v>#N/A</v>
      </c>
      <c r="R195" s="5">
        <f t="shared" ca="1" si="80"/>
        <v>0</v>
      </c>
      <c r="S195" s="67" t="e">
        <f t="shared" ca="1" si="81"/>
        <v>#N/A</v>
      </c>
      <c r="T195" s="67">
        <f t="shared" ca="1" si="82"/>
        <v>0</v>
      </c>
      <c r="U195" s="67" t="e">
        <f t="shared" ca="1" si="83"/>
        <v>#N/A</v>
      </c>
      <c r="V195" s="5">
        <f t="shared" ca="1" si="62"/>
        <v>0</v>
      </c>
      <c r="W195" s="5" t="e">
        <f t="shared" ca="1" si="76"/>
        <v>#N/A</v>
      </c>
      <c r="X195" s="67">
        <f t="shared" ca="1" si="77"/>
        <v>0</v>
      </c>
      <c r="Y195" s="67" t="e">
        <f t="shared" ca="1" si="84"/>
        <v>#N/A</v>
      </c>
      <c r="Z195" s="67" t="e">
        <f t="shared" ca="1" si="85"/>
        <v>#N/A</v>
      </c>
      <c r="AA195" s="5" t="str">
        <f>IF(Setup!$I$15="Yes",'Demand background (hide)'!AJ183+'SPC background (hide)'!C195,"")</f>
        <v/>
      </c>
      <c r="AC195" s="5" t="str">
        <f t="shared" ca="1" si="78"/>
        <v/>
      </c>
      <c r="AD195" s="5" t="str">
        <f t="shared" ca="1" si="79"/>
        <v/>
      </c>
    </row>
    <row r="196" spans="1:30" x14ac:dyDescent="0.2">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f t="shared" ca="1" si="67"/>
        <v>5</v>
      </c>
      <c r="J196" s="5">
        <f t="shared" ca="1" si="68"/>
        <v>0</v>
      </c>
      <c r="K196" s="5">
        <f t="shared" ca="1" si="69"/>
        <v>0</v>
      </c>
      <c r="L196" s="5">
        <f t="shared" ca="1" si="70"/>
        <v>0</v>
      </c>
      <c r="M196" s="5">
        <f t="shared" ca="1" si="71"/>
        <v>0</v>
      </c>
      <c r="N196" s="5">
        <f t="shared" ca="1" si="72"/>
        <v>0</v>
      </c>
      <c r="O196" s="5">
        <f t="shared" ca="1" si="73"/>
        <v>0</v>
      </c>
      <c r="P196" s="5">
        <f t="shared" ca="1" si="74"/>
        <v>0</v>
      </c>
      <c r="Q196" s="5" t="e">
        <f t="shared" ca="1" si="75"/>
        <v>#N/A</v>
      </c>
      <c r="R196" s="5">
        <f t="shared" ca="1" si="80"/>
        <v>0</v>
      </c>
      <c r="S196" s="67" t="e">
        <f t="shared" ca="1" si="81"/>
        <v>#N/A</v>
      </c>
      <c r="T196" s="67">
        <f t="shared" ca="1" si="82"/>
        <v>0</v>
      </c>
      <c r="U196" s="67" t="e">
        <f t="shared" ca="1" si="83"/>
        <v>#N/A</v>
      </c>
      <c r="V196" s="5">
        <f t="shared" ca="1" si="62"/>
        <v>0</v>
      </c>
      <c r="W196" s="5" t="e">
        <f t="shared" ca="1" si="76"/>
        <v>#N/A</v>
      </c>
      <c r="X196" s="67">
        <f t="shared" ca="1" si="77"/>
        <v>0</v>
      </c>
      <c r="Y196" s="67" t="e">
        <f t="shared" ca="1" si="84"/>
        <v>#N/A</v>
      </c>
      <c r="Z196" s="67" t="e">
        <f t="shared" ca="1" si="85"/>
        <v>#N/A</v>
      </c>
      <c r="AA196" s="5" t="str">
        <f>IF(Setup!$I$15="Yes",'Demand background (hide)'!AJ184+'SPC background (hide)'!C196,"")</f>
        <v/>
      </c>
      <c r="AC196" s="5" t="str">
        <f t="shared" ca="1" si="78"/>
        <v/>
      </c>
      <c r="AD196" s="5" t="str">
        <f t="shared" ca="1" si="79"/>
        <v/>
      </c>
    </row>
    <row r="197" spans="1:30" x14ac:dyDescent="0.2">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f t="shared" ca="1" si="67"/>
        <v>5</v>
      </c>
      <c r="J197" s="5">
        <f t="shared" ca="1" si="68"/>
        <v>0</v>
      </c>
      <c r="K197" s="5">
        <f t="shared" ca="1" si="69"/>
        <v>0</v>
      </c>
      <c r="L197" s="5">
        <f t="shared" ca="1" si="70"/>
        <v>0</v>
      </c>
      <c r="M197" s="5">
        <f t="shared" ca="1" si="71"/>
        <v>0</v>
      </c>
      <c r="N197" s="5">
        <f t="shared" ca="1" si="72"/>
        <v>0</v>
      </c>
      <c r="O197" s="5">
        <f t="shared" ca="1" si="73"/>
        <v>0</v>
      </c>
      <c r="P197" s="5">
        <f t="shared" ca="1" si="74"/>
        <v>0</v>
      </c>
      <c r="Q197" s="5" t="e">
        <f t="shared" ca="1" si="75"/>
        <v>#N/A</v>
      </c>
      <c r="R197" s="5">
        <f t="shared" ca="1" si="80"/>
        <v>0</v>
      </c>
      <c r="S197" s="67" t="e">
        <f t="shared" ca="1" si="81"/>
        <v>#N/A</v>
      </c>
      <c r="T197" s="67">
        <f t="shared" ca="1" si="82"/>
        <v>0</v>
      </c>
      <c r="U197" s="67" t="e">
        <f t="shared" ca="1" si="83"/>
        <v>#N/A</v>
      </c>
      <c r="V197" s="5">
        <f t="shared" ca="1" si="62"/>
        <v>0</v>
      </c>
      <c r="W197" s="5" t="e">
        <f t="shared" ca="1" si="76"/>
        <v>#N/A</v>
      </c>
      <c r="X197" s="67">
        <f t="shared" ca="1" si="77"/>
        <v>0</v>
      </c>
      <c r="Y197" s="67" t="e">
        <f t="shared" ca="1" si="84"/>
        <v>#N/A</v>
      </c>
      <c r="Z197" s="67" t="e">
        <f t="shared" ca="1" si="85"/>
        <v>#N/A</v>
      </c>
      <c r="AA197" s="5" t="str">
        <f>IF(Setup!$I$15="Yes",'Demand background (hide)'!AJ185+'SPC background (hide)'!C197,"")</f>
        <v/>
      </c>
      <c r="AC197" s="5" t="str">
        <f t="shared" ca="1" si="78"/>
        <v/>
      </c>
      <c r="AD197" s="5" t="str">
        <f t="shared" ca="1" si="79"/>
        <v/>
      </c>
    </row>
    <row r="198" spans="1:30" x14ac:dyDescent="0.2">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f t="shared" ca="1" si="67"/>
        <v>5</v>
      </c>
      <c r="J198" s="5">
        <f t="shared" ca="1" si="68"/>
        <v>0</v>
      </c>
      <c r="K198" s="5">
        <f t="shared" ca="1" si="69"/>
        <v>0</v>
      </c>
      <c r="L198" s="5">
        <f t="shared" ca="1" si="70"/>
        <v>0</v>
      </c>
      <c r="M198" s="5">
        <f t="shared" ca="1" si="71"/>
        <v>0</v>
      </c>
      <c r="N198" s="5">
        <f t="shared" ca="1" si="72"/>
        <v>0</v>
      </c>
      <c r="O198" s="5">
        <f t="shared" ca="1" si="73"/>
        <v>0</v>
      </c>
      <c r="P198" s="5">
        <f t="shared" ca="1" si="74"/>
        <v>0</v>
      </c>
      <c r="Q198" s="5" t="e">
        <f t="shared" ca="1" si="75"/>
        <v>#N/A</v>
      </c>
      <c r="R198" s="5">
        <f t="shared" ca="1" si="80"/>
        <v>0</v>
      </c>
      <c r="S198" s="67" t="e">
        <f t="shared" ca="1" si="81"/>
        <v>#N/A</v>
      </c>
      <c r="T198" s="67">
        <f t="shared" ca="1" si="82"/>
        <v>0</v>
      </c>
      <c r="U198" s="67" t="e">
        <f t="shared" ca="1" si="83"/>
        <v>#N/A</v>
      </c>
      <c r="V198" s="5">
        <f t="shared" ca="1" si="62"/>
        <v>0</v>
      </c>
      <c r="W198" s="5" t="e">
        <f t="shared" ca="1" si="76"/>
        <v>#N/A</v>
      </c>
      <c r="X198" s="67">
        <f t="shared" ca="1" si="77"/>
        <v>0</v>
      </c>
      <c r="Y198" s="67" t="e">
        <f t="shared" ca="1" si="84"/>
        <v>#N/A</v>
      </c>
      <c r="Z198" s="67" t="e">
        <f t="shared" ca="1" si="85"/>
        <v>#N/A</v>
      </c>
      <c r="AA198" s="5" t="str">
        <f>IF(Setup!$I$15="Yes",'Demand background (hide)'!AJ186+'SPC background (hide)'!C198,"")</f>
        <v/>
      </c>
      <c r="AC198" s="5" t="str">
        <f t="shared" ca="1" si="78"/>
        <v/>
      </c>
      <c r="AD198" s="5" t="str">
        <f t="shared" ca="1" si="79"/>
        <v/>
      </c>
    </row>
    <row r="199" spans="1:30" x14ac:dyDescent="0.2">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f t="shared" ca="1" si="67"/>
        <v>5</v>
      </c>
      <c r="J199" s="5">
        <f t="shared" ca="1" si="68"/>
        <v>0</v>
      </c>
      <c r="K199" s="5">
        <f t="shared" ca="1" si="69"/>
        <v>0</v>
      </c>
      <c r="L199" s="5">
        <f t="shared" ca="1" si="70"/>
        <v>0</v>
      </c>
      <c r="M199" s="5">
        <f t="shared" ca="1" si="71"/>
        <v>0</v>
      </c>
      <c r="N199" s="5">
        <f t="shared" ca="1" si="72"/>
        <v>0</v>
      </c>
      <c r="O199" s="5">
        <f t="shared" ca="1" si="73"/>
        <v>0</v>
      </c>
      <c r="P199" s="5">
        <f t="shared" ca="1" si="74"/>
        <v>0</v>
      </c>
      <c r="Q199" s="5" t="e">
        <f t="shared" ca="1" si="75"/>
        <v>#N/A</v>
      </c>
      <c r="R199" s="5">
        <f t="shared" ca="1" si="80"/>
        <v>0</v>
      </c>
      <c r="S199" s="67" t="e">
        <f t="shared" ca="1" si="81"/>
        <v>#N/A</v>
      </c>
      <c r="T199" s="67">
        <f t="shared" ca="1" si="82"/>
        <v>0</v>
      </c>
      <c r="U199" s="67" t="e">
        <f t="shared" ca="1" si="83"/>
        <v>#N/A</v>
      </c>
      <c r="V199" s="5">
        <f t="shared" ca="1" si="62"/>
        <v>0</v>
      </c>
      <c r="W199" s="5" t="e">
        <f t="shared" ca="1" si="76"/>
        <v>#N/A</v>
      </c>
      <c r="X199" s="67">
        <f t="shared" ca="1" si="77"/>
        <v>0</v>
      </c>
      <c r="Y199" s="67" t="e">
        <f t="shared" ca="1" si="84"/>
        <v>#N/A</v>
      </c>
      <c r="Z199" s="67" t="e">
        <f t="shared" ca="1" si="85"/>
        <v>#N/A</v>
      </c>
      <c r="AA199" s="5" t="str">
        <f>IF(Setup!$I$15="Yes",'Demand background (hide)'!AJ187+'SPC background (hide)'!C199,"")</f>
        <v/>
      </c>
      <c r="AC199" s="5" t="str">
        <f t="shared" ca="1" si="78"/>
        <v/>
      </c>
      <c r="AD199" s="5" t="str">
        <f t="shared" ca="1" si="79"/>
        <v/>
      </c>
    </row>
    <row r="200" spans="1:30" x14ac:dyDescent="0.2">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f t="shared" ca="1" si="67"/>
        <v>5</v>
      </c>
      <c r="J200" s="5">
        <f t="shared" ca="1" si="68"/>
        <v>0</v>
      </c>
      <c r="K200" s="5">
        <f t="shared" ca="1" si="69"/>
        <v>0</v>
      </c>
      <c r="L200" s="5">
        <f t="shared" ca="1" si="70"/>
        <v>0</v>
      </c>
      <c r="M200" s="5">
        <f t="shared" ca="1" si="71"/>
        <v>0</v>
      </c>
      <c r="N200" s="5">
        <f t="shared" ca="1" si="72"/>
        <v>0</v>
      </c>
      <c r="O200" s="5">
        <f t="shared" ca="1" si="73"/>
        <v>0</v>
      </c>
      <c r="P200" s="5">
        <f t="shared" ca="1" si="74"/>
        <v>0</v>
      </c>
      <c r="Q200" s="5" t="e">
        <f t="shared" ca="1" si="75"/>
        <v>#N/A</v>
      </c>
      <c r="R200" s="5">
        <f t="shared" ca="1" si="80"/>
        <v>0</v>
      </c>
      <c r="S200" s="67" t="e">
        <f t="shared" ca="1" si="81"/>
        <v>#N/A</v>
      </c>
      <c r="T200" s="67">
        <f t="shared" ca="1" si="82"/>
        <v>0</v>
      </c>
      <c r="U200" s="67" t="e">
        <f t="shared" ca="1" si="83"/>
        <v>#N/A</v>
      </c>
      <c r="V200" s="5">
        <f t="shared" ca="1" si="62"/>
        <v>0</v>
      </c>
      <c r="W200" s="5" t="e">
        <f t="shared" ca="1" si="76"/>
        <v>#N/A</v>
      </c>
      <c r="X200" s="67">
        <f t="shared" ca="1" si="77"/>
        <v>0</v>
      </c>
      <c r="Y200" s="67" t="e">
        <f t="shared" ca="1" si="84"/>
        <v>#N/A</v>
      </c>
      <c r="Z200" s="67" t="e">
        <f t="shared" ca="1" si="85"/>
        <v>#N/A</v>
      </c>
      <c r="AA200" s="5" t="str">
        <f>IF(Setup!$I$15="Yes",'Demand background (hide)'!AJ188+'SPC background (hide)'!C200,"")</f>
        <v/>
      </c>
      <c r="AC200" s="5" t="str">
        <f t="shared" ca="1" si="78"/>
        <v/>
      </c>
      <c r="AD200" s="5" t="str">
        <f t="shared" ca="1" si="79"/>
        <v/>
      </c>
    </row>
    <row r="201" spans="1:30" x14ac:dyDescent="0.2">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f t="shared" ca="1" si="67"/>
        <v>5</v>
      </c>
      <c r="J201" s="5">
        <f t="shared" ca="1" si="68"/>
        <v>0</v>
      </c>
      <c r="K201" s="5">
        <f t="shared" ca="1" si="69"/>
        <v>0</v>
      </c>
      <c r="L201" s="5">
        <f t="shared" ca="1" si="70"/>
        <v>0</v>
      </c>
      <c r="M201" s="5">
        <f t="shared" ca="1" si="71"/>
        <v>0</v>
      </c>
      <c r="N201" s="5">
        <f t="shared" ca="1" si="72"/>
        <v>0</v>
      </c>
      <c r="O201" s="5">
        <f t="shared" ca="1" si="73"/>
        <v>0</v>
      </c>
      <c r="P201" s="5">
        <f t="shared" ca="1" si="74"/>
        <v>0</v>
      </c>
      <c r="Q201" s="5" t="e">
        <f t="shared" ca="1" si="75"/>
        <v>#N/A</v>
      </c>
      <c r="R201" s="5">
        <f t="shared" ca="1" si="80"/>
        <v>0</v>
      </c>
      <c r="S201" s="67" t="e">
        <f t="shared" ca="1" si="81"/>
        <v>#N/A</v>
      </c>
      <c r="T201" s="67">
        <f t="shared" ca="1" si="82"/>
        <v>0</v>
      </c>
      <c r="U201" s="67" t="e">
        <f t="shared" ca="1" si="83"/>
        <v>#N/A</v>
      </c>
      <c r="V201" s="5">
        <f t="shared" ca="1" si="62"/>
        <v>0</v>
      </c>
      <c r="W201" s="5" t="e">
        <f t="shared" ca="1" si="76"/>
        <v>#N/A</v>
      </c>
      <c r="X201" s="67">
        <f t="shared" ca="1" si="77"/>
        <v>0</v>
      </c>
      <c r="Y201" s="67" t="e">
        <f t="shared" ca="1" si="84"/>
        <v>#N/A</v>
      </c>
      <c r="Z201" s="67" t="e">
        <f t="shared" ca="1" si="85"/>
        <v>#N/A</v>
      </c>
      <c r="AA201" s="5" t="str">
        <f>IF(Setup!$I$15="Yes",'Demand background (hide)'!AJ189+'SPC background (hide)'!C201,"")</f>
        <v/>
      </c>
      <c r="AC201" s="5" t="str">
        <f t="shared" ca="1" si="78"/>
        <v/>
      </c>
      <c r="AD201" s="5" t="str">
        <f t="shared" ca="1" si="79"/>
        <v/>
      </c>
    </row>
    <row r="202" spans="1:30" x14ac:dyDescent="0.2">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f t="shared" ca="1" si="67"/>
        <v>5</v>
      </c>
      <c r="J202" s="5">
        <f t="shared" ca="1" si="68"/>
        <v>0</v>
      </c>
      <c r="K202" s="5">
        <f t="shared" ca="1" si="69"/>
        <v>0</v>
      </c>
      <c r="L202" s="5">
        <f t="shared" ca="1" si="70"/>
        <v>0</v>
      </c>
      <c r="M202" s="5">
        <f t="shared" ca="1" si="71"/>
        <v>0</v>
      </c>
      <c r="N202" s="5">
        <f t="shared" ca="1" si="72"/>
        <v>0</v>
      </c>
      <c r="O202" s="5">
        <f t="shared" ca="1" si="73"/>
        <v>0</v>
      </c>
      <c r="P202" s="5">
        <f t="shared" ca="1" si="74"/>
        <v>0</v>
      </c>
      <c r="Q202" s="5" t="e">
        <f t="shared" ca="1" si="75"/>
        <v>#N/A</v>
      </c>
      <c r="R202" s="5">
        <f t="shared" ca="1" si="80"/>
        <v>0</v>
      </c>
      <c r="S202" s="67" t="e">
        <f t="shared" ca="1" si="81"/>
        <v>#N/A</v>
      </c>
      <c r="T202" s="67">
        <f t="shared" ca="1" si="82"/>
        <v>0</v>
      </c>
      <c r="U202" s="67" t="e">
        <f t="shared" ca="1" si="83"/>
        <v>#N/A</v>
      </c>
      <c r="V202" s="5">
        <f t="shared" ca="1" si="62"/>
        <v>0</v>
      </c>
      <c r="W202" s="5" t="e">
        <f t="shared" ca="1" si="76"/>
        <v>#N/A</v>
      </c>
      <c r="X202" s="67">
        <f t="shared" ca="1" si="77"/>
        <v>0</v>
      </c>
      <c r="Y202" s="67" t="e">
        <f t="shared" ca="1" si="84"/>
        <v>#N/A</v>
      </c>
      <c r="Z202" s="67" t="e">
        <f t="shared" ca="1" si="85"/>
        <v>#N/A</v>
      </c>
      <c r="AA202" s="5" t="str">
        <f>IF(Setup!$I$15="Yes",'Demand background (hide)'!AJ190+'SPC background (hide)'!C202,"")</f>
        <v/>
      </c>
      <c r="AC202" s="5" t="str">
        <f t="shared" ca="1" si="78"/>
        <v/>
      </c>
      <c r="AD202" s="5" t="str">
        <f t="shared" ca="1" si="79"/>
        <v/>
      </c>
    </row>
    <row r="203" spans="1:30" x14ac:dyDescent="0.2">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f t="shared" ca="1" si="67"/>
        <v>5</v>
      </c>
      <c r="J203" s="5">
        <f t="shared" ca="1" si="68"/>
        <v>0</v>
      </c>
      <c r="K203" s="5">
        <f t="shared" ca="1" si="69"/>
        <v>0</v>
      </c>
      <c r="L203" s="5">
        <f t="shared" ca="1" si="70"/>
        <v>0</v>
      </c>
      <c r="M203" s="5">
        <f t="shared" ca="1" si="71"/>
        <v>0</v>
      </c>
      <c r="N203" s="5">
        <f t="shared" ca="1" si="72"/>
        <v>0</v>
      </c>
      <c r="O203" s="5">
        <f t="shared" ca="1" si="73"/>
        <v>0</v>
      </c>
      <c r="P203" s="5">
        <f t="shared" ca="1" si="74"/>
        <v>0</v>
      </c>
      <c r="Q203" s="5" t="e">
        <f t="shared" ca="1" si="75"/>
        <v>#N/A</v>
      </c>
      <c r="R203" s="5">
        <f t="shared" ca="1" si="80"/>
        <v>0</v>
      </c>
      <c r="S203" s="67" t="e">
        <f t="shared" ca="1" si="81"/>
        <v>#N/A</v>
      </c>
      <c r="T203" s="67">
        <f t="shared" ca="1" si="82"/>
        <v>0</v>
      </c>
      <c r="U203" s="67" t="e">
        <f t="shared" ca="1" si="83"/>
        <v>#N/A</v>
      </c>
      <c r="V203" s="5">
        <f t="shared" ca="1" si="62"/>
        <v>0</v>
      </c>
      <c r="W203" s="5" t="e">
        <f t="shared" ca="1" si="76"/>
        <v>#N/A</v>
      </c>
      <c r="X203" s="67">
        <f t="shared" ca="1" si="77"/>
        <v>0</v>
      </c>
      <c r="Y203" s="67" t="e">
        <f t="shared" ca="1" si="84"/>
        <v>#N/A</v>
      </c>
      <c r="Z203" s="67" t="e">
        <f t="shared" ca="1" si="85"/>
        <v>#N/A</v>
      </c>
      <c r="AA203" s="5" t="str">
        <f>IF(Setup!$I$15="Yes",'Demand background (hide)'!AJ191+'SPC background (hide)'!C203,"")</f>
        <v/>
      </c>
      <c r="AC203" s="5" t="str">
        <f t="shared" ca="1" si="78"/>
        <v/>
      </c>
      <c r="AD203" s="5" t="str">
        <f t="shared" ca="1" si="79"/>
        <v/>
      </c>
    </row>
    <row r="204" spans="1:30" x14ac:dyDescent="0.2">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f t="shared" ca="1" si="67"/>
        <v>5</v>
      </c>
      <c r="J204" s="5">
        <f t="shared" ca="1" si="68"/>
        <v>0</v>
      </c>
      <c r="K204" s="5">
        <f t="shared" ca="1" si="69"/>
        <v>0</v>
      </c>
      <c r="L204" s="5">
        <f t="shared" ca="1" si="70"/>
        <v>0</v>
      </c>
      <c r="M204" s="5">
        <f t="shared" ca="1" si="71"/>
        <v>0</v>
      </c>
      <c r="N204" s="5">
        <f t="shared" ca="1" si="72"/>
        <v>0</v>
      </c>
      <c r="O204" s="5">
        <f t="shared" ca="1" si="73"/>
        <v>0</v>
      </c>
      <c r="P204" s="5">
        <f t="shared" ca="1" si="74"/>
        <v>0</v>
      </c>
      <c r="Q204" s="5" t="e">
        <f t="shared" ca="1" si="75"/>
        <v>#N/A</v>
      </c>
      <c r="R204" s="5">
        <f t="shared" ca="1" si="80"/>
        <v>0</v>
      </c>
      <c r="S204" s="67" t="e">
        <f t="shared" ca="1" si="81"/>
        <v>#N/A</v>
      </c>
      <c r="T204" s="67">
        <f t="shared" ca="1" si="82"/>
        <v>0</v>
      </c>
      <c r="U204" s="67" t="e">
        <f t="shared" ca="1" si="83"/>
        <v>#N/A</v>
      </c>
      <c r="V204" s="5">
        <f t="shared" ca="1" si="62"/>
        <v>0</v>
      </c>
      <c r="W204" s="5" t="e">
        <f t="shared" ca="1" si="76"/>
        <v>#N/A</v>
      </c>
      <c r="X204" s="67">
        <f t="shared" ca="1" si="77"/>
        <v>0</v>
      </c>
      <c r="Y204" s="67" t="e">
        <f t="shared" ca="1" si="84"/>
        <v>#N/A</v>
      </c>
      <c r="Z204" s="67" t="e">
        <f t="shared" ca="1" si="85"/>
        <v>#N/A</v>
      </c>
      <c r="AA204" s="5" t="str">
        <f>IF(Setup!$I$15="Yes",'Demand background (hide)'!AJ192+'SPC background (hide)'!C204,"")</f>
        <v/>
      </c>
      <c r="AC204" s="5" t="str">
        <f t="shared" ca="1" si="78"/>
        <v/>
      </c>
      <c r="AD204" s="5" t="str">
        <f t="shared" ca="1" si="79"/>
        <v/>
      </c>
    </row>
    <row r="205" spans="1:30" x14ac:dyDescent="0.2">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f t="shared" ca="1" si="67"/>
        <v>5</v>
      </c>
      <c r="J205" s="5">
        <f t="shared" ca="1" si="68"/>
        <v>0</v>
      </c>
      <c r="K205" s="5">
        <f t="shared" ca="1" si="69"/>
        <v>0</v>
      </c>
      <c r="L205" s="5">
        <f t="shared" ca="1" si="70"/>
        <v>0</v>
      </c>
      <c r="M205" s="5">
        <f t="shared" ca="1" si="71"/>
        <v>0</v>
      </c>
      <c r="N205" s="5">
        <f t="shared" ca="1" si="72"/>
        <v>0</v>
      </c>
      <c r="O205" s="5">
        <f t="shared" ca="1" si="73"/>
        <v>0</v>
      </c>
      <c r="P205" s="5">
        <f t="shared" ca="1" si="74"/>
        <v>0</v>
      </c>
      <c r="Q205" s="5" t="e">
        <f t="shared" ca="1" si="75"/>
        <v>#N/A</v>
      </c>
      <c r="R205" s="5">
        <f t="shared" ca="1" si="80"/>
        <v>0</v>
      </c>
      <c r="S205" s="67" t="e">
        <f t="shared" ca="1" si="81"/>
        <v>#N/A</v>
      </c>
      <c r="T205" s="67">
        <f t="shared" ca="1" si="82"/>
        <v>0</v>
      </c>
      <c r="U205" s="67" t="e">
        <f t="shared" ca="1" si="83"/>
        <v>#N/A</v>
      </c>
      <c r="V205" s="5">
        <f t="shared" ca="1" si="62"/>
        <v>0</v>
      </c>
      <c r="W205" s="5" t="e">
        <f t="shared" ca="1" si="76"/>
        <v>#N/A</v>
      </c>
      <c r="X205" s="67">
        <f t="shared" ca="1" si="77"/>
        <v>0</v>
      </c>
      <c r="Y205" s="67" t="e">
        <f t="shared" ca="1" si="84"/>
        <v>#N/A</v>
      </c>
      <c r="Z205" s="67" t="e">
        <f t="shared" ca="1" si="85"/>
        <v>#N/A</v>
      </c>
      <c r="AA205" s="5" t="str">
        <f>IF(Setup!$I$15="Yes",'Demand background (hide)'!AJ193+'SPC background (hide)'!C205,"")</f>
        <v/>
      </c>
      <c r="AC205" s="5" t="str">
        <f t="shared" ca="1" si="78"/>
        <v/>
      </c>
      <c r="AD205" s="5" t="str">
        <f t="shared" ca="1" si="79"/>
        <v/>
      </c>
    </row>
    <row r="206" spans="1:30" x14ac:dyDescent="0.2">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f t="shared" ca="1" si="67"/>
        <v>5</v>
      </c>
      <c r="J206" s="5">
        <f t="shared" ca="1" si="68"/>
        <v>0</v>
      </c>
      <c r="K206" s="5">
        <f t="shared" ca="1" si="69"/>
        <v>0</v>
      </c>
      <c r="L206" s="5">
        <f t="shared" ca="1" si="70"/>
        <v>0</v>
      </c>
      <c r="M206" s="5">
        <f t="shared" ca="1" si="71"/>
        <v>0</v>
      </c>
      <c r="N206" s="5">
        <f t="shared" ca="1" si="72"/>
        <v>0</v>
      </c>
      <c r="O206" s="5">
        <f t="shared" ca="1" si="73"/>
        <v>0</v>
      </c>
      <c r="P206" s="5">
        <f t="shared" ca="1" si="74"/>
        <v>0</v>
      </c>
      <c r="Q206" s="5" t="e">
        <f t="shared" ca="1" si="75"/>
        <v>#N/A</v>
      </c>
      <c r="R206" s="5">
        <f t="shared" ca="1" si="80"/>
        <v>0</v>
      </c>
      <c r="S206" s="67" t="e">
        <f t="shared" ca="1" si="81"/>
        <v>#N/A</v>
      </c>
      <c r="T206" s="67">
        <f t="shared" ca="1" si="82"/>
        <v>0</v>
      </c>
      <c r="U206" s="67" t="e">
        <f t="shared" ca="1" si="83"/>
        <v>#N/A</v>
      </c>
      <c r="V206" s="5">
        <f t="shared" ca="1" si="62"/>
        <v>0</v>
      </c>
      <c r="W206" s="5" t="e">
        <f t="shared" ca="1" si="76"/>
        <v>#N/A</v>
      </c>
      <c r="X206" s="67">
        <f t="shared" ca="1" si="77"/>
        <v>0</v>
      </c>
      <c r="Y206" s="67" t="e">
        <f t="shared" ca="1" si="84"/>
        <v>#N/A</v>
      </c>
      <c r="Z206" s="67" t="e">
        <f t="shared" ca="1" si="85"/>
        <v>#N/A</v>
      </c>
      <c r="AA206" s="5" t="str">
        <f>IF(Setup!$I$15="Yes",'Demand background (hide)'!AJ194+'SPC background (hide)'!C206,"")</f>
        <v/>
      </c>
      <c r="AC206" s="5" t="str">
        <f t="shared" ca="1" si="78"/>
        <v/>
      </c>
      <c r="AD206" s="5" t="str">
        <f t="shared" ca="1" si="79"/>
        <v/>
      </c>
    </row>
    <row r="207" spans="1:30" x14ac:dyDescent="0.2">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f t="shared" ca="1" si="67"/>
        <v>5</v>
      </c>
      <c r="J207" s="5">
        <f t="shared" ca="1" si="68"/>
        <v>0</v>
      </c>
      <c r="K207" s="5">
        <f t="shared" ca="1" si="69"/>
        <v>0</v>
      </c>
      <c r="L207" s="5">
        <f t="shared" ca="1" si="70"/>
        <v>0</v>
      </c>
      <c r="M207" s="5">
        <f t="shared" ca="1" si="71"/>
        <v>0</v>
      </c>
      <c r="N207" s="5">
        <f t="shared" ca="1" si="72"/>
        <v>0</v>
      </c>
      <c r="O207" s="5">
        <f t="shared" ca="1" si="73"/>
        <v>0</v>
      </c>
      <c r="P207" s="5">
        <f t="shared" ca="1" si="74"/>
        <v>0</v>
      </c>
      <c r="Q207" s="5" t="e">
        <f t="shared" ca="1" si="75"/>
        <v>#N/A</v>
      </c>
      <c r="R207" s="5">
        <f t="shared" ca="1" si="80"/>
        <v>0</v>
      </c>
      <c r="S207" s="67" t="e">
        <f t="shared" ca="1" si="81"/>
        <v>#N/A</v>
      </c>
      <c r="T207" s="67">
        <f t="shared" ca="1" si="82"/>
        <v>0</v>
      </c>
      <c r="U207" s="67" t="e">
        <f t="shared" ca="1" si="83"/>
        <v>#N/A</v>
      </c>
      <c r="V207" s="5">
        <f t="shared" ca="1" si="62"/>
        <v>0</v>
      </c>
      <c r="W207" s="5" t="e">
        <f t="shared" ca="1" si="76"/>
        <v>#N/A</v>
      </c>
      <c r="X207" s="67">
        <f t="shared" ca="1" si="77"/>
        <v>0</v>
      </c>
      <c r="Y207" s="67" t="e">
        <f t="shared" ca="1" si="84"/>
        <v>#N/A</v>
      </c>
      <c r="Z207" s="67" t="e">
        <f t="shared" ca="1" si="85"/>
        <v>#N/A</v>
      </c>
      <c r="AA207" s="5" t="str">
        <f>IF(Setup!$I$15="Yes",'Demand background (hide)'!AJ195+'SPC background (hide)'!C207,"")</f>
        <v/>
      </c>
      <c r="AC207" s="5" t="str">
        <f t="shared" ca="1" si="78"/>
        <v/>
      </c>
      <c r="AD207" s="5" t="str">
        <f t="shared" ca="1" si="79"/>
        <v/>
      </c>
    </row>
    <row r="208" spans="1:30" x14ac:dyDescent="0.2">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f t="shared" ca="1" si="67"/>
        <v>5</v>
      </c>
      <c r="J208" s="5">
        <f t="shared" ca="1" si="68"/>
        <v>0</v>
      </c>
      <c r="K208" s="5">
        <f t="shared" ca="1" si="69"/>
        <v>0</v>
      </c>
      <c r="L208" s="5">
        <f t="shared" ca="1" si="70"/>
        <v>0</v>
      </c>
      <c r="M208" s="5">
        <f t="shared" ca="1" si="71"/>
        <v>0</v>
      </c>
      <c r="N208" s="5">
        <f t="shared" ca="1" si="72"/>
        <v>0</v>
      </c>
      <c r="O208" s="5">
        <f t="shared" ca="1" si="73"/>
        <v>0</v>
      </c>
      <c r="P208" s="5">
        <f t="shared" ca="1" si="74"/>
        <v>0</v>
      </c>
      <c r="Q208" s="5" t="e">
        <f t="shared" ca="1" si="75"/>
        <v>#N/A</v>
      </c>
      <c r="R208" s="5">
        <f t="shared" ca="1" si="80"/>
        <v>0</v>
      </c>
      <c r="S208" s="67" t="e">
        <f t="shared" ca="1" si="81"/>
        <v>#N/A</v>
      </c>
      <c r="T208" s="67">
        <f t="shared" ca="1" si="82"/>
        <v>0</v>
      </c>
      <c r="U208" s="67" t="e">
        <f t="shared" ca="1" si="83"/>
        <v>#N/A</v>
      </c>
      <c r="V208" s="5">
        <f t="shared" ref="V208:V275" ca="1" si="86">IF(C208&lt;M208,-1,IF(C208&gt;M208,1,0))</f>
        <v>0</v>
      </c>
      <c r="W208" s="5" t="e">
        <f t="shared" ca="1" si="76"/>
        <v>#N/A</v>
      </c>
      <c r="X208" s="67">
        <f t="shared" ca="1" si="77"/>
        <v>0</v>
      </c>
      <c r="Y208" s="67" t="e">
        <f t="shared" ca="1" si="84"/>
        <v>#N/A</v>
      </c>
      <c r="Z208" s="67" t="e">
        <f t="shared" ca="1" si="85"/>
        <v>#N/A</v>
      </c>
      <c r="AA208" s="5" t="str">
        <f>IF(Setup!$I$15="Yes",'Demand background (hide)'!AJ196+'SPC background (hide)'!C208,"")</f>
        <v/>
      </c>
      <c r="AC208" s="5" t="str">
        <f t="shared" ca="1" si="78"/>
        <v/>
      </c>
      <c r="AD208" s="5" t="str">
        <f t="shared" ca="1" si="79"/>
        <v/>
      </c>
    </row>
    <row r="209" spans="1:30" x14ac:dyDescent="0.2">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f t="shared" ref="I209:I272" ca="1" si="91">VLOOKUP(A209,$AG$2:$AI$54,3,0)</f>
        <v>5</v>
      </c>
      <c r="J209" s="5">
        <f t="shared" ref="J209:J272" ca="1" si="92">VLOOKUP($A209,$AG$2:$AQ$54,COLUMN(E$1),0)</f>
        <v>0</v>
      </c>
      <c r="K209" s="5">
        <f t="shared" ref="K209:K272" ca="1" si="93">VLOOKUP($A209,$AG$2:$AQ$54,COLUMN(F$1),0)</f>
        <v>0</v>
      </c>
      <c r="L209" s="5">
        <f t="shared" ref="L209:L272" ca="1" si="94">VLOOKUP($A209,$AG$2:$AQ$54,COLUMN(G$1),0)</f>
        <v>0</v>
      </c>
      <c r="M209" s="5">
        <f t="shared" ref="M209:M272" ca="1" si="95">VLOOKUP($A209,$AG$2:$AQ$54,COLUMN(H$1),0)</f>
        <v>0</v>
      </c>
      <c r="N209" s="5">
        <f t="shared" ref="N209:N272" ca="1" si="96">VLOOKUP($A209,$AG$2:$AQ$54,COLUMN(I$1),0)</f>
        <v>0</v>
      </c>
      <c r="O209" s="5">
        <f t="shared" ref="O209:O272" ca="1" si="97">VLOOKUP($A209,$AG$2:$AQ$54,COLUMN(J$1),0)</f>
        <v>0</v>
      </c>
      <c r="P209" s="5">
        <f t="shared" ref="P209:P272" ca="1" si="98">VLOOKUP($A209,$AG$2:$AQ$54,COLUMN(K$1),0)</f>
        <v>0</v>
      </c>
      <c r="Q209" s="5" t="e">
        <f t="shared" ref="Q209:Q272" ca="1" si="99">IF(ISNA(H209)=TRUE,IF(OR(C209&gt;P209,C209&lt;J209),C209,NA()),NA())</f>
        <v>#N/A</v>
      </c>
      <c r="R209" s="5">
        <f t="shared" ca="1" si="80"/>
        <v>0</v>
      </c>
      <c r="S209" s="67" t="e">
        <f t="shared" ca="1" si="81"/>
        <v>#N/A</v>
      </c>
      <c r="T209" s="67">
        <f t="shared" ca="1" si="82"/>
        <v>0</v>
      </c>
      <c r="U209" s="67" t="e">
        <f t="shared" ca="1" si="83"/>
        <v>#N/A</v>
      </c>
      <c r="V209" s="5">
        <f t="shared" ca="1" si="86"/>
        <v>0</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str">
        <f t="shared" ref="AC209:AC272" ca="1" si="102">VLOOKUP($A209,$AG$2:$AS$54,12,0)</f>
        <v/>
      </c>
      <c r="AD209" s="5" t="str">
        <f t="shared" ref="AD209:AD272" ca="1" si="103">VLOOKUP($A209,$AG$2:$AS$54,13,0)</f>
        <v/>
      </c>
    </row>
    <row r="210" spans="1:30" x14ac:dyDescent="0.2">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f t="shared" ca="1" si="91"/>
        <v>5</v>
      </c>
      <c r="J210" s="5">
        <f t="shared" ca="1" si="92"/>
        <v>0</v>
      </c>
      <c r="K210" s="5">
        <f t="shared" ca="1" si="93"/>
        <v>0</v>
      </c>
      <c r="L210" s="5">
        <f t="shared" ca="1" si="94"/>
        <v>0</v>
      </c>
      <c r="M210" s="5">
        <f t="shared" ca="1" si="95"/>
        <v>0</v>
      </c>
      <c r="N210" s="5">
        <f t="shared" ca="1" si="96"/>
        <v>0</v>
      </c>
      <c r="O210" s="5">
        <f t="shared" ca="1" si="97"/>
        <v>0</v>
      </c>
      <c r="P210" s="5">
        <f t="shared" ca="1" si="98"/>
        <v>0</v>
      </c>
      <c r="Q210" s="5" t="e">
        <f t="shared" ca="1" si="99"/>
        <v>#N/A</v>
      </c>
      <c r="R210" s="5">
        <f t="shared" ref="R210:R273" ca="1" si="104">IF(C210&gt;O210,2,IF(C210&lt;K210,-2,IF(C210&gt;M210,1,IF(C210&lt;M210,-1,0))))</f>
        <v>0</v>
      </c>
      <c r="S210" s="67" t="e">
        <f t="shared" ref="S210:S273" ca="1" si="105">IF(ISNA(H210),IF(ABS(SUM(R210:R212))&gt;=5,C210,NA()),NA())</f>
        <v>#N/A</v>
      </c>
      <c r="T210" s="67">
        <f t="shared" ref="T210:T273" ca="1" si="106">IF(C210&gt;N210,2,IF(C210&lt;L210,-2,IF(C210&gt;M210,1,IF(C210&lt;M210,-1,0))))</f>
        <v>0</v>
      </c>
      <c r="U210" s="67" t="e">
        <f t="shared" ref="U210:U273" ca="1" si="107">IF(ISNA(H210)=TRUE,IF(ABS(SUM(T210:T214))&gt;=9,C210,NA()),NA())</f>
        <v>#N/A</v>
      </c>
      <c r="V210" s="5">
        <f t="shared" ca="1" si="86"/>
        <v>0</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str">
        <f t="shared" ca="1" si="102"/>
        <v/>
      </c>
      <c r="AD210" s="5" t="str">
        <f t="shared" ca="1" si="103"/>
        <v/>
      </c>
    </row>
    <row r="211" spans="1:30" x14ac:dyDescent="0.2">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f t="shared" ca="1" si="91"/>
        <v>5</v>
      </c>
      <c r="J211" s="5">
        <f t="shared" ca="1" si="92"/>
        <v>0</v>
      </c>
      <c r="K211" s="5">
        <f t="shared" ca="1" si="93"/>
        <v>0</v>
      </c>
      <c r="L211" s="5">
        <f t="shared" ca="1" si="94"/>
        <v>0</v>
      </c>
      <c r="M211" s="5">
        <f t="shared" ca="1" si="95"/>
        <v>0</v>
      </c>
      <c r="N211" s="5">
        <f t="shared" ca="1" si="96"/>
        <v>0</v>
      </c>
      <c r="O211" s="5">
        <f t="shared" ca="1" si="97"/>
        <v>0</v>
      </c>
      <c r="P211" s="5">
        <f t="shared" ca="1" si="98"/>
        <v>0</v>
      </c>
      <c r="Q211" s="5" t="e">
        <f t="shared" ca="1" si="99"/>
        <v>#N/A</v>
      </c>
      <c r="R211" s="5">
        <f t="shared" ca="1" si="104"/>
        <v>0</v>
      </c>
      <c r="S211" s="67" t="e">
        <f t="shared" ca="1" si="105"/>
        <v>#N/A</v>
      </c>
      <c r="T211" s="67">
        <f t="shared" ca="1" si="106"/>
        <v>0</v>
      </c>
      <c r="U211" s="67" t="e">
        <f t="shared" ca="1" si="107"/>
        <v>#N/A</v>
      </c>
      <c r="V211" s="5">
        <f t="shared" ca="1" si="86"/>
        <v>0</v>
      </c>
      <c r="W211" s="5" t="e">
        <f t="shared" ca="1" si="100"/>
        <v>#N/A</v>
      </c>
      <c r="X211" s="67">
        <f t="shared" ca="1" si="101"/>
        <v>0</v>
      </c>
      <c r="Y211" s="67" t="e">
        <f t="shared" ca="1" si="108"/>
        <v>#N/A</v>
      </c>
      <c r="Z211" s="67" t="e">
        <f t="shared" ca="1" si="109"/>
        <v>#N/A</v>
      </c>
      <c r="AA211" s="5" t="str">
        <f>IF(Setup!$I$15="Yes",'Demand background (hide)'!AJ199+'SPC background (hide)'!C211,"")</f>
        <v/>
      </c>
      <c r="AC211" s="5" t="str">
        <f t="shared" ca="1" si="102"/>
        <v/>
      </c>
      <c r="AD211" s="5" t="str">
        <f t="shared" ca="1" si="103"/>
        <v/>
      </c>
    </row>
    <row r="212" spans="1:30" x14ac:dyDescent="0.2">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f t="shared" ca="1" si="91"/>
        <v>5</v>
      </c>
      <c r="J212" s="5">
        <f t="shared" ca="1" si="92"/>
        <v>0</v>
      </c>
      <c r="K212" s="5">
        <f t="shared" ca="1" si="93"/>
        <v>0</v>
      </c>
      <c r="L212" s="5">
        <f t="shared" ca="1" si="94"/>
        <v>0</v>
      </c>
      <c r="M212" s="5">
        <f t="shared" ca="1" si="95"/>
        <v>0</v>
      </c>
      <c r="N212" s="5">
        <f t="shared" ca="1" si="96"/>
        <v>0</v>
      </c>
      <c r="O212" s="5">
        <f t="shared" ca="1" si="97"/>
        <v>0</v>
      </c>
      <c r="P212" s="5">
        <f t="shared" ca="1" si="98"/>
        <v>0</v>
      </c>
      <c r="Q212" s="5" t="e">
        <f t="shared" ca="1" si="99"/>
        <v>#N/A</v>
      </c>
      <c r="R212" s="5">
        <f t="shared" ca="1" si="104"/>
        <v>0</v>
      </c>
      <c r="S212" s="67" t="e">
        <f t="shared" ca="1" si="105"/>
        <v>#N/A</v>
      </c>
      <c r="T212" s="67">
        <f t="shared" ca="1" si="106"/>
        <v>0</v>
      </c>
      <c r="U212" s="67" t="e">
        <f t="shared" ca="1" si="107"/>
        <v>#N/A</v>
      </c>
      <c r="V212" s="5">
        <f t="shared" ca="1" si="86"/>
        <v>0</v>
      </c>
      <c r="W212" s="5" t="e">
        <f t="shared" ca="1" si="100"/>
        <v>#N/A</v>
      </c>
      <c r="X212" s="67">
        <f t="shared" ca="1" si="101"/>
        <v>0</v>
      </c>
      <c r="Y212" s="67" t="e">
        <f t="shared" ca="1" si="108"/>
        <v>#N/A</v>
      </c>
      <c r="Z212" s="67" t="e">
        <f t="shared" ca="1" si="109"/>
        <v>#N/A</v>
      </c>
      <c r="AA212" s="5" t="str">
        <f>IF(Setup!$I$15="Yes",'Demand background (hide)'!AJ200+'SPC background (hide)'!C212,"")</f>
        <v/>
      </c>
      <c r="AC212" s="5" t="str">
        <f t="shared" ca="1" si="102"/>
        <v/>
      </c>
      <c r="AD212" s="5" t="str">
        <f t="shared" ca="1" si="103"/>
        <v/>
      </c>
    </row>
    <row r="213" spans="1:30" x14ac:dyDescent="0.2">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f t="shared" ca="1" si="91"/>
        <v>5</v>
      </c>
      <c r="J213" s="5">
        <f t="shared" ca="1" si="92"/>
        <v>0</v>
      </c>
      <c r="K213" s="5">
        <f t="shared" ca="1" si="93"/>
        <v>0</v>
      </c>
      <c r="L213" s="5">
        <f t="shared" ca="1" si="94"/>
        <v>0</v>
      </c>
      <c r="M213" s="5">
        <f t="shared" ca="1" si="95"/>
        <v>0</v>
      </c>
      <c r="N213" s="5">
        <f t="shared" ca="1" si="96"/>
        <v>0</v>
      </c>
      <c r="O213" s="5">
        <f t="shared" ca="1" si="97"/>
        <v>0</v>
      </c>
      <c r="P213" s="5">
        <f t="shared" ca="1" si="98"/>
        <v>0</v>
      </c>
      <c r="Q213" s="5" t="e">
        <f t="shared" ca="1" si="99"/>
        <v>#N/A</v>
      </c>
      <c r="R213" s="5">
        <f t="shared" ca="1" si="104"/>
        <v>0</v>
      </c>
      <c r="S213" s="67" t="e">
        <f t="shared" ca="1" si="105"/>
        <v>#N/A</v>
      </c>
      <c r="T213" s="67">
        <f t="shared" ca="1" si="106"/>
        <v>0</v>
      </c>
      <c r="U213" s="67" t="e">
        <f t="shared" ca="1" si="107"/>
        <v>#N/A</v>
      </c>
      <c r="V213" s="5">
        <f t="shared" ca="1" si="86"/>
        <v>0</v>
      </c>
      <c r="W213" s="5" t="e">
        <f t="shared" ca="1" si="100"/>
        <v>#N/A</v>
      </c>
      <c r="X213" s="67">
        <f t="shared" ca="1" si="101"/>
        <v>0</v>
      </c>
      <c r="Y213" s="67" t="e">
        <f t="shared" ca="1" si="108"/>
        <v>#N/A</v>
      </c>
      <c r="Z213" s="67" t="e">
        <f t="shared" ca="1" si="109"/>
        <v>#N/A</v>
      </c>
      <c r="AA213" s="5" t="str">
        <f>IF(Setup!$I$15="Yes",'Demand background (hide)'!AJ201+'SPC background (hide)'!C213,"")</f>
        <v/>
      </c>
      <c r="AC213" s="5" t="str">
        <f t="shared" ca="1" si="102"/>
        <v/>
      </c>
      <c r="AD213" s="5" t="str">
        <f t="shared" ca="1" si="103"/>
        <v/>
      </c>
    </row>
    <row r="214" spans="1:30" x14ac:dyDescent="0.2">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f t="shared" ca="1" si="91"/>
        <v>5</v>
      </c>
      <c r="J214" s="5">
        <f t="shared" ca="1" si="92"/>
        <v>0</v>
      </c>
      <c r="K214" s="5">
        <f t="shared" ca="1" si="93"/>
        <v>0</v>
      </c>
      <c r="L214" s="5">
        <f t="shared" ca="1" si="94"/>
        <v>0</v>
      </c>
      <c r="M214" s="5">
        <f t="shared" ca="1" si="95"/>
        <v>0</v>
      </c>
      <c r="N214" s="5">
        <f t="shared" ca="1" si="96"/>
        <v>0</v>
      </c>
      <c r="O214" s="5">
        <f t="shared" ca="1" si="97"/>
        <v>0</v>
      </c>
      <c r="P214" s="5">
        <f t="shared" ca="1" si="98"/>
        <v>0</v>
      </c>
      <c r="Q214" s="5" t="e">
        <f t="shared" ca="1" si="99"/>
        <v>#N/A</v>
      </c>
      <c r="R214" s="5">
        <f t="shared" ca="1" si="104"/>
        <v>0</v>
      </c>
      <c r="S214" s="67" t="e">
        <f t="shared" ca="1" si="105"/>
        <v>#N/A</v>
      </c>
      <c r="T214" s="67">
        <f t="shared" ca="1" si="106"/>
        <v>0</v>
      </c>
      <c r="U214" s="67" t="e">
        <f t="shared" ca="1" si="107"/>
        <v>#N/A</v>
      </c>
      <c r="V214" s="5">
        <f t="shared" ca="1" si="86"/>
        <v>0</v>
      </c>
      <c r="W214" s="5" t="e">
        <f t="shared" ca="1" si="100"/>
        <v>#N/A</v>
      </c>
      <c r="X214" s="67">
        <f t="shared" ca="1" si="101"/>
        <v>0</v>
      </c>
      <c r="Y214" s="67" t="e">
        <f t="shared" ca="1" si="108"/>
        <v>#N/A</v>
      </c>
      <c r="Z214" s="67" t="e">
        <f t="shared" ca="1" si="109"/>
        <v>#N/A</v>
      </c>
      <c r="AA214" s="5" t="str">
        <f>IF(Setup!$I$15="Yes",'Demand background (hide)'!AJ202+'SPC background (hide)'!C214,"")</f>
        <v/>
      </c>
      <c r="AC214" s="5" t="str">
        <f t="shared" ca="1" si="102"/>
        <v/>
      </c>
      <c r="AD214" s="5" t="str">
        <f t="shared" ca="1" si="103"/>
        <v/>
      </c>
    </row>
    <row r="215" spans="1:30" x14ac:dyDescent="0.2">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f t="shared" ca="1" si="91"/>
        <v>5</v>
      </c>
      <c r="J215" s="5">
        <f t="shared" ca="1" si="92"/>
        <v>0</v>
      </c>
      <c r="K215" s="5">
        <f t="shared" ca="1" si="93"/>
        <v>0</v>
      </c>
      <c r="L215" s="5">
        <f t="shared" ca="1" si="94"/>
        <v>0</v>
      </c>
      <c r="M215" s="5">
        <f t="shared" ca="1" si="95"/>
        <v>0</v>
      </c>
      <c r="N215" s="5">
        <f t="shared" ca="1" si="96"/>
        <v>0</v>
      </c>
      <c r="O215" s="5">
        <f t="shared" ca="1" si="97"/>
        <v>0</v>
      </c>
      <c r="P215" s="5">
        <f t="shared" ca="1" si="98"/>
        <v>0</v>
      </c>
      <c r="Q215" s="5" t="e">
        <f t="shared" ca="1" si="99"/>
        <v>#N/A</v>
      </c>
      <c r="R215" s="5">
        <f t="shared" ca="1" si="104"/>
        <v>0</v>
      </c>
      <c r="S215" s="67" t="e">
        <f t="shared" ca="1" si="105"/>
        <v>#N/A</v>
      </c>
      <c r="T215" s="67">
        <f t="shared" ca="1" si="106"/>
        <v>0</v>
      </c>
      <c r="U215" s="67" t="e">
        <f t="shared" ca="1" si="107"/>
        <v>#N/A</v>
      </c>
      <c r="V215" s="5">
        <f t="shared" ca="1" si="86"/>
        <v>0</v>
      </c>
      <c r="W215" s="5" t="e">
        <f t="shared" ca="1" si="100"/>
        <v>#N/A</v>
      </c>
      <c r="X215" s="67">
        <f t="shared" ca="1" si="101"/>
        <v>0</v>
      </c>
      <c r="Y215" s="67" t="e">
        <f t="shared" ca="1" si="108"/>
        <v>#N/A</v>
      </c>
      <c r="Z215" s="67" t="e">
        <f t="shared" ca="1" si="109"/>
        <v>#N/A</v>
      </c>
      <c r="AA215" s="5" t="str">
        <f>IF(Setup!$I$15="Yes",'Demand background (hide)'!AJ203+'SPC background (hide)'!C215,"")</f>
        <v/>
      </c>
      <c r="AC215" s="5" t="str">
        <f t="shared" ca="1" si="102"/>
        <v/>
      </c>
      <c r="AD215" s="5" t="str">
        <f t="shared" ca="1" si="103"/>
        <v/>
      </c>
    </row>
    <row r="216" spans="1:30" x14ac:dyDescent="0.2">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f t="shared" ca="1" si="91"/>
        <v>5</v>
      </c>
      <c r="J216" s="5">
        <f t="shared" ca="1" si="92"/>
        <v>0</v>
      </c>
      <c r="K216" s="5">
        <f t="shared" ca="1" si="93"/>
        <v>0</v>
      </c>
      <c r="L216" s="5">
        <f t="shared" ca="1" si="94"/>
        <v>0</v>
      </c>
      <c r="M216" s="5">
        <f t="shared" ca="1" si="95"/>
        <v>0</v>
      </c>
      <c r="N216" s="5">
        <f t="shared" ca="1" si="96"/>
        <v>0</v>
      </c>
      <c r="O216" s="5">
        <f t="shared" ca="1" si="97"/>
        <v>0</v>
      </c>
      <c r="P216" s="5">
        <f t="shared" ca="1" si="98"/>
        <v>0</v>
      </c>
      <c r="Q216" s="5" t="e">
        <f t="shared" ca="1" si="99"/>
        <v>#N/A</v>
      </c>
      <c r="R216" s="5">
        <f t="shared" ca="1" si="104"/>
        <v>0</v>
      </c>
      <c r="S216" s="67" t="e">
        <f t="shared" ca="1" si="105"/>
        <v>#N/A</v>
      </c>
      <c r="T216" s="67">
        <f t="shared" ca="1" si="106"/>
        <v>0</v>
      </c>
      <c r="U216" s="67" t="e">
        <f t="shared" ca="1" si="107"/>
        <v>#N/A</v>
      </c>
      <c r="V216" s="5">
        <f t="shared" ca="1" si="86"/>
        <v>0</v>
      </c>
      <c r="W216" s="5" t="e">
        <f t="shared" ca="1" si="100"/>
        <v>#N/A</v>
      </c>
      <c r="X216" s="67">
        <f t="shared" ca="1" si="101"/>
        <v>0</v>
      </c>
      <c r="Y216" s="67" t="e">
        <f t="shared" ca="1" si="108"/>
        <v>#N/A</v>
      </c>
      <c r="Z216" s="67" t="e">
        <f t="shared" ca="1" si="109"/>
        <v>#N/A</v>
      </c>
      <c r="AA216" s="5" t="str">
        <f>IF(Setup!$I$15="Yes",'Demand background (hide)'!AJ204+'SPC background (hide)'!C216,"")</f>
        <v/>
      </c>
      <c r="AC216" s="5" t="str">
        <f t="shared" ca="1" si="102"/>
        <v/>
      </c>
      <c r="AD216" s="5" t="str">
        <f t="shared" ca="1" si="103"/>
        <v/>
      </c>
    </row>
    <row r="217" spans="1:30" x14ac:dyDescent="0.2">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f t="shared" ca="1" si="91"/>
        <v>5</v>
      </c>
      <c r="J217" s="5">
        <f t="shared" ca="1" si="92"/>
        <v>0</v>
      </c>
      <c r="K217" s="5">
        <f t="shared" ca="1" si="93"/>
        <v>0</v>
      </c>
      <c r="L217" s="5">
        <f t="shared" ca="1" si="94"/>
        <v>0</v>
      </c>
      <c r="M217" s="5">
        <f t="shared" ca="1" si="95"/>
        <v>0</v>
      </c>
      <c r="N217" s="5">
        <f t="shared" ca="1" si="96"/>
        <v>0</v>
      </c>
      <c r="O217" s="5">
        <f t="shared" ca="1" si="97"/>
        <v>0</v>
      </c>
      <c r="P217" s="5">
        <f t="shared" ca="1" si="98"/>
        <v>0</v>
      </c>
      <c r="Q217" s="5" t="e">
        <f t="shared" ca="1" si="99"/>
        <v>#N/A</v>
      </c>
      <c r="R217" s="5">
        <f t="shared" ca="1" si="104"/>
        <v>0</v>
      </c>
      <c r="S217" s="67" t="e">
        <f t="shared" ca="1" si="105"/>
        <v>#N/A</v>
      </c>
      <c r="T217" s="67">
        <f t="shared" ca="1" si="106"/>
        <v>0</v>
      </c>
      <c r="U217" s="67" t="e">
        <f t="shared" ca="1" si="107"/>
        <v>#N/A</v>
      </c>
      <c r="V217" s="5">
        <f t="shared" ca="1" si="86"/>
        <v>0</v>
      </c>
      <c r="W217" s="5" t="e">
        <f t="shared" ca="1" si="100"/>
        <v>#N/A</v>
      </c>
      <c r="X217" s="67">
        <f t="shared" ca="1" si="101"/>
        <v>0</v>
      </c>
      <c r="Y217" s="67" t="e">
        <f t="shared" ca="1" si="108"/>
        <v>#N/A</v>
      </c>
      <c r="Z217" s="67" t="e">
        <f t="shared" ca="1" si="109"/>
        <v>#N/A</v>
      </c>
      <c r="AA217" s="5" t="str">
        <f>IF(Setup!$I$15="Yes",'Demand background (hide)'!AJ205+'SPC background (hide)'!C217,"")</f>
        <v/>
      </c>
      <c r="AC217" s="5" t="str">
        <f t="shared" ca="1" si="102"/>
        <v/>
      </c>
      <c r="AD217" s="5" t="str">
        <f t="shared" ca="1" si="103"/>
        <v/>
      </c>
    </row>
    <row r="218" spans="1:30" x14ac:dyDescent="0.2">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f t="shared" ca="1" si="91"/>
        <v>5</v>
      </c>
      <c r="J218" s="5">
        <f t="shared" ca="1" si="92"/>
        <v>0</v>
      </c>
      <c r="K218" s="5">
        <f t="shared" ca="1" si="93"/>
        <v>0</v>
      </c>
      <c r="L218" s="5">
        <f t="shared" ca="1" si="94"/>
        <v>0</v>
      </c>
      <c r="M218" s="5">
        <f t="shared" ca="1" si="95"/>
        <v>0</v>
      </c>
      <c r="N218" s="5">
        <f t="shared" ca="1" si="96"/>
        <v>0</v>
      </c>
      <c r="O218" s="5">
        <f t="shared" ca="1" si="97"/>
        <v>0</v>
      </c>
      <c r="P218" s="5">
        <f t="shared" ca="1" si="98"/>
        <v>0</v>
      </c>
      <c r="Q218" s="5" t="e">
        <f t="shared" ca="1" si="99"/>
        <v>#N/A</v>
      </c>
      <c r="R218" s="5">
        <f t="shared" ca="1" si="104"/>
        <v>0</v>
      </c>
      <c r="S218" s="67" t="e">
        <f t="shared" ca="1" si="105"/>
        <v>#N/A</v>
      </c>
      <c r="T218" s="67">
        <f t="shared" ca="1" si="106"/>
        <v>0</v>
      </c>
      <c r="U218" s="67" t="e">
        <f t="shared" ca="1" si="107"/>
        <v>#N/A</v>
      </c>
      <c r="V218" s="5">
        <f t="shared" ca="1" si="86"/>
        <v>0</v>
      </c>
      <c r="W218" s="5" t="e">
        <f t="shared" ca="1" si="100"/>
        <v>#N/A</v>
      </c>
      <c r="X218" s="67">
        <f t="shared" ca="1" si="101"/>
        <v>0</v>
      </c>
      <c r="Y218" s="67" t="e">
        <f t="shared" ca="1" si="108"/>
        <v>#N/A</v>
      </c>
      <c r="Z218" s="67" t="e">
        <f t="shared" ca="1" si="109"/>
        <v>#N/A</v>
      </c>
      <c r="AA218" s="5" t="str">
        <f>IF(Setup!$I$15="Yes",'Demand background (hide)'!AJ206+'SPC background (hide)'!C218,"")</f>
        <v/>
      </c>
      <c r="AC218" s="5" t="str">
        <f t="shared" ca="1" si="102"/>
        <v/>
      </c>
      <c r="AD218" s="5" t="str">
        <f t="shared" ca="1" si="103"/>
        <v/>
      </c>
    </row>
    <row r="219" spans="1:30" x14ac:dyDescent="0.2">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f t="shared" ca="1" si="91"/>
        <v>5</v>
      </c>
      <c r="J219" s="5">
        <f t="shared" ca="1" si="92"/>
        <v>0</v>
      </c>
      <c r="K219" s="5">
        <f t="shared" ca="1" si="93"/>
        <v>0</v>
      </c>
      <c r="L219" s="5">
        <f t="shared" ca="1" si="94"/>
        <v>0</v>
      </c>
      <c r="M219" s="5">
        <f t="shared" ca="1" si="95"/>
        <v>0</v>
      </c>
      <c r="N219" s="5">
        <f t="shared" ca="1" si="96"/>
        <v>0</v>
      </c>
      <c r="O219" s="5">
        <f t="shared" ca="1" si="97"/>
        <v>0</v>
      </c>
      <c r="P219" s="5">
        <f t="shared" ca="1" si="98"/>
        <v>0</v>
      </c>
      <c r="Q219" s="5" t="e">
        <f t="shared" ca="1" si="99"/>
        <v>#N/A</v>
      </c>
      <c r="R219" s="5">
        <f t="shared" ca="1" si="104"/>
        <v>0</v>
      </c>
      <c r="S219" s="67" t="e">
        <f t="shared" ca="1" si="105"/>
        <v>#N/A</v>
      </c>
      <c r="T219" s="67">
        <f t="shared" ca="1" si="106"/>
        <v>0</v>
      </c>
      <c r="U219" s="67" t="e">
        <f t="shared" ca="1" si="107"/>
        <v>#N/A</v>
      </c>
      <c r="V219" s="5">
        <f t="shared" ca="1" si="86"/>
        <v>0</v>
      </c>
      <c r="W219" s="5" t="e">
        <f t="shared" ca="1" si="100"/>
        <v>#N/A</v>
      </c>
      <c r="X219" s="67">
        <f t="shared" ca="1" si="101"/>
        <v>0</v>
      </c>
      <c r="Y219" s="67" t="e">
        <f t="shared" ca="1" si="108"/>
        <v>#N/A</v>
      </c>
      <c r="Z219" s="67" t="e">
        <f t="shared" ca="1" si="109"/>
        <v>#N/A</v>
      </c>
      <c r="AA219" s="5" t="str">
        <f>IF(Setup!$I$15="Yes",'Demand background (hide)'!AJ207+'SPC background (hide)'!C219,"")</f>
        <v/>
      </c>
      <c r="AC219" s="5" t="str">
        <f t="shared" ca="1" si="102"/>
        <v/>
      </c>
      <c r="AD219" s="5" t="str">
        <f t="shared" ca="1" si="103"/>
        <v/>
      </c>
    </row>
    <row r="220" spans="1:30" x14ac:dyDescent="0.2">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f t="shared" ca="1" si="91"/>
        <v>5</v>
      </c>
      <c r="J220" s="5">
        <f t="shared" ca="1" si="92"/>
        <v>0</v>
      </c>
      <c r="K220" s="5">
        <f t="shared" ca="1" si="93"/>
        <v>0</v>
      </c>
      <c r="L220" s="5">
        <f t="shared" ca="1" si="94"/>
        <v>0</v>
      </c>
      <c r="M220" s="5">
        <f t="shared" ca="1" si="95"/>
        <v>0</v>
      </c>
      <c r="N220" s="5">
        <f t="shared" ca="1" si="96"/>
        <v>0</v>
      </c>
      <c r="O220" s="5">
        <f t="shared" ca="1" si="97"/>
        <v>0</v>
      </c>
      <c r="P220" s="5">
        <f t="shared" ca="1" si="98"/>
        <v>0</v>
      </c>
      <c r="Q220" s="5" t="e">
        <f t="shared" ca="1" si="99"/>
        <v>#N/A</v>
      </c>
      <c r="R220" s="5">
        <f t="shared" ca="1" si="104"/>
        <v>0</v>
      </c>
      <c r="S220" s="67" t="e">
        <f t="shared" ca="1" si="105"/>
        <v>#N/A</v>
      </c>
      <c r="T220" s="67">
        <f t="shared" ca="1" si="106"/>
        <v>0</v>
      </c>
      <c r="U220" s="67" t="e">
        <f t="shared" ca="1" si="107"/>
        <v>#N/A</v>
      </c>
      <c r="V220" s="5">
        <f t="shared" ca="1" si="86"/>
        <v>0</v>
      </c>
      <c r="W220" s="5" t="e">
        <f t="shared" ca="1" si="100"/>
        <v>#N/A</v>
      </c>
      <c r="X220" s="67">
        <f t="shared" ca="1" si="101"/>
        <v>0</v>
      </c>
      <c r="Y220" s="67" t="e">
        <f t="shared" ca="1" si="108"/>
        <v>#N/A</v>
      </c>
      <c r="Z220" s="67" t="e">
        <f t="shared" ca="1" si="109"/>
        <v>#N/A</v>
      </c>
      <c r="AA220" s="5" t="str">
        <f>IF(Setup!$I$15="Yes",'Demand background (hide)'!AJ208+'SPC background (hide)'!C220,"")</f>
        <v/>
      </c>
      <c r="AC220" s="5" t="str">
        <f t="shared" ca="1" si="102"/>
        <v/>
      </c>
      <c r="AD220" s="5" t="str">
        <f t="shared" ca="1" si="103"/>
        <v/>
      </c>
    </row>
    <row r="221" spans="1:30" x14ac:dyDescent="0.2">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f t="shared" ca="1" si="91"/>
        <v>5</v>
      </c>
      <c r="J221" s="5">
        <f t="shared" ca="1" si="92"/>
        <v>0</v>
      </c>
      <c r="K221" s="5">
        <f t="shared" ca="1" si="93"/>
        <v>0</v>
      </c>
      <c r="L221" s="5">
        <f t="shared" ca="1" si="94"/>
        <v>0</v>
      </c>
      <c r="M221" s="5">
        <f t="shared" ca="1" si="95"/>
        <v>0</v>
      </c>
      <c r="N221" s="5">
        <f t="shared" ca="1" si="96"/>
        <v>0</v>
      </c>
      <c r="O221" s="5">
        <f t="shared" ca="1" si="97"/>
        <v>0</v>
      </c>
      <c r="P221" s="5">
        <f t="shared" ca="1" si="98"/>
        <v>0</v>
      </c>
      <c r="Q221" s="5" t="e">
        <f t="shared" ca="1" si="99"/>
        <v>#N/A</v>
      </c>
      <c r="R221" s="5">
        <f t="shared" ca="1" si="104"/>
        <v>0</v>
      </c>
      <c r="S221" s="67" t="e">
        <f t="shared" ca="1" si="105"/>
        <v>#N/A</v>
      </c>
      <c r="T221" s="67">
        <f t="shared" ca="1" si="106"/>
        <v>0</v>
      </c>
      <c r="U221" s="67" t="e">
        <f t="shared" ca="1" si="107"/>
        <v>#N/A</v>
      </c>
      <c r="V221" s="5">
        <f t="shared" ca="1" si="86"/>
        <v>0</v>
      </c>
      <c r="W221" s="5" t="e">
        <f t="shared" ca="1" si="100"/>
        <v>#N/A</v>
      </c>
      <c r="X221" s="67">
        <f t="shared" ca="1" si="101"/>
        <v>0</v>
      </c>
      <c r="Y221" s="67" t="e">
        <f t="shared" ca="1" si="108"/>
        <v>#N/A</v>
      </c>
      <c r="Z221" s="67" t="e">
        <f t="shared" ca="1" si="109"/>
        <v>#N/A</v>
      </c>
      <c r="AA221" s="5" t="str">
        <f>IF(Setup!$I$15="Yes",'Demand background (hide)'!AJ209+'SPC background (hide)'!C221,"")</f>
        <v/>
      </c>
      <c r="AC221" s="5" t="str">
        <f t="shared" ca="1" si="102"/>
        <v/>
      </c>
      <c r="AD221" s="5" t="str">
        <f t="shared" ca="1" si="103"/>
        <v/>
      </c>
    </row>
    <row r="222" spans="1:30" x14ac:dyDescent="0.2">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f t="shared" ca="1" si="91"/>
        <v>5</v>
      </c>
      <c r="J222" s="5">
        <f t="shared" ca="1" si="92"/>
        <v>0</v>
      </c>
      <c r="K222" s="5">
        <f t="shared" ca="1" si="93"/>
        <v>0</v>
      </c>
      <c r="L222" s="5">
        <f t="shared" ca="1" si="94"/>
        <v>0</v>
      </c>
      <c r="M222" s="5">
        <f t="shared" ca="1" si="95"/>
        <v>0</v>
      </c>
      <c r="N222" s="5">
        <f t="shared" ca="1" si="96"/>
        <v>0</v>
      </c>
      <c r="O222" s="5">
        <f t="shared" ca="1" si="97"/>
        <v>0</v>
      </c>
      <c r="P222" s="5">
        <f t="shared" ca="1" si="98"/>
        <v>0</v>
      </c>
      <c r="Q222" s="5" t="e">
        <f t="shared" ca="1" si="99"/>
        <v>#N/A</v>
      </c>
      <c r="R222" s="5">
        <f t="shared" ca="1" si="104"/>
        <v>0</v>
      </c>
      <c r="S222" s="67" t="e">
        <f t="shared" ca="1" si="105"/>
        <v>#N/A</v>
      </c>
      <c r="T222" s="67">
        <f t="shared" ca="1" si="106"/>
        <v>0</v>
      </c>
      <c r="U222" s="67" t="e">
        <f t="shared" ca="1" si="107"/>
        <v>#N/A</v>
      </c>
      <c r="V222" s="5">
        <f t="shared" ca="1" si="86"/>
        <v>0</v>
      </c>
      <c r="W222" s="5" t="e">
        <f t="shared" ca="1" si="100"/>
        <v>#N/A</v>
      </c>
      <c r="X222" s="67">
        <f t="shared" ca="1" si="101"/>
        <v>0</v>
      </c>
      <c r="Y222" s="67" t="e">
        <f t="shared" ca="1" si="108"/>
        <v>#N/A</v>
      </c>
      <c r="Z222" s="67" t="e">
        <f t="shared" ca="1" si="109"/>
        <v>#N/A</v>
      </c>
      <c r="AA222" s="5" t="str">
        <f>IF(Setup!$I$15="Yes",'Demand background (hide)'!AJ210+'SPC background (hide)'!C222,"")</f>
        <v/>
      </c>
      <c r="AC222" s="5" t="str">
        <f t="shared" ca="1" si="102"/>
        <v/>
      </c>
      <c r="AD222" s="5" t="str">
        <f t="shared" ca="1" si="103"/>
        <v/>
      </c>
    </row>
    <row r="223" spans="1:30" x14ac:dyDescent="0.2">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f t="shared" ca="1" si="91"/>
        <v>5</v>
      </c>
      <c r="J223" s="5">
        <f t="shared" ca="1" si="92"/>
        <v>0</v>
      </c>
      <c r="K223" s="5">
        <f t="shared" ca="1" si="93"/>
        <v>0</v>
      </c>
      <c r="L223" s="5">
        <f t="shared" ca="1" si="94"/>
        <v>0</v>
      </c>
      <c r="M223" s="5">
        <f t="shared" ca="1" si="95"/>
        <v>0</v>
      </c>
      <c r="N223" s="5">
        <f t="shared" ca="1" si="96"/>
        <v>0</v>
      </c>
      <c r="O223" s="5">
        <f t="shared" ca="1" si="97"/>
        <v>0</v>
      </c>
      <c r="P223" s="5">
        <f t="shared" ca="1" si="98"/>
        <v>0</v>
      </c>
      <c r="Q223" s="5" t="e">
        <f t="shared" ca="1" si="99"/>
        <v>#N/A</v>
      </c>
      <c r="R223" s="5">
        <f t="shared" ca="1" si="104"/>
        <v>0</v>
      </c>
      <c r="S223" s="67" t="e">
        <f t="shared" ca="1" si="105"/>
        <v>#N/A</v>
      </c>
      <c r="T223" s="67">
        <f t="shared" ca="1" si="106"/>
        <v>0</v>
      </c>
      <c r="U223" s="67" t="e">
        <f t="shared" ca="1" si="107"/>
        <v>#N/A</v>
      </c>
      <c r="V223" s="5">
        <f t="shared" ca="1" si="86"/>
        <v>0</v>
      </c>
      <c r="W223" s="5" t="e">
        <f t="shared" ca="1" si="100"/>
        <v>#N/A</v>
      </c>
      <c r="X223" s="67">
        <f t="shared" ca="1" si="101"/>
        <v>0</v>
      </c>
      <c r="Y223" s="67" t="e">
        <f t="shared" ca="1" si="108"/>
        <v>#N/A</v>
      </c>
      <c r="Z223" s="67" t="e">
        <f t="shared" ca="1" si="109"/>
        <v>#N/A</v>
      </c>
      <c r="AA223" s="5" t="str">
        <f>IF(Setup!$I$15="Yes",'Demand background (hide)'!AJ211+'SPC background (hide)'!C223,"")</f>
        <v/>
      </c>
      <c r="AC223" s="5" t="str">
        <f t="shared" ca="1" si="102"/>
        <v/>
      </c>
      <c r="AD223" s="5" t="str">
        <f t="shared" ca="1" si="103"/>
        <v/>
      </c>
    </row>
    <row r="224" spans="1:30" x14ac:dyDescent="0.2">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f t="shared" ca="1" si="91"/>
        <v>5</v>
      </c>
      <c r="J224" s="5">
        <f t="shared" ca="1" si="92"/>
        <v>0</v>
      </c>
      <c r="K224" s="5">
        <f t="shared" ca="1" si="93"/>
        <v>0</v>
      </c>
      <c r="L224" s="5">
        <f t="shared" ca="1" si="94"/>
        <v>0</v>
      </c>
      <c r="M224" s="5">
        <f t="shared" ca="1" si="95"/>
        <v>0</v>
      </c>
      <c r="N224" s="5">
        <f t="shared" ca="1" si="96"/>
        <v>0</v>
      </c>
      <c r="O224" s="5">
        <f t="shared" ca="1" si="97"/>
        <v>0</v>
      </c>
      <c r="P224" s="5">
        <f t="shared" ca="1" si="98"/>
        <v>0</v>
      </c>
      <c r="Q224" s="5" t="e">
        <f t="shared" ca="1" si="99"/>
        <v>#N/A</v>
      </c>
      <c r="R224" s="5">
        <f t="shared" ca="1" si="104"/>
        <v>0</v>
      </c>
      <c r="S224" s="67" t="e">
        <f t="shared" ca="1" si="105"/>
        <v>#N/A</v>
      </c>
      <c r="T224" s="67">
        <f t="shared" ca="1" si="106"/>
        <v>0</v>
      </c>
      <c r="U224" s="67" t="e">
        <f t="shared" ca="1" si="107"/>
        <v>#N/A</v>
      </c>
      <c r="V224" s="5">
        <f t="shared" ca="1" si="86"/>
        <v>0</v>
      </c>
      <c r="W224" s="5" t="e">
        <f t="shared" ca="1" si="100"/>
        <v>#N/A</v>
      </c>
      <c r="X224" s="67">
        <f t="shared" ca="1" si="101"/>
        <v>0</v>
      </c>
      <c r="Y224" s="67" t="e">
        <f t="shared" ca="1" si="108"/>
        <v>#N/A</v>
      </c>
      <c r="Z224" s="67" t="e">
        <f t="shared" ca="1" si="109"/>
        <v>#N/A</v>
      </c>
      <c r="AA224" s="5" t="str">
        <f>IF(Setup!$I$15="Yes",'Demand background (hide)'!AJ212+'SPC background (hide)'!C224,"")</f>
        <v/>
      </c>
      <c r="AC224" s="5" t="str">
        <f t="shared" ca="1" si="102"/>
        <v/>
      </c>
      <c r="AD224" s="5" t="str">
        <f t="shared" ca="1" si="103"/>
        <v/>
      </c>
    </row>
    <row r="225" spans="1:30" x14ac:dyDescent="0.2">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f t="shared" ca="1" si="91"/>
        <v>5</v>
      </c>
      <c r="J225" s="5">
        <f t="shared" ca="1" si="92"/>
        <v>0</v>
      </c>
      <c r="K225" s="5">
        <f t="shared" ca="1" si="93"/>
        <v>0</v>
      </c>
      <c r="L225" s="5">
        <f t="shared" ca="1" si="94"/>
        <v>0</v>
      </c>
      <c r="M225" s="5">
        <f t="shared" ca="1" si="95"/>
        <v>0</v>
      </c>
      <c r="N225" s="5">
        <f t="shared" ca="1" si="96"/>
        <v>0</v>
      </c>
      <c r="O225" s="5">
        <f t="shared" ca="1" si="97"/>
        <v>0</v>
      </c>
      <c r="P225" s="5">
        <f t="shared" ca="1" si="98"/>
        <v>0</v>
      </c>
      <c r="Q225" s="5" t="e">
        <f t="shared" ca="1" si="99"/>
        <v>#N/A</v>
      </c>
      <c r="R225" s="5">
        <f t="shared" ca="1" si="104"/>
        <v>0</v>
      </c>
      <c r="S225" s="67" t="e">
        <f t="shared" ca="1" si="105"/>
        <v>#N/A</v>
      </c>
      <c r="T225" s="67">
        <f t="shared" ca="1" si="106"/>
        <v>0</v>
      </c>
      <c r="U225" s="67" t="e">
        <f t="shared" ca="1" si="107"/>
        <v>#N/A</v>
      </c>
      <c r="V225" s="5">
        <f t="shared" ca="1" si="86"/>
        <v>0</v>
      </c>
      <c r="W225" s="5" t="e">
        <f t="shared" ca="1" si="100"/>
        <v>#N/A</v>
      </c>
      <c r="X225" s="67">
        <f t="shared" ca="1" si="101"/>
        <v>0</v>
      </c>
      <c r="Y225" s="67" t="e">
        <f t="shared" ca="1" si="108"/>
        <v>#N/A</v>
      </c>
      <c r="Z225" s="67" t="e">
        <f t="shared" ca="1" si="109"/>
        <v>#N/A</v>
      </c>
      <c r="AA225" s="5" t="str">
        <f>IF(Setup!$I$15="Yes",'Demand background (hide)'!AJ213+'SPC background (hide)'!C225,"")</f>
        <v/>
      </c>
      <c r="AC225" s="5" t="str">
        <f t="shared" ca="1" si="102"/>
        <v/>
      </c>
      <c r="AD225" s="5" t="str">
        <f t="shared" ca="1" si="103"/>
        <v/>
      </c>
    </row>
    <row r="226" spans="1:30" x14ac:dyDescent="0.2">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f t="shared" ca="1" si="91"/>
        <v>5</v>
      </c>
      <c r="J226" s="5">
        <f t="shared" ca="1" si="92"/>
        <v>0</v>
      </c>
      <c r="K226" s="5">
        <f t="shared" ca="1" si="93"/>
        <v>0</v>
      </c>
      <c r="L226" s="5">
        <f t="shared" ca="1" si="94"/>
        <v>0</v>
      </c>
      <c r="M226" s="5">
        <f t="shared" ca="1" si="95"/>
        <v>0</v>
      </c>
      <c r="N226" s="5">
        <f t="shared" ca="1" si="96"/>
        <v>0</v>
      </c>
      <c r="O226" s="5">
        <f t="shared" ca="1" si="97"/>
        <v>0</v>
      </c>
      <c r="P226" s="5">
        <f t="shared" ca="1" si="98"/>
        <v>0</v>
      </c>
      <c r="Q226" s="5" t="e">
        <f t="shared" ca="1" si="99"/>
        <v>#N/A</v>
      </c>
      <c r="R226" s="5">
        <f t="shared" ca="1" si="104"/>
        <v>0</v>
      </c>
      <c r="S226" s="67" t="e">
        <f t="shared" ca="1" si="105"/>
        <v>#N/A</v>
      </c>
      <c r="T226" s="67">
        <f t="shared" ca="1" si="106"/>
        <v>0</v>
      </c>
      <c r="U226" s="67" t="e">
        <f t="shared" ca="1" si="107"/>
        <v>#N/A</v>
      </c>
      <c r="V226" s="5">
        <f t="shared" ca="1" si="86"/>
        <v>0</v>
      </c>
      <c r="W226" s="5" t="e">
        <f t="shared" ca="1" si="100"/>
        <v>#N/A</v>
      </c>
      <c r="X226" s="67">
        <f t="shared" ca="1" si="101"/>
        <v>0</v>
      </c>
      <c r="Y226" s="67" t="e">
        <f t="shared" ca="1" si="108"/>
        <v>#N/A</v>
      </c>
      <c r="Z226" s="67" t="e">
        <f t="shared" ca="1" si="109"/>
        <v>#N/A</v>
      </c>
      <c r="AA226" s="5" t="str">
        <f>IF(Setup!$I$15="Yes",'Demand background (hide)'!AJ214+'SPC background (hide)'!C226,"")</f>
        <v/>
      </c>
      <c r="AC226" s="5" t="str">
        <f t="shared" ca="1" si="102"/>
        <v/>
      </c>
      <c r="AD226" s="5" t="str">
        <f t="shared" ca="1" si="103"/>
        <v/>
      </c>
    </row>
    <row r="227" spans="1:30" x14ac:dyDescent="0.2">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f t="shared" ca="1" si="91"/>
        <v>5</v>
      </c>
      <c r="J227" s="5">
        <f t="shared" ca="1" si="92"/>
        <v>0</v>
      </c>
      <c r="K227" s="5">
        <f t="shared" ca="1" si="93"/>
        <v>0</v>
      </c>
      <c r="L227" s="5">
        <f t="shared" ca="1" si="94"/>
        <v>0</v>
      </c>
      <c r="M227" s="5">
        <f t="shared" ca="1" si="95"/>
        <v>0</v>
      </c>
      <c r="N227" s="5">
        <f t="shared" ca="1" si="96"/>
        <v>0</v>
      </c>
      <c r="O227" s="5">
        <f t="shared" ca="1" si="97"/>
        <v>0</v>
      </c>
      <c r="P227" s="5">
        <f t="shared" ca="1" si="98"/>
        <v>0</v>
      </c>
      <c r="Q227" s="5" t="e">
        <f t="shared" ca="1" si="99"/>
        <v>#N/A</v>
      </c>
      <c r="R227" s="5">
        <f t="shared" ca="1" si="104"/>
        <v>0</v>
      </c>
      <c r="S227" s="67" t="e">
        <f t="shared" ca="1" si="105"/>
        <v>#N/A</v>
      </c>
      <c r="T227" s="67">
        <f t="shared" ca="1" si="106"/>
        <v>0</v>
      </c>
      <c r="U227" s="67" t="e">
        <f t="shared" ca="1" si="107"/>
        <v>#N/A</v>
      </c>
      <c r="V227" s="5">
        <f t="shared" ca="1" si="86"/>
        <v>0</v>
      </c>
      <c r="W227" s="5" t="e">
        <f t="shared" ca="1" si="100"/>
        <v>#N/A</v>
      </c>
      <c r="X227" s="67">
        <f t="shared" ca="1" si="101"/>
        <v>0</v>
      </c>
      <c r="Y227" s="67" t="e">
        <f t="shared" ca="1" si="108"/>
        <v>#N/A</v>
      </c>
      <c r="Z227" s="67" t="e">
        <f t="shared" ca="1" si="109"/>
        <v>#N/A</v>
      </c>
      <c r="AA227" s="5" t="str">
        <f>IF(Setup!$I$15="Yes",'Demand background (hide)'!AJ215+'SPC background (hide)'!C227,"")</f>
        <v/>
      </c>
      <c r="AC227" s="5" t="str">
        <f t="shared" ca="1" si="102"/>
        <v/>
      </c>
      <c r="AD227" s="5" t="str">
        <f t="shared" ca="1" si="103"/>
        <v/>
      </c>
    </row>
    <row r="228" spans="1:30" x14ac:dyDescent="0.2">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f t="shared" ca="1" si="91"/>
        <v>5</v>
      </c>
      <c r="J228" s="5">
        <f t="shared" ca="1" si="92"/>
        <v>0</v>
      </c>
      <c r="K228" s="5">
        <f t="shared" ca="1" si="93"/>
        <v>0</v>
      </c>
      <c r="L228" s="5">
        <f t="shared" ca="1" si="94"/>
        <v>0</v>
      </c>
      <c r="M228" s="5">
        <f t="shared" ca="1" si="95"/>
        <v>0</v>
      </c>
      <c r="N228" s="5">
        <f t="shared" ca="1" si="96"/>
        <v>0</v>
      </c>
      <c r="O228" s="5">
        <f t="shared" ca="1" si="97"/>
        <v>0</v>
      </c>
      <c r="P228" s="5">
        <f t="shared" ca="1" si="98"/>
        <v>0</v>
      </c>
      <c r="Q228" s="5" t="e">
        <f t="shared" ca="1" si="99"/>
        <v>#N/A</v>
      </c>
      <c r="R228" s="5">
        <f t="shared" ca="1" si="104"/>
        <v>0</v>
      </c>
      <c r="S228" s="67" t="e">
        <f t="shared" ca="1" si="105"/>
        <v>#N/A</v>
      </c>
      <c r="T228" s="67">
        <f t="shared" ca="1" si="106"/>
        <v>0</v>
      </c>
      <c r="U228" s="67" t="e">
        <f t="shared" ca="1" si="107"/>
        <v>#N/A</v>
      </c>
      <c r="V228" s="5">
        <f t="shared" ca="1" si="86"/>
        <v>0</v>
      </c>
      <c r="W228" s="5" t="e">
        <f t="shared" ca="1" si="100"/>
        <v>#N/A</v>
      </c>
      <c r="X228" s="67">
        <f t="shared" ca="1" si="101"/>
        <v>0</v>
      </c>
      <c r="Y228" s="67" t="e">
        <f t="shared" ca="1" si="108"/>
        <v>#N/A</v>
      </c>
      <c r="Z228" s="67" t="e">
        <f t="shared" ca="1" si="109"/>
        <v>#N/A</v>
      </c>
      <c r="AA228" s="5" t="str">
        <f>IF(Setup!$I$15="Yes",'Demand background (hide)'!AJ216+'SPC background (hide)'!C228,"")</f>
        <v/>
      </c>
      <c r="AC228" s="5" t="str">
        <f t="shared" ca="1" si="102"/>
        <v/>
      </c>
      <c r="AD228" s="5" t="str">
        <f t="shared" ca="1" si="103"/>
        <v/>
      </c>
    </row>
    <row r="229" spans="1:30" x14ac:dyDescent="0.2">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f t="shared" ca="1" si="91"/>
        <v>5</v>
      </c>
      <c r="J229" s="5">
        <f t="shared" ca="1" si="92"/>
        <v>0</v>
      </c>
      <c r="K229" s="5">
        <f t="shared" ca="1" si="93"/>
        <v>0</v>
      </c>
      <c r="L229" s="5">
        <f t="shared" ca="1" si="94"/>
        <v>0</v>
      </c>
      <c r="M229" s="5">
        <f t="shared" ca="1" si="95"/>
        <v>0</v>
      </c>
      <c r="N229" s="5">
        <f t="shared" ca="1" si="96"/>
        <v>0</v>
      </c>
      <c r="O229" s="5">
        <f t="shared" ca="1" si="97"/>
        <v>0</v>
      </c>
      <c r="P229" s="5">
        <f t="shared" ca="1" si="98"/>
        <v>0</v>
      </c>
      <c r="Q229" s="5" t="e">
        <f t="shared" ca="1" si="99"/>
        <v>#N/A</v>
      </c>
      <c r="R229" s="5">
        <f t="shared" ca="1" si="104"/>
        <v>0</v>
      </c>
      <c r="S229" s="67" t="e">
        <f t="shared" ca="1" si="105"/>
        <v>#N/A</v>
      </c>
      <c r="T229" s="67">
        <f t="shared" ca="1" si="106"/>
        <v>0</v>
      </c>
      <c r="U229" s="67" t="e">
        <f t="shared" ca="1" si="107"/>
        <v>#N/A</v>
      </c>
      <c r="V229" s="5">
        <f t="shared" ca="1" si="86"/>
        <v>0</v>
      </c>
      <c r="W229" s="5" t="e">
        <f t="shared" ca="1" si="100"/>
        <v>#N/A</v>
      </c>
      <c r="X229" s="67">
        <f t="shared" ca="1" si="101"/>
        <v>0</v>
      </c>
      <c r="Y229" s="67" t="e">
        <f t="shared" ca="1" si="108"/>
        <v>#N/A</v>
      </c>
      <c r="Z229" s="67" t="e">
        <f t="shared" ca="1" si="109"/>
        <v>#N/A</v>
      </c>
      <c r="AA229" s="5" t="str">
        <f>IF(Setup!$I$15="Yes",'Demand background (hide)'!AJ217+'SPC background (hide)'!C229,"")</f>
        <v/>
      </c>
      <c r="AC229" s="5" t="str">
        <f t="shared" ca="1" si="102"/>
        <v/>
      </c>
      <c r="AD229" s="5" t="str">
        <f t="shared" ca="1" si="103"/>
        <v/>
      </c>
    </row>
    <row r="230" spans="1:30" x14ac:dyDescent="0.2">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f t="shared" ca="1" si="91"/>
        <v>5</v>
      </c>
      <c r="J230" s="5">
        <f t="shared" ca="1" si="92"/>
        <v>0</v>
      </c>
      <c r="K230" s="5">
        <f t="shared" ca="1" si="93"/>
        <v>0</v>
      </c>
      <c r="L230" s="5">
        <f t="shared" ca="1" si="94"/>
        <v>0</v>
      </c>
      <c r="M230" s="5">
        <f t="shared" ca="1" si="95"/>
        <v>0</v>
      </c>
      <c r="N230" s="5">
        <f t="shared" ca="1" si="96"/>
        <v>0</v>
      </c>
      <c r="O230" s="5">
        <f t="shared" ca="1" si="97"/>
        <v>0</v>
      </c>
      <c r="P230" s="5">
        <f t="shared" ca="1" si="98"/>
        <v>0</v>
      </c>
      <c r="Q230" s="5" t="e">
        <f t="shared" ca="1" si="99"/>
        <v>#N/A</v>
      </c>
      <c r="R230" s="5">
        <f t="shared" ca="1" si="104"/>
        <v>0</v>
      </c>
      <c r="S230" s="67" t="e">
        <f t="shared" ca="1" si="105"/>
        <v>#N/A</v>
      </c>
      <c r="T230" s="67">
        <f t="shared" ca="1" si="106"/>
        <v>0</v>
      </c>
      <c r="U230" s="67" t="e">
        <f t="shared" ca="1" si="107"/>
        <v>#N/A</v>
      </c>
      <c r="V230" s="5">
        <f t="shared" ca="1" si="86"/>
        <v>0</v>
      </c>
      <c r="W230" s="5" t="e">
        <f t="shared" ca="1" si="100"/>
        <v>#N/A</v>
      </c>
      <c r="X230" s="67">
        <f t="shared" ca="1" si="101"/>
        <v>0</v>
      </c>
      <c r="Y230" s="67" t="e">
        <f t="shared" ca="1" si="108"/>
        <v>#N/A</v>
      </c>
      <c r="Z230" s="67" t="e">
        <f t="shared" ca="1" si="109"/>
        <v>#N/A</v>
      </c>
      <c r="AA230" s="5" t="str">
        <f>IF(Setup!$I$15="Yes",'Demand background (hide)'!AJ218+'SPC background (hide)'!C230,"")</f>
        <v/>
      </c>
      <c r="AC230" s="5" t="str">
        <f t="shared" ca="1" si="102"/>
        <v/>
      </c>
      <c r="AD230" s="5" t="str">
        <f t="shared" ca="1" si="103"/>
        <v/>
      </c>
    </row>
    <row r="231" spans="1:30" x14ac:dyDescent="0.2">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f t="shared" ca="1" si="91"/>
        <v>5</v>
      </c>
      <c r="J231" s="5">
        <f t="shared" ca="1" si="92"/>
        <v>0</v>
      </c>
      <c r="K231" s="5">
        <f t="shared" ca="1" si="93"/>
        <v>0</v>
      </c>
      <c r="L231" s="5">
        <f t="shared" ca="1" si="94"/>
        <v>0</v>
      </c>
      <c r="M231" s="5">
        <f t="shared" ca="1" si="95"/>
        <v>0</v>
      </c>
      <c r="N231" s="5">
        <f t="shared" ca="1" si="96"/>
        <v>0</v>
      </c>
      <c r="O231" s="5">
        <f t="shared" ca="1" si="97"/>
        <v>0</v>
      </c>
      <c r="P231" s="5">
        <f t="shared" ca="1" si="98"/>
        <v>0</v>
      </c>
      <c r="Q231" s="5" t="e">
        <f t="shared" ca="1" si="99"/>
        <v>#N/A</v>
      </c>
      <c r="R231" s="5">
        <f t="shared" ca="1" si="104"/>
        <v>0</v>
      </c>
      <c r="S231" s="67" t="e">
        <f t="shared" ca="1" si="105"/>
        <v>#N/A</v>
      </c>
      <c r="T231" s="67">
        <f t="shared" ca="1" si="106"/>
        <v>0</v>
      </c>
      <c r="U231" s="67" t="e">
        <f t="shared" ca="1" si="107"/>
        <v>#N/A</v>
      </c>
      <c r="V231" s="5">
        <f t="shared" ca="1" si="86"/>
        <v>0</v>
      </c>
      <c r="W231" s="5" t="e">
        <f t="shared" ca="1" si="100"/>
        <v>#N/A</v>
      </c>
      <c r="X231" s="67">
        <f t="shared" ca="1" si="101"/>
        <v>0</v>
      </c>
      <c r="Y231" s="67" t="e">
        <f t="shared" ca="1" si="108"/>
        <v>#N/A</v>
      </c>
      <c r="Z231" s="67" t="e">
        <f t="shared" ca="1" si="109"/>
        <v>#N/A</v>
      </c>
      <c r="AA231" s="5" t="str">
        <f>IF(Setup!$I$15="Yes",'Demand background (hide)'!AJ219+'SPC background (hide)'!C231,"")</f>
        <v/>
      </c>
      <c r="AC231" s="5" t="str">
        <f t="shared" ca="1" si="102"/>
        <v/>
      </c>
      <c r="AD231" s="5" t="str">
        <f t="shared" ca="1" si="103"/>
        <v/>
      </c>
    </row>
    <row r="232" spans="1:30" x14ac:dyDescent="0.2">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f t="shared" ca="1" si="91"/>
        <v>5</v>
      </c>
      <c r="J232" s="5">
        <f t="shared" ca="1" si="92"/>
        <v>0</v>
      </c>
      <c r="K232" s="5">
        <f t="shared" ca="1" si="93"/>
        <v>0</v>
      </c>
      <c r="L232" s="5">
        <f t="shared" ca="1" si="94"/>
        <v>0</v>
      </c>
      <c r="M232" s="5">
        <f t="shared" ca="1" si="95"/>
        <v>0</v>
      </c>
      <c r="N232" s="5">
        <f t="shared" ca="1" si="96"/>
        <v>0</v>
      </c>
      <c r="O232" s="5">
        <f t="shared" ca="1" si="97"/>
        <v>0</v>
      </c>
      <c r="P232" s="5">
        <f t="shared" ca="1" si="98"/>
        <v>0</v>
      </c>
      <c r="Q232" s="5" t="e">
        <f t="shared" ca="1" si="99"/>
        <v>#N/A</v>
      </c>
      <c r="R232" s="5">
        <f t="shared" ca="1" si="104"/>
        <v>0</v>
      </c>
      <c r="S232" s="67" t="e">
        <f t="shared" ca="1" si="105"/>
        <v>#N/A</v>
      </c>
      <c r="T232" s="67">
        <f t="shared" ca="1" si="106"/>
        <v>0</v>
      </c>
      <c r="U232" s="67" t="e">
        <f t="shared" ca="1" si="107"/>
        <v>#N/A</v>
      </c>
      <c r="V232" s="5">
        <f t="shared" ca="1" si="86"/>
        <v>0</v>
      </c>
      <c r="W232" s="5" t="e">
        <f t="shared" ca="1" si="100"/>
        <v>#N/A</v>
      </c>
      <c r="X232" s="67">
        <f t="shared" ca="1" si="101"/>
        <v>0</v>
      </c>
      <c r="Y232" s="67" t="e">
        <f t="shared" ca="1" si="108"/>
        <v>#N/A</v>
      </c>
      <c r="Z232" s="67" t="e">
        <f t="shared" ca="1" si="109"/>
        <v>#N/A</v>
      </c>
      <c r="AA232" s="5" t="str">
        <f>IF(Setup!$I$15="Yes",'Demand background (hide)'!AJ220+'SPC background (hide)'!C232,"")</f>
        <v/>
      </c>
      <c r="AC232" s="5" t="str">
        <f t="shared" ca="1" si="102"/>
        <v/>
      </c>
      <c r="AD232" s="5" t="str">
        <f t="shared" ca="1" si="103"/>
        <v/>
      </c>
    </row>
    <row r="233" spans="1:30" x14ac:dyDescent="0.2">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f t="shared" ca="1" si="91"/>
        <v>5</v>
      </c>
      <c r="J233" s="5">
        <f t="shared" ca="1" si="92"/>
        <v>0</v>
      </c>
      <c r="K233" s="5">
        <f t="shared" ca="1" si="93"/>
        <v>0</v>
      </c>
      <c r="L233" s="5">
        <f t="shared" ca="1" si="94"/>
        <v>0</v>
      </c>
      <c r="M233" s="5">
        <f t="shared" ca="1" si="95"/>
        <v>0</v>
      </c>
      <c r="N233" s="5">
        <f t="shared" ca="1" si="96"/>
        <v>0</v>
      </c>
      <c r="O233" s="5">
        <f t="shared" ca="1" si="97"/>
        <v>0</v>
      </c>
      <c r="P233" s="5">
        <f t="shared" ca="1" si="98"/>
        <v>0</v>
      </c>
      <c r="Q233" s="5" t="e">
        <f t="shared" ca="1" si="99"/>
        <v>#N/A</v>
      </c>
      <c r="R233" s="5">
        <f t="shared" ca="1" si="104"/>
        <v>0</v>
      </c>
      <c r="S233" s="67" t="e">
        <f t="shared" ca="1" si="105"/>
        <v>#N/A</v>
      </c>
      <c r="T233" s="67">
        <f t="shared" ca="1" si="106"/>
        <v>0</v>
      </c>
      <c r="U233" s="67" t="e">
        <f t="shared" ca="1" si="107"/>
        <v>#N/A</v>
      </c>
      <c r="V233" s="5">
        <f t="shared" ca="1" si="86"/>
        <v>0</v>
      </c>
      <c r="W233" s="5" t="e">
        <f t="shared" ca="1" si="100"/>
        <v>#N/A</v>
      </c>
      <c r="X233" s="67">
        <f t="shared" ca="1" si="101"/>
        <v>0</v>
      </c>
      <c r="Y233" s="67" t="e">
        <f t="shared" ca="1" si="108"/>
        <v>#N/A</v>
      </c>
      <c r="Z233" s="67" t="e">
        <f t="shared" ca="1" si="109"/>
        <v>#N/A</v>
      </c>
      <c r="AA233" s="5" t="str">
        <f>IF(Setup!$I$15="Yes",'Demand background (hide)'!AJ221+'SPC background (hide)'!C233,"")</f>
        <v/>
      </c>
      <c r="AC233" s="5" t="str">
        <f t="shared" ca="1" si="102"/>
        <v/>
      </c>
      <c r="AD233" s="5" t="str">
        <f t="shared" ca="1" si="103"/>
        <v/>
      </c>
    </row>
    <row r="234" spans="1:30" x14ac:dyDescent="0.2">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f t="shared" ca="1" si="91"/>
        <v>5</v>
      </c>
      <c r="J234" s="5">
        <f t="shared" ca="1" si="92"/>
        <v>0</v>
      </c>
      <c r="K234" s="5">
        <f t="shared" ca="1" si="93"/>
        <v>0</v>
      </c>
      <c r="L234" s="5">
        <f t="shared" ca="1" si="94"/>
        <v>0</v>
      </c>
      <c r="M234" s="5">
        <f t="shared" ca="1" si="95"/>
        <v>0</v>
      </c>
      <c r="N234" s="5">
        <f t="shared" ca="1" si="96"/>
        <v>0</v>
      </c>
      <c r="O234" s="5">
        <f t="shared" ca="1" si="97"/>
        <v>0</v>
      </c>
      <c r="P234" s="5">
        <f t="shared" ca="1" si="98"/>
        <v>0</v>
      </c>
      <c r="Q234" s="5" t="e">
        <f t="shared" ca="1" si="99"/>
        <v>#N/A</v>
      </c>
      <c r="R234" s="5">
        <f t="shared" ca="1" si="104"/>
        <v>0</v>
      </c>
      <c r="S234" s="67" t="e">
        <f t="shared" ca="1" si="105"/>
        <v>#N/A</v>
      </c>
      <c r="T234" s="67">
        <f t="shared" ca="1" si="106"/>
        <v>0</v>
      </c>
      <c r="U234" s="67" t="e">
        <f t="shared" ca="1" si="107"/>
        <v>#N/A</v>
      </c>
      <c r="V234" s="5">
        <f t="shared" ca="1" si="86"/>
        <v>0</v>
      </c>
      <c r="W234" s="5" t="e">
        <f t="shared" ca="1" si="100"/>
        <v>#N/A</v>
      </c>
      <c r="X234" s="67">
        <f t="shared" ca="1" si="101"/>
        <v>0</v>
      </c>
      <c r="Y234" s="67" t="e">
        <f t="shared" ca="1" si="108"/>
        <v>#N/A</v>
      </c>
      <c r="Z234" s="67" t="e">
        <f t="shared" ca="1" si="109"/>
        <v>#N/A</v>
      </c>
      <c r="AA234" s="5" t="str">
        <f>IF(Setup!$I$15="Yes",'Demand background (hide)'!AJ222+'SPC background (hide)'!C234,"")</f>
        <v/>
      </c>
      <c r="AC234" s="5" t="str">
        <f t="shared" ca="1" si="102"/>
        <v/>
      </c>
      <c r="AD234" s="5" t="str">
        <f t="shared" ca="1" si="103"/>
        <v/>
      </c>
    </row>
    <row r="235" spans="1:30" x14ac:dyDescent="0.2">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f t="shared" ca="1" si="91"/>
        <v>5</v>
      </c>
      <c r="J235" s="5">
        <f t="shared" ca="1" si="92"/>
        <v>0</v>
      </c>
      <c r="K235" s="5">
        <f t="shared" ca="1" si="93"/>
        <v>0</v>
      </c>
      <c r="L235" s="5">
        <f t="shared" ca="1" si="94"/>
        <v>0</v>
      </c>
      <c r="M235" s="5">
        <f t="shared" ca="1" si="95"/>
        <v>0</v>
      </c>
      <c r="N235" s="5">
        <f t="shared" ca="1" si="96"/>
        <v>0</v>
      </c>
      <c r="O235" s="5">
        <f t="shared" ca="1" si="97"/>
        <v>0</v>
      </c>
      <c r="P235" s="5">
        <f t="shared" ca="1" si="98"/>
        <v>0</v>
      </c>
      <c r="Q235" s="5" t="e">
        <f t="shared" ca="1" si="99"/>
        <v>#N/A</v>
      </c>
      <c r="R235" s="5">
        <f t="shared" ca="1" si="104"/>
        <v>0</v>
      </c>
      <c r="S235" s="67" t="e">
        <f t="shared" ca="1" si="105"/>
        <v>#N/A</v>
      </c>
      <c r="T235" s="67">
        <f t="shared" ca="1" si="106"/>
        <v>0</v>
      </c>
      <c r="U235" s="67" t="e">
        <f t="shared" ca="1" si="107"/>
        <v>#N/A</v>
      </c>
      <c r="V235" s="5">
        <f t="shared" ca="1" si="86"/>
        <v>0</v>
      </c>
      <c r="W235" s="5" t="e">
        <f t="shared" ca="1" si="100"/>
        <v>#N/A</v>
      </c>
      <c r="X235" s="67">
        <f t="shared" ca="1" si="101"/>
        <v>0</v>
      </c>
      <c r="Y235" s="67" t="e">
        <f t="shared" ca="1" si="108"/>
        <v>#N/A</v>
      </c>
      <c r="Z235" s="67" t="e">
        <f t="shared" ca="1" si="109"/>
        <v>#N/A</v>
      </c>
      <c r="AA235" s="5" t="str">
        <f>IF(Setup!$I$15="Yes",'Demand background (hide)'!AJ223+'SPC background (hide)'!C235,"")</f>
        <v/>
      </c>
      <c r="AC235" s="5" t="str">
        <f t="shared" ca="1" si="102"/>
        <v/>
      </c>
      <c r="AD235" s="5" t="str">
        <f t="shared" ca="1" si="103"/>
        <v/>
      </c>
    </row>
    <row r="236" spans="1:30" x14ac:dyDescent="0.2">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f t="shared" ca="1" si="91"/>
        <v>5</v>
      </c>
      <c r="J236" s="5">
        <f t="shared" ca="1" si="92"/>
        <v>0</v>
      </c>
      <c r="K236" s="5">
        <f t="shared" ca="1" si="93"/>
        <v>0</v>
      </c>
      <c r="L236" s="5">
        <f t="shared" ca="1" si="94"/>
        <v>0</v>
      </c>
      <c r="M236" s="5">
        <f t="shared" ca="1" si="95"/>
        <v>0</v>
      </c>
      <c r="N236" s="5">
        <f t="shared" ca="1" si="96"/>
        <v>0</v>
      </c>
      <c r="O236" s="5">
        <f t="shared" ca="1" si="97"/>
        <v>0</v>
      </c>
      <c r="P236" s="5">
        <f t="shared" ca="1" si="98"/>
        <v>0</v>
      </c>
      <c r="Q236" s="5" t="e">
        <f t="shared" ca="1" si="99"/>
        <v>#N/A</v>
      </c>
      <c r="R236" s="5">
        <f t="shared" ca="1" si="104"/>
        <v>0</v>
      </c>
      <c r="S236" s="67" t="e">
        <f t="shared" ca="1" si="105"/>
        <v>#N/A</v>
      </c>
      <c r="T236" s="67">
        <f t="shared" ca="1" si="106"/>
        <v>0</v>
      </c>
      <c r="U236" s="67" t="e">
        <f t="shared" ca="1" si="107"/>
        <v>#N/A</v>
      </c>
      <c r="V236" s="5">
        <f t="shared" ca="1" si="86"/>
        <v>0</v>
      </c>
      <c r="W236" s="5" t="e">
        <f t="shared" ca="1" si="100"/>
        <v>#N/A</v>
      </c>
      <c r="X236" s="67">
        <f t="shared" ca="1" si="101"/>
        <v>0</v>
      </c>
      <c r="Y236" s="67" t="e">
        <f t="shared" ca="1" si="108"/>
        <v>#N/A</v>
      </c>
      <c r="Z236" s="67" t="e">
        <f t="shared" ca="1" si="109"/>
        <v>#N/A</v>
      </c>
      <c r="AA236" s="5" t="str">
        <f>IF(Setup!$I$15="Yes",'Demand background (hide)'!AJ224+'SPC background (hide)'!C236,"")</f>
        <v/>
      </c>
      <c r="AC236" s="5" t="str">
        <f t="shared" ca="1" si="102"/>
        <v/>
      </c>
      <c r="AD236" s="5" t="str">
        <f t="shared" ca="1" si="103"/>
        <v/>
      </c>
    </row>
    <row r="237" spans="1:30" x14ac:dyDescent="0.2">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f t="shared" ca="1" si="91"/>
        <v>5</v>
      </c>
      <c r="J237" s="5">
        <f t="shared" ca="1" si="92"/>
        <v>0</v>
      </c>
      <c r="K237" s="5">
        <f t="shared" ca="1" si="93"/>
        <v>0</v>
      </c>
      <c r="L237" s="5">
        <f t="shared" ca="1" si="94"/>
        <v>0</v>
      </c>
      <c r="M237" s="5">
        <f t="shared" ca="1" si="95"/>
        <v>0</v>
      </c>
      <c r="N237" s="5">
        <f t="shared" ca="1" si="96"/>
        <v>0</v>
      </c>
      <c r="O237" s="5">
        <f t="shared" ca="1" si="97"/>
        <v>0</v>
      </c>
      <c r="P237" s="5">
        <f t="shared" ca="1" si="98"/>
        <v>0</v>
      </c>
      <c r="Q237" s="5" t="e">
        <f t="shared" ca="1" si="99"/>
        <v>#N/A</v>
      </c>
      <c r="R237" s="5">
        <f t="shared" ca="1" si="104"/>
        <v>0</v>
      </c>
      <c r="S237" s="67" t="e">
        <f t="shared" ca="1" si="105"/>
        <v>#N/A</v>
      </c>
      <c r="T237" s="67">
        <f t="shared" ca="1" si="106"/>
        <v>0</v>
      </c>
      <c r="U237" s="67" t="e">
        <f t="shared" ca="1" si="107"/>
        <v>#N/A</v>
      </c>
      <c r="V237" s="5">
        <f t="shared" ca="1" si="86"/>
        <v>0</v>
      </c>
      <c r="W237" s="5" t="e">
        <f t="shared" ca="1" si="100"/>
        <v>#N/A</v>
      </c>
      <c r="X237" s="67">
        <f t="shared" ca="1" si="101"/>
        <v>0</v>
      </c>
      <c r="Y237" s="67" t="e">
        <f t="shared" ca="1" si="108"/>
        <v>#N/A</v>
      </c>
      <c r="Z237" s="67" t="e">
        <f t="shared" ca="1" si="109"/>
        <v>#N/A</v>
      </c>
      <c r="AA237" s="5" t="str">
        <f>IF(Setup!$I$15="Yes",'Demand background (hide)'!AJ225+'SPC background (hide)'!C237,"")</f>
        <v/>
      </c>
      <c r="AC237" s="5" t="str">
        <f t="shared" ca="1" si="102"/>
        <v/>
      </c>
      <c r="AD237" s="5" t="str">
        <f t="shared" ca="1" si="103"/>
        <v/>
      </c>
    </row>
    <row r="238" spans="1:30" x14ac:dyDescent="0.2">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f t="shared" ca="1" si="91"/>
        <v>5</v>
      </c>
      <c r="J238" s="5">
        <f t="shared" ca="1" si="92"/>
        <v>0</v>
      </c>
      <c r="K238" s="5">
        <f t="shared" ca="1" si="93"/>
        <v>0</v>
      </c>
      <c r="L238" s="5">
        <f t="shared" ca="1" si="94"/>
        <v>0</v>
      </c>
      <c r="M238" s="5">
        <f t="shared" ca="1" si="95"/>
        <v>0</v>
      </c>
      <c r="N238" s="5">
        <f t="shared" ca="1" si="96"/>
        <v>0</v>
      </c>
      <c r="O238" s="5">
        <f t="shared" ca="1" si="97"/>
        <v>0</v>
      </c>
      <c r="P238" s="5">
        <f t="shared" ca="1" si="98"/>
        <v>0</v>
      </c>
      <c r="Q238" s="5" t="e">
        <f t="shared" ca="1" si="99"/>
        <v>#N/A</v>
      </c>
      <c r="R238" s="5">
        <f t="shared" ca="1" si="104"/>
        <v>0</v>
      </c>
      <c r="S238" s="67" t="e">
        <f t="shared" ca="1" si="105"/>
        <v>#N/A</v>
      </c>
      <c r="T238" s="67">
        <f t="shared" ca="1" si="106"/>
        <v>0</v>
      </c>
      <c r="U238" s="67" t="e">
        <f t="shared" ca="1" si="107"/>
        <v>#N/A</v>
      </c>
      <c r="V238" s="5">
        <f t="shared" ca="1" si="86"/>
        <v>0</v>
      </c>
      <c r="W238" s="5" t="e">
        <f t="shared" ca="1" si="100"/>
        <v>#N/A</v>
      </c>
      <c r="X238" s="67">
        <f t="shared" ca="1" si="101"/>
        <v>0</v>
      </c>
      <c r="Y238" s="67" t="e">
        <f t="shared" ca="1" si="108"/>
        <v>#N/A</v>
      </c>
      <c r="Z238" s="67" t="e">
        <f t="shared" ca="1" si="109"/>
        <v>#N/A</v>
      </c>
      <c r="AA238" s="5" t="str">
        <f>IF(Setup!$I$15="Yes",'Demand background (hide)'!AJ226+'SPC background (hide)'!C238,"")</f>
        <v/>
      </c>
      <c r="AC238" s="5" t="str">
        <f t="shared" ca="1" si="102"/>
        <v/>
      </c>
      <c r="AD238" s="5" t="str">
        <f t="shared" ca="1" si="103"/>
        <v/>
      </c>
    </row>
    <row r="239" spans="1:30" x14ac:dyDescent="0.2">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f t="shared" ca="1" si="91"/>
        <v>5</v>
      </c>
      <c r="J239" s="5">
        <f t="shared" ca="1" si="92"/>
        <v>0</v>
      </c>
      <c r="K239" s="5">
        <f t="shared" ca="1" si="93"/>
        <v>0</v>
      </c>
      <c r="L239" s="5">
        <f t="shared" ca="1" si="94"/>
        <v>0</v>
      </c>
      <c r="M239" s="5">
        <f t="shared" ca="1" si="95"/>
        <v>0</v>
      </c>
      <c r="N239" s="5">
        <f t="shared" ca="1" si="96"/>
        <v>0</v>
      </c>
      <c r="O239" s="5">
        <f t="shared" ca="1" si="97"/>
        <v>0</v>
      </c>
      <c r="P239" s="5">
        <f t="shared" ca="1" si="98"/>
        <v>0</v>
      </c>
      <c r="Q239" s="5" t="e">
        <f t="shared" ca="1" si="99"/>
        <v>#N/A</v>
      </c>
      <c r="R239" s="5">
        <f t="shared" ca="1" si="104"/>
        <v>0</v>
      </c>
      <c r="S239" s="67" t="e">
        <f t="shared" ca="1" si="105"/>
        <v>#N/A</v>
      </c>
      <c r="T239" s="67">
        <f t="shared" ca="1" si="106"/>
        <v>0</v>
      </c>
      <c r="U239" s="67" t="e">
        <f t="shared" ca="1" si="107"/>
        <v>#N/A</v>
      </c>
      <c r="V239" s="5">
        <f t="shared" ca="1" si="86"/>
        <v>0</v>
      </c>
      <c r="W239" s="5" t="e">
        <f t="shared" ca="1" si="100"/>
        <v>#N/A</v>
      </c>
      <c r="X239" s="67">
        <f t="shared" ca="1" si="101"/>
        <v>0</v>
      </c>
      <c r="Y239" s="67" t="e">
        <f t="shared" ca="1" si="108"/>
        <v>#N/A</v>
      </c>
      <c r="Z239" s="67" t="e">
        <f t="shared" ca="1" si="109"/>
        <v>#N/A</v>
      </c>
      <c r="AA239" s="5" t="str">
        <f>IF(Setup!$I$15="Yes",'Demand background (hide)'!AJ227+'SPC background (hide)'!C239,"")</f>
        <v/>
      </c>
      <c r="AC239" s="5" t="str">
        <f t="shared" ca="1" si="102"/>
        <v/>
      </c>
      <c r="AD239" s="5" t="str">
        <f t="shared" ca="1" si="103"/>
        <v/>
      </c>
    </row>
    <row r="240" spans="1:30" x14ac:dyDescent="0.2">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f t="shared" ca="1" si="91"/>
        <v>5</v>
      </c>
      <c r="J240" s="5">
        <f t="shared" ca="1" si="92"/>
        <v>0</v>
      </c>
      <c r="K240" s="5">
        <f t="shared" ca="1" si="93"/>
        <v>0</v>
      </c>
      <c r="L240" s="5">
        <f t="shared" ca="1" si="94"/>
        <v>0</v>
      </c>
      <c r="M240" s="5">
        <f t="shared" ca="1" si="95"/>
        <v>0</v>
      </c>
      <c r="N240" s="5">
        <f t="shared" ca="1" si="96"/>
        <v>0</v>
      </c>
      <c r="O240" s="5">
        <f t="shared" ca="1" si="97"/>
        <v>0</v>
      </c>
      <c r="P240" s="5">
        <f t="shared" ca="1" si="98"/>
        <v>0</v>
      </c>
      <c r="Q240" s="5" t="e">
        <f t="shared" ca="1" si="99"/>
        <v>#N/A</v>
      </c>
      <c r="R240" s="5">
        <f t="shared" ca="1" si="104"/>
        <v>0</v>
      </c>
      <c r="S240" s="67" t="e">
        <f t="shared" ca="1" si="105"/>
        <v>#N/A</v>
      </c>
      <c r="T240" s="67">
        <f t="shared" ca="1" si="106"/>
        <v>0</v>
      </c>
      <c r="U240" s="67" t="e">
        <f t="shared" ca="1" si="107"/>
        <v>#N/A</v>
      </c>
      <c r="V240" s="5">
        <f t="shared" ca="1" si="86"/>
        <v>0</v>
      </c>
      <c r="W240" s="5" t="e">
        <f t="shared" ca="1" si="100"/>
        <v>#N/A</v>
      </c>
      <c r="X240" s="67">
        <f t="shared" ca="1" si="101"/>
        <v>0</v>
      </c>
      <c r="Y240" s="67" t="e">
        <f t="shared" ca="1" si="108"/>
        <v>#N/A</v>
      </c>
      <c r="Z240" s="67" t="e">
        <f t="shared" ca="1" si="109"/>
        <v>#N/A</v>
      </c>
      <c r="AA240" s="5" t="str">
        <f>IF(Setup!$I$15="Yes",'Demand background (hide)'!AJ228+'SPC background (hide)'!C240,"")</f>
        <v/>
      </c>
      <c r="AC240" s="5" t="str">
        <f t="shared" ca="1" si="102"/>
        <v/>
      </c>
      <c r="AD240" s="5" t="str">
        <f t="shared" ca="1" si="103"/>
        <v/>
      </c>
    </row>
    <row r="241" spans="1:30" x14ac:dyDescent="0.2">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f t="shared" ca="1" si="91"/>
        <v>5</v>
      </c>
      <c r="J241" s="5">
        <f t="shared" ca="1" si="92"/>
        <v>0</v>
      </c>
      <c r="K241" s="5">
        <f t="shared" ca="1" si="93"/>
        <v>0</v>
      </c>
      <c r="L241" s="5">
        <f t="shared" ca="1" si="94"/>
        <v>0</v>
      </c>
      <c r="M241" s="5">
        <f t="shared" ca="1" si="95"/>
        <v>0</v>
      </c>
      <c r="N241" s="5">
        <f t="shared" ca="1" si="96"/>
        <v>0</v>
      </c>
      <c r="O241" s="5">
        <f t="shared" ca="1" si="97"/>
        <v>0</v>
      </c>
      <c r="P241" s="5">
        <f t="shared" ca="1" si="98"/>
        <v>0</v>
      </c>
      <c r="Q241" s="5" t="e">
        <f t="shared" ca="1" si="99"/>
        <v>#N/A</v>
      </c>
      <c r="R241" s="5">
        <f t="shared" ca="1" si="104"/>
        <v>0</v>
      </c>
      <c r="S241" s="67" t="e">
        <f t="shared" ca="1" si="105"/>
        <v>#N/A</v>
      </c>
      <c r="T241" s="67">
        <f t="shared" ca="1" si="106"/>
        <v>0</v>
      </c>
      <c r="U241" s="67" t="e">
        <f t="shared" ca="1" si="107"/>
        <v>#N/A</v>
      </c>
      <c r="V241" s="5">
        <f t="shared" ca="1" si="86"/>
        <v>0</v>
      </c>
      <c r="W241" s="5" t="e">
        <f t="shared" ca="1" si="100"/>
        <v>#N/A</v>
      </c>
      <c r="X241" s="67">
        <f t="shared" ca="1" si="101"/>
        <v>0</v>
      </c>
      <c r="Y241" s="67" t="e">
        <f t="shared" ca="1" si="108"/>
        <v>#N/A</v>
      </c>
      <c r="Z241" s="67" t="e">
        <f t="shared" ca="1" si="109"/>
        <v>#N/A</v>
      </c>
      <c r="AA241" s="5" t="str">
        <f>IF(Setup!$I$15="Yes",'Demand background (hide)'!AJ229+'SPC background (hide)'!C241,"")</f>
        <v/>
      </c>
      <c r="AC241" s="5" t="str">
        <f t="shared" ca="1" si="102"/>
        <v/>
      </c>
      <c r="AD241" s="5" t="str">
        <f t="shared" ca="1" si="103"/>
        <v/>
      </c>
    </row>
    <row r="242" spans="1:30" x14ac:dyDescent="0.2">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f t="shared" ca="1" si="91"/>
        <v>5</v>
      </c>
      <c r="J242" s="5">
        <f t="shared" ca="1" si="92"/>
        <v>0</v>
      </c>
      <c r="K242" s="5">
        <f t="shared" ca="1" si="93"/>
        <v>0</v>
      </c>
      <c r="L242" s="5">
        <f t="shared" ca="1" si="94"/>
        <v>0</v>
      </c>
      <c r="M242" s="5">
        <f t="shared" ca="1" si="95"/>
        <v>0</v>
      </c>
      <c r="N242" s="5">
        <f t="shared" ca="1" si="96"/>
        <v>0</v>
      </c>
      <c r="O242" s="5">
        <f t="shared" ca="1" si="97"/>
        <v>0</v>
      </c>
      <c r="P242" s="5">
        <f t="shared" ca="1" si="98"/>
        <v>0</v>
      </c>
      <c r="Q242" s="5" t="e">
        <f t="shared" ca="1" si="99"/>
        <v>#N/A</v>
      </c>
      <c r="R242" s="5">
        <f t="shared" ca="1" si="104"/>
        <v>0</v>
      </c>
      <c r="S242" s="67" t="e">
        <f t="shared" ca="1" si="105"/>
        <v>#N/A</v>
      </c>
      <c r="T242" s="67">
        <f t="shared" ca="1" si="106"/>
        <v>0</v>
      </c>
      <c r="U242" s="67" t="e">
        <f t="shared" ca="1" si="107"/>
        <v>#N/A</v>
      </c>
      <c r="V242" s="5">
        <f t="shared" ca="1" si="86"/>
        <v>0</v>
      </c>
      <c r="W242" s="5" t="e">
        <f t="shared" ca="1" si="100"/>
        <v>#N/A</v>
      </c>
      <c r="X242" s="67">
        <f t="shared" ca="1" si="101"/>
        <v>0</v>
      </c>
      <c r="Y242" s="67" t="e">
        <f t="shared" ca="1" si="108"/>
        <v>#N/A</v>
      </c>
      <c r="Z242" s="67" t="e">
        <f t="shared" ca="1" si="109"/>
        <v>#N/A</v>
      </c>
      <c r="AA242" s="5" t="str">
        <f>IF(Setup!$I$15="Yes",'Demand background (hide)'!AJ230+'SPC background (hide)'!C242,"")</f>
        <v/>
      </c>
      <c r="AC242" s="5" t="str">
        <f t="shared" ca="1" si="102"/>
        <v/>
      </c>
      <c r="AD242" s="5" t="str">
        <f t="shared" ca="1" si="103"/>
        <v/>
      </c>
    </row>
    <row r="243" spans="1:30" x14ac:dyDescent="0.2">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f t="shared" ca="1" si="91"/>
        <v>5</v>
      </c>
      <c r="J243" s="5">
        <f t="shared" ca="1" si="92"/>
        <v>0</v>
      </c>
      <c r="K243" s="5">
        <f t="shared" ca="1" si="93"/>
        <v>0</v>
      </c>
      <c r="L243" s="5">
        <f t="shared" ca="1" si="94"/>
        <v>0</v>
      </c>
      <c r="M243" s="5">
        <f t="shared" ca="1" si="95"/>
        <v>0</v>
      </c>
      <c r="N243" s="5">
        <f t="shared" ca="1" si="96"/>
        <v>0</v>
      </c>
      <c r="O243" s="5">
        <f t="shared" ca="1" si="97"/>
        <v>0</v>
      </c>
      <c r="P243" s="5">
        <f t="shared" ca="1" si="98"/>
        <v>0</v>
      </c>
      <c r="Q243" s="5" t="e">
        <f t="shared" ca="1" si="99"/>
        <v>#N/A</v>
      </c>
      <c r="R243" s="5">
        <f t="shared" ca="1" si="104"/>
        <v>0</v>
      </c>
      <c r="S243" s="67" t="e">
        <f t="shared" ca="1" si="105"/>
        <v>#N/A</v>
      </c>
      <c r="T243" s="67">
        <f t="shared" ca="1" si="106"/>
        <v>0</v>
      </c>
      <c r="U243" s="67" t="e">
        <f t="shared" ca="1" si="107"/>
        <v>#N/A</v>
      </c>
      <c r="V243" s="5">
        <f t="shared" ca="1" si="86"/>
        <v>0</v>
      </c>
      <c r="W243" s="5" t="e">
        <f t="shared" ca="1" si="100"/>
        <v>#N/A</v>
      </c>
      <c r="X243" s="67">
        <f t="shared" ca="1" si="101"/>
        <v>0</v>
      </c>
      <c r="Y243" s="67" t="e">
        <f t="shared" ca="1" si="108"/>
        <v>#N/A</v>
      </c>
      <c r="Z243" s="67" t="e">
        <f t="shared" ca="1" si="109"/>
        <v>#N/A</v>
      </c>
      <c r="AA243" s="5" t="str">
        <f>IF(Setup!$I$15="Yes",'Demand background (hide)'!AJ231+'SPC background (hide)'!C243,"")</f>
        <v/>
      </c>
      <c r="AC243" s="5" t="str">
        <f t="shared" ca="1" si="102"/>
        <v/>
      </c>
      <c r="AD243" s="5" t="str">
        <f t="shared" ca="1" si="103"/>
        <v/>
      </c>
    </row>
    <row r="244" spans="1:30" x14ac:dyDescent="0.2">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f t="shared" ca="1" si="91"/>
        <v>5</v>
      </c>
      <c r="J244" s="5">
        <f t="shared" ca="1" si="92"/>
        <v>0</v>
      </c>
      <c r="K244" s="5">
        <f t="shared" ca="1" si="93"/>
        <v>0</v>
      </c>
      <c r="L244" s="5">
        <f t="shared" ca="1" si="94"/>
        <v>0</v>
      </c>
      <c r="M244" s="5">
        <f t="shared" ca="1" si="95"/>
        <v>0</v>
      </c>
      <c r="N244" s="5">
        <f t="shared" ca="1" si="96"/>
        <v>0</v>
      </c>
      <c r="O244" s="5">
        <f t="shared" ca="1" si="97"/>
        <v>0</v>
      </c>
      <c r="P244" s="5">
        <f t="shared" ca="1" si="98"/>
        <v>0</v>
      </c>
      <c r="Q244" s="5" t="e">
        <f t="shared" ca="1" si="99"/>
        <v>#N/A</v>
      </c>
      <c r="R244" s="5">
        <f t="shared" ca="1" si="104"/>
        <v>0</v>
      </c>
      <c r="S244" s="67" t="e">
        <f t="shared" ca="1" si="105"/>
        <v>#N/A</v>
      </c>
      <c r="T244" s="67">
        <f t="shared" ca="1" si="106"/>
        <v>0</v>
      </c>
      <c r="U244" s="67" t="e">
        <f t="shared" ca="1" si="107"/>
        <v>#N/A</v>
      </c>
      <c r="V244" s="5">
        <f t="shared" ca="1" si="86"/>
        <v>0</v>
      </c>
      <c r="W244" s="5" t="e">
        <f t="shared" ca="1" si="100"/>
        <v>#N/A</v>
      </c>
      <c r="X244" s="67">
        <f t="shared" ca="1" si="101"/>
        <v>0</v>
      </c>
      <c r="Y244" s="67" t="e">
        <f t="shared" ca="1" si="108"/>
        <v>#N/A</v>
      </c>
      <c r="Z244" s="67" t="e">
        <f t="shared" ca="1" si="109"/>
        <v>#N/A</v>
      </c>
      <c r="AA244" s="5" t="str">
        <f>IF(Setup!$I$15="Yes",'Demand background (hide)'!AJ232+'SPC background (hide)'!C244,"")</f>
        <v/>
      </c>
      <c r="AC244" s="5" t="str">
        <f t="shared" ca="1" si="102"/>
        <v/>
      </c>
      <c r="AD244" s="5" t="str">
        <f t="shared" ca="1" si="103"/>
        <v/>
      </c>
    </row>
    <row r="245" spans="1:30" x14ac:dyDescent="0.2">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f t="shared" ca="1" si="91"/>
        <v>5</v>
      </c>
      <c r="J245" s="5">
        <f t="shared" ca="1" si="92"/>
        <v>0</v>
      </c>
      <c r="K245" s="5">
        <f t="shared" ca="1" si="93"/>
        <v>0</v>
      </c>
      <c r="L245" s="5">
        <f t="shared" ca="1" si="94"/>
        <v>0</v>
      </c>
      <c r="M245" s="5">
        <f t="shared" ca="1" si="95"/>
        <v>0</v>
      </c>
      <c r="N245" s="5">
        <f t="shared" ca="1" si="96"/>
        <v>0</v>
      </c>
      <c r="O245" s="5">
        <f t="shared" ca="1" si="97"/>
        <v>0</v>
      </c>
      <c r="P245" s="5">
        <f t="shared" ca="1" si="98"/>
        <v>0</v>
      </c>
      <c r="Q245" s="5" t="e">
        <f t="shared" ca="1" si="99"/>
        <v>#N/A</v>
      </c>
      <c r="R245" s="5">
        <f t="shared" ca="1" si="104"/>
        <v>0</v>
      </c>
      <c r="S245" s="67" t="e">
        <f t="shared" ca="1" si="105"/>
        <v>#N/A</v>
      </c>
      <c r="T245" s="67">
        <f t="shared" ca="1" si="106"/>
        <v>0</v>
      </c>
      <c r="U245" s="67" t="e">
        <f t="shared" ca="1" si="107"/>
        <v>#N/A</v>
      </c>
      <c r="V245" s="5">
        <f t="shared" ca="1" si="86"/>
        <v>0</v>
      </c>
      <c r="W245" s="5" t="e">
        <f t="shared" ca="1" si="100"/>
        <v>#N/A</v>
      </c>
      <c r="X245" s="67">
        <f t="shared" ca="1" si="101"/>
        <v>0</v>
      </c>
      <c r="Y245" s="67" t="e">
        <f t="shared" ca="1" si="108"/>
        <v>#N/A</v>
      </c>
      <c r="Z245" s="67" t="e">
        <f t="shared" ca="1" si="109"/>
        <v>#N/A</v>
      </c>
      <c r="AA245" s="5" t="str">
        <f>IF(Setup!$I$15="Yes",'Demand background (hide)'!AJ233+'SPC background (hide)'!C245,"")</f>
        <v/>
      </c>
      <c r="AC245" s="5" t="str">
        <f t="shared" ca="1" si="102"/>
        <v/>
      </c>
      <c r="AD245" s="5" t="str">
        <f t="shared" ca="1" si="103"/>
        <v/>
      </c>
    </row>
    <row r="246" spans="1:30" x14ac:dyDescent="0.2">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f t="shared" ca="1" si="91"/>
        <v>5</v>
      </c>
      <c r="J246" s="5">
        <f t="shared" ca="1" si="92"/>
        <v>0</v>
      </c>
      <c r="K246" s="5">
        <f t="shared" ca="1" si="93"/>
        <v>0</v>
      </c>
      <c r="L246" s="5">
        <f t="shared" ca="1" si="94"/>
        <v>0</v>
      </c>
      <c r="M246" s="5">
        <f t="shared" ca="1" si="95"/>
        <v>0</v>
      </c>
      <c r="N246" s="5">
        <f t="shared" ca="1" si="96"/>
        <v>0</v>
      </c>
      <c r="O246" s="5">
        <f t="shared" ca="1" si="97"/>
        <v>0</v>
      </c>
      <c r="P246" s="5">
        <f t="shared" ca="1" si="98"/>
        <v>0</v>
      </c>
      <c r="Q246" s="5" t="e">
        <f t="shared" ca="1" si="99"/>
        <v>#N/A</v>
      </c>
      <c r="R246" s="5">
        <f t="shared" ca="1" si="104"/>
        <v>0</v>
      </c>
      <c r="S246" s="67" t="e">
        <f t="shared" ca="1" si="105"/>
        <v>#N/A</v>
      </c>
      <c r="T246" s="67">
        <f t="shared" ca="1" si="106"/>
        <v>0</v>
      </c>
      <c r="U246" s="67" t="e">
        <f t="shared" ca="1" si="107"/>
        <v>#N/A</v>
      </c>
      <c r="V246" s="5">
        <f t="shared" ca="1" si="86"/>
        <v>0</v>
      </c>
      <c r="W246" s="5" t="e">
        <f t="shared" ca="1" si="100"/>
        <v>#N/A</v>
      </c>
      <c r="X246" s="67">
        <f t="shared" ca="1" si="101"/>
        <v>0</v>
      </c>
      <c r="Y246" s="67" t="e">
        <f t="shared" ca="1" si="108"/>
        <v>#N/A</v>
      </c>
      <c r="Z246" s="67" t="e">
        <f t="shared" ca="1" si="109"/>
        <v>#N/A</v>
      </c>
      <c r="AA246" s="5" t="str">
        <f>IF(Setup!$I$15="Yes",'Demand background (hide)'!AJ234+'SPC background (hide)'!C246,"")</f>
        <v/>
      </c>
      <c r="AC246" s="5" t="str">
        <f t="shared" ca="1" si="102"/>
        <v/>
      </c>
      <c r="AD246" s="5" t="str">
        <f t="shared" ca="1" si="103"/>
        <v/>
      </c>
    </row>
    <row r="247" spans="1:30" x14ac:dyDescent="0.2">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f t="shared" ca="1" si="91"/>
        <v>5</v>
      </c>
      <c r="J247" s="5">
        <f t="shared" ca="1" si="92"/>
        <v>0</v>
      </c>
      <c r="K247" s="5">
        <f t="shared" ca="1" si="93"/>
        <v>0</v>
      </c>
      <c r="L247" s="5">
        <f t="shared" ca="1" si="94"/>
        <v>0</v>
      </c>
      <c r="M247" s="5">
        <f t="shared" ca="1" si="95"/>
        <v>0</v>
      </c>
      <c r="N247" s="5">
        <f t="shared" ca="1" si="96"/>
        <v>0</v>
      </c>
      <c r="O247" s="5">
        <f t="shared" ca="1" si="97"/>
        <v>0</v>
      </c>
      <c r="P247" s="5">
        <f t="shared" ca="1" si="98"/>
        <v>0</v>
      </c>
      <c r="Q247" s="5" t="e">
        <f t="shared" ca="1" si="99"/>
        <v>#N/A</v>
      </c>
      <c r="R247" s="5">
        <f t="shared" ca="1" si="104"/>
        <v>0</v>
      </c>
      <c r="S247" s="67" t="e">
        <f t="shared" ca="1" si="105"/>
        <v>#N/A</v>
      </c>
      <c r="T247" s="67">
        <f t="shared" ca="1" si="106"/>
        <v>0</v>
      </c>
      <c r="U247" s="67" t="e">
        <f t="shared" ca="1" si="107"/>
        <v>#N/A</v>
      </c>
      <c r="V247" s="5">
        <f t="shared" ca="1" si="86"/>
        <v>0</v>
      </c>
      <c r="W247" s="5" t="e">
        <f t="shared" ca="1" si="100"/>
        <v>#N/A</v>
      </c>
      <c r="X247" s="67">
        <f t="shared" ca="1" si="101"/>
        <v>0</v>
      </c>
      <c r="Y247" s="67" t="e">
        <f t="shared" ca="1" si="108"/>
        <v>#N/A</v>
      </c>
      <c r="Z247" s="67" t="e">
        <f t="shared" ca="1" si="109"/>
        <v>#N/A</v>
      </c>
      <c r="AA247" s="5" t="str">
        <f>IF(Setup!$I$15="Yes",'Demand background (hide)'!AJ235+'SPC background (hide)'!C247,"")</f>
        <v/>
      </c>
      <c r="AC247" s="5" t="str">
        <f t="shared" ca="1" si="102"/>
        <v/>
      </c>
      <c r="AD247" s="5" t="str">
        <f t="shared" ca="1" si="103"/>
        <v/>
      </c>
    </row>
    <row r="248" spans="1:30" x14ac:dyDescent="0.2">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f t="shared" ca="1" si="91"/>
        <v>5</v>
      </c>
      <c r="J248" s="5">
        <f t="shared" ca="1" si="92"/>
        <v>0</v>
      </c>
      <c r="K248" s="5">
        <f t="shared" ca="1" si="93"/>
        <v>0</v>
      </c>
      <c r="L248" s="5">
        <f t="shared" ca="1" si="94"/>
        <v>0</v>
      </c>
      <c r="M248" s="5">
        <f t="shared" ca="1" si="95"/>
        <v>0</v>
      </c>
      <c r="N248" s="5">
        <f t="shared" ca="1" si="96"/>
        <v>0</v>
      </c>
      <c r="O248" s="5">
        <f t="shared" ca="1" si="97"/>
        <v>0</v>
      </c>
      <c r="P248" s="5">
        <f t="shared" ca="1" si="98"/>
        <v>0</v>
      </c>
      <c r="Q248" s="5" t="e">
        <f t="shared" ca="1" si="99"/>
        <v>#N/A</v>
      </c>
      <c r="R248" s="5">
        <f t="shared" ca="1" si="104"/>
        <v>0</v>
      </c>
      <c r="S248" s="67" t="e">
        <f t="shared" ca="1" si="105"/>
        <v>#N/A</v>
      </c>
      <c r="T248" s="67">
        <f t="shared" ca="1" si="106"/>
        <v>0</v>
      </c>
      <c r="U248" s="67" t="e">
        <f t="shared" ca="1" si="107"/>
        <v>#N/A</v>
      </c>
      <c r="V248" s="5">
        <f t="shared" ca="1" si="86"/>
        <v>0</v>
      </c>
      <c r="W248" s="5" t="e">
        <f t="shared" ca="1" si="100"/>
        <v>#N/A</v>
      </c>
      <c r="X248" s="67">
        <f t="shared" ca="1" si="101"/>
        <v>0</v>
      </c>
      <c r="Y248" s="67" t="e">
        <f t="shared" ca="1" si="108"/>
        <v>#N/A</v>
      </c>
      <c r="Z248" s="67" t="e">
        <f t="shared" ca="1" si="109"/>
        <v>#N/A</v>
      </c>
      <c r="AA248" s="5" t="str">
        <f>IF(Setup!$I$15="Yes",'Demand background (hide)'!AJ236+'SPC background (hide)'!C248,"")</f>
        <v/>
      </c>
      <c r="AC248" s="5" t="str">
        <f t="shared" ca="1" si="102"/>
        <v/>
      </c>
      <c r="AD248" s="5" t="str">
        <f t="shared" ca="1" si="103"/>
        <v/>
      </c>
    </row>
    <row r="249" spans="1:30" x14ac:dyDescent="0.2">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f t="shared" ca="1" si="91"/>
        <v>5</v>
      </c>
      <c r="J249" s="5">
        <f t="shared" ca="1" si="92"/>
        <v>0</v>
      </c>
      <c r="K249" s="5">
        <f t="shared" ca="1" si="93"/>
        <v>0</v>
      </c>
      <c r="L249" s="5">
        <f t="shared" ca="1" si="94"/>
        <v>0</v>
      </c>
      <c r="M249" s="5">
        <f t="shared" ca="1" si="95"/>
        <v>0</v>
      </c>
      <c r="N249" s="5">
        <f t="shared" ca="1" si="96"/>
        <v>0</v>
      </c>
      <c r="O249" s="5">
        <f t="shared" ca="1" si="97"/>
        <v>0</v>
      </c>
      <c r="P249" s="5">
        <f t="shared" ca="1" si="98"/>
        <v>0</v>
      </c>
      <c r="Q249" s="5" t="e">
        <f t="shared" ca="1" si="99"/>
        <v>#N/A</v>
      </c>
      <c r="R249" s="5">
        <f t="shared" ca="1" si="104"/>
        <v>0</v>
      </c>
      <c r="S249" s="67" t="e">
        <f t="shared" ca="1" si="105"/>
        <v>#N/A</v>
      </c>
      <c r="T249" s="67">
        <f t="shared" ca="1" si="106"/>
        <v>0</v>
      </c>
      <c r="U249" s="67" t="e">
        <f t="shared" ca="1" si="107"/>
        <v>#N/A</v>
      </c>
      <c r="V249" s="5">
        <f t="shared" ca="1" si="86"/>
        <v>0</v>
      </c>
      <c r="W249" s="5" t="e">
        <f t="shared" ca="1" si="100"/>
        <v>#N/A</v>
      </c>
      <c r="X249" s="67">
        <f t="shared" ca="1" si="101"/>
        <v>0</v>
      </c>
      <c r="Y249" s="67" t="e">
        <f t="shared" ca="1" si="108"/>
        <v>#N/A</v>
      </c>
      <c r="Z249" s="67" t="e">
        <f t="shared" ca="1" si="109"/>
        <v>#N/A</v>
      </c>
      <c r="AA249" s="5" t="str">
        <f>IF(Setup!$I$15="Yes",'Demand background (hide)'!AJ237+'SPC background (hide)'!C249,"")</f>
        <v/>
      </c>
      <c r="AC249" s="5" t="str">
        <f t="shared" ca="1" si="102"/>
        <v/>
      </c>
      <c r="AD249" s="5" t="str">
        <f t="shared" ca="1" si="103"/>
        <v/>
      </c>
    </row>
    <row r="250" spans="1:30" x14ac:dyDescent="0.2">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f t="shared" ca="1" si="91"/>
        <v>5</v>
      </c>
      <c r="J250" s="5">
        <f t="shared" ca="1" si="92"/>
        <v>0</v>
      </c>
      <c r="K250" s="5">
        <f t="shared" ca="1" si="93"/>
        <v>0</v>
      </c>
      <c r="L250" s="5">
        <f t="shared" ca="1" si="94"/>
        <v>0</v>
      </c>
      <c r="M250" s="5">
        <f t="shared" ca="1" si="95"/>
        <v>0</v>
      </c>
      <c r="N250" s="5">
        <f t="shared" ca="1" si="96"/>
        <v>0</v>
      </c>
      <c r="O250" s="5">
        <f t="shared" ca="1" si="97"/>
        <v>0</v>
      </c>
      <c r="P250" s="5">
        <f t="shared" ca="1" si="98"/>
        <v>0</v>
      </c>
      <c r="Q250" s="5" t="e">
        <f t="shared" ca="1" si="99"/>
        <v>#N/A</v>
      </c>
      <c r="R250" s="5">
        <f t="shared" ca="1" si="104"/>
        <v>0</v>
      </c>
      <c r="S250" s="67" t="e">
        <f t="shared" ca="1" si="105"/>
        <v>#N/A</v>
      </c>
      <c r="T250" s="67">
        <f t="shared" ca="1" si="106"/>
        <v>0</v>
      </c>
      <c r="U250" s="67" t="e">
        <f t="shared" ca="1" si="107"/>
        <v>#N/A</v>
      </c>
      <c r="V250" s="5">
        <f t="shared" ca="1" si="86"/>
        <v>0</v>
      </c>
      <c r="W250" s="5" t="e">
        <f t="shared" ca="1" si="100"/>
        <v>#N/A</v>
      </c>
      <c r="X250" s="67">
        <f t="shared" ca="1" si="101"/>
        <v>0</v>
      </c>
      <c r="Y250" s="67" t="e">
        <f t="shared" ca="1" si="108"/>
        <v>#N/A</v>
      </c>
      <c r="Z250" s="67" t="e">
        <f t="shared" ca="1" si="109"/>
        <v>#N/A</v>
      </c>
      <c r="AA250" s="5" t="str">
        <f>IF(Setup!$I$15="Yes",'Demand background (hide)'!AJ238+'SPC background (hide)'!C250,"")</f>
        <v/>
      </c>
      <c r="AC250" s="5" t="str">
        <f t="shared" ca="1" si="102"/>
        <v/>
      </c>
      <c r="AD250" s="5" t="str">
        <f t="shared" ca="1" si="103"/>
        <v/>
      </c>
    </row>
    <row r="251" spans="1:30" x14ac:dyDescent="0.2">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f t="shared" ca="1" si="91"/>
        <v>5</v>
      </c>
      <c r="J251" s="5">
        <f t="shared" ca="1" si="92"/>
        <v>0</v>
      </c>
      <c r="K251" s="5">
        <f t="shared" ca="1" si="93"/>
        <v>0</v>
      </c>
      <c r="L251" s="5">
        <f t="shared" ca="1" si="94"/>
        <v>0</v>
      </c>
      <c r="M251" s="5">
        <f t="shared" ca="1" si="95"/>
        <v>0</v>
      </c>
      <c r="N251" s="5">
        <f t="shared" ca="1" si="96"/>
        <v>0</v>
      </c>
      <c r="O251" s="5">
        <f t="shared" ca="1" si="97"/>
        <v>0</v>
      </c>
      <c r="P251" s="5">
        <f t="shared" ca="1" si="98"/>
        <v>0</v>
      </c>
      <c r="Q251" s="5" t="e">
        <f t="shared" ca="1" si="99"/>
        <v>#N/A</v>
      </c>
      <c r="R251" s="5">
        <f t="shared" ca="1" si="104"/>
        <v>0</v>
      </c>
      <c r="S251" s="67" t="e">
        <f t="shared" ca="1" si="105"/>
        <v>#N/A</v>
      </c>
      <c r="T251" s="67">
        <f t="shared" ca="1" si="106"/>
        <v>0</v>
      </c>
      <c r="U251" s="67" t="e">
        <f t="shared" ca="1" si="107"/>
        <v>#N/A</v>
      </c>
      <c r="V251" s="5">
        <f t="shared" ca="1" si="86"/>
        <v>0</v>
      </c>
      <c r="W251" s="5" t="e">
        <f t="shared" ca="1" si="100"/>
        <v>#N/A</v>
      </c>
      <c r="X251" s="67">
        <f t="shared" ca="1" si="101"/>
        <v>0</v>
      </c>
      <c r="Y251" s="67" t="e">
        <f t="shared" ca="1" si="108"/>
        <v>#N/A</v>
      </c>
      <c r="Z251" s="67" t="e">
        <f t="shared" ca="1" si="109"/>
        <v>#N/A</v>
      </c>
      <c r="AA251" s="5" t="str">
        <f>IF(Setup!$I$15="Yes",'Demand background (hide)'!AJ239+'SPC background (hide)'!C251,"")</f>
        <v/>
      </c>
      <c r="AC251" s="5" t="str">
        <f t="shared" ca="1" si="102"/>
        <v/>
      </c>
      <c r="AD251" s="5" t="str">
        <f t="shared" ca="1" si="103"/>
        <v/>
      </c>
    </row>
    <row r="252" spans="1:30" x14ac:dyDescent="0.2">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f t="shared" ca="1" si="91"/>
        <v>5</v>
      </c>
      <c r="J252" s="5">
        <f t="shared" ca="1" si="92"/>
        <v>0</v>
      </c>
      <c r="K252" s="5">
        <f t="shared" ca="1" si="93"/>
        <v>0</v>
      </c>
      <c r="L252" s="5">
        <f t="shared" ca="1" si="94"/>
        <v>0</v>
      </c>
      <c r="M252" s="5">
        <f t="shared" ca="1" si="95"/>
        <v>0</v>
      </c>
      <c r="N252" s="5">
        <f t="shared" ca="1" si="96"/>
        <v>0</v>
      </c>
      <c r="O252" s="5">
        <f t="shared" ca="1" si="97"/>
        <v>0</v>
      </c>
      <c r="P252" s="5">
        <f t="shared" ca="1" si="98"/>
        <v>0</v>
      </c>
      <c r="Q252" s="5" t="e">
        <f t="shared" ca="1" si="99"/>
        <v>#N/A</v>
      </c>
      <c r="R252" s="5">
        <f t="shared" ca="1" si="104"/>
        <v>0</v>
      </c>
      <c r="S252" s="67" t="e">
        <f t="shared" ca="1" si="105"/>
        <v>#N/A</v>
      </c>
      <c r="T252" s="67">
        <f t="shared" ca="1" si="106"/>
        <v>0</v>
      </c>
      <c r="U252" s="67" t="e">
        <f t="shared" ca="1" si="107"/>
        <v>#N/A</v>
      </c>
      <c r="V252" s="5">
        <f t="shared" ca="1" si="86"/>
        <v>0</v>
      </c>
      <c r="W252" s="5" t="e">
        <f t="shared" ca="1" si="100"/>
        <v>#N/A</v>
      </c>
      <c r="X252" s="67">
        <f t="shared" ca="1" si="101"/>
        <v>0</v>
      </c>
      <c r="Y252" s="67" t="e">
        <f t="shared" ca="1" si="108"/>
        <v>#N/A</v>
      </c>
      <c r="Z252" s="67" t="e">
        <f t="shared" ca="1" si="109"/>
        <v>#N/A</v>
      </c>
      <c r="AA252" s="5" t="str">
        <f>IF(Setup!$I$15="Yes",'Demand background (hide)'!AJ240+'SPC background (hide)'!C252,"")</f>
        <v/>
      </c>
      <c r="AC252" s="5" t="str">
        <f t="shared" ca="1" si="102"/>
        <v/>
      </c>
      <c r="AD252" s="5" t="str">
        <f t="shared" ca="1" si="103"/>
        <v/>
      </c>
    </row>
    <row r="253" spans="1:30" x14ac:dyDescent="0.2">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f t="shared" ca="1" si="91"/>
        <v>5</v>
      </c>
      <c r="J253" s="5">
        <f t="shared" ca="1" si="92"/>
        <v>0</v>
      </c>
      <c r="K253" s="5">
        <f t="shared" ca="1" si="93"/>
        <v>0</v>
      </c>
      <c r="L253" s="5">
        <f t="shared" ca="1" si="94"/>
        <v>0</v>
      </c>
      <c r="M253" s="5">
        <f t="shared" ca="1" si="95"/>
        <v>0</v>
      </c>
      <c r="N253" s="5">
        <f t="shared" ca="1" si="96"/>
        <v>0</v>
      </c>
      <c r="O253" s="5">
        <f t="shared" ca="1" si="97"/>
        <v>0</v>
      </c>
      <c r="P253" s="5">
        <f t="shared" ca="1" si="98"/>
        <v>0</v>
      </c>
      <c r="Q253" s="5" t="e">
        <f t="shared" ca="1" si="99"/>
        <v>#N/A</v>
      </c>
      <c r="R253" s="5">
        <f t="shared" ca="1" si="104"/>
        <v>0</v>
      </c>
      <c r="S253" s="67" t="e">
        <f t="shared" ca="1" si="105"/>
        <v>#N/A</v>
      </c>
      <c r="T253" s="67">
        <f t="shared" ca="1" si="106"/>
        <v>0</v>
      </c>
      <c r="U253" s="67" t="e">
        <f t="shared" ca="1" si="107"/>
        <v>#N/A</v>
      </c>
      <c r="V253" s="5">
        <f t="shared" ca="1" si="86"/>
        <v>0</v>
      </c>
      <c r="W253" s="5" t="e">
        <f t="shared" ca="1" si="100"/>
        <v>#N/A</v>
      </c>
      <c r="X253" s="67">
        <f t="shared" ca="1" si="101"/>
        <v>0</v>
      </c>
      <c r="Y253" s="67" t="e">
        <f t="shared" ca="1" si="108"/>
        <v>#N/A</v>
      </c>
      <c r="Z253" s="67" t="e">
        <f t="shared" ca="1" si="109"/>
        <v>#N/A</v>
      </c>
      <c r="AA253" s="5" t="str">
        <f>IF(Setup!$I$15="Yes",'Demand background (hide)'!AJ241+'SPC background (hide)'!C253,"")</f>
        <v/>
      </c>
      <c r="AC253" s="5" t="str">
        <f t="shared" ca="1" si="102"/>
        <v/>
      </c>
      <c r="AD253" s="5" t="str">
        <f t="shared" ca="1" si="103"/>
        <v/>
      </c>
    </row>
    <row r="254" spans="1:30" x14ac:dyDescent="0.2">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f t="shared" ca="1" si="91"/>
        <v>5</v>
      </c>
      <c r="J254" s="5">
        <f t="shared" ca="1" si="92"/>
        <v>0</v>
      </c>
      <c r="K254" s="5">
        <f t="shared" ca="1" si="93"/>
        <v>0</v>
      </c>
      <c r="L254" s="5">
        <f t="shared" ca="1" si="94"/>
        <v>0</v>
      </c>
      <c r="M254" s="5">
        <f t="shared" ca="1" si="95"/>
        <v>0</v>
      </c>
      <c r="N254" s="5">
        <f t="shared" ca="1" si="96"/>
        <v>0</v>
      </c>
      <c r="O254" s="5">
        <f t="shared" ca="1" si="97"/>
        <v>0</v>
      </c>
      <c r="P254" s="5">
        <f t="shared" ca="1" si="98"/>
        <v>0</v>
      </c>
      <c r="Q254" s="5" t="e">
        <f t="shared" ca="1" si="99"/>
        <v>#N/A</v>
      </c>
      <c r="R254" s="5">
        <f t="shared" ca="1" si="104"/>
        <v>0</v>
      </c>
      <c r="S254" s="67" t="e">
        <f t="shared" ca="1" si="105"/>
        <v>#N/A</v>
      </c>
      <c r="T254" s="67">
        <f t="shared" ca="1" si="106"/>
        <v>0</v>
      </c>
      <c r="U254" s="67" t="e">
        <f t="shared" ca="1" si="107"/>
        <v>#N/A</v>
      </c>
      <c r="V254" s="5">
        <f t="shared" ca="1" si="86"/>
        <v>0</v>
      </c>
      <c r="W254" s="5" t="e">
        <f t="shared" ca="1" si="100"/>
        <v>#N/A</v>
      </c>
      <c r="X254" s="67">
        <f t="shared" ca="1" si="101"/>
        <v>0</v>
      </c>
      <c r="Y254" s="67" t="e">
        <f t="shared" ca="1" si="108"/>
        <v>#N/A</v>
      </c>
      <c r="Z254" s="67" t="e">
        <f t="shared" ca="1" si="109"/>
        <v>#N/A</v>
      </c>
      <c r="AA254" s="5" t="str">
        <f>IF(Setup!$I$15="Yes",'Demand background (hide)'!AJ242+'SPC background (hide)'!C254,"")</f>
        <v/>
      </c>
      <c r="AC254" s="5" t="str">
        <f t="shared" ca="1" si="102"/>
        <v/>
      </c>
      <c r="AD254" s="5" t="str">
        <f t="shared" ca="1" si="103"/>
        <v/>
      </c>
    </row>
    <row r="255" spans="1:30" x14ac:dyDescent="0.2">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f t="shared" ca="1" si="91"/>
        <v>5</v>
      </c>
      <c r="J255" s="5">
        <f t="shared" ca="1" si="92"/>
        <v>0</v>
      </c>
      <c r="K255" s="5">
        <f t="shared" ca="1" si="93"/>
        <v>0</v>
      </c>
      <c r="L255" s="5">
        <f t="shared" ca="1" si="94"/>
        <v>0</v>
      </c>
      <c r="M255" s="5">
        <f t="shared" ca="1" si="95"/>
        <v>0</v>
      </c>
      <c r="N255" s="5">
        <f t="shared" ca="1" si="96"/>
        <v>0</v>
      </c>
      <c r="O255" s="5">
        <f t="shared" ca="1" si="97"/>
        <v>0</v>
      </c>
      <c r="P255" s="5">
        <f t="shared" ca="1" si="98"/>
        <v>0</v>
      </c>
      <c r="Q255" s="5" t="e">
        <f t="shared" ca="1" si="99"/>
        <v>#N/A</v>
      </c>
      <c r="R255" s="5">
        <f t="shared" ca="1" si="104"/>
        <v>0</v>
      </c>
      <c r="S255" s="67" t="e">
        <f t="shared" ca="1" si="105"/>
        <v>#N/A</v>
      </c>
      <c r="T255" s="67">
        <f t="shared" ca="1" si="106"/>
        <v>0</v>
      </c>
      <c r="U255" s="67" t="e">
        <f t="shared" ca="1" si="107"/>
        <v>#N/A</v>
      </c>
      <c r="V255" s="5">
        <f t="shared" ca="1" si="86"/>
        <v>0</v>
      </c>
      <c r="W255" s="5" t="e">
        <f t="shared" ca="1" si="100"/>
        <v>#N/A</v>
      </c>
      <c r="X255" s="67">
        <f t="shared" ca="1" si="101"/>
        <v>0</v>
      </c>
      <c r="Y255" s="67" t="e">
        <f t="shared" ca="1" si="108"/>
        <v>#N/A</v>
      </c>
      <c r="Z255" s="67" t="e">
        <f t="shared" ca="1" si="109"/>
        <v>#N/A</v>
      </c>
      <c r="AA255" s="5" t="str">
        <f>IF(Setup!$I$15="Yes",'Demand background (hide)'!AJ243+'SPC background (hide)'!C255,"")</f>
        <v/>
      </c>
      <c r="AC255" s="5" t="str">
        <f t="shared" ca="1" si="102"/>
        <v/>
      </c>
      <c r="AD255" s="5" t="str">
        <f t="shared" ca="1" si="103"/>
        <v/>
      </c>
    </row>
    <row r="256" spans="1:30" x14ac:dyDescent="0.2">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f t="shared" ca="1" si="91"/>
        <v>5</v>
      </c>
      <c r="J256" s="5">
        <f t="shared" ca="1" si="92"/>
        <v>0</v>
      </c>
      <c r="K256" s="5">
        <f t="shared" ca="1" si="93"/>
        <v>0</v>
      </c>
      <c r="L256" s="5">
        <f t="shared" ca="1" si="94"/>
        <v>0</v>
      </c>
      <c r="M256" s="5">
        <f t="shared" ca="1" si="95"/>
        <v>0</v>
      </c>
      <c r="N256" s="5">
        <f t="shared" ca="1" si="96"/>
        <v>0</v>
      </c>
      <c r="O256" s="5">
        <f t="shared" ca="1" si="97"/>
        <v>0</v>
      </c>
      <c r="P256" s="5">
        <f t="shared" ca="1" si="98"/>
        <v>0</v>
      </c>
      <c r="Q256" s="5" t="e">
        <f t="shared" ca="1" si="99"/>
        <v>#N/A</v>
      </c>
      <c r="R256" s="5">
        <f t="shared" ca="1" si="104"/>
        <v>0</v>
      </c>
      <c r="S256" s="67" t="e">
        <f t="shared" ca="1" si="105"/>
        <v>#N/A</v>
      </c>
      <c r="T256" s="67">
        <f t="shared" ca="1" si="106"/>
        <v>0</v>
      </c>
      <c r="U256" s="67" t="e">
        <f t="shared" ca="1" si="107"/>
        <v>#N/A</v>
      </c>
      <c r="V256" s="5">
        <f t="shared" ca="1" si="86"/>
        <v>0</v>
      </c>
      <c r="W256" s="5" t="e">
        <f t="shared" ca="1" si="100"/>
        <v>#N/A</v>
      </c>
      <c r="X256" s="67">
        <f t="shared" ca="1" si="101"/>
        <v>0</v>
      </c>
      <c r="Y256" s="67" t="e">
        <f t="shared" ca="1" si="108"/>
        <v>#N/A</v>
      </c>
      <c r="Z256" s="67" t="e">
        <f t="shared" ca="1" si="109"/>
        <v>#N/A</v>
      </c>
      <c r="AA256" s="5" t="str">
        <f>IF(Setup!$I$15="Yes",'Demand background (hide)'!AJ244+'SPC background (hide)'!C256,"")</f>
        <v/>
      </c>
      <c r="AC256" s="5" t="str">
        <f t="shared" ca="1" si="102"/>
        <v/>
      </c>
      <c r="AD256" s="5" t="str">
        <f t="shared" ca="1" si="103"/>
        <v/>
      </c>
    </row>
    <row r="257" spans="1:30" x14ac:dyDescent="0.2">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f t="shared" ca="1" si="91"/>
        <v>5</v>
      </c>
      <c r="J257" s="5">
        <f t="shared" ca="1" si="92"/>
        <v>0</v>
      </c>
      <c r="K257" s="5">
        <f t="shared" ca="1" si="93"/>
        <v>0</v>
      </c>
      <c r="L257" s="5">
        <f t="shared" ca="1" si="94"/>
        <v>0</v>
      </c>
      <c r="M257" s="5">
        <f t="shared" ca="1" si="95"/>
        <v>0</v>
      </c>
      <c r="N257" s="5">
        <f t="shared" ca="1" si="96"/>
        <v>0</v>
      </c>
      <c r="O257" s="5">
        <f t="shared" ca="1" si="97"/>
        <v>0</v>
      </c>
      <c r="P257" s="5">
        <f t="shared" ca="1" si="98"/>
        <v>0</v>
      </c>
      <c r="Q257" s="5" t="e">
        <f t="shared" ca="1" si="99"/>
        <v>#N/A</v>
      </c>
      <c r="R257" s="5">
        <f t="shared" ca="1" si="104"/>
        <v>0</v>
      </c>
      <c r="S257" s="67" t="e">
        <f t="shared" ca="1" si="105"/>
        <v>#N/A</v>
      </c>
      <c r="T257" s="67">
        <f t="shared" ca="1" si="106"/>
        <v>0</v>
      </c>
      <c r="U257" s="67" t="e">
        <f t="shared" ca="1" si="107"/>
        <v>#N/A</v>
      </c>
      <c r="V257" s="5">
        <f t="shared" ca="1" si="86"/>
        <v>0</v>
      </c>
      <c r="W257" s="5" t="e">
        <f t="shared" ca="1" si="100"/>
        <v>#N/A</v>
      </c>
      <c r="X257" s="67">
        <f t="shared" ca="1" si="101"/>
        <v>0</v>
      </c>
      <c r="Y257" s="67" t="e">
        <f t="shared" ca="1" si="108"/>
        <v>#N/A</v>
      </c>
      <c r="Z257" s="67" t="e">
        <f t="shared" ca="1" si="109"/>
        <v>#N/A</v>
      </c>
      <c r="AA257" s="5" t="str">
        <f>IF(Setup!$I$15="Yes",'Demand background (hide)'!AJ245+'SPC background (hide)'!C257,"")</f>
        <v/>
      </c>
      <c r="AC257" s="5" t="str">
        <f t="shared" ca="1" si="102"/>
        <v/>
      </c>
      <c r="AD257" s="5" t="str">
        <f t="shared" ca="1" si="103"/>
        <v/>
      </c>
    </row>
    <row r="258" spans="1:30" x14ac:dyDescent="0.2">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f t="shared" ca="1" si="91"/>
        <v>5</v>
      </c>
      <c r="J258" s="5">
        <f t="shared" ca="1" si="92"/>
        <v>0</v>
      </c>
      <c r="K258" s="5">
        <f t="shared" ca="1" si="93"/>
        <v>0</v>
      </c>
      <c r="L258" s="5">
        <f t="shared" ca="1" si="94"/>
        <v>0</v>
      </c>
      <c r="M258" s="5">
        <f t="shared" ca="1" si="95"/>
        <v>0</v>
      </c>
      <c r="N258" s="5">
        <f t="shared" ca="1" si="96"/>
        <v>0</v>
      </c>
      <c r="O258" s="5">
        <f t="shared" ca="1" si="97"/>
        <v>0</v>
      </c>
      <c r="P258" s="5">
        <f t="shared" ca="1" si="98"/>
        <v>0</v>
      </c>
      <c r="Q258" s="5" t="e">
        <f t="shared" ca="1" si="99"/>
        <v>#N/A</v>
      </c>
      <c r="R258" s="5">
        <f t="shared" ca="1" si="104"/>
        <v>0</v>
      </c>
      <c r="S258" s="67" t="e">
        <f t="shared" ca="1" si="105"/>
        <v>#N/A</v>
      </c>
      <c r="T258" s="67">
        <f t="shared" ca="1" si="106"/>
        <v>0</v>
      </c>
      <c r="U258" s="67" t="e">
        <f t="shared" ca="1" si="107"/>
        <v>#N/A</v>
      </c>
      <c r="V258" s="5">
        <f t="shared" ca="1" si="86"/>
        <v>0</v>
      </c>
      <c r="W258" s="5" t="e">
        <f t="shared" ca="1" si="100"/>
        <v>#N/A</v>
      </c>
      <c r="X258" s="67">
        <f t="shared" ca="1" si="101"/>
        <v>0</v>
      </c>
      <c r="Y258" s="67" t="e">
        <f t="shared" ca="1" si="108"/>
        <v>#N/A</v>
      </c>
      <c r="Z258" s="67" t="e">
        <f t="shared" ca="1" si="109"/>
        <v>#N/A</v>
      </c>
      <c r="AA258" s="5" t="str">
        <f>IF(Setup!$I$15="Yes",'Demand background (hide)'!AJ246+'SPC background (hide)'!C258,"")</f>
        <v/>
      </c>
      <c r="AC258" s="5" t="str">
        <f t="shared" ca="1" si="102"/>
        <v/>
      </c>
      <c r="AD258" s="5" t="str">
        <f t="shared" ca="1" si="103"/>
        <v/>
      </c>
    </row>
    <row r="259" spans="1:30" x14ac:dyDescent="0.2">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f t="shared" ca="1" si="91"/>
        <v>5</v>
      </c>
      <c r="J259" s="5">
        <f t="shared" ca="1" si="92"/>
        <v>0</v>
      </c>
      <c r="K259" s="5">
        <f t="shared" ca="1" si="93"/>
        <v>0</v>
      </c>
      <c r="L259" s="5">
        <f t="shared" ca="1" si="94"/>
        <v>0</v>
      </c>
      <c r="M259" s="5">
        <f t="shared" ca="1" si="95"/>
        <v>0</v>
      </c>
      <c r="N259" s="5">
        <f t="shared" ca="1" si="96"/>
        <v>0</v>
      </c>
      <c r="O259" s="5">
        <f t="shared" ca="1" si="97"/>
        <v>0</v>
      </c>
      <c r="P259" s="5">
        <f t="shared" ca="1" si="98"/>
        <v>0</v>
      </c>
      <c r="Q259" s="5" t="e">
        <f t="shared" ca="1" si="99"/>
        <v>#N/A</v>
      </c>
      <c r="R259" s="5">
        <f t="shared" ca="1" si="104"/>
        <v>0</v>
      </c>
      <c r="S259" s="67" t="e">
        <f t="shared" ca="1" si="105"/>
        <v>#N/A</v>
      </c>
      <c r="T259" s="67">
        <f t="shared" ca="1" si="106"/>
        <v>0</v>
      </c>
      <c r="U259" s="67" t="e">
        <f t="shared" ca="1" si="107"/>
        <v>#N/A</v>
      </c>
      <c r="V259" s="5">
        <f t="shared" ca="1" si="86"/>
        <v>0</v>
      </c>
      <c r="W259" s="5" t="e">
        <f t="shared" ca="1" si="100"/>
        <v>#N/A</v>
      </c>
      <c r="X259" s="67">
        <f t="shared" ca="1" si="101"/>
        <v>0</v>
      </c>
      <c r="Y259" s="67" t="e">
        <f t="shared" ca="1" si="108"/>
        <v>#N/A</v>
      </c>
      <c r="Z259" s="67" t="e">
        <f t="shared" ca="1" si="109"/>
        <v>#N/A</v>
      </c>
      <c r="AA259" s="5" t="str">
        <f>IF(Setup!$I$15="Yes",'Demand background (hide)'!AJ247+'SPC background (hide)'!C259,"")</f>
        <v/>
      </c>
      <c r="AC259" s="5" t="str">
        <f t="shared" ca="1" si="102"/>
        <v/>
      </c>
      <c r="AD259" s="5" t="str">
        <f t="shared" ca="1" si="103"/>
        <v/>
      </c>
    </row>
    <row r="260" spans="1:30" x14ac:dyDescent="0.2">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f t="shared" ca="1" si="91"/>
        <v>5</v>
      </c>
      <c r="J260" s="5">
        <f t="shared" ca="1" si="92"/>
        <v>0</v>
      </c>
      <c r="K260" s="5">
        <f t="shared" ca="1" si="93"/>
        <v>0</v>
      </c>
      <c r="L260" s="5">
        <f t="shared" ca="1" si="94"/>
        <v>0</v>
      </c>
      <c r="M260" s="5">
        <f t="shared" ca="1" si="95"/>
        <v>0</v>
      </c>
      <c r="N260" s="5">
        <f t="shared" ca="1" si="96"/>
        <v>0</v>
      </c>
      <c r="O260" s="5">
        <f t="shared" ca="1" si="97"/>
        <v>0</v>
      </c>
      <c r="P260" s="5">
        <f t="shared" ca="1" si="98"/>
        <v>0</v>
      </c>
      <c r="Q260" s="5" t="e">
        <f t="shared" ca="1" si="99"/>
        <v>#N/A</v>
      </c>
      <c r="R260" s="5">
        <f t="shared" ca="1" si="104"/>
        <v>0</v>
      </c>
      <c r="S260" s="67" t="e">
        <f t="shared" ca="1" si="105"/>
        <v>#N/A</v>
      </c>
      <c r="T260" s="67">
        <f t="shared" ca="1" si="106"/>
        <v>0</v>
      </c>
      <c r="U260" s="67" t="e">
        <f t="shared" ca="1" si="107"/>
        <v>#N/A</v>
      </c>
      <c r="V260" s="5">
        <f t="shared" ca="1" si="86"/>
        <v>0</v>
      </c>
      <c r="W260" s="5" t="e">
        <f t="shared" ca="1" si="100"/>
        <v>#N/A</v>
      </c>
      <c r="X260" s="67">
        <f t="shared" ca="1" si="101"/>
        <v>0</v>
      </c>
      <c r="Y260" s="67" t="e">
        <f t="shared" ca="1" si="108"/>
        <v>#N/A</v>
      </c>
      <c r="Z260" s="67" t="e">
        <f t="shared" ca="1" si="109"/>
        <v>#N/A</v>
      </c>
      <c r="AA260" s="5" t="str">
        <f>IF(Setup!$I$15="Yes",'Demand background (hide)'!AJ248+'SPC background (hide)'!C260,"")</f>
        <v/>
      </c>
      <c r="AC260" s="5" t="str">
        <f t="shared" ca="1" si="102"/>
        <v/>
      </c>
      <c r="AD260" s="5" t="str">
        <f t="shared" ca="1" si="103"/>
        <v/>
      </c>
    </row>
    <row r="261" spans="1:30" x14ac:dyDescent="0.2">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f t="shared" ca="1" si="91"/>
        <v>5</v>
      </c>
      <c r="J261" s="5">
        <f t="shared" ca="1" si="92"/>
        <v>0</v>
      </c>
      <c r="K261" s="5">
        <f t="shared" ca="1" si="93"/>
        <v>0</v>
      </c>
      <c r="L261" s="5">
        <f t="shared" ca="1" si="94"/>
        <v>0</v>
      </c>
      <c r="M261" s="5">
        <f t="shared" ca="1" si="95"/>
        <v>0</v>
      </c>
      <c r="N261" s="5">
        <f t="shared" ca="1" si="96"/>
        <v>0</v>
      </c>
      <c r="O261" s="5">
        <f t="shared" ca="1" si="97"/>
        <v>0</v>
      </c>
      <c r="P261" s="5">
        <f t="shared" ca="1" si="98"/>
        <v>0</v>
      </c>
      <c r="Q261" s="5" t="e">
        <f t="shared" ca="1" si="99"/>
        <v>#N/A</v>
      </c>
      <c r="R261" s="5">
        <f t="shared" ca="1" si="104"/>
        <v>0</v>
      </c>
      <c r="S261" s="67" t="e">
        <f t="shared" ca="1" si="105"/>
        <v>#N/A</v>
      </c>
      <c r="T261" s="67">
        <f t="shared" ca="1" si="106"/>
        <v>0</v>
      </c>
      <c r="U261" s="67" t="e">
        <f t="shared" ca="1" si="107"/>
        <v>#N/A</v>
      </c>
      <c r="V261" s="5">
        <f t="shared" ca="1" si="86"/>
        <v>0</v>
      </c>
      <c r="W261" s="5" t="e">
        <f t="shared" ca="1" si="100"/>
        <v>#N/A</v>
      </c>
      <c r="X261" s="67">
        <f t="shared" ca="1" si="101"/>
        <v>0</v>
      </c>
      <c r="Y261" s="67" t="e">
        <f t="shared" ca="1" si="108"/>
        <v>#N/A</v>
      </c>
      <c r="Z261" s="67" t="e">
        <f t="shared" ca="1" si="109"/>
        <v>#N/A</v>
      </c>
      <c r="AA261" s="5" t="str">
        <f>IF(Setup!$I$15="Yes",'Demand background (hide)'!AJ249+'SPC background (hide)'!C261,"")</f>
        <v/>
      </c>
      <c r="AC261" s="5" t="str">
        <f t="shared" ca="1" si="102"/>
        <v/>
      </c>
      <c r="AD261" s="5" t="str">
        <f t="shared" ca="1" si="103"/>
        <v/>
      </c>
    </row>
    <row r="262" spans="1:30" x14ac:dyDescent="0.2">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f t="shared" ca="1" si="91"/>
        <v>5</v>
      </c>
      <c r="J262" s="5">
        <f t="shared" ca="1" si="92"/>
        <v>0</v>
      </c>
      <c r="K262" s="5">
        <f t="shared" ca="1" si="93"/>
        <v>0</v>
      </c>
      <c r="L262" s="5">
        <f t="shared" ca="1" si="94"/>
        <v>0</v>
      </c>
      <c r="M262" s="5">
        <f t="shared" ca="1" si="95"/>
        <v>0</v>
      </c>
      <c r="N262" s="5">
        <f t="shared" ca="1" si="96"/>
        <v>0</v>
      </c>
      <c r="O262" s="5">
        <f t="shared" ca="1" si="97"/>
        <v>0</v>
      </c>
      <c r="P262" s="5">
        <f t="shared" ca="1" si="98"/>
        <v>0</v>
      </c>
      <c r="Q262" s="5" t="e">
        <f t="shared" ca="1" si="99"/>
        <v>#N/A</v>
      </c>
      <c r="R262" s="5">
        <f t="shared" ca="1" si="104"/>
        <v>0</v>
      </c>
      <c r="S262" s="67" t="e">
        <f t="shared" ca="1" si="105"/>
        <v>#N/A</v>
      </c>
      <c r="T262" s="67">
        <f t="shared" ca="1" si="106"/>
        <v>0</v>
      </c>
      <c r="U262" s="67" t="e">
        <f t="shared" ca="1" si="107"/>
        <v>#N/A</v>
      </c>
      <c r="V262" s="5">
        <f t="shared" ca="1" si="86"/>
        <v>0</v>
      </c>
      <c r="W262" s="5" t="e">
        <f t="shared" ca="1" si="100"/>
        <v>#N/A</v>
      </c>
      <c r="X262" s="67">
        <f t="shared" ca="1" si="101"/>
        <v>0</v>
      </c>
      <c r="Y262" s="67" t="e">
        <f t="shared" ca="1" si="108"/>
        <v>#N/A</v>
      </c>
      <c r="Z262" s="67" t="e">
        <f t="shared" ca="1" si="109"/>
        <v>#N/A</v>
      </c>
      <c r="AA262" s="5" t="str">
        <f>IF(Setup!$I$15="Yes",'Demand background (hide)'!AJ250+'SPC background (hide)'!C262,"")</f>
        <v/>
      </c>
      <c r="AC262" s="5" t="str">
        <f t="shared" ca="1" si="102"/>
        <v/>
      </c>
      <c r="AD262" s="5" t="str">
        <f t="shared" ca="1" si="103"/>
        <v/>
      </c>
    </row>
    <row r="263" spans="1:30" x14ac:dyDescent="0.2">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f t="shared" ca="1" si="91"/>
        <v>5</v>
      </c>
      <c r="J263" s="5">
        <f t="shared" ca="1" si="92"/>
        <v>0</v>
      </c>
      <c r="K263" s="5">
        <f t="shared" ca="1" si="93"/>
        <v>0</v>
      </c>
      <c r="L263" s="5">
        <f t="shared" ca="1" si="94"/>
        <v>0</v>
      </c>
      <c r="M263" s="5">
        <f t="shared" ca="1" si="95"/>
        <v>0</v>
      </c>
      <c r="N263" s="5">
        <f t="shared" ca="1" si="96"/>
        <v>0</v>
      </c>
      <c r="O263" s="5">
        <f t="shared" ca="1" si="97"/>
        <v>0</v>
      </c>
      <c r="P263" s="5">
        <f t="shared" ca="1" si="98"/>
        <v>0</v>
      </c>
      <c r="Q263" s="5" t="e">
        <f t="shared" ca="1" si="99"/>
        <v>#N/A</v>
      </c>
      <c r="R263" s="5">
        <f t="shared" ca="1" si="104"/>
        <v>0</v>
      </c>
      <c r="S263" s="67" t="e">
        <f t="shared" ca="1" si="105"/>
        <v>#N/A</v>
      </c>
      <c r="T263" s="67">
        <f t="shared" ca="1" si="106"/>
        <v>0</v>
      </c>
      <c r="U263" s="67" t="e">
        <f t="shared" ca="1" si="107"/>
        <v>#N/A</v>
      </c>
      <c r="V263" s="5">
        <f t="shared" ca="1" si="86"/>
        <v>0</v>
      </c>
      <c r="W263" s="5" t="e">
        <f t="shared" ca="1" si="100"/>
        <v>#N/A</v>
      </c>
      <c r="X263" s="67">
        <f t="shared" ca="1" si="101"/>
        <v>0</v>
      </c>
      <c r="Y263" s="67" t="e">
        <f t="shared" ca="1" si="108"/>
        <v>#N/A</v>
      </c>
      <c r="Z263" s="67" t="e">
        <f t="shared" ca="1" si="109"/>
        <v>#N/A</v>
      </c>
      <c r="AA263" s="5" t="str">
        <f>IF(Setup!$I$15="Yes",'Demand background (hide)'!AJ251+'SPC background (hide)'!C263,"")</f>
        <v/>
      </c>
      <c r="AC263" s="5" t="str">
        <f t="shared" ca="1" si="102"/>
        <v/>
      </c>
      <c r="AD263" s="5" t="str">
        <f t="shared" ca="1" si="103"/>
        <v/>
      </c>
    </row>
    <row r="264" spans="1:30" x14ac:dyDescent="0.2">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f t="shared" ca="1" si="91"/>
        <v>5</v>
      </c>
      <c r="J264" s="5">
        <f t="shared" ca="1" si="92"/>
        <v>0</v>
      </c>
      <c r="K264" s="5">
        <f t="shared" ca="1" si="93"/>
        <v>0</v>
      </c>
      <c r="L264" s="5">
        <f t="shared" ca="1" si="94"/>
        <v>0</v>
      </c>
      <c r="M264" s="5">
        <f t="shared" ca="1" si="95"/>
        <v>0</v>
      </c>
      <c r="N264" s="5">
        <f t="shared" ca="1" si="96"/>
        <v>0</v>
      </c>
      <c r="O264" s="5">
        <f t="shared" ca="1" si="97"/>
        <v>0</v>
      </c>
      <c r="P264" s="5">
        <f t="shared" ca="1" si="98"/>
        <v>0</v>
      </c>
      <c r="Q264" s="5" t="e">
        <f t="shared" ca="1" si="99"/>
        <v>#N/A</v>
      </c>
      <c r="R264" s="5">
        <f t="shared" ca="1" si="104"/>
        <v>0</v>
      </c>
      <c r="S264" s="67" t="e">
        <f t="shared" ca="1" si="105"/>
        <v>#N/A</v>
      </c>
      <c r="T264" s="67">
        <f t="shared" ca="1" si="106"/>
        <v>0</v>
      </c>
      <c r="U264" s="67" t="e">
        <f t="shared" ca="1" si="107"/>
        <v>#N/A</v>
      </c>
      <c r="V264" s="5">
        <f t="shared" ca="1" si="86"/>
        <v>0</v>
      </c>
      <c r="W264" s="5" t="e">
        <f t="shared" ca="1" si="100"/>
        <v>#N/A</v>
      </c>
      <c r="X264" s="67">
        <f t="shared" ca="1" si="101"/>
        <v>0</v>
      </c>
      <c r="Y264" s="67" t="e">
        <f t="shared" ca="1" si="108"/>
        <v>#N/A</v>
      </c>
      <c r="Z264" s="67" t="e">
        <f t="shared" ca="1" si="109"/>
        <v>#N/A</v>
      </c>
      <c r="AA264" s="5" t="str">
        <f>IF(Setup!$I$15="Yes",'Demand background (hide)'!AJ252+'SPC background (hide)'!C264,"")</f>
        <v/>
      </c>
      <c r="AC264" s="5" t="str">
        <f t="shared" ca="1" si="102"/>
        <v/>
      </c>
      <c r="AD264" s="5" t="str">
        <f t="shared" ca="1" si="103"/>
        <v/>
      </c>
    </row>
    <row r="265" spans="1:30" x14ac:dyDescent="0.2">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f t="shared" ca="1" si="91"/>
        <v>5</v>
      </c>
      <c r="J265" s="5">
        <f t="shared" ca="1" si="92"/>
        <v>0</v>
      </c>
      <c r="K265" s="5">
        <f t="shared" ca="1" si="93"/>
        <v>0</v>
      </c>
      <c r="L265" s="5">
        <f t="shared" ca="1" si="94"/>
        <v>0</v>
      </c>
      <c r="M265" s="5">
        <f t="shared" ca="1" si="95"/>
        <v>0</v>
      </c>
      <c r="N265" s="5">
        <f t="shared" ca="1" si="96"/>
        <v>0</v>
      </c>
      <c r="O265" s="5">
        <f t="shared" ca="1" si="97"/>
        <v>0</v>
      </c>
      <c r="P265" s="5">
        <f t="shared" ca="1" si="98"/>
        <v>0</v>
      </c>
      <c r="Q265" s="5" t="e">
        <f t="shared" ca="1" si="99"/>
        <v>#N/A</v>
      </c>
      <c r="R265" s="5">
        <f t="shared" ca="1" si="104"/>
        <v>0</v>
      </c>
      <c r="S265" s="67" t="e">
        <f t="shared" ca="1" si="105"/>
        <v>#N/A</v>
      </c>
      <c r="T265" s="67">
        <f t="shared" ca="1" si="106"/>
        <v>0</v>
      </c>
      <c r="U265" s="67" t="e">
        <f t="shared" ca="1" si="107"/>
        <v>#N/A</v>
      </c>
      <c r="V265" s="5">
        <f t="shared" ca="1" si="86"/>
        <v>0</v>
      </c>
      <c r="W265" s="5" t="e">
        <f t="shared" ca="1" si="100"/>
        <v>#N/A</v>
      </c>
      <c r="X265" s="67">
        <f t="shared" ca="1" si="101"/>
        <v>0</v>
      </c>
      <c r="Y265" s="67" t="e">
        <f t="shared" ca="1" si="108"/>
        <v>#N/A</v>
      </c>
      <c r="Z265" s="67" t="e">
        <f t="shared" ca="1" si="109"/>
        <v>#N/A</v>
      </c>
      <c r="AA265" s="5" t="str">
        <f>IF(Setup!$I$15="Yes",'Demand background (hide)'!AJ253+'SPC background (hide)'!C265,"")</f>
        <v/>
      </c>
      <c r="AC265" s="5" t="str">
        <f t="shared" ca="1" si="102"/>
        <v/>
      </c>
      <c r="AD265" s="5" t="str">
        <f t="shared" ca="1" si="103"/>
        <v/>
      </c>
    </row>
    <row r="266" spans="1:30" x14ac:dyDescent="0.2">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f t="shared" ca="1" si="91"/>
        <v>5</v>
      </c>
      <c r="J266" s="5">
        <f t="shared" ca="1" si="92"/>
        <v>0</v>
      </c>
      <c r="K266" s="5">
        <f t="shared" ca="1" si="93"/>
        <v>0</v>
      </c>
      <c r="L266" s="5">
        <f t="shared" ca="1" si="94"/>
        <v>0</v>
      </c>
      <c r="M266" s="5">
        <f t="shared" ca="1" si="95"/>
        <v>0</v>
      </c>
      <c r="N266" s="5">
        <f t="shared" ca="1" si="96"/>
        <v>0</v>
      </c>
      <c r="O266" s="5">
        <f t="shared" ca="1" si="97"/>
        <v>0</v>
      </c>
      <c r="P266" s="5">
        <f t="shared" ca="1" si="98"/>
        <v>0</v>
      </c>
      <c r="Q266" s="5" t="e">
        <f t="shared" ca="1" si="99"/>
        <v>#N/A</v>
      </c>
      <c r="R266" s="5">
        <f t="shared" ca="1" si="104"/>
        <v>0</v>
      </c>
      <c r="S266" s="67" t="e">
        <f t="shared" ca="1" si="105"/>
        <v>#N/A</v>
      </c>
      <c r="T266" s="67">
        <f t="shared" ca="1" si="106"/>
        <v>0</v>
      </c>
      <c r="U266" s="67" t="e">
        <f t="shared" ca="1" si="107"/>
        <v>#N/A</v>
      </c>
      <c r="V266" s="5">
        <f t="shared" ca="1" si="86"/>
        <v>0</v>
      </c>
      <c r="W266" s="5" t="e">
        <f t="shared" ca="1" si="100"/>
        <v>#N/A</v>
      </c>
      <c r="X266" s="67">
        <f t="shared" ca="1" si="101"/>
        <v>0</v>
      </c>
      <c r="Y266" s="67" t="e">
        <f t="shared" ca="1" si="108"/>
        <v>#N/A</v>
      </c>
      <c r="Z266" s="67" t="e">
        <f t="shared" ca="1" si="109"/>
        <v>#N/A</v>
      </c>
      <c r="AA266" s="5" t="str">
        <f>IF(Setup!$I$15="Yes",'Demand background (hide)'!AJ254+'SPC background (hide)'!C266,"")</f>
        <v/>
      </c>
      <c r="AC266" s="5" t="str">
        <f t="shared" ca="1" si="102"/>
        <v/>
      </c>
      <c r="AD266" s="5" t="str">
        <f t="shared" ca="1" si="103"/>
        <v/>
      </c>
    </row>
    <row r="267" spans="1:30" x14ac:dyDescent="0.2">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f t="shared" ca="1" si="91"/>
        <v>5</v>
      </c>
      <c r="J267" s="5">
        <f t="shared" ca="1" si="92"/>
        <v>0</v>
      </c>
      <c r="K267" s="5">
        <f t="shared" ca="1" si="93"/>
        <v>0</v>
      </c>
      <c r="L267" s="5">
        <f t="shared" ca="1" si="94"/>
        <v>0</v>
      </c>
      <c r="M267" s="5">
        <f t="shared" ca="1" si="95"/>
        <v>0</v>
      </c>
      <c r="N267" s="5">
        <f t="shared" ca="1" si="96"/>
        <v>0</v>
      </c>
      <c r="O267" s="5">
        <f t="shared" ca="1" si="97"/>
        <v>0</v>
      </c>
      <c r="P267" s="5">
        <f t="shared" ca="1" si="98"/>
        <v>0</v>
      </c>
      <c r="Q267" s="5" t="e">
        <f t="shared" ca="1" si="99"/>
        <v>#N/A</v>
      </c>
      <c r="R267" s="5">
        <f t="shared" ca="1" si="104"/>
        <v>0</v>
      </c>
      <c r="S267" s="67" t="e">
        <f t="shared" ca="1" si="105"/>
        <v>#N/A</v>
      </c>
      <c r="T267" s="67">
        <f t="shared" ca="1" si="106"/>
        <v>0</v>
      </c>
      <c r="U267" s="67" t="e">
        <f t="shared" ca="1" si="107"/>
        <v>#N/A</v>
      </c>
      <c r="V267" s="5">
        <f t="shared" ca="1" si="86"/>
        <v>0</v>
      </c>
      <c r="W267" s="5" t="e">
        <f t="shared" ca="1" si="100"/>
        <v>#N/A</v>
      </c>
      <c r="X267" s="67">
        <f t="shared" ca="1" si="101"/>
        <v>0</v>
      </c>
      <c r="Y267" s="67" t="e">
        <f t="shared" ca="1" si="108"/>
        <v>#N/A</v>
      </c>
      <c r="Z267" s="67" t="e">
        <f t="shared" ca="1" si="109"/>
        <v>#N/A</v>
      </c>
      <c r="AA267" s="5" t="str">
        <f>IF(Setup!$I$15="Yes",'Demand background (hide)'!AJ255+'SPC background (hide)'!C267,"")</f>
        <v/>
      </c>
      <c r="AC267" s="5" t="str">
        <f t="shared" ca="1" si="102"/>
        <v/>
      </c>
      <c r="AD267" s="5" t="str">
        <f t="shared" ca="1" si="103"/>
        <v/>
      </c>
    </row>
    <row r="268" spans="1:30" x14ac:dyDescent="0.2">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f t="shared" ca="1" si="91"/>
        <v>5</v>
      </c>
      <c r="J268" s="5">
        <f t="shared" ca="1" si="92"/>
        <v>0</v>
      </c>
      <c r="K268" s="5">
        <f t="shared" ca="1" si="93"/>
        <v>0</v>
      </c>
      <c r="L268" s="5">
        <f t="shared" ca="1" si="94"/>
        <v>0</v>
      </c>
      <c r="M268" s="5">
        <f t="shared" ca="1" si="95"/>
        <v>0</v>
      </c>
      <c r="N268" s="5">
        <f t="shared" ca="1" si="96"/>
        <v>0</v>
      </c>
      <c r="O268" s="5">
        <f t="shared" ca="1" si="97"/>
        <v>0</v>
      </c>
      <c r="P268" s="5">
        <f t="shared" ca="1" si="98"/>
        <v>0</v>
      </c>
      <c r="Q268" s="5" t="e">
        <f t="shared" ca="1" si="99"/>
        <v>#N/A</v>
      </c>
      <c r="R268" s="5">
        <f t="shared" ca="1" si="104"/>
        <v>0</v>
      </c>
      <c r="S268" s="67" t="e">
        <f t="shared" ca="1" si="105"/>
        <v>#N/A</v>
      </c>
      <c r="T268" s="67">
        <f t="shared" ca="1" si="106"/>
        <v>0</v>
      </c>
      <c r="U268" s="67" t="e">
        <f t="shared" ca="1" si="107"/>
        <v>#N/A</v>
      </c>
      <c r="V268" s="5">
        <f t="shared" ca="1" si="86"/>
        <v>0</v>
      </c>
      <c r="W268" s="5" t="e">
        <f t="shared" ca="1" si="100"/>
        <v>#N/A</v>
      </c>
      <c r="X268" s="67">
        <f t="shared" ca="1" si="101"/>
        <v>0</v>
      </c>
      <c r="Y268" s="67" t="e">
        <f t="shared" ca="1" si="108"/>
        <v>#N/A</v>
      </c>
      <c r="Z268" s="67" t="e">
        <f t="shared" ca="1" si="109"/>
        <v>#N/A</v>
      </c>
      <c r="AA268" s="5" t="str">
        <f>IF(Setup!$I$15="Yes",'Demand background (hide)'!AJ256+'SPC background (hide)'!C268,"")</f>
        <v/>
      </c>
      <c r="AC268" s="5" t="str">
        <f t="shared" ca="1" si="102"/>
        <v/>
      </c>
      <c r="AD268" s="5" t="str">
        <f t="shared" ca="1" si="103"/>
        <v/>
      </c>
    </row>
    <row r="269" spans="1:30" x14ac:dyDescent="0.2">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f t="shared" ca="1" si="91"/>
        <v>5</v>
      </c>
      <c r="J269" s="5">
        <f t="shared" ca="1" si="92"/>
        <v>0</v>
      </c>
      <c r="K269" s="5">
        <f t="shared" ca="1" si="93"/>
        <v>0</v>
      </c>
      <c r="L269" s="5">
        <f t="shared" ca="1" si="94"/>
        <v>0</v>
      </c>
      <c r="M269" s="5">
        <f t="shared" ca="1" si="95"/>
        <v>0</v>
      </c>
      <c r="N269" s="5">
        <f t="shared" ca="1" si="96"/>
        <v>0</v>
      </c>
      <c r="O269" s="5">
        <f t="shared" ca="1" si="97"/>
        <v>0</v>
      </c>
      <c r="P269" s="5">
        <f t="shared" ca="1" si="98"/>
        <v>0</v>
      </c>
      <c r="Q269" s="5" t="e">
        <f t="shared" ca="1" si="99"/>
        <v>#N/A</v>
      </c>
      <c r="R269" s="5">
        <f t="shared" ca="1" si="104"/>
        <v>0</v>
      </c>
      <c r="S269" s="67" t="e">
        <f t="shared" ca="1" si="105"/>
        <v>#N/A</v>
      </c>
      <c r="T269" s="67">
        <f t="shared" ca="1" si="106"/>
        <v>0</v>
      </c>
      <c r="U269" s="67" t="e">
        <f t="shared" ca="1" si="107"/>
        <v>#N/A</v>
      </c>
      <c r="V269" s="5">
        <f t="shared" ca="1" si="86"/>
        <v>0</v>
      </c>
      <c r="W269" s="5" t="e">
        <f t="shared" ca="1" si="100"/>
        <v>#N/A</v>
      </c>
      <c r="X269" s="67">
        <f t="shared" ca="1" si="101"/>
        <v>0</v>
      </c>
      <c r="Y269" s="67" t="e">
        <f t="shared" ca="1" si="108"/>
        <v>#N/A</v>
      </c>
      <c r="Z269" s="67" t="e">
        <f t="shared" ca="1" si="109"/>
        <v>#N/A</v>
      </c>
      <c r="AA269" s="5" t="str">
        <f>IF(Setup!$I$15="Yes",'Demand background (hide)'!AJ257+'SPC background (hide)'!C269,"")</f>
        <v/>
      </c>
      <c r="AC269" s="5" t="str">
        <f t="shared" ca="1" si="102"/>
        <v/>
      </c>
      <c r="AD269" s="5" t="str">
        <f t="shared" ca="1" si="103"/>
        <v/>
      </c>
    </row>
    <row r="270" spans="1:30" x14ac:dyDescent="0.2">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f t="shared" ca="1" si="91"/>
        <v>5</v>
      </c>
      <c r="J270" s="5">
        <f t="shared" ca="1" si="92"/>
        <v>0</v>
      </c>
      <c r="K270" s="5">
        <f t="shared" ca="1" si="93"/>
        <v>0</v>
      </c>
      <c r="L270" s="5">
        <f t="shared" ca="1" si="94"/>
        <v>0</v>
      </c>
      <c r="M270" s="5">
        <f t="shared" ca="1" si="95"/>
        <v>0</v>
      </c>
      <c r="N270" s="5">
        <f t="shared" ca="1" si="96"/>
        <v>0</v>
      </c>
      <c r="O270" s="5">
        <f t="shared" ca="1" si="97"/>
        <v>0</v>
      </c>
      <c r="P270" s="5">
        <f t="shared" ca="1" si="98"/>
        <v>0</v>
      </c>
      <c r="Q270" s="5" t="e">
        <f t="shared" ca="1" si="99"/>
        <v>#N/A</v>
      </c>
      <c r="R270" s="5">
        <f t="shared" ca="1" si="104"/>
        <v>0</v>
      </c>
      <c r="S270" s="67" t="e">
        <f t="shared" ca="1" si="105"/>
        <v>#N/A</v>
      </c>
      <c r="T270" s="67">
        <f t="shared" ca="1" si="106"/>
        <v>0</v>
      </c>
      <c r="U270" s="67" t="e">
        <f t="shared" ca="1" si="107"/>
        <v>#N/A</v>
      </c>
      <c r="V270" s="5">
        <f t="shared" ca="1" si="86"/>
        <v>0</v>
      </c>
      <c r="W270" s="5" t="e">
        <f t="shared" ca="1" si="100"/>
        <v>#N/A</v>
      </c>
      <c r="X270" s="67">
        <f t="shared" ca="1" si="101"/>
        <v>0</v>
      </c>
      <c r="Y270" s="67" t="e">
        <f t="shared" ca="1" si="108"/>
        <v>#N/A</v>
      </c>
      <c r="Z270" s="67" t="e">
        <f t="shared" ca="1" si="109"/>
        <v>#N/A</v>
      </c>
      <c r="AA270" s="5" t="str">
        <f>IF(Setup!$I$15="Yes",'Demand background (hide)'!AJ258+'SPC background (hide)'!C270,"")</f>
        <v/>
      </c>
      <c r="AC270" s="5" t="str">
        <f t="shared" ca="1" si="102"/>
        <v/>
      </c>
      <c r="AD270" s="5" t="str">
        <f t="shared" ca="1" si="103"/>
        <v/>
      </c>
    </row>
    <row r="271" spans="1:30" x14ac:dyDescent="0.2">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f t="shared" ca="1" si="91"/>
        <v>5</v>
      </c>
      <c r="J271" s="5">
        <f t="shared" ca="1" si="92"/>
        <v>0</v>
      </c>
      <c r="K271" s="5">
        <f t="shared" ca="1" si="93"/>
        <v>0</v>
      </c>
      <c r="L271" s="5">
        <f t="shared" ca="1" si="94"/>
        <v>0</v>
      </c>
      <c r="M271" s="5">
        <f t="shared" ca="1" si="95"/>
        <v>0</v>
      </c>
      <c r="N271" s="5">
        <f t="shared" ca="1" si="96"/>
        <v>0</v>
      </c>
      <c r="O271" s="5">
        <f t="shared" ca="1" si="97"/>
        <v>0</v>
      </c>
      <c r="P271" s="5">
        <f t="shared" ca="1" si="98"/>
        <v>0</v>
      </c>
      <c r="Q271" s="5" t="e">
        <f t="shared" ca="1" si="99"/>
        <v>#N/A</v>
      </c>
      <c r="R271" s="5">
        <f t="shared" ca="1" si="104"/>
        <v>0</v>
      </c>
      <c r="S271" s="67" t="e">
        <f t="shared" ca="1" si="105"/>
        <v>#N/A</v>
      </c>
      <c r="T271" s="67">
        <f t="shared" ca="1" si="106"/>
        <v>0</v>
      </c>
      <c r="U271" s="67" t="e">
        <f t="shared" ca="1" si="107"/>
        <v>#N/A</v>
      </c>
      <c r="V271" s="5">
        <f t="shared" ca="1" si="86"/>
        <v>0</v>
      </c>
      <c r="W271" s="5" t="e">
        <f t="shared" ca="1" si="100"/>
        <v>#N/A</v>
      </c>
      <c r="X271" s="67">
        <f t="shared" ca="1" si="101"/>
        <v>0</v>
      </c>
      <c r="Y271" s="67" t="e">
        <f t="shared" ca="1" si="108"/>
        <v>#N/A</v>
      </c>
      <c r="Z271" s="67" t="e">
        <f t="shared" ca="1" si="109"/>
        <v>#N/A</v>
      </c>
      <c r="AA271" s="5" t="str">
        <f>IF(Setup!$I$15="Yes",'Demand background (hide)'!AJ259+'SPC background (hide)'!C271,"")</f>
        <v/>
      </c>
      <c r="AC271" s="5" t="str">
        <f t="shared" ca="1" si="102"/>
        <v/>
      </c>
      <c r="AD271" s="5" t="str">
        <f t="shared" ca="1" si="103"/>
        <v/>
      </c>
    </row>
    <row r="272" spans="1:30" x14ac:dyDescent="0.2">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f t="shared" ca="1" si="91"/>
        <v>5</v>
      </c>
      <c r="J272" s="5">
        <f t="shared" ca="1" si="92"/>
        <v>0</v>
      </c>
      <c r="K272" s="5">
        <f t="shared" ca="1" si="93"/>
        <v>0</v>
      </c>
      <c r="L272" s="5">
        <f t="shared" ca="1" si="94"/>
        <v>0</v>
      </c>
      <c r="M272" s="5">
        <f t="shared" ca="1" si="95"/>
        <v>0</v>
      </c>
      <c r="N272" s="5">
        <f t="shared" ca="1" si="96"/>
        <v>0</v>
      </c>
      <c r="O272" s="5">
        <f t="shared" ca="1" si="97"/>
        <v>0</v>
      </c>
      <c r="P272" s="5">
        <f t="shared" ca="1" si="98"/>
        <v>0</v>
      </c>
      <c r="Q272" s="5" t="e">
        <f t="shared" ca="1" si="99"/>
        <v>#N/A</v>
      </c>
      <c r="R272" s="5">
        <f t="shared" ca="1" si="104"/>
        <v>0</v>
      </c>
      <c r="S272" s="67" t="e">
        <f t="shared" ca="1" si="105"/>
        <v>#N/A</v>
      </c>
      <c r="T272" s="67">
        <f t="shared" ca="1" si="106"/>
        <v>0</v>
      </c>
      <c r="U272" s="67" t="e">
        <f t="shared" ca="1" si="107"/>
        <v>#N/A</v>
      </c>
      <c r="V272" s="5">
        <f t="shared" ca="1" si="86"/>
        <v>0</v>
      </c>
      <c r="W272" s="5" t="e">
        <f t="shared" ca="1" si="100"/>
        <v>#N/A</v>
      </c>
      <c r="X272" s="67">
        <f t="shared" ca="1" si="101"/>
        <v>0</v>
      </c>
      <c r="Y272" s="67" t="e">
        <f t="shared" ca="1" si="108"/>
        <v>#N/A</v>
      </c>
      <c r="Z272" s="67" t="e">
        <f t="shared" ca="1" si="109"/>
        <v>#N/A</v>
      </c>
      <c r="AA272" s="5" t="str">
        <f>IF(Setup!$I$15="Yes",'Demand background (hide)'!AJ260+'SPC background (hide)'!C272,"")</f>
        <v/>
      </c>
      <c r="AC272" s="5" t="str">
        <f t="shared" ca="1" si="102"/>
        <v/>
      </c>
      <c r="AD272" s="5" t="str">
        <f t="shared" ca="1" si="103"/>
        <v/>
      </c>
    </row>
    <row r="273" spans="1:30" x14ac:dyDescent="0.2">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f t="shared" ref="I273:I275" ca="1" si="114">VLOOKUP(A273,$AG$2:$AI$54,3,0)</f>
        <v>5</v>
      </c>
      <c r="J273" s="5">
        <f t="shared" ref="J273:J275" ca="1" si="115">VLOOKUP($A273,$AG$2:$AQ$54,COLUMN(E$1),0)</f>
        <v>0</v>
      </c>
      <c r="K273" s="5">
        <f t="shared" ref="K273:K275" ca="1" si="116">VLOOKUP($A273,$AG$2:$AQ$54,COLUMN(F$1),0)</f>
        <v>0</v>
      </c>
      <c r="L273" s="5">
        <f t="shared" ref="L273:L275" ca="1" si="117">VLOOKUP($A273,$AG$2:$AQ$54,COLUMN(G$1),0)</f>
        <v>0</v>
      </c>
      <c r="M273" s="5">
        <f t="shared" ref="M273:M275" ca="1" si="118">VLOOKUP($A273,$AG$2:$AQ$54,COLUMN(H$1),0)</f>
        <v>0</v>
      </c>
      <c r="N273" s="5">
        <f t="shared" ref="N273:N275" ca="1" si="119">VLOOKUP($A273,$AG$2:$AQ$54,COLUMN(I$1),0)</f>
        <v>0</v>
      </c>
      <c r="O273" s="5">
        <f t="shared" ref="O273:O275" ca="1" si="120">VLOOKUP($A273,$AG$2:$AQ$54,COLUMN(J$1),0)</f>
        <v>0</v>
      </c>
      <c r="P273" s="5">
        <f t="shared" ref="P273:P275" ca="1" si="121">VLOOKUP($A273,$AG$2:$AQ$54,COLUMN(K$1),0)</f>
        <v>0</v>
      </c>
      <c r="Q273" s="5" t="e">
        <f t="shared" ref="Q273:Q275" ca="1" si="122">IF(ISNA(H273)=TRUE,IF(OR(C273&gt;P273,C273&lt;J273),C273,NA()),NA())</f>
        <v>#N/A</v>
      </c>
      <c r="R273" s="5">
        <f t="shared" ca="1" si="104"/>
        <v>0</v>
      </c>
      <c r="S273" s="67" t="e">
        <f t="shared" ca="1" si="105"/>
        <v>#N/A</v>
      </c>
      <c r="T273" s="67">
        <f t="shared" ca="1" si="106"/>
        <v>0</v>
      </c>
      <c r="U273" s="67" t="e">
        <f t="shared" ca="1" si="107"/>
        <v>#N/A</v>
      </c>
      <c r="V273" s="5">
        <f t="shared" ca="1" si="86"/>
        <v>0</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str">
        <f t="shared" ref="AC273:AC275" ca="1" si="124">VLOOKUP($A273,$AG$2:$AS$54,12,0)</f>
        <v/>
      </c>
      <c r="AD273" s="5" t="str">
        <f t="shared" ref="AD273:AD275" ca="1" si="125">VLOOKUP($A273,$AG$2:$AS$54,13,0)</f>
        <v/>
      </c>
    </row>
    <row r="274" spans="1:30" x14ac:dyDescent="0.2">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f t="shared" ca="1" si="114"/>
        <v>5</v>
      </c>
      <c r="J274" s="5">
        <f t="shared" ca="1" si="115"/>
        <v>0</v>
      </c>
      <c r="K274" s="5">
        <f t="shared" ca="1" si="116"/>
        <v>0</v>
      </c>
      <c r="L274" s="5">
        <f t="shared" ca="1" si="117"/>
        <v>0</v>
      </c>
      <c r="M274" s="5">
        <f t="shared" ca="1" si="118"/>
        <v>0</v>
      </c>
      <c r="N274" s="5">
        <f t="shared" ca="1" si="119"/>
        <v>0</v>
      </c>
      <c r="O274" s="5">
        <f t="shared" ca="1" si="120"/>
        <v>0</v>
      </c>
      <c r="P274" s="5">
        <f t="shared" ca="1" si="121"/>
        <v>0</v>
      </c>
      <c r="Q274" s="5" t="e">
        <f t="shared" ca="1" si="122"/>
        <v>#N/A</v>
      </c>
      <c r="R274" s="5">
        <f t="shared" ref="R274:R275" ca="1" si="126">IF(C274&gt;O274,2,IF(C274&lt;K274,-2,IF(C274&gt;M274,1,IF(C274&lt;M274,-1,0))))</f>
        <v>0</v>
      </c>
      <c r="S274" s="67" t="e">
        <f t="shared" ref="S274:S275" ca="1" si="127">IF(ISNA(H274),IF(ABS(SUM(R274:R276))&gt;=5,C274,NA()),NA())</f>
        <v>#N/A</v>
      </c>
      <c r="T274" s="67">
        <f t="shared" ref="T274:T275" ca="1" si="128">IF(C274&gt;N274,2,IF(C274&lt;L274,-2,IF(C274&gt;M274,1,IF(C274&lt;M274,-1,0))))</f>
        <v>0</v>
      </c>
      <c r="U274" s="67" t="e">
        <f t="shared" ref="U274:U275" ca="1" si="129">IF(ISNA(H274)=TRUE,IF(ABS(SUM(T274:T278))&gt;=9,C274,NA()),NA())</f>
        <v>#N/A</v>
      </c>
      <c r="V274" s="5">
        <f t="shared" ca="1" si="86"/>
        <v>0</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str">
        <f t="shared" ca="1" si="124"/>
        <v/>
      </c>
      <c r="AD274" s="5" t="str">
        <f t="shared" ca="1" si="125"/>
        <v/>
      </c>
    </row>
    <row r="275" spans="1:30" x14ac:dyDescent="0.2">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f t="shared" ca="1" si="114"/>
        <v>5</v>
      </c>
      <c r="J275" s="5">
        <f t="shared" ca="1" si="115"/>
        <v>0</v>
      </c>
      <c r="K275" s="5">
        <f t="shared" ca="1" si="116"/>
        <v>0</v>
      </c>
      <c r="L275" s="5">
        <f t="shared" ca="1" si="117"/>
        <v>0</v>
      </c>
      <c r="M275" s="5">
        <f t="shared" ca="1" si="118"/>
        <v>0</v>
      </c>
      <c r="N275" s="5">
        <f t="shared" ca="1" si="119"/>
        <v>0</v>
      </c>
      <c r="O275" s="5">
        <f t="shared" ca="1" si="120"/>
        <v>0</v>
      </c>
      <c r="P275" s="5">
        <f t="shared" ca="1" si="121"/>
        <v>0</v>
      </c>
      <c r="Q275" s="5" t="e">
        <f t="shared" ca="1" si="122"/>
        <v>#N/A</v>
      </c>
      <c r="R275" s="5">
        <f t="shared" ca="1" si="126"/>
        <v>0</v>
      </c>
      <c r="S275" s="67" t="e">
        <f t="shared" ca="1" si="127"/>
        <v>#N/A</v>
      </c>
      <c r="T275" s="67">
        <f t="shared" ca="1" si="128"/>
        <v>0</v>
      </c>
      <c r="U275" s="67" t="e">
        <f t="shared" ca="1" si="129"/>
        <v>#N/A</v>
      </c>
      <c r="V275" s="5">
        <f t="shared" ca="1" si="86"/>
        <v>0</v>
      </c>
      <c r="W275" s="5" t="e">
        <f t="shared" ca="1" si="123"/>
        <v>#N/A</v>
      </c>
      <c r="X275" s="67">
        <f t="shared" ca="1" si="101"/>
        <v>0</v>
      </c>
      <c r="Y275" s="67" t="e">
        <f t="shared" ca="1" si="130"/>
        <v>#N/A</v>
      </c>
      <c r="Z275" s="67" t="e">
        <f t="shared" ca="1" si="131"/>
        <v>#N/A</v>
      </c>
      <c r="AA275" s="5" t="str">
        <f>IF(Setup!$I$15="Yes",'Demand background (hide)'!AJ263+'SPC background (hide)'!C275,"")</f>
        <v/>
      </c>
      <c r="AC275" s="5" t="str">
        <f t="shared" ca="1" si="124"/>
        <v/>
      </c>
      <c r="AD275" s="5" t="str">
        <f t="shared" ca="1" si="125"/>
        <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B13" sqref="B13"/>
    </sheetView>
  </sheetViews>
  <sheetFormatPr defaultRowHeight="14.25" x14ac:dyDescent="0.2"/>
  <cols>
    <col min="1" max="1" width="9" hidden="1" customWidth="1"/>
    <col min="2" max="2" width="12.625" bestFit="1" customWidth="1"/>
    <col min="3" max="3" width="13" customWidth="1"/>
    <col min="4" max="4" width="9.75" hidden="1" customWidth="1"/>
    <col min="5" max="14" width="13.125" hidden="1" customWidth="1"/>
    <col min="15" max="15" width="18.75" customWidth="1"/>
    <col min="17" max="18" width="9" customWidth="1"/>
    <col min="20" max="20" width="9.75" bestFit="1" customWidth="1"/>
  </cols>
  <sheetData>
    <row r="1" spans="1:20" x14ac:dyDescent="0.2">
      <c r="A1" t="s">
        <v>53</v>
      </c>
    </row>
    <row r="2" spans="1:20" x14ac:dyDescent="0.2">
      <c r="B2" t="s">
        <v>224</v>
      </c>
    </row>
    <row r="3" spans="1:20" x14ac:dyDescent="0.2">
      <c r="A3" t="s">
        <v>55</v>
      </c>
      <c r="B3" t="s">
        <v>225</v>
      </c>
    </row>
    <row r="5" spans="1:20" x14ac:dyDescent="0.2">
      <c r="A5" t="s">
        <v>54</v>
      </c>
    </row>
    <row r="6" spans="1:20" x14ac:dyDescent="0.2">
      <c r="A6">
        <f ca="1">MAX(A13:A272)</f>
        <v>7</v>
      </c>
      <c r="B6" t="s">
        <v>217</v>
      </c>
      <c r="C6" s="407" t="s">
        <v>24</v>
      </c>
      <c r="D6" s="409"/>
    </row>
    <row r="8" spans="1:20" x14ac:dyDescent="0.2">
      <c r="B8" t="s">
        <v>218</v>
      </c>
      <c r="C8" s="210"/>
    </row>
    <row r="10" spans="1:20" ht="13.9" customHeight="1" x14ac:dyDescent="0.2">
      <c r="B10" s="413" t="s">
        <v>128</v>
      </c>
      <c r="C10" s="413" t="s">
        <v>56</v>
      </c>
      <c r="D10" s="413"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10" t="s">
        <v>222</v>
      </c>
      <c r="Q10" s="410" t="str">
        <f>"Total "&amp;"("&amp;Setup!$I$17&amp;")"</f>
        <v>Total (Minutes)</v>
      </c>
      <c r="R10" s="410" t="s">
        <v>111</v>
      </c>
    </row>
    <row r="11" spans="1:20" x14ac:dyDescent="0.2">
      <c r="B11" s="413"/>
      <c r="C11" s="413"/>
      <c r="D11" s="413"/>
      <c r="E11" s="266" t="str">
        <f ca="1">IF(Setup!$I$17&lt;&gt;"Patients",Setup!$I$17&amp;": "&amp;OFFSET('Demand background (hide)'!$BN$6,COLUMN(A1)-1,0,1,1),"")</f>
        <v>Minutes: 30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1</v>
      </c>
      <c r="P11" s="410"/>
      <c r="Q11" s="410"/>
      <c r="R11" s="410"/>
    </row>
    <row r="12" spans="1:20" x14ac:dyDescent="0.2">
      <c r="B12" s="413"/>
      <c r="C12" s="413"/>
      <c r="D12" s="413"/>
      <c r="E12" s="6"/>
      <c r="F12" s="6"/>
      <c r="G12" s="6"/>
      <c r="H12" s="6"/>
      <c r="I12" s="6"/>
      <c r="J12" s="6"/>
      <c r="K12" s="6"/>
      <c r="L12" s="6"/>
      <c r="M12" s="6"/>
      <c r="N12" s="6"/>
      <c r="O12" s="6"/>
      <c r="P12" s="410"/>
      <c r="Q12" s="410"/>
      <c r="R12" s="410"/>
    </row>
    <row r="13" spans="1:20" x14ac:dyDescent="0.2">
      <c r="A13">
        <f>1</f>
        <v>1</v>
      </c>
      <c r="B13" s="267">
        <f>IF(C8&lt;&gt;"",YEAR(C8),1)</f>
        <v>1</v>
      </c>
      <c r="C13" s="268">
        <f>IF($C$8&lt;&gt;"",WEEKNUM($C$8,21),1)</f>
        <v>1</v>
      </c>
      <c r="D13" s="325"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4</v>
      </c>
      <c r="R13" s="152"/>
      <c r="T13" s="36"/>
    </row>
    <row r="14" spans="1:20" x14ac:dyDescent="0.2">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5"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5</v>
      </c>
      <c r="R14" s="152"/>
      <c r="T14" s="36"/>
    </row>
    <row r="15" spans="1:20" x14ac:dyDescent="0.2">
      <c r="A15" s="67">
        <f t="shared" ref="A15:A64" ca="1" si="3">IF(P15&lt;&gt;"",ROW(A3),"")</f>
        <v>3</v>
      </c>
      <c r="B15" s="267" t="str">
        <f t="shared" ca="1" si="0"/>
        <v/>
      </c>
      <c r="C15" s="268">
        <f t="shared" ca="1" si="1"/>
        <v>3</v>
      </c>
      <c r="D15" s="325"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2</v>
      </c>
      <c r="R15" s="152"/>
      <c r="T15" s="36"/>
    </row>
    <row r="16" spans="1:20" x14ac:dyDescent="0.2">
      <c r="A16" s="67">
        <f t="shared" ca="1" si="3"/>
        <v>4</v>
      </c>
      <c r="B16" s="267" t="str">
        <f t="shared" ca="1" si="0"/>
        <v/>
      </c>
      <c r="C16" s="268">
        <f t="shared" ca="1" si="1"/>
        <v>4</v>
      </c>
      <c r="D16" s="325"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3</v>
      </c>
      <c r="R16" s="152"/>
      <c r="T16" s="36"/>
    </row>
    <row r="17" spans="1:20" x14ac:dyDescent="0.2">
      <c r="A17" s="67">
        <f t="shared" ca="1" si="3"/>
        <v>5</v>
      </c>
      <c r="B17" s="267" t="str">
        <f t="shared" ca="1" si="0"/>
        <v/>
      </c>
      <c r="C17" s="268">
        <f t="shared" ca="1" si="1"/>
        <v>5</v>
      </c>
      <c r="D17" s="325"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5</v>
      </c>
      <c r="R17" s="152"/>
      <c r="T17" s="36"/>
    </row>
    <row r="18" spans="1:20" x14ac:dyDescent="0.2">
      <c r="A18" s="67">
        <f t="shared" ca="1" si="3"/>
        <v>6</v>
      </c>
      <c r="B18" s="267" t="str">
        <f t="shared" ca="1" si="0"/>
        <v/>
      </c>
      <c r="C18" s="268">
        <f t="shared" ca="1" si="1"/>
        <v>6</v>
      </c>
      <c r="D18" s="325"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3</v>
      </c>
      <c r="R18" s="152"/>
      <c r="T18" s="36"/>
    </row>
    <row r="19" spans="1:20" x14ac:dyDescent="0.2">
      <c r="A19" s="67">
        <f t="shared" ca="1" si="3"/>
        <v>7</v>
      </c>
      <c r="B19" s="267" t="str">
        <f t="shared" ca="1" si="0"/>
        <v/>
      </c>
      <c r="C19" s="268">
        <f t="shared" ca="1" si="1"/>
        <v>7</v>
      </c>
      <c r="D19" s="325"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4</v>
      </c>
      <c r="R19" s="152"/>
      <c r="T19" s="36"/>
    </row>
    <row r="20" spans="1:20" x14ac:dyDescent="0.2">
      <c r="A20" s="67" t="str">
        <f t="shared" ca="1" si="3"/>
        <v/>
      </c>
      <c r="B20" s="267" t="str">
        <f t="shared" ca="1" si="0"/>
        <v xml:space="preserve"> </v>
      </c>
      <c r="C20" s="268" t="str">
        <f t="shared" ca="1" si="1"/>
        <v/>
      </c>
      <c r="D20" s="325"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
      <c r="A21" s="67" t="str">
        <f t="shared" ca="1" si="3"/>
        <v/>
      </c>
      <c r="B21" s="267" t="str">
        <f t="shared" ca="1" si="0"/>
        <v xml:space="preserve"> </v>
      </c>
      <c r="C21" s="268" t="str">
        <f t="shared" ca="1" si="1"/>
        <v/>
      </c>
      <c r="D21" s="325"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
      <c r="A22" s="67" t="str">
        <f t="shared" ca="1" si="3"/>
        <v/>
      </c>
      <c r="B22" s="267" t="str">
        <f t="shared" ca="1" si="0"/>
        <v xml:space="preserve"> </v>
      </c>
      <c r="C22" s="268" t="str">
        <f t="shared" ca="1" si="1"/>
        <v/>
      </c>
      <c r="D22" s="325"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
      <c r="A23" s="67" t="str">
        <f t="shared" ca="1" si="3"/>
        <v/>
      </c>
      <c r="B23" s="267" t="str">
        <f t="shared" ca="1" si="0"/>
        <v xml:space="preserve"> </v>
      </c>
      <c r="C23" s="268" t="str">
        <f t="shared" ca="1" si="1"/>
        <v/>
      </c>
      <c r="D23" s="325"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
      <c r="A24" s="67" t="str">
        <f t="shared" ca="1" si="3"/>
        <v/>
      </c>
      <c r="B24" s="267" t="str">
        <f t="shared" ca="1" si="0"/>
        <v xml:space="preserve"> </v>
      </c>
      <c r="C24" s="268" t="str">
        <f t="shared" ca="1" si="1"/>
        <v/>
      </c>
      <c r="D24" s="325"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
      <c r="A25" s="67" t="str">
        <f t="shared" ca="1" si="3"/>
        <v/>
      </c>
      <c r="B25" s="267" t="str">
        <f t="shared" ca="1" si="0"/>
        <v xml:space="preserve"> </v>
      </c>
      <c r="C25" s="268" t="str">
        <f t="shared" ca="1" si="1"/>
        <v/>
      </c>
      <c r="D25" s="325"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
      <c r="A26" s="67" t="str">
        <f t="shared" ca="1" si="3"/>
        <v/>
      </c>
      <c r="B26" s="267" t="str">
        <f t="shared" ca="1" si="0"/>
        <v xml:space="preserve"> </v>
      </c>
      <c r="C26" s="268" t="str">
        <f t="shared" ca="1" si="1"/>
        <v/>
      </c>
      <c r="D26" s="325"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
      <c r="A27" s="67" t="str">
        <f t="shared" ca="1" si="3"/>
        <v/>
      </c>
      <c r="B27" s="267" t="str">
        <f t="shared" ca="1" si="0"/>
        <v xml:space="preserve"> </v>
      </c>
      <c r="C27" s="268" t="str">
        <f t="shared" ca="1" si="1"/>
        <v/>
      </c>
      <c r="D27" s="325"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
      <c r="A28" s="67" t="str">
        <f t="shared" ca="1" si="3"/>
        <v/>
      </c>
      <c r="B28" s="267" t="str">
        <f t="shared" ca="1" si="0"/>
        <v xml:space="preserve"> </v>
      </c>
      <c r="C28" s="268" t="str">
        <f t="shared" ca="1" si="1"/>
        <v/>
      </c>
      <c r="D28" s="325"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
      <c r="A29" s="67" t="str">
        <f t="shared" ca="1" si="3"/>
        <v/>
      </c>
      <c r="B29" s="267" t="str">
        <f t="shared" ca="1" si="0"/>
        <v xml:space="preserve"> </v>
      </c>
      <c r="C29" s="268" t="str">
        <f t="shared" ca="1" si="1"/>
        <v/>
      </c>
      <c r="D29" s="325"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
      <c r="A30" s="67" t="str">
        <f t="shared" ca="1" si="3"/>
        <v/>
      </c>
      <c r="B30" s="267" t="str">
        <f t="shared" ca="1" si="0"/>
        <v xml:space="preserve"> </v>
      </c>
      <c r="C30" s="268" t="str">
        <f t="shared" ca="1" si="1"/>
        <v/>
      </c>
      <c r="D30" s="325"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
      <c r="A31" s="67" t="str">
        <f t="shared" ca="1" si="3"/>
        <v/>
      </c>
      <c r="B31" s="267" t="str">
        <f t="shared" ca="1" si="0"/>
        <v xml:space="preserve"> </v>
      </c>
      <c r="C31" s="268" t="str">
        <f t="shared" ca="1" si="1"/>
        <v/>
      </c>
      <c r="D31" s="325"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
      <c r="A32" s="67" t="str">
        <f t="shared" ca="1" si="3"/>
        <v/>
      </c>
      <c r="B32" s="267" t="str">
        <f t="shared" ca="1" si="0"/>
        <v xml:space="preserve"> </v>
      </c>
      <c r="C32" s="268" t="str">
        <f t="shared" ca="1" si="1"/>
        <v/>
      </c>
      <c r="D32" s="325"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
      <c r="A33" s="67" t="str">
        <f t="shared" ca="1" si="3"/>
        <v/>
      </c>
      <c r="B33" s="267" t="str">
        <f t="shared" ca="1" si="0"/>
        <v xml:space="preserve"> </v>
      </c>
      <c r="C33" s="268" t="str">
        <f t="shared" ca="1" si="1"/>
        <v/>
      </c>
      <c r="D33" s="325"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
      <c r="A34" s="67" t="str">
        <f t="shared" ca="1" si="3"/>
        <v/>
      </c>
      <c r="B34" s="267" t="str">
        <f t="shared" ca="1" si="0"/>
        <v xml:space="preserve"> </v>
      </c>
      <c r="C34" s="268" t="str">
        <f t="shared" ca="1" si="1"/>
        <v/>
      </c>
      <c r="D34" s="325"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
      <c r="A35" s="67" t="str">
        <f t="shared" ca="1" si="3"/>
        <v/>
      </c>
      <c r="B35" s="267" t="str">
        <f t="shared" ca="1" si="0"/>
        <v xml:space="preserve"> </v>
      </c>
      <c r="C35" s="268" t="str">
        <f t="shared" ca="1" si="1"/>
        <v/>
      </c>
      <c r="D35" s="325"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
      <c r="A36" s="67" t="str">
        <f t="shared" ca="1" si="3"/>
        <v/>
      </c>
      <c r="B36" s="267" t="str">
        <f t="shared" ca="1" si="0"/>
        <v xml:space="preserve"> </v>
      </c>
      <c r="C36" s="268" t="str">
        <f t="shared" ca="1" si="1"/>
        <v/>
      </c>
      <c r="D36" s="325"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
      <c r="A37" s="67" t="str">
        <f t="shared" ca="1" si="3"/>
        <v/>
      </c>
      <c r="B37" s="267" t="str">
        <f t="shared" ca="1" si="0"/>
        <v xml:space="preserve"> </v>
      </c>
      <c r="C37" s="268" t="str">
        <f t="shared" ca="1" si="1"/>
        <v/>
      </c>
      <c r="D37" s="325"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
      <c r="A38" s="67" t="str">
        <f t="shared" ca="1" si="3"/>
        <v/>
      </c>
      <c r="B38" s="267" t="str">
        <f t="shared" ca="1" si="0"/>
        <v xml:space="preserve"> </v>
      </c>
      <c r="C38" s="268" t="str">
        <f t="shared" ca="1" si="1"/>
        <v/>
      </c>
      <c r="D38" s="325"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
      <c r="A39" s="67" t="str">
        <f t="shared" ca="1" si="3"/>
        <v/>
      </c>
      <c r="B39" s="267" t="str">
        <f t="shared" ca="1" si="0"/>
        <v xml:space="preserve"> </v>
      </c>
      <c r="C39" s="268" t="str">
        <f t="shared" ca="1" si="1"/>
        <v/>
      </c>
      <c r="D39" s="325"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
      <c r="A40" s="67" t="str">
        <f t="shared" ca="1" si="3"/>
        <v/>
      </c>
      <c r="B40" s="267" t="str">
        <f t="shared" ca="1" si="0"/>
        <v xml:space="preserve"> </v>
      </c>
      <c r="C40" s="268" t="str">
        <f t="shared" ca="1" si="1"/>
        <v/>
      </c>
      <c r="D40" s="325"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
      <c r="A41" s="67" t="str">
        <f t="shared" ca="1" si="3"/>
        <v/>
      </c>
      <c r="B41" s="267" t="str">
        <f t="shared" ca="1" si="0"/>
        <v xml:space="preserve"> </v>
      </c>
      <c r="C41" s="268" t="str">
        <f t="shared" ca="1" si="1"/>
        <v/>
      </c>
      <c r="D41" s="325"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
      <c r="A42" s="67" t="str">
        <f t="shared" ca="1" si="3"/>
        <v/>
      </c>
      <c r="B42" s="267" t="str">
        <f t="shared" ca="1" si="0"/>
        <v xml:space="preserve"> </v>
      </c>
      <c r="C42" s="268" t="str">
        <f t="shared" ca="1" si="1"/>
        <v/>
      </c>
      <c r="D42" s="325"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
      <c r="A43" s="67" t="str">
        <f t="shared" ca="1" si="3"/>
        <v/>
      </c>
      <c r="B43" s="267" t="str">
        <f t="shared" ca="1" si="0"/>
        <v xml:space="preserve"> </v>
      </c>
      <c r="C43" s="268" t="str">
        <f t="shared" ca="1" si="1"/>
        <v/>
      </c>
      <c r="D43" s="325"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
      <c r="A44" s="67" t="str">
        <f t="shared" ca="1" si="3"/>
        <v/>
      </c>
      <c r="B44" s="267" t="str">
        <f t="shared" ca="1" si="0"/>
        <v xml:space="preserve"> </v>
      </c>
      <c r="C44" s="268" t="str">
        <f t="shared" ca="1" si="1"/>
        <v/>
      </c>
      <c r="D44" s="325"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
      <c r="A45" s="67" t="str">
        <f t="shared" ca="1" si="3"/>
        <v/>
      </c>
      <c r="B45" s="267" t="str">
        <f t="shared" ca="1" si="0"/>
        <v xml:space="preserve"> </v>
      </c>
      <c r="C45" s="268" t="str">
        <f t="shared" ca="1" si="1"/>
        <v/>
      </c>
      <c r="D45" s="325"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5"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
      <c r="A47" s="67" t="str">
        <f t="shared" ca="1" si="3"/>
        <v/>
      </c>
      <c r="B47" s="267" t="str">
        <f t="shared" ca="1" si="4"/>
        <v xml:space="preserve"> </v>
      </c>
      <c r="C47" s="268" t="str">
        <f t="shared" ca="1" si="5"/>
        <v/>
      </c>
      <c r="D47" s="325"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
      <c r="A48" s="67" t="str">
        <f t="shared" ca="1" si="3"/>
        <v/>
      </c>
      <c r="B48" s="267" t="str">
        <f t="shared" ca="1" si="4"/>
        <v xml:space="preserve"> </v>
      </c>
      <c r="C48" s="268" t="str">
        <f t="shared" ca="1" si="5"/>
        <v/>
      </c>
      <c r="D48" s="325"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
      <c r="A49" s="67" t="str">
        <f t="shared" ca="1" si="3"/>
        <v/>
      </c>
      <c r="B49" s="267" t="str">
        <f t="shared" ca="1" si="4"/>
        <v xml:space="preserve"> </v>
      </c>
      <c r="C49" s="268" t="str">
        <f t="shared" ca="1" si="5"/>
        <v/>
      </c>
      <c r="D49" s="325"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
      <c r="A50" s="67" t="str">
        <f t="shared" ca="1" si="3"/>
        <v/>
      </c>
      <c r="B50" s="267" t="str">
        <f t="shared" ca="1" si="4"/>
        <v xml:space="preserve"> </v>
      </c>
      <c r="C50" s="268" t="str">
        <f t="shared" ca="1" si="5"/>
        <v/>
      </c>
      <c r="D50" s="325"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
      <c r="A51" s="67" t="str">
        <f t="shared" ca="1" si="3"/>
        <v/>
      </c>
      <c r="B51" s="267" t="str">
        <f t="shared" ca="1" si="4"/>
        <v xml:space="preserve"> </v>
      </c>
      <c r="C51" s="268" t="str">
        <f t="shared" ca="1" si="5"/>
        <v/>
      </c>
      <c r="D51" s="325"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
      <c r="A52" s="67" t="str">
        <f t="shared" ca="1" si="3"/>
        <v/>
      </c>
      <c r="B52" s="267" t="str">
        <f t="shared" ca="1" si="4"/>
        <v xml:space="preserve"> </v>
      </c>
      <c r="C52" s="268" t="str">
        <f t="shared" ca="1" si="5"/>
        <v/>
      </c>
      <c r="D52" s="325"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
      <c r="A53" s="67" t="str">
        <f t="shared" ca="1" si="3"/>
        <v/>
      </c>
      <c r="B53" s="267" t="str">
        <f t="shared" ca="1" si="4"/>
        <v xml:space="preserve"> </v>
      </c>
      <c r="C53" s="268" t="str">
        <f t="shared" ca="1" si="5"/>
        <v/>
      </c>
      <c r="D53" s="325"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
      <c r="A54" s="67" t="str">
        <f t="shared" ca="1" si="3"/>
        <v/>
      </c>
      <c r="B54" s="267" t="str">
        <f t="shared" ca="1" si="4"/>
        <v xml:space="preserve"> </v>
      </c>
      <c r="C54" s="268" t="str">
        <f t="shared" ca="1" si="5"/>
        <v/>
      </c>
      <c r="D54" s="325"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
      <c r="A55" s="67" t="str">
        <f t="shared" ca="1" si="3"/>
        <v/>
      </c>
      <c r="B55" s="267" t="str">
        <f t="shared" ca="1" si="4"/>
        <v xml:space="preserve"> </v>
      </c>
      <c r="C55" s="268" t="str">
        <f t="shared" ca="1" si="5"/>
        <v/>
      </c>
      <c r="D55" s="325"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
      <c r="A56" s="67" t="str">
        <f t="shared" ca="1" si="3"/>
        <v/>
      </c>
      <c r="B56" s="267" t="str">
        <f t="shared" ca="1" si="4"/>
        <v xml:space="preserve"> </v>
      </c>
      <c r="C56" s="268" t="str">
        <f t="shared" ca="1" si="5"/>
        <v/>
      </c>
      <c r="D56" s="325"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
      <c r="A57" s="67" t="str">
        <f t="shared" ca="1" si="3"/>
        <v/>
      </c>
      <c r="B57" s="267" t="str">
        <f t="shared" ca="1" si="4"/>
        <v xml:space="preserve"> </v>
      </c>
      <c r="C57" s="268" t="str">
        <f t="shared" ca="1" si="5"/>
        <v/>
      </c>
      <c r="D57" s="325"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
      <c r="A58" s="67" t="str">
        <f t="shared" ca="1" si="3"/>
        <v/>
      </c>
      <c r="B58" s="267" t="str">
        <f t="shared" ca="1" si="4"/>
        <v xml:space="preserve"> </v>
      </c>
      <c r="C58" s="268" t="str">
        <f t="shared" ca="1" si="5"/>
        <v/>
      </c>
      <c r="D58" s="325"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
      <c r="A59" s="67" t="str">
        <f t="shared" ca="1" si="3"/>
        <v/>
      </c>
      <c r="B59" s="267" t="str">
        <f t="shared" ca="1" si="4"/>
        <v xml:space="preserve"> </v>
      </c>
      <c r="C59" s="268" t="str">
        <f t="shared" ca="1" si="5"/>
        <v/>
      </c>
      <c r="D59" s="325"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
      <c r="A60" s="67" t="str">
        <f t="shared" ca="1" si="3"/>
        <v/>
      </c>
      <c r="B60" s="267" t="str">
        <f t="shared" ca="1" si="4"/>
        <v xml:space="preserve"> </v>
      </c>
      <c r="C60" s="268" t="str">
        <f t="shared" ca="1" si="5"/>
        <v/>
      </c>
      <c r="D60" s="325"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
      <c r="A61" s="67" t="str">
        <f t="shared" ca="1" si="3"/>
        <v/>
      </c>
      <c r="B61" s="267" t="str">
        <f t="shared" ca="1" si="4"/>
        <v xml:space="preserve"> </v>
      </c>
      <c r="C61" s="268" t="str">
        <f t="shared" ca="1" si="5"/>
        <v/>
      </c>
      <c r="D61" s="325"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
      <c r="A62" s="67" t="str">
        <f t="shared" ca="1" si="3"/>
        <v/>
      </c>
      <c r="B62" s="267" t="str">
        <f t="shared" ca="1" si="4"/>
        <v xml:space="preserve"> </v>
      </c>
      <c r="C62" s="268" t="str">
        <f t="shared" ca="1" si="5"/>
        <v/>
      </c>
      <c r="D62" s="325"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
      <c r="A63" s="67" t="str">
        <f t="shared" ca="1" si="3"/>
        <v/>
      </c>
      <c r="B63" s="267" t="str">
        <f t="shared" ca="1" si="4"/>
        <v xml:space="preserve"> </v>
      </c>
      <c r="C63" s="268" t="str">
        <f t="shared" ca="1" si="5"/>
        <v/>
      </c>
      <c r="D63" s="325"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
      <c r="A64" s="67" t="str">
        <f t="shared" ca="1" si="3"/>
        <v/>
      </c>
      <c r="B64" s="267" t="str">
        <f t="shared" ca="1" si="4"/>
        <v xml:space="preserve"> </v>
      </c>
      <c r="C64" s="268" t="str">
        <f t="shared" ca="1" si="5"/>
        <v/>
      </c>
      <c r="D64" s="325"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
      <c r="B65" s="48"/>
      <c r="D65" s="36"/>
    </row>
    <row r="66" spans="2:4" x14ac:dyDescent="0.2">
      <c r="B66" s="48"/>
      <c r="D66" s="36"/>
    </row>
    <row r="67" spans="2:4" x14ac:dyDescent="0.2">
      <c r="B67" s="48"/>
      <c r="D67" s="36"/>
    </row>
    <row r="68" spans="2:4" x14ac:dyDescent="0.2">
      <c r="B68" s="48"/>
      <c r="D68" s="36"/>
    </row>
    <row r="69" spans="2:4" x14ac:dyDescent="0.2">
      <c r="B69" s="48"/>
      <c r="D69" s="36"/>
    </row>
    <row r="70" spans="2:4" x14ac:dyDescent="0.2">
      <c r="B70" s="48"/>
      <c r="D70" s="36"/>
    </row>
    <row r="71" spans="2:4" x14ac:dyDescent="0.2">
      <c r="B71" s="48"/>
      <c r="D71" s="36"/>
    </row>
    <row r="72" spans="2:4" x14ac:dyDescent="0.2">
      <c r="B72" s="48"/>
      <c r="D72" s="36"/>
    </row>
    <row r="73" spans="2:4" x14ac:dyDescent="0.2">
      <c r="B73" s="48"/>
      <c r="D73" s="36"/>
    </row>
    <row r="74" spans="2:4" x14ac:dyDescent="0.2">
      <c r="B74" s="48"/>
      <c r="D74" s="36"/>
    </row>
    <row r="75" spans="2:4" x14ac:dyDescent="0.2">
      <c r="B75" s="48"/>
      <c r="D75" s="36"/>
    </row>
    <row r="76" spans="2:4" x14ac:dyDescent="0.2">
      <c r="B76" s="48"/>
      <c r="D76" s="36"/>
    </row>
    <row r="77" spans="2:4" x14ac:dyDescent="0.2">
      <c r="B77" s="48"/>
      <c r="D77" s="36"/>
    </row>
    <row r="78" spans="2:4" x14ac:dyDescent="0.2">
      <c r="B78" s="48"/>
      <c r="D78" s="36"/>
    </row>
    <row r="79" spans="2:4" x14ac:dyDescent="0.2">
      <c r="B79" s="48"/>
      <c r="D79" s="36"/>
    </row>
    <row r="80" spans="2:4" x14ac:dyDescent="0.2">
      <c r="B80" s="48"/>
      <c r="D80" s="36"/>
    </row>
    <row r="81" spans="2:4" x14ac:dyDescent="0.2">
      <c r="B81" s="48"/>
      <c r="D81" s="36"/>
    </row>
    <row r="82" spans="2:4" x14ac:dyDescent="0.2">
      <c r="B82" s="48"/>
      <c r="D82" s="36"/>
    </row>
    <row r="83" spans="2:4" x14ac:dyDescent="0.2">
      <c r="B83" s="48"/>
      <c r="D83" s="36"/>
    </row>
    <row r="84" spans="2:4" x14ac:dyDescent="0.2">
      <c r="B84" s="48"/>
      <c r="D84" s="36"/>
    </row>
    <row r="85" spans="2:4" x14ac:dyDescent="0.2">
      <c r="B85" s="48"/>
      <c r="D85" s="36"/>
    </row>
    <row r="86" spans="2:4" x14ac:dyDescent="0.2">
      <c r="B86" s="48"/>
      <c r="D86" s="36"/>
    </row>
    <row r="87" spans="2:4" x14ac:dyDescent="0.2">
      <c r="B87" s="48"/>
      <c r="D87" s="36"/>
    </row>
    <row r="88" spans="2:4" x14ac:dyDescent="0.2">
      <c r="B88" s="48"/>
      <c r="D88" s="36"/>
    </row>
    <row r="89" spans="2:4" x14ac:dyDescent="0.2">
      <c r="B89" s="48"/>
      <c r="D89" s="36"/>
    </row>
    <row r="90" spans="2:4" x14ac:dyDescent="0.2">
      <c r="B90" s="48"/>
      <c r="D90" s="36"/>
    </row>
    <row r="91" spans="2:4" x14ac:dyDescent="0.2">
      <c r="B91" s="48"/>
      <c r="D91" s="36"/>
    </row>
    <row r="92" spans="2:4" x14ac:dyDescent="0.2">
      <c r="B92" s="48"/>
      <c r="D92" s="36"/>
    </row>
    <row r="93" spans="2:4" x14ac:dyDescent="0.2">
      <c r="B93" s="48"/>
      <c r="D93" s="36"/>
    </row>
    <row r="94" spans="2:4" x14ac:dyDescent="0.2">
      <c r="B94" s="48"/>
      <c r="D94" s="36"/>
    </row>
    <row r="95" spans="2:4" x14ac:dyDescent="0.2">
      <c r="B95" s="48"/>
      <c r="D95" s="36"/>
    </row>
    <row r="96" spans="2:4" x14ac:dyDescent="0.2">
      <c r="B96" s="48"/>
      <c r="D96" s="36"/>
    </row>
    <row r="97" spans="2:4" x14ac:dyDescent="0.2">
      <c r="B97" s="48"/>
      <c r="D97" s="36"/>
    </row>
    <row r="98" spans="2:4" x14ac:dyDescent="0.2">
      <c r="B98" s="48"/>
      <c r="D98" s="36"/>
    </row>
    <row r="99" spans="2:4" x14ac:dyDescent="0.2">
      <c r="B99" s="48"/>
      <c r="D99" s="36"/>
    </row>
    <row r="100" spans="2:4" x14ac:dyDescent="0.2">
      <c r="B100" s="48"/>
      <c r="D100" s="36"/>
    </row>
    <row r="101" spans="2:4" x14ac:dyDescent="0.2">
      <c r="B101" s="48"/>
      <c r="D101" s="36"/>
    </row>
    <row r="102" spans="2:4" x14ac:dyDescent="0.2">
      <c r="B102" s="48"/>
      <c r="D102" s="36"/>
    </row>
    <row r="103" spans="2:4" x14ac:dyDescent="0.2">
      <c r="B103" s="48"/>
      <c r="D103" s="36"/>
    </row>
    <row r="104" spans="2:4" x14ac:dyDescent="0.2">
      <c r="B104" s="48"/>
      <c r="D104" s="36"/>
    </row>
    <row r="105" spans="2:4" x14ac:dyDescent="0.2">
      <c r="B105" s="48"/>
      <c r="D105" s="36"/>
    </row>
    <row r="106" spans="2:4" x14ac:dyDescent="0.2">
      <c r="B106" s="48"/>
      <c r="D106" s="36"/>
    </row>
    <row r="107" spans="2:4" x14ac:dyDescent="0.2">
      <c r="B107" s="48"/>
      <c r="D107" s="36"/>
    </row>
    <row r="108" spans="2:4" x14ac:dyDescent="0.2">
      <c r="B108" s="48"/>
      <c r="D108" s="36"/>
    </row>
    <row r="109" spans="2:4" x14ac:dyDescent="0.2">
      <c r="B109" s="48"/>
      <c r="D109" s="36"/>
    </row>
    <row r="110" spans="2:4" x14ac:dyDescent="0.2">
      <c r="B110" s="48"/>
      <c r="D110" s="36"/>
    </row>
    <row r="111" spans="2:4" x14ac:dyDescent="0.2">
      <c r="B111" s="48"/>
      <c r="D111" s="36"/>
    </row>
    <row r="112" spans="2:4" x14ac:dyDescent="0.2">
      <c r="B112" s="48"/>
      <c r="D112" s="36"/>
    </row>
    <row r="113" spans="2:4" x14ac:dyDescent="0.2">
      <c r="B113" s="48"/>
      <c r="D113" s="36"/>
    </row>
    <row r="114" spans="2:4" x14ac:dyDescent="0.2">
      <c r="B114" s="48"/>
      <c r="D114" s="36"/>
    </row>
    <row r="115" spans="2:4" x14ac:dyDescent="0.2">
      <c r="B115" s="48"/>
      <c r="D115" s="36"/>
    </row>
    <row r="116" spans="2:4" x14ac:dyDescent="0.2">
      <c r="B116" s="48"/>
      <c r="D116" s="36"/>
    </row>
    <row r="117" spans="2:4" x14ac:dyDescent="0.2">
      <c r="B117" s="48"/>
      <c r="D117" s="36"/>
    </row>
    <row r="118" spans="2:4" x14ac:dyDescent="0.2">
      <c r="B118" s="48"/>
      <c r="D118" s="36"/>
    </row>
    <row r="119" spans="2:4" x14ac:dyDescent="0.2">
      <c r="B119" s="48"/>
      <c r="D119" s="36"/>
    </row>
    <row r="120" spans="2:4" x14ac:dyDescent="0.2">
      <c r="B120" s="48"/>
      <c r="D120" s="36"/>
    </row>
    <row r="121" spans="2:4" x14ac:dyDescent="0.2">
      <c r="B121" s="48"/>
      <c r="D121" s="36"/>
    </row>
    <row r="122" spans="2:4" x14ac:dyDescent="0.2">
      <c r="B122" s="48"/>
      <c r="D122" s="36"/>
    </row>
    <row r="123" spans="2:4" x14ac:dyDescent="0.2">
      <c r="B123" s="48"/>
      <c r="D123" s="36"/>
    </row>
    <row r="124" spans="2:4" x14ac:dyDescent="0.2">
      <c r="B124" s="48"/>
      <c r="D124" s="36"/>
    </row>
    <row r="125" spans="2:4" x14ac:dyDescent="0.2">
      <c r="B125" s="48"/>
      <c r="D125" s="36"/>
    </row>
    <row r="126" spans="2:4" x14ac:dyDescent="0.2">
      <c r="B126" s="48"/>
      <c r="D126" s="36"/>
    </row>
    <row r="127" spans="2:4" x14ac:dyDescent="0.2">
      <c r="B127" s="48"/>
      <c r="D127" s="36"/>
    </row>
    <row r="128" spans="2:4" x14ac:dyDescent="0.2">
      <c r="B128" s="48"/>
      <c r="D128" s="36"/>
    </row>
    <row r="129" spans="2:4" x14ac:dyDescent="0.2">
      <c r="B129" s="48"/>
      <c r="D129" s="36"/>
    </row>
    <row r="130" spans="2:4" x14ac:dyDescent="0.2">
      <c r="B130" s="48"/>
      <c r="D130" s="36"/>
    </row>
    <row r="131" spans="2:4" x14ac:dyDescent="0.2">
      <c r="B131" s="48"/>
      <c r="D131" s="36"/>
    </row>
    <row r="132" spans="2:4" x14ac:dyDescent="0.2">
      <c r="B132" s="48"/>
      <c r="D132" s="36"/>
    </row>
    <row r="133" spans="2:4" x14ac:dyDescent="0.2">
      <c r="B133" s="48"/>
      <c r="D133" s="36"/>
    </row>
    <row r="134" spans="2:4" x14ac:dyDescent="0.2">
      <c r="B134" s="48"/>
      <c r="D134" s="36"/>
    </row>
    <row r="135" spans="2:4" x14ac:dyDescent="0.2">
      <c r="B135" s="48"/>
      <c r="D135" s="36"/>
    </row>
    <row r="136" spans="2:4" x14ac:dyDescent="0.2">
      <c r="B136" s="48"/>
      <c r="D136" s="36"/>
    </row>
    <row r="137" spans="2:4" x14ac:dyDescent="0.2">
      <c r="B137" s="48"/>
      <c r="D137" s="36"/>
    </row>
    <row r="138" spans="2:4" x14ac:dyDescent="0.2">
      <c r="B138" s="48"/>
      <c r="D138" s="36"/>
    </row>
    <row r="139" spans="2:4" x14ac:dyDescent="0.2">
      <c r="B139" s="48"/>
      <c r="D139" s="36"/>
    </row>
    <row r="140" spans="2:4" x14ac:dyDescent="0.2">
      <c r="B140" s="48"/>
      <c r="D140" s="36"/>
    </row>
    <row r="141" spans="2:4" x14ac:dyDescent="0.2">
      <c r="B141" s="48"/>
      <c r="D141" s="36"/>
    </row>
    <row r="142" spans="2:4" x14ac:dyDescent="0.2">
      <c r="B142" s="48"/>
      <c r="D142" s="36"/>
    </row>
    <row r="143" spans="2:4" x14ac:dyDescent="0.2">
      <c r="B143" s="48"/>
      <c r="D143" s="36"/>
    </row>
    <row r="144" spans="2:4" x14ac:dyDescent="0.2">
      <c r="B144" s="48"/>
      <c r="D144" s="36"/>
    </row>
    <row r="145" spans="2:4" x14ac:dyDescent="0.2">
      <c r="B145" s="48"/>
      <c r="D145" s="36"/>
    </row>
    <row r="146" spans="2:4" x14ac:dyDescent="0.2">
      <c r="B146" s="48"/>
      <c r="D146" s="36"/>
    </row>
    <row r="147" spans="2:4" x14ac:dyDescent="0.2">
      <c r="B147" s="48"/>
      <c r="D147" s="36"/>
    </row>
    <row r="148" spans="2:4" x14ac:dyDescent="0.2">
      <c r="B148" s="48"/>
      <c r="D148" s="36"/>
    </row>
    <row r="149" spans="2:4" x14ac:dyDescent="0.2">
      <c r="B149" s="48"/>
      <c r="D149" s="36"/>
    </row>
    <row r="150" spans="2:4" x14ac:dyDescent="0.2">
      <c r="B150" s="48"/>
      <c r="D150" s="36"/>
    </row>
    <row r="151" spans="2:4" x14ac:dyDescent="0.2">
      <c r="B151" s="48"/>
      <c r="D151" s="36"/>
    </row>
    <row r="152" spans="2:4" x14ac:dyDescent="0.2">
      <c r="B152" s="48"/>
      <c r="D152" s="36"/>
    </row>
    <row r="153" spans="2:4" x14ac:dyDescent="0.2">
      <c r="B153" s="48"/>
      <c r="D153" s="36"/>
    </row>
    <row r="154" spans="2:4" x14ac:dyDescent="0.2">
      <c r="B154" s="48"/>
      <c r="D154" s="36"/>
    </row>
    <row r="155" spans="2:4" x14ac:dyDescent="0.2">
      <c r="B155" s="48"/>
      <c r="D155" s="36"/>
    </row>
    <row r="156" spans="2:4" x14ac:dyDescent="0.2">
      <c r="B156" s="48"/>
      <c r="D156" s="36"/>
    </row>
    <row r="157" spans="2:4" x14ac:dyDescent="0.2">
      <c r="B157" s="48"/>
      <c r="D157" s="36"/>
    </row>
    <row r="158" spans="2:4" x14ac:dyDescent="0.2">
      <c r="B158" s="48"/>
      <c r="D158" s="36"/>
    </row>
    <row r="159" spans="2:4" x14ac:dyDescent="0.2">
      <c r="B159" s="48"/>
      <c r="D159" s="36"/>
    </row>
    <row r="160" spans="2:4" x14ac:dyDescent="0.2">
      <c r="B160" s="48"/>
      <c r="D160" s="36"/>
    </row>
    <row r="161" spans="2:4" x14ac:dyDescent="0.2">
      <c r="B161" s="48"/>
      <c r="D161" s="36"/>
    </row>
    <row r="162" spans="2:4" x14ac:dyDescent="0.2">
      <c r="B162" s="48"/>
      <c r="D162" s="36"/>
    </row>
    <row r="163" spans="2:4" x14ac:dyDescent="0.2">
      <c r="B163" s="48"/>
      <c r="D163" s="36"/>
    </row>
    <row r="164" spans="2:4" x14ac:dyDescent="0.2">
      <c r="B164" s="48"/>
      <c r="D164" s="36"/>
    </row>
    <row r="165" spans="2:4" x14ac:dyDescent="0.2">
      <c r="B165" s="48"/>
      <c r="D165" s="36"/>
    </row>
    <row r="166" spans="2:4" x14ac:dyDescent="0.2">
      <c r="B166" s="48"/>
      <c r="D166" s="36"/>
    </row>
    <row r="167" spans="2:4" x14ac:dyDescent="0.2">
      <c r="B167" s="48"/>
      <c r="D167" s="36"/>
    </row>
    <row r="168" spans="2:4" x14ac:dyDescent="0.2">
      <c r="B168" s="48"/>
      <c r="D168" s="36"/>
    </row>
    <row r="169" spans="2:4" x14ac:dyDescent="0.2">
      <c r="B169" s="48"/>
      <c r="D169" s="36"/>
    </row>
    <row r="170" spans="2:4" x14ac:dyDescent="0.2">
      <c r="B170" s="48"/>
      <c r="D170" s="36"/>
    </row>
    <row r="171" spans="2:4" x14ac:dyDescent="0.2">
      <c r="B171" s="48"/>
      <c r="D171" s="36"/>
    </row>
    <row r="172" spans="2:4" x14ac:dyDescent="0.2">
      <c r="B172" s="48"/>
      <c r="D172" s="36"/>
    </row>
    <row r="173" spans="2:4" x14ac:dyDescent="0.2">
      <c r="B173" s="48"/>
      <c r="D173" s="36"/>
    </row>
    <row r="174" spans="2:4" x14ac:dyDescent="0.2">
      <c r="B174" s="48"/>
      <c r="D174" s="36"/>
    </row>
    <row r="175" spans="2:4" x14ac:dyDescent="0.2">
      <c r="B175" s="48"/>
      <c r="D175" s="36"/>
    </row>
    <row r="176" spans="2:4" x14ac:dyDescent="0.2">
      <c r="B176" s="48"/>
      <c r="D176" s="36"/>
    </row>
    <row r="177" spans="2:4" x14ac:dyDescent="0.2">
      <c r="B177" s="48"/>
      <c r="D177" s="36"/>
    </row>
    <row r="178" spans="2:4" x14ac:dyDescent="0.2">
      <c r="B178" s="48"/>
      <c r="D178" s="36"/>
    </row>
    <row r="179" spans="2:4" x14ac:dyDescent="0.2">
      <c r="B179" s="48"/>
      <c r="D179" s="36"/>
    </row>
    <row r="180" spans="2:4" x14ac:dyDescent="0.2">
      <c r="B180" s="48"/>
      <c r="D180" s="36"/>
    </row>
    <row r="181" spans="2:4" x14ac:dyDescent="0.2">
      <c r="B181" s="48"/>
      <c r="D181" s="36"/>
    </row>
    <row r="182" spans="2:4" x14ac:dyDescent="0.2">
      <c r="B182" s="48"/>
      <c r="D182" s="36"/>
    </row>
    <row r="183" spans="2:4" x14ac:dyDescent="0.2">
      <c r="B183" s="48"/>
      <c r="D183" s="36"/>
    </row>
    <row r="184" spans="2:4" x14ac:dyDescent="0.2">
      <c r="B184" s="48"/>
      <c r="D184" s="36"/>
    </row>
    <row r="185" spans="2:4" x14ac:dyDescent="0.2">
      <c r="B185" s="48"/>
      <c r="D185" s="36"/>
    </row>
    <row r="186" spans="2:4" x14ac:dyDescent="0.2">
      <c r="B186" s="48"/>
      <c r="D186" s="36"/>
    </row>
    <row r="187" spans="2:4" x14ac:dyDescent="0.2">
      <c r="B187" s="48"/>
      <c r="D187" s="36"/>
    </row>
    <row r="188" spans="2:4" x14ac:dyDescent="0.2">
      <c r="B188" s="48"/>
      <c r="D188" s="36"/>
    </row>
    <row r="189" spans="2:4" x14ac:dyDescent="0.2">
      <c r="B189" s="48"/>
      <c r="D189" s="36"/>
    </row>
    <row r="190" spans="2:4" x14ac:dyDescent="0.2">
      <c r="B190" s="48"/>
      <c r="D190" s="36"/>
    </row>
    <row r="191" spans="2:4" x14ac:dyDescent="0.2">
      <c r="B191" s="48"/>
      <c r="D191" s="36"/>
    </row>
    <row r="192" spans="2:4" x14ac:dyDescent="0.2">
      <c r="B192" s="48"/>
      <c r="D192" s="36"/>
    </row>
    <row r="193" spans="2:4" x14ac:dyDescent="0.2">
      <c r="B193" s="48"/>
      <c r="D193" s="36"/>
    </row>
    <row r="194" spans="2:4" x14ac:dyDescent="0.2">
      <c r="B194" s="48"/>
      <c r="D194" s="36"/>
    </row>
    <row r="195" spans="2:4" x14ac:dyDescent="0.2">
      <c r="B195" s="48"/>
      <c r="D195" s="36"/>
    </row>
    <row r="196" spans="2:4" x14ac:dyDescent="0.2">
      <c r="B196" s="48"/>
      <c r="D196" s="36"/>
    </row>
    <row r="197" spans="2:4" x14ac:dyDescent="0.2">
      <c r="B197" s="48"/>
      <c r="D197" s="36"/>
    </row>
    <row r="198" spans="2:4" x14ac:dyDescent="0.2">
      <c r="B198" s="48"/>
      <c r="D198" s="36"/>
    </row>
    <row r="199" spans="2:4" x14ac:dyDescent="0.2">
      <c r="B199" s="48"/>
      <c r="D199" s="36"/>
    </row>
    <row r="200" spans="2:4" x14ac:dyDescent="0.2">
      <c r="B200" s="48"/>
      <c r="D200" s="36"/>
    </row>
    <row r="201" spans="2:4" x14ac:dyDescent="0.2">
      <c r="B201" s="48"/>
      <c r="D201" s="36"/>
    </row>
    <row r="202" spans="2:4" x14ac:dyDescent="0.2">
      <c r="B202" s="48"/>
      <c r="D202" s="36"/>
    </row>
    <row r="203" spans="2:4" x14ac:dyDescent="0.2">
      <c r="B203" s="48"/>
      <c r="D203" s="36"/>
    </row>
    <row r="204" spans="2:4" x14ac:dyDescent="0.2">
      <c r="B204" s="48"/>
      <c r="D204" s="36"/>
    </row>
    <row r="205" spans="2:4" x14ac:dyDescent="0.2">
      <c r="B205" s="48"/>
      <c r="D205" s="36"/>
    </row>
    <row r="206" spans="2:4" x14ac:dyDescent="0.2">
      <c r="B206" s="48"/>
      <c r="D206" s="36"/>
    </row>
    <row r="207" spans="2:4" x14ac:dyDescent="0.2">
      <c r="B207" s="48"/>
      <c r="D207" s="36"/>
    </row>
    <row r="208" spans="2:4" x14ac:dyDescent="0.2">
      <c r="B208" s="48"/>
      <c r="D208" s="36"/>
    </row>
    <row r="209" spans="2:4" x14ac:dyDescent="0.2">
      <c r="B209" s="48"/>
      <c r="D209" s="36"/>
    </row>
    <row r="210" spans="2:4" x14ac:dyDescent="0.2">
      <c r="B210" s="48"/>
      <c r="D210" s="36"/>
    </row>
    <row r="211" spans="2:4" x14ac:dyDescent="0.2">
      <c r="B211" s="48"/>
      <c r="D211" s="36"/>
    </row>
    <row r="212" spans="2:4" x14ac:dyDescent="0.2">
      <c r="B212" s="48"/>
      <c r="D212" s="36"/>
    </row>
    <row r="213" spans="2:4" x14ac:dyDescent="0.2">
      <c r="B213" s="48"/>
      <c r="D213" s="36"/>
    </row>
    <row r="214" spans="2:4" x14ac:dyDescent="0.2">
      <c r="B214" s="48"/>
      <c r="D214" s="36"/>
    </row>
    <row r="215" spans="2:4" x14ac:dyDescent="0.2">
      <c r="B215" s="48"/>
      <c r="D215" s="36"/>
    </row>
    <row r="216" spans="2:4" x14ac:dyDescent="0.2">
      <c r="B216" s="48"/>
      <c r="D216" s="36"/>
    </row>
    <row r="217" spans="2:4" x14ac:dyDescent="0.2">
      <c r="B217" s="48"/>
      <c r="D217" s="36"/>
    </row>
    <row r="218" spans="2:4" x14ac:dyDescent="0.2">
      <c r="B218" s="48"/>
      <c r="D218" s="36"/>
    </row>
    <row r="219" spans="2:4" x14ac:dyDescent="0.2">
      <c r="B219" s="48"/>
      <c r="D219" s="36"/>
    </row>
    <row r="220" spans="2:4" x14ac:dyDescent="0.2">
      <c r="B220" s="48"/>
      <c r="D220" s="36"/>
    </row>
    <row r="221" spans="2:4" x14ac:dyDescent="0.2">
      <c r="B221" s="48"/>
      <c r="D221" s="36"/>
    </row>
    <row r="222" spans="2:4" x14ac:dyDescent="0.2">
      <c r="B222" s="48"/>
      <c r="D222" s="36"/>
    </row>
    <row r="223" spans="2:4" x14ac:dyDescent="0.2">
      <c r="B223" s="48"/>
      <c r="D223" s="36"/>
    </row>
    <row r="224" spans="2:4" x14ac:dyDescent="0.2">
      <c r="B224" s="48"/>
      <c r="D224" s="36"/>
    </row>
    <row r="225" spans="2:4" x14ac:dyDescent="0.2">
      <c r="B225" s="48"/>
      <c r="D225" s="36"/>
    </row>
    <row r="226" spans="2:4" x14ac:dyDescent="0.2">
      <c r="B226" s="48"/>
      <c r="D226" s="36"/>
    </row>
    <row r="227" spans="2:4" x14ac:dyDescent="0.2">
      <c r="B227" s="48"/>
      <c r="D227" s="36"/>
    </row>
    <row r="228" spans="2:4" x14ac:dyDescent="0.2">
      <c r="B228" s="48"/>
      <c r="D228" s="36"/>
    </row>
    <row r="229" spans="2:4" x14ac:dyDescent="0.2">
      <c r="B229" s="48"/>
      <c r="D229" s="36"/>
    </row>
    <row r="230" spans="2:4" x14ac:dyDescent="0.2">
      <c r="B230" s="48"/>
      <c r="D230" s="36"/>
    </row>
    <row r="231" spans="2:4" x14ac:dyDescent="0.2">
      <c r="B231" s="48"/>
      <c r="D231" s="36"/>
    </row>
    <row r="232" spans="2:4" x14ac:dyDescent="0.2">
      <c r="B232" s="48"/>
      <c r="D232" s="36"/>
    </row>
    <row r="233" spans="2:4" x14ac:dyDescent="0.2">
      <c r="B233" s="48"/>
      <c r="D233" s="36"/>
    </row>
    <row r="234" spans="2:4" x14ac:dyDescent="0.2">
      <c r="B234" s="48"/>
      <c r="D234" s="36"/>
    </row>
    <row r="235" spans="2:4" x14ac:dyDescent="0.2">
      <c r="B235" s="48"/>
      <c r="D235" s="36"/>
    </row>
    <row r="236" spans="2:4" x14ac:dyDescent="0.2">
      <c r="B236" s="48"/>
      <c r="D236" s="36"/>
    </row>
    <row r="237" spans="2:4" x14ac:dyDescent="0.2">
      <c r="B237" s="48"/>
      <c r="D237" s="36"/>
    </row>
    <row r="238" spans="2:4" x14ac:dyDescent="0.2">
      <c r="B238" s="48"/>
      <c r="D238" s="36"/>
    </row>
    <row r="239" spans="2:4" x14ac:dyDescent="0.2">
      <c r="B239" s="48"/>
      <c r="D239" s="36"/>
    </row>
    <row r="240" spans="2:4" x14ac:dyDescent="0.2">
      <c r="B240" s="48"/>
      <c r="D240" s="36"/>
    </row>
    <row r="241" spans="2:4" x14ac:dyDescent="0.2">
      <c r="B241" s="48"/>
      <c r="D241" s="36"/>
    </row>
    <row r="242" spans="2:4" x14ac:dyDescent="0.2">
      <c r="B242" s="48"/>
      <c r="D242" s="36"/>
    </row>
    <row r="243" spans="2:4" x14ac:dyDescent="0.2">
      <c r="B243" s="48"/>
      <c r="D243" s="36"/>
    </row>
    <row r="244" spans="2:4" x14ac:dyDescent="0.2">
      <c r="B244" s="48"/>
      <c r="D244" s="36"/>
    </row>
    <row r="245" spans="2:4" x14ac:dyDescent="0.2">
      <c r="B245" s="48"/>
      <c r="D245" s="36"/>
    </row>
    <row r="246" spans="2:4" x14ac:dyDescent="0.2">
      <c r="B246" s="48"/>
      <c r="D246" s="36"/>
    </row>
    <row r="247" spans="2:4" x14ac:dyDescent="0.2">
      <c r="B247" s="48"/>
      <c r="D247" s="36"/>
    </row>
    <row r="248" spans="2:4" x14ac:dyDescent="0.2">
      <c r="B248" s="48"/>
      <c r="D248" s="36"/>
    </row>
    <row r="249" spans="2:4" x14ac:dyDescent="0.2">
      <c r="B249" s="48"/>
      <c r="D249" s="36"/>
    </row>
    <row r="250" spans="2:4" x14ac:dyDescent="0.2">
      <c r="B250" s="48"/>
      <c r="D250" s="36"/>
    </row>
    <row r="251" spans="2:4" x14ac:dyDescent="0.2">
      <c r="B251" s="48"/>
      <c r="D251" s="36"/>
    </row>
    <row r="252" spans="2:4" x14ac:dyDescent="0.2">
      <c r="B252" s="48"/>
      <c r="D252" s="36"/>
    </row>
    <row r="253" spans="2:4" x14ac:dyDescent="0.2">
      <c r="B253" s="48"/>
      <c r="D253" s="36"/>
    </row>
    <row r="254" spans="2:4" x14ac:dyDescent="0.2">
      <c r="B254" s="48"/>
      <c r="D254" s="36"/>
    </row>
    <row r="255" spans="2:4" x14ac:dyDescent="0.2">
      <c r="B255" s="48"/>
      <c r="D255" s="36"/>
    </row>
    <row r="256" spans="2:4" x14ac:dyDescent="0.2">
      <c r="B256" s="48"/>
      <c r="D256" s="36"/>
    </row>
    <row r="257" spans="2:4" x14ac:dyDescent="0.2">
      <c r="B257" s="48"/>
      <c r="D257" s="36"/>
    </row>
    <row r="258" spans="2:4" x14ac:dyDescent="0.2">
      <c r="B258" s="48"/>
      <c r="D258" s="36"/>
    </row>
    <row r="259" spans="2:4" x14ac:dyDescent="0.2">
      <c r="B259" s="48"/>
      <c r="D259" s="36"/>
    </row>
    <row r="260" spans="2:4" x14ac:dyDescent="0.2">
      <c r="B260" s="48"/>
      <c r="D260" s="36"/>
    </row>
    <row r="261" spans="2:4" x14ac:dyDescent="0.2">
      <c r="B261" s="48"/>
      <c r="D261" s="36"/>
    </row>
    <row r="262" spans="2:4" x14ac:dyDescent="0.2">
      <c r="B262" s="48"/>
      <c r="D262" s="36"/>
    </row>
    <row r="263" spans="2:4" x14ac:dyDescent="0.2">
      <c r="B263" s="48"/>
      <c r="D263" s="36"/>
    </row>
    <row r="264" spans="2:4" x14ac:dyDescent="0.2">
      <c r="B264" s="48"/>
      <c r="D264" s="36"/>
    </row>
    <row r="265" spans="2:4" x14ac:dyDescent="0.2">
      <c r="B265" s="48"/>
      <c r="D265" s="36"/>
    </row>
    <row r="266" spans="2:4" x14ac:dyDescent="0.2">
      <c r="B266" s="48"/>
      <c r="D266" s="36"/>
    </row>
    <row r="267" spans="2:4" x14ac:dyDescent="0.2">
      <c r="B267" s="48"/>
      <c r="D267" s="36"/>
    </row>
    <row r="268" spans="2:4" x14ac:dyDescent="0.2">
      <c r="B268" s="48"/>
      <c r="D268" s="36"/>
    </row>
    <row r="269" spans="2:4" x14ac:dyDescent="0.2">
      <c r="B269" s="48"/>
      <c r="D269" s="36"/>
    </row>
    <row r="270" spans="2:4" x14ac:dyDescent="0.2">
      <c r="B270" s="48"/>
      <c r="D270" s="36"/>
    </row>
    <row r="271" spans="2:4" x14ac:dyDescent="0.2">
      <c r="B271" s="48"/>
      <c r="D271" s="36"/>
    </row>
    <row r="272" spans="2:4" x14ac:dyDescent="0.2">
      <c r="B272" s="48"/>
      <c r="D272" s="36"/>
    </row>
  </sheetData>
  <sheetProtection algorithmName="SHA-512" hashValue="u5HtfZUKmpVF1RpbUCvicloAZNiA5/nqJID54k7JBtlEVrczCgKPf4qAYFPmi1zX/HFndSqb4ZXtsos0fPStrA==" saltValue="N712u+PIkQ0CnB1WMc29Hw==" spinCount="100000" sheet="1" objects="1" scenarios="1"/>
  <mergeCells count="7">
    <mergeCell ref="C6:D6"/>
    <mergeCell ref="R10:R12"/>
    <mergeCell ref="B10:B12"/>
    <mergeCell ref="C10:C12"/>
    <mergeCell ref="D10:D12"/>
    <mergeCell ref="P10:P12"/>
    <mergeCell ref="Q10:Q12"/>
  </mergeCells>
  <conditionalFormatting sqref="B13:R64">
    <cfRule type="expression" dxfId="45"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4.25" x14ac:dyDescent="0.2"/>
  <cols>
    <col min="2" max="2" width="17.25" bestFit="1" customWidth="1"/>
    <col min="3" max="3" width="12.5" bestFit="1" customWidth="1"/>
    <col min="5" max="5" width="13" bestFit="1" customWidth="1"/>
    <col min="6" max="7" width="13" customWidth="1"/>
    <col min="8" max="9" width="11.125" bestFit="1" customWidth="1"/>
    <col min="10" max="10" width="14.5" bestFit="1" customWidth="1"/>
    <col min="11" max="12" width="8.75" bestFit="1" customWidth="1"/>
    <col min="13" max="14" width="8.75" customWidth="1"/>
    <col min="15" max="17" width="8.75" bestFit="1" customWidth="1"/>
    <col min="18" max="18" width="6.625" bestFit="1" customWidth="1"/>
    <col min="19" max="19" width="5.25" bestFit="1" customWidth="1"/>
    <col min="21" max="21" width="15.5" bestFit="1" customWidth="1"/>
    <col min="23" max="23" width="9.75" bestFit="1" customWidth="1"/>
    <col min="29" max="29" width="14.625" customWidth="1"/>
    <col min="30" max="30" width="9.75" style="36" customWidth="1"/>
    <col min="31" max="39" width="9" customWidth="1"/>
    <col min="40" max="41" width="9" hidden="1" customWidth="1"/>
    <col min="42" max="50" width="9" customWidth="1"/>
  </cols>
  <sheetData>
    <row r="1" spans="2:63" x14ac:dyDescent="0.2">
      <c r="B1" t="s">
        <v>220</v>
      </c>
      <c r="C1" t="s">
        <v>221</v>
      </c>
      <c r="E1" t="s">
        <v>223</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1</v>
      </c>
      <c r="S1">
        <f ca="1">OFFSET('Demand background (hide)'!$BN$6,COLUMN(L1)-1,0,1,1)</f>
        <v>0</v>
      </c>
      <c r="AB1" t="s">
        <v>256</v>
      </c>
      <c r="AP1" t="s">
        <v>271</v>
      </c>
    </row>
    <row r="2" spans="2:63" x14ac:dyDescent="0.2">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4</v>
      </c>
      <c r="S3" s="5">
        <f ca="1">IF(Planned!R13&lt;&gt;"Yes",IF(Planned!$C$6&lt;&gt;"Overall",SUM(OFFSET('Planned background (hide)'!H3,0,0,1,Num_Modalities)),'Planned background (hide)'!R3),"")</f>
        <v>4</v>
      </c>
      <c r="V3" s="5"/>
      <c r="AB3">
        <f t="shared" si="0"/>
        <v>1</v>
      </c>
      <c r="AC3" s="36">
        <f>IF(Planned!$C$8=0,'Planned background (hide)'!F3,'Planned background (hide)'!G3)</f>
        <v>1</v>
      </c>
      <c r="AD3" s="36">
        <f>IF(AND(AB3&gt;=$U$18,AB3&lt;($U$18+$AA$19)),1,0)</f>
        <v>1</v>
      </c>
      <c r="AE3" s="5">
        <f t="shared" ref="AE3:AE34" ca="1" si="1">S3</f>
        <v>4</v>
      </c>
      <c r="AF3" s="5">
        <f ca="1">$V$23</f>
        <v>3.8</v>
      </c>
      <c r="AG3">
        <f ca="1">$V$25</f>
        <v>1.5514184397163122</v>
      </c>
      <c r="AH3">
        <f ca="1">IF(AF3-(3*AG3)&lt;=0,0,AF3-(3*AG3))</f>
        <v>0</v>
      </c>
      <c r="AI3">
        <f ca="1">IF(AF3-(2*AG3)&lt;=0,0,AF3-(2*AG3))</f>
        <v>0.69716312056737539</v>
      </c>
      <c r="AJ3">
        <f ca="1">IF(AF3-(1*AG3)&lt;=0,0,AF3-(1*AG3))</f>
        <v>2.2485815602836876</v>
      </c>
      <c r="AK3">
        <f ca="1">AF3+(1*AG3)</f>
        <v>5.351418439716312</v>
      </c>
      <c r="AL3">
        <f ca="1">AF3+(2*AG3)</f>
        <v>6.9028368794326243</v>
      </c>
      <c r="AM3">
        <f ca="1">AF3+(3*AG3)</f>
        <v>8.4542553191489365</v>
      </c>
      <c r="AN3">
        <f ca="1">$V$26</f>
        <v>4.5999999999999996</v>
      </c>
      <c r="AO3">
        <f ca="1">$V$27</f>
        <v>5</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5</v>
      </c>
      <c r="S4" s="5">
        <f ca="1">IF(Planned!R14&lt;&gt;"Yes",IF(Planned!$C$6&lt;&gt;"Overall",SUM(OFFSET('Planned background (hide)'!H4,0,0,1,Num_Modalities)),'Planned background (hide)'!R4),"")</f>
        <v>5</v>
      </c>
      <c r="AB4">
        <f t="shared" si="0"/>
        <v>2</v>
      </c>
      <c r="AC4" s="36">
        <f>IF(Planned!$C$8=0,'Planned background (hide)'!F4,'Planned background (hide)'!G4)</f>
        <v>2</v>
      </c>
      <c r="AD4" s="36">
        <f t="shared" ref="AD4:AD54" si="2">IF(AND(AB4&gt;$U$18,AB4&lt;($U$18+$AA$19)),1,0)</f>
        <v>1</v>
      </c>
      <c r="AE4" s="5">
        <f t="shared" ca="1" si="1"/>
        <v>5</v>
      </c>
      <c r="AF4" s="5">
        <f t="shared" ref="AF4:AF55" ca="1" si="3">$V$23</f>
        <v>3.8</v>
      </c>
      <c r="AG4">
        <f t="shared" ref="AG4:AG55" ca="1" si="4">$V$25</f>
        <v>1.5514184397163122</v>
      </c>
      <c r="AH4" s="67">
        <f t="shared" ref="AH4:AH54" ca="1" si="5">IF(AF4-(3*AG4)&lt;=0,0,AF4-(3*AG4))</f>
        <v>0</v>
      </c>
      <c r="AI4" s="67">
        <f t="shared" ref="AI4:AI54" ca="1" si="6">IF(AF4-(2*AG4)&lt;=0,0,AF4-(2*AG4))</f>
        <v>0.69716312056737539</v>
      </c>
      <c r="AJ4" s="67">
        <f t="shared" ref="AJ4:AJ54" ca="1" si="7">IF(AF4-(1*AG4)&lt;=0,0,AF4-(1*AG4))</f>
        <v>2.2485815602836876</v>
      </c>
      <c r="AK4">
        <f t="shared" ref="AK4:AK54" ca="1" si="8">AF4+(1*AG4)</f>
        <v>5.351418439716312</v>
      </c>
      <c r="AL4">
        <f t="shared" ref="AL4:AL54" ca="1" si="9">AF4+(2*AG4)</f>
        <v>6.9028368794326243</v>
      </c>
      <c r="AM4">
        <f t="shared" ref="AM4:AM54" ca="1" si="10">AF4+(3*AG4)</f>
        <v>8.4542553191489365</v>
      </c>
      <c r="AN4">
        <f t="shared" ref="AN4:AN55" ca="1" si="11">$V$26</f>
        <v>4.5999999999999996</v>
      </c>
      <c r="AO4">
        <f t="shared" ref="AO4:AO55" ca="1" si="12">$V$27</f>
        <v>5</v>
      </c>
      <c r="AP4" t="e">
        <f t="shared" ref="AP4:AP54" ca="1" si="13">IF(OR(AE4&gt;AM4,AE4&lt;AH4),AE4,NA())</f>
        <v>#N/A</v>
      </c>
      <c r="AQ4">
        <f ca="1">IF(AE4&gt;AL4,1,IF(AE4&lt;AI4,-1,0))</f>
        <v>0</v>
      </c>
      <c r="AS4">
        <f ca="1">IF(AE4&gt;AE3,1,IF(AE4&lt;AE3,-1,0))</f>
        <v>1</v>
      </c>
      <c r="AU4">
        <f t="shared" ref="AU4:AU54" ca="1" si="14">IF(AE4&gt;AF4,1,IF(AE4&lt;AF4,-1,0))</f>
        <v>1</v>
      </c>
      <c r="AW4" s="5">
        <f ca="1">ABS(AE4-AE3)</f>
        <v>1</v>
      </c>
      <c r="AZ4" s="3"/>
      <c r="BA4" s="3"/>
      <c r="BH4" s="48">
        <f ca="1">IF(OR(Planned!B14=1,Planned!B14=""),AC4,Planned!B14)</f>
        <v>2</v>
      </c>
      <c r="BI4" t="str">
        <f ca="1">IF(TEXT(Planned!D14,"mmm")&lt;&gt;TEXT(Planned!D13,"mmm"),TEXT(Planned!D14,"mmm"),"")</f>
        <v/>
      </c>
      <c r="BK4" s="67"/>
    </row>
    <row r="5" spans="2:63" x14ac:dyDescent="0.2">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2</v>
      </c>
      <c r="S5" s="5">
        <f ca="1">IF(Planned!R15&lt;&gt;"Yes",IF(Planned!$C$6&lt;&gt;"Overall",SUM(OFFSET('Planned background (hide)'!H5,0,0,1,Num_Modalities)),'Planned background (hide)'!R5),"")</f>
        <v>2</v>
      </c>
      <c r="AB5">
        <f t="shared" si="0"/>
        <v>3</v>
      </c>
      <c r="AC5" s="36">
        <f>IF(Planned!$C$8=0,'Planned background (hide)'!F5,'Planned background (hide)'!G5)</f>
        <v>3</v>
      </c>
      <c r="AD5" s="36">
        <f t="shared" si="2"/>
        <v>1</v>
      </c>
      <c r="AE5" s="5">
        <f t="shared" ca="1" si="1"/>
        <v>2</v>
      </c>
      <c r="AF5" s="5">
        <f t="shared" ca="1" si="3"/>
        <v>3.8</v>
      </c>
      <c r="AG5">
        <f t="shared" ca="1" si="4"/>
        <v>1.5514184397163122</v>
      </c>
      <c r="AH5" s="67">
        <f t="shared" ca="1" si="5"/>
        <v>0</v>
      </c>
      <c r="AI5" s="67">
        <f t="shared" ca="1" si="6"/>
        <v>0.69716312056737539</v>
      </c>
      <c r="AJ5" s="67">
        <f t="shared" ca="1" si="7"/>
        <v>2.2485815602836876</v>
      </c>
      <c r="AK5">
        <f t="shared" ca="1" si="8"/>
        <v>5.351418439716312</v>
      </c>
      <c r="AL5">
        <f t="shared" ca="1" si="9"/>
        <v>6.9028368794326243</v>
      </c>
      <c r="AM5">
        <f t="shared" ca="1" si="10"/>
        <v>8.4542553191489365</v>
      </c>
      <c r="AN5">
        <f t="shared" ca="1" si="11"/>
        <v>4.5999999999999996</v>
      </c>
      <c r="AO5">
        <f t="shared" ca="1" si="12"/>
        <v>5</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3</v>
      </c>
      <c r="AZ5" s="3"/>
      <c r="BA5" s="3"/>
      <c r="BH5" s="48">
        <f ca="1">IF(OR(Planned!B15=1,Planned!B15=""),AC5,Planned!B15)</f>
        <v>3</v>
      </c>
      <c r="BI5" t="str">
        <f ca="1">IF(TEXT(Planned!D15,"mmm")&lt;&gt;TEXT(Planned!D14,"mmm"),TEXT(Planned!D15,"mmm"),"")</f>
        <v/>
      </c>
      <c r="BK5" s="67"/>
    </row>
    <row r="6" spans="2:63" x14ac:dyDescent="0.2">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3</v>
      </c>
      <c r="S6" s="5">
        <f ca="1">IF(Planned!R16&lt;&gt;"Yes",IF(Planned!$C$6&lt;&gt;"Overall",SUM(OFFSET('Planned background (hide)'!H6,0,0,1,Num_Modalities)),'Planned background (hide)'!R6),"")</f>
        <v>3</v>
      </c>
      <c r="AB6">
        <f t="shared" si="0"/>
        <v>4</v>
      </c>
      <c r="AC6" s="36">
        <f>IF(Planned!$C$8=0,'Planned background (hide)'!F6,'Planned background (hide)'!G6)</f>
        <v>4</v>
      </c>
      <c r="AD6" s="36">
        <f t="shared" si="2"/>
        <v>1</v>
      </c>
      <c r="AE6" s="5">
        <f t="shared" ca="1" si="1"/>
        <v>3</v>
      </c>
      <c r="AF6" s="5">
        <f t="shared" ca="1" si="3"/>
        <v>3.8</v>
      </c>
      <c r="AG6">
        <f t="shared" ca="1" si="4"/>
        <v>1.5514184397163122</v>
      </c>
      <c r="AH6" s="67">
        <f t="shared" ca="1" si="5"/>
        <v>0</v>
      </c>
      <c r="AI6" s="67">
        <f t="shared" ca="1" si="6"/>
        <v>0.69716312056737539</v>
      </c>
      <c r="AJ6" s="67">
        <f t="shared" ca="1" si="7"/>
        <v>2.2485815602836876</v>
      </c>
      <c r="AK6">
        <f t="shared" ca="1" si="8"/>
        <v>5.351418439716312</v>
      </c>
      <c r="AL6">
        <f t="shared" ca="1" si="9"/>
        <v>6.9028368794326243</v>
      </c>
      <c r="AM6">
        <f t="shared" ca="1" si="10"/>
        <v>8.4542553191489365</v>
      </c>
      <c r="AN6">
        <f t="shared" ca="1" si="11"/>
        <v>4.5999999999999996</v>
      </c>
      <c r="AO6">
        <f t="shared" ca="1" si="12"/>
        <v>5</v>
      </c>
      <c r="AP6" t="e">
        <f t="shared" ca="1" si="13"/>
        <v>#N/A</v>
      </c>
      <c r="AQ6">
        <f t="shared" ca="1" si="18"/>
        <v>0</v>
      </c>
      <c r="AR6" t="e">
        <f t="shared" ref="AR6:AR54" ca="1" si="21">IF(ABS(SUM(AQ4:AQ6))&gt;=2,AE6,NA())</f>
        <v>#N/A</v>
      </c>
      <c r="AS6">
        <f t="shared" ca="1" si="19"/>
        <v>1</v>
      </c>
      <c r="AU6">
        <f t="shared" ca="1" si="14"/>
        <v>-1</v>
      </c>
      <c r="AW6" s="5">
        <f t="shared" ca="1" si="20"/>
        <v>1</v>
      </c>
      <c r="AZ6" s="3"/>
      <c r="BA6" s="3"/>
      <c r="BH6" s="48">
        <f ca="1">IF(OR(Planned!B16=1,Planned!B16=""),AC6,Planned!B16)</f>
        <v>4</v>
      </c>
      <c r="BI6" t="str">
        <f ca="1">IF(TEXT(Planned!D16,"mmm")&lt;&gt;TEXT(Planned!D15,"mmm"),TEXT(Planned!D16,"mmm"),"")</f>
        <v/>
      </c>
      <c r="BK6" s="67"/>
    </row>
    <row r="7" spans="2:63" x14ac:dyDescent="0.2">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5</v>
      </c>
      <c r="S7" s="5">
        <f ca="1">IF(Planned!R17&lt;&gt;"Yes",IF(Planned!$C$6&lt;&gt;"Overall",SUM(OFFSET('Planned background (hide)'!H7,0,0,1,Num_Modalities)),'Planned background (hide)'!R7),"")</f>
        <v>5</v>
      </c>
      <c r="U7" s="54"/>
      <c r="AB7">
        <f t="shared" si="0"/>
        <v>5</v>
      </c>
      <c r="AC7" s="36">
        <f>IF(Planned!$C$8=0,'Planned background (hide)'!F7,'Planned background (hide)'!G7)</f>
        <v>5</v>
      </c>
      <c r="AD7" s="36">
        <f t="shared" si="2"/>
        <v>1</v>
      </c>
      <c r="AE7" s="5">
        <f t="shared" ca="1" si="1"/>
        <v>5</v>
      </c>
      <c r="AF7" s="5">
        <f t="shared" ca="1" si="3"/>
        <v>3.8</v>
      </c>
      <c r="AG7">
        <f t="shared" ca="1" si="4"/>
        <v>1.5514184397163122</v>
      </c>
      <c r="AH7" s="67">
        <f t="shared" ca="1" si="5"/>
        <v>0</v>
      </c>
      <c r="AI7" s="67">
        <f t="shared" ca="1" si="6"/>
        <v>0.69716312056737539</v>
      </c>
      <c r="AJ7" s="67">
        <f t="shared" ca="1" si="7"/>
        <v>2.2485815602836876</v>
      </c>
      <c r="AK7">
        <f t="shared" ca="1" si="8"/>
        <v>5.351418439716312</v>
      </c>
      <c r="AL7">
        <f t="shared" ca="1" si="9"/>
        <v>6.9028368794326243</v>
      </c>
      <c r="AM7">
        <f t="shared" ca="1" si="10"/>
        <v>8.4542553191489365</v>
      </c>
      <c r="AN7">
        <f t="shared" ca="1" si="11"/>
        <v>4.5999999999999996</v>
      </c>
      <c r="AO7">
        <f t="shared" ca="1" si="12"/>
        <v>5</v>
      </c>
      <c r="AP7" t="e">
        <f t="shared" ca="1" si="13"/>
        <v>#N/A</v>
      </c>
      <c r="AQ7">
        <f t="shared" ca="1" si="18"/>
        <v>0</v>
      </c>
      <c r="AR7" t="e">
        <f t="shared" ca="1" si="21"/>
        <v>#N/A</v>
      </c>
      <c r="AS7">
        <f t="shared" ca="1" si="19"/>
        <v>1</v>
      </c>
      <c r="AU7">
        <f t="shared" ca="1" si="14"/>
        <v>1</v>
      </c>
      <c r="AW7" s="5">
        <f t="shared" ca="1" si="20"/>
        <v>2</v>
      </c>
      <c r="AZ7" s="3"/>
      <c r="BA7" s="3"/>
      <c r="BH7" s="48">
        <f ca="1">IF(OR(Planned!B17=1,Planned!B17=""),AC7,Planned!B17)</f>
        <v>5</v>
      </c>
      <c r="BI7" t="str">
        <f ca="1">IF(TEXT(Planned!D17,"mmm")&lt;&gt;TEXT(Planned!D16,"mmm"),TEXT(Planned!D17,"mmm"),"")</f>
        <v/>
      </c>
      <c r="BK7" s="67"/>
    </row>
    <row r="8" spans="2:63" x14ac:dyDescent="0.2">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3</v>
      </c>
      <c r="S8" s="5">
        <f ca="1">IF(Planned!R18&lt;&gt;"Yes",IF(Planned!$C$6&lt;&gt;"Overall",SUM(OFFSET('Planned background (hide)'!H8,0,0,1,Num_Modalities)),'Planned background (hide)'!R8),"")</f>
        <v>3</v>
      </c>
      <c r="U8" s="54"/>
      <c r="AB8">
        <f t="shared" si="0"/>
        <v>6</v>
      </c>
      <c r="AC8" s="36">
        <f>IF(Planned!$C$8=0,'Planned background (hide)'!F8,'Planned background (hide)'!G8)</f>
        <v>6</v>
      </c>
      <c r="AD8" s="36">
        <f t="shared" si="2"/>
        <v>0</v>
      </c>
      <c r="AE8" s="5">
        <f t="shared" ca="1" si="1"/>
        <v>3</v>
      </c>
      <c r="AF8" s="5">
        <f t="shared" ca="1" si="3"/>
        <v>3.8</v>
      </c>
      <c r="AG8">
        <f t="shared" ca="1" si="4"/>
        <v>1.5514184397163122</v>
      </c>
      <c r="AH8" s="67">
        <f t="shared" ca="1" si="5"/>
        <v>0</v>
      </c>
      <c r="AI8" s="67">
        <f t="shared" ca="1" si="6"/>
        <v>0.69716312056737539</v>
      </c>
      <c r="AJ8" s="67">
        <f t="shared" ca="1" si="7"/>
        <v>2.2485815602836876</v>
      </c>
      <c r="AK8">
        <f t="shared" ca="1" si="8"/>
        <v>5.351418439716312</v>
      </c>
      <c r="AL8">
        <f t="shared" ca="1" si="9"/>
        <v>6.9028368794326243</v>
      </c>
      <c r="AM8">
        <f t="shared" ca="1" si="10"/>
        <v>8.4542553191489365</v>
      </c>
      <c r="AN8">
        <f t="shared" ca="1" si="11"/>
        <v>4.5999999999999996</v>
      </c>
      <c r="AO8">
        <f t="shared" ca="1" si="12"/>
        <v>5</v>
      </c>
      <c r="AP8" t="e">
        <f t="shared" ca="1" si="13"/>
        <v>#N/A</v>
      </c>
      <c r="AQ8">
        <f t="shared" ca="1" si="18"/>
        <v>0</v>
      </c>
      <c r="AR8" t="e">
        <f t="shared" ca="1" si="21"/>
        <v>#N/A</v>
      </c>
      <c r="AS8">
        <f t="shared" ca="1" si="19"/>
        <v>-1</v>
      </c>
      <c r="AU8">
        <f t="shared" ca="1" si="14"/>
        <v>-1</v>
      </c>
      <c r="AW8" s="5">
        <f t="shared" ca="1" si="20"/>
        <v>2</v>
      </c>
      <c r="AZ8" s="3"/>
      <c r="BA8" s="3"/>
      <c r="BH8" s="48">
        <f ca="1">IF(OR(Planned!B18=1,Planned!B18=""),AC8,Planned!B18)</f>
        <v>6</v>
      </c>
      <c r="BI8" t="str">
        <f ca="1">IF(TEXT(Planned!D18,"mmm")&lt;&gt;TEXT(Planned!D17,"mmm"),TEXT(Planned!D18,"mmm"),"")</f>
        <v/>
      </c>
      <c r="BK8" s="67"/>
    </row>
    <row r="9" spans="2:63" x14ac:dyDescent="0.2">
      <c r="B9" s="67">
        <f ca="1">IF(Planned!$C$6&lt;&gt;"Overall",COUNTBLANK(OFFSET(Planned!E20,0,0,1,Num_Modalities)),IF(COUNTBLANK(Planned!O20)=1,Num_Modalities,0))</f>
        <v>1</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4</v>
      </c>
      <c r="S9" s="5">
        <f ca="1">IF(Planned!R19&lt;&gt;"Yes",IF(Planned!$C$6&lt;&gt;"Overall",SUM(OFFSET('Planned background (hide)'!H9,0,0,1,Num_Modalities)),'Planned background (hide)'!R9),"")</f>
        <v>4</v>
      </c>
      <c r="AB9">
        <f t="shared" si="0"/>
        <v>7</v>
      </c>
      <c r="AC9" s="36">
        <f>IF(Planned!$C$8=0,'Planned background (hide)'!F9,'Planned background (hide)'!G9)</f>
        <v>7</v>
      </c>
      <c r="AD9" s="36">
        <f t="shared" si="2"/>
        <v>0</v>
      </c>
      <c r="AE9" s="5">
        <f t="shared" ca="1" si="1"/>
        <v>4</v>
      </c>
      <c r="AF9" s="5">
        <f t="shared" ca="1" si="3"/>
        <v>3.8</v>
      </c>
      <c r="AG9">
        <f t="shared" ca="1" si="4"/>
        <v>1.5514184397163122</v>
      </c>
      <c r="AH9" s="67">
        <f t="shared" ca="1" si="5"/>
        <v>0</v>
      </c>
      <c r="AI9" s="67">
        <f t="shared" ca="1" si="6"/>
        <v>0.69716312056737539</v>
      </c>
      <c r="AJ9" s="67">
        <f t="shared" ca="1" si="7"/>
        <v>2.2485815602836876</v>
      </c>
      <c r="AK9">
        <f t="shared" ca="1" si="8"/>
        <v>5.351418439716312</v>
      </c>
      <c r="AL9">
        <f t="shared" ca="1" si="9"/>
        <v>6.9028368794326243</v>
      </c>
      <c r="AM9">
        <f t="shared" ca="1" si="10"/>
        <v>8.4542553191489365</v>
      </c>
      <c r="AN9">
        <f t="shared" ca="1" si="11"/>
        <v>4.5999999999999996</v>
      </c>
      <c r="AO9">
        <f t="shared" ca="1" si="12"/>
        <v>5</v>
      </c>
      <c r="AP9" t="e">
        <f t="shared" ca="1" si="13"/>
        <v>#N/A</v>
      </c>
      <c r="AQ9">
        <f t="shared" ca="1" si="18"/>
        <v>0</v>
      </c>
      <c r="AR9" t="e">
        <f t="shared" ca="1" si="21"/>
        <v>#N/A</v>
      </c>
      <c r="AS9">
        <f t="shared" ca="1" si="19"/>
        <v>1</v>
      </c>
      <c r="AT9" t="e">
        <f ca="1">IF(ABS(SUM(AS4:AS9))=6,AE9,NA())</f>
        <v>#N/A</v>
      </c>
      <c r="AU9">
        <f t="shared" ca="1" si="14"/>
        <v>1</v>
      </c>
      <c r="AW9" s="5">
        <f t="shared" ca="1" si="20"/>
        <v>1</v>
      </c>
      <c r="BH9" s="48">
        <f ca="1">IF(OR(Planned!B19=1,Planned!B19=""),AC9,Planned!B19)</f>
        <v>7</v>
      </c>
      <c r="BI9" t="str">
        <f ca="1">IF(TEXT(Planned!D19,"mmm")&lt;&gt;TEXT(Planned!D18,"mmm"),TEXT(Planned!D19,"mmm"),"")</f>
        <v/>
      </c>
      <c r="BK9" s="67"/>
    </row>
    <row r="10" spans="2:63" x14ac:dyDescent="0.2">
      <c r="B10" s="67">
        <f ca="1">IF(Planned!$C$6&lt;&gt;"Overall",COUNTBLANK(OFFSET(Planned!E21,0,0,1,Num_Modalities)),IF(COUNTBLANK(Planned!O21)=1,Num_Modalities,0))</f>
        <v>1</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3.8</v>
      </c>
      <c r="AG10">
        <f t="shared" ca="1" si="4"/>
        <v>1.5514184397163122</v>
      </c>
      <c r="AH10" s="67">
        <f t="shared" ca="1" si="5"/>
        <v>0</v>
      </c>
      <c r="AI10" s="67">
        <f t="shared" ca="1" si="6"/>
        <v>0.69716312056737539</v>
      </c>
      <c r="AJ10" s="67">
        <f t="shared" ca="1" si="7"/>
        <v>2.2485815602836876</v>
      </c>
      <c r="AK10">
        <f t="shared" ca="1" si="8"/>
        <v>5.351418439716312</v>
      </c>
      <c r="AL10">
        <f t="shared" ca="1" si="9"/>
        <v>6.9028368794326243</v>
      </c>
      <c r="AM10">
        <f t="shared" ca="1" si="10"/>
        <v>8.4542553191489365</v>
      </c>
      <c r="AN10">
        <f t="shared" ca="1" si="11"/>
        <v>4.5999999999999996</v>
      </c>
      <c r="AO10">
        <f t="shared" ca="1" si="12"/>
        <v>5</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4</v>
      </c>
      <c r="BH10" s="48" t="str">
        <f ca="1">IF(OR(Planned!B20=1,Planned!B20=""),AC10,Planned!B20)</f>
        <v xml:space="preserve"> </v>
      </c>
      <c r="BI10" t="str">
        <f ca="1">IF(TEXT(Planned!D20,"mmm")&lt;&gt;TEXT(Planned!D19,"mmm"),TEXT(Planned!D20,"mmm"),"")</f>
        <v/>
      </c>
      <c r="BK10" s="67"/>
    </row>
    <row r="11" spans="2:63" x14ac:dyDescent="0.2">
      <c r="B11" s="67">
        <f ca="1">IF(Planned!$C$6&lt;&gt;"Overall",COUNTBLANK(OFFSET(Planned!E22,0,0,1,Num_Modalities)),IF(COUNTBLANK(Planned!O22)=1,Num_Modalities,0))</f>
        <v>1</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3.8</v>
      </c>
      <c r="AG11">
        <f t="shared" ca="1" si="4"/>
        <v>1.5514184397163122</v>
      </c>
      <c r="AH11" s="67">
        <f t="shared" ca="1" si="5"/>
        <v>0</v>
      </c>
      <c r="AI11" s="67">
        <f t="shared" ca="1" si="6"/>
        <v>0.69716312056737539</v>
      </c>
      <c r="AJ11" s="67">
        <f t="shared" ca="1" si="7"/>
        <v>2.2485815602836876</v>
      </c>
      <c r="AK11">
        <f t="shared" ca="1" si="8"/>
        <v>5.351418439716312</v>
      </c>
      <c r="AL11">
        <f t="shared" ca="1" si="9"/>
        <v>6.9028368794326243</v>
      </c>
      <c r="AM11">
        <f t="shared" ca="1" si="10"/>
        <v>8.4542553191489365</v>
      </c>
      <c r="AN11">
        <f t="shared" ca="1" si="11"/>
        <v>4.5999999999999996</v>
      </c>
      <c r="AO11">
        <f t="shared" ca="1" si="12"/>
        <v>5</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
      <c r="B12" s="67">
        <f ca="1">IF(Planned!$C$6&lt;&gt;"Overall",COUNTBLANK(OFFSET(Planned!E23,0,0,1,Num_Modalities)),IF(COUNTBLANK(Planned!O23)=1,Num_Modalities,0))</f>
        <v>1</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3.8</v>
      </c>
      <c r="AG12">
        <f t="shared" ca="1" si="4"/>
        <v>1.5514184397163122</v>
      </c>
      <c r="AH12" s="67">
        <f t="shared" ca="1" si="5"/>
        <v>0</v>
      </c>
      <c r="AI12" s="67">
        <f t="shared" ca="1" si="6"/>
        <v>0.69716312056737539</v>
      </c>
      <c r="AJ12" s="67">
        <f t="shared" ca="1" si="7"/>
        <v>2.2485815602836876</v>
      </c>
      <c r="AK12">
        <f t="shared" ca="1" si="8"/>
        <v>5.351418439716312</v>
      </c>
      <c r="AL12">
        <f t="shared" ca="1" si="9"/>
        <v>6.9028368794326243</v>
      </c>
      <c r="AM12">
        <f t="shared" ca="1" si="10"/>
        <v>8.4542553191489365</v>
      </c>
      <c r="AN12">
        <f t="shared" ca="1" si="11"/>
        <v>4.5999999999999996</v>
      </c>
      <c r="AO12">
        <f t="shared" ca="1" si="12"/>
        <v>5</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
      <c r="B13" s="67">
        <f ca="1">IF(Planned!$C$6&lt;&gt;"Overall",COUNTBLANK(OFFSET(Planned!E24,0,0,1,Num_Modalities)),IF(COUNTBLANK(Planned!O24)=1,Num_Modalities,0))</f>
        <v>1</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3.8</v>
      </c>
      <c r="AG13">
        <f t="shared" ca="1" si="4"/>
        <v>1.5514184397163122</v>
      </c>
      <c r="AH13" s="67">
        <f t="shared" ca="1" si="5"/>
        <v>0</v>
      </c>
      <c r="AI13" s="67">
        <f t="shared" ca="1" si="6"/>
        <v>0.69716312056737539</v>
      </c>
      <c r="AJ13" s="67">
        <f t="shared" ca="1" si="7"/>
        <v>2.2485815602836876</v>
      </c>
      <c r="AK13">
        <f t="shared" ca="1" si="8"/>
        <v>5.351418439716312</v>
      </c>
      <c r="AL13">
        <f t="shared" ca="1" si="9"/>
        <v>6.9028368794326243</v>
      </c>
      <c r="AM13">
        <f t="shared" ca="1" si="10"/>
        <v>8.4542553191489365</v>
      </c>
      <c r="AN13">
        <f t="shared" ca="1" si="11"/>
        <v>4.5999999999999996</v>
      </c>
      <c r="AO13">
        <f t="shared" ca="1" si="12"/>
        <v>5</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
      <c r="B14" s="67">
        <f ca="1">IF(Planned!$C$6&lt;&gt;"Overall",COUNTBLANK(OFFSET(Planned!E25,0,0,1,Num_Modalities)),IF(COUNTBLANK(Planned!O25)=1,Num_Modalities,0))</f>
        <v>1</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3.8</v>
      </c>
      <c r="AG14">
        <f t="shared" ca="1" si="4"/>
        <v>1.5514184397163122</v>
      </c>
      <c r="AH14" s="67">
        <f t="shared" ca="1" si="5"/>
        <v>0</v>
      </c>
      <c r="AI14" s="67">
        <f t="shared" ca="1" si="6"/>
        <v>0.69716312056737539</v>
      </c>
      <c r="AJ14" s="67">
        <f t="shared" ca="1" si="7"/>
        <v>2.2485815602836876</v>
      </c>
      <c r="AK14">
        <f t="shared" ca="1" si="8"/>
        <v>5.351418439716312</v>
      </c>
      <c r="AL14">
        <f t="shared" ca="1" si="9"/>
        <v>6.9028368794326243</v>
      </c>
      <c r="AM14">
        <f t="shared" ca="1" si="10"/>
        <v>8.4542553191489365</v>
      </c>
      <c r="AN14">
        <f t="shared" ca="1" si="11"/>
        <v>4.5999999999999996</v>
      </c>
      <c r="AO14">
        <f t="shared" ca="1" si="12"/>
        <v>5</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
      <c r="B15" s="67">
        <f ca="1">IF(Planned!$C$6&lt;&gt;"Overall",COUNTBLANK(OFFSET(Planned!E26,0,0,1,Num_Modalities)),IF(COUNTBLANK(Planned!O26)=1,Num_Modalities,0))</f>
        <v>1</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3.8</v>
      </c>
      <c r="AG15">
        <f t="shared" ca="1" si="4"/>
        <v>1.5514184397163122</v>
      </c>
      <c r="AH15" s="67">
        <f t="shared" ca="1" si="5"/>
        <v>0</v>
      </c>
      <c r="AI15" s="67">
        <f t="shared" ca="1" si="6"/>
        <v>0.69716312056737539</v>
      </c>
      <c r="AJ15" s="67">
        <f t="shared" ca="1" si="7"/>
        <v>2.2485815602836876</v>
      </c>
      <c r="AK15">
        <f t="shared" ca="1" si="8"/>
        <v>5.351418439716312</v>
      </c>
      <c r="AL15">
        <f t="shared" ca="1" si="9"/>
        <v>6.9028368794326243</v>
      </c>
      <c r="AM15">
        <f t="shared" ca="1" si="10"/>
        <v>8.4542553191489365</v>
      </c>
      <c r="AN15">
        <f t="shared" ca="1" si="11"/>
        <v>4.5999999999999996</v>
      </c>
      <c r="AO15">
        <f t="shared" ca="1" si="12"/>
        <v>5</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
      <c r="B16" s="67">
        <f ca="1">IF(Planned!$C$6&lt;&gt;"Overall",COUNTBLANK(OFFSET(Planned!E27,0,0,1,Num_Modalities)),IF(COUNTBLANK(Planned!O27)=1,Num_Modalities,0))</f>
        <v>1</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3.8</v>
      </c>
      <c r="AG16">
        <f t="shared" ca="1" si="4"/>
        <v>1.5514184397163122</v>
      </c>
      <c r="AH16" s="67">
        <f t="shared" ca="1" si="5"/>
        <v>0</v>
      </c>
      <c r="AI16" s="67">
        <f t="shared" ca="1" si="6"/>
        <v>0.69716312056737539</v>
      </c>
      <c r="AJ16" s="67">
        <f t="shared" ca="1" si="7"/>
        <v>2.2485815602836876</v>
      </c>
      <c r="AK16">
        <f t="shared" ca="1" si="8"/>
        <v>5.351418439716312</v>
      </c>
      <c r="AL16">
        <f t="shared" ca="1" si="9"/>
        <v>6.9028368794326243</v>
      </c>
      <c r="AM16">
        <f t="shared" ca="1" si="10"/>
        <v>8.4542553191489365</v>
      </c>
      <c r="AN16">
        <f t="shared" ca="1" si="11"/>
        <v>4.5999999999999996</v>
      </c>
      <c r="AO16">
        <f t="shared" ca="1" si="12"/>
        <v>5</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
      <c r="B17" s="67">
        <f ca="1">IF(Planned!$C$6&lt;&gt;"Overall",COUNTBLANK(OFFSET(Planned!E28,0,0,1,Num_Modalities)),IF(COUNTBLANK(Planned!O28)=1,Num_Modalities,0))</f>
        <v>1</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3.8</v>
      </c>
      <c r="AG17">
        <f t="shared" ca="1" si="4"/>
        <v>1.5514184397163122</v>
      </c>
      <c r="AH17" s="67">
        <f t="shared" ca="1" si="5"/>
        <v>0</v>
      </c>
      <c r="AI17" s="67">
        <f t="shared" ca="1" si="6"/>
        <v>0.69716312056737539</v>
      </c>
      <c r="AJ17" s="67">
        <f t="shared" ca="1" si="7"/>
        <v>2.2485815602836876</v>
      </c>
      <c r="AK17">
        <f t="shared" ca="1" si="8"/>
        <v>5.351418439716312</v>
      </c>
      <c r="AL17">
        <f t="shared" ca="1" si="9"/>
        <v>6.9028368794326243</v>
      </c>
      <c r="AM17">
        <f t="shared" ca="1" si="10"/>
        <v>8.4542553191489365</v>
      </c>
      <c r="AN17">
        <f t="shared" ca="1" si="11"/>
        <v>4.5999999999999996</v>
      </c>
      <c r="AO17">
        <f t="shared" ca="1" si="12"/>
        <v>5</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
      <c r="B18" s="67">
        <f ca="1">IF(Planned!$C$6&lt;&gt;"Overall",COUNTBLANK(OFFSET(Planned!E29,0,0,1,Num_Modalities)),IF(COUNTBLANK(Planned!O29)=1,Num_Modalities,0))</f>
        <v>1</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3.8</v>
      </c>
      <c r="AG18">
        <f t="shared" ca="1" si="4"/>
        <v>1.5514184397163122</v>
      </c>
      <c r="AH18" s="67">
        <f t="shared" ca="1" si="5"/>
        <v>0</v>
      </c>
      <c r="AI18" s="67">
        <f t="shared" ca="1" si="6"/>
        <v>0.69716312056737539</v>
      </c>
      <c r="AJ18" s="67">
        <f t="shared" ca="1" si="7"/>
        <v>2.2485815602836876</v>
      </c>
      <c r="AK18">
        <f t="shared" ca="1" si="8"/>
        <v>5.351418439716312</v>
      </c>
      <c r="AL18">
        <f t="shared" ca="1" si="9"/>
        <v>6.9028368794326243</v>
      </c>
      <c r="AM18">
        <f t="shared" ca="1" si="10"/>
        <v>8.4542553191489365</v>
      </c>
      <c r="AN18">
        <f t="shared" ca="1" si="11"/>
        <v>4.5999999999999996</v>
      </c>
      <c r="AO18">
        <f t="shared" ca="1" si="12"/>
        <v>5</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
      <c r="B19" s="67">
        <f ca="1">IF(Planned!$C$6&lt;&gt;"Overall",COUNTBLANK(OFFSET(Planned!E30,0,0,1,Num_Modalities)),IF(COUNTBLANK(Planned!O30)=1,Num_Modalities,0))</f>
        <v>1</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3.8</v>
      </c>
      <c r="AG19">
        <f t="shared" ca="1" si="4"/>
        <v>1.5514184397163122</v>
      </c>
      <c r="AH19" s="67">
        <f t="shared" ca="1" si="5"/>
        <v>0</v>
      </c>
      <c r="AI19" s="67">
        <f t="shared" ca="1" si="6"/>
        <v>0.69716312056737539</v>
      </c>
      <c r="AJ19" s="67">
        <f t="shared" ca="1" si="7"/>
        <v>2.2485815602836876</v>
      </c>
      <c r="AK19">
        <f t="shared" ca="1" si="8"/>
        <v>5.351418439716312</v>
      </c>
      <c r="AL19">
        <f t="shared" ca="1" si="9"/>
        <v>6.9028368794326243</v>
      </c>
      <c r="AM19">
        <f t="shared" ca="1" si="10"/>
        <v>8.4542553191489365</v>
      </c>
      <c r="AN19">
        <f t="shared" ca="1" si="11"/>
        <v>4.5999999999999996</v>
      </c>
      <c r="AO19">
        <f t="shared" ca="1" si="12"/>
        <v>5</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
      <c r="B20" s="67">
        <f ca="1">IF(Planned!$C$6&lt;&gt;"Overall",COUNTBLANK(OFFSET(Planned!E31,0,0,1,Num_Modalities)),IF(COUNTBLANK(Planned!O31)=1,Num_Modalities,0))</f>
        <v>1</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3.8</v>
      </c>
      <c r="AG20">
        <f t="shared" ca="1" si="4"/>
        <v>1.5514184397163122</v>
      </c>
      <c r="AH20" s="67">
        <f t="shared" ca="1" si="5"/>
        <v>0</v>
      </c>
      <c r="AI20" s="67">
        <f t="shared" ca="1" si="6"/>
        <v>0.69716312056737539</v>
      </c>
      <c r="AJ20" s="67">
        <f t="shared" ca="1" si="7"/>
        <v>2.2485815602836876</v>
      </c>
      <c r="AK20">
        <f t="shared" ca="1" si="8"/>
        <v>5.351418439716312</v>
      </c>
      <c r="AL20">
        <f t="shared" ca="1" si="9"/>
        <v>6.9028368794326243</v>
      </c>
      <c r="AM20">
        <f t="shared" ca="1" si="10"/>
        <v>8.4542553191489365</v>
      </c>
      <c r="AN20">
        <f t="shared" ca="1" si="11"/>
        <v>4.5999999999999996</v>
      </c>
      <c r="AO20">
        <f t="shared" ca="1" si="12"/>
        <v>5</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
      <c r="B21" s="67">
        <f ca="1">IF(Planned!$C$6&lt;&gt;"Overall",COUNTBLANK(OFFSET(Planned!E32,0,0,1,Num_Modalities)),IF(COUNTBLANK(Planned!O32)=1,Num_Modalities,0))</f>
        <v>1</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3.8</v>
      </c>
      <c r="AG21">
        <f t="shared" ca="1" si="4"/>
        <v>1.5514184397163122</v>
      </c>
      <c r="AH21" s="67">
        <f t="shared" ca="1" si="5"/>
        <v>0</v>
      </c>
      <c r="AI21" s="67">
        <f t="shared" ca="1" si="6"/>
        <v>0.69716312056737539</v>
      </c>
      <c r="AJ21" s="67">
        <f t="shared" ca="1" si="7"/>
        <v>2.2485815602836876</v>
      </c>
      <c r="AK21">
        <f t="shared" ca="1" si="8"/>
        <v>5.351418439716312</v>
      </c>
      <c r="AL21">
        <f t="shared" ca="1" si="9"/>
        <v>6.9028368794326243</v>
      </c>
      <c r="AM21">
        <f t="shared" ca="1" si="10"/>
        <v>8.4542553191489365</v>
      </c>
      <c r="AN21">
        <f t="shared" ca="1" si="11"/>
        <v>4.5999999999999996</v>
      </c>
      <c r="AO21">
        <f t="shared" ca="1" si="12"/>
        <v>5</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
      <c r="B22" s="67">
        <f ca="1">IF(Planned!$C$6&lt;&gt;"Overall",COUNTBLANK(OFFSET(Planned!E33,0,0,1,Num_Modalities)),IF(COUNTBLANK(Planned!O33)=1,Num_Modalities,0))</f>
        <v>1</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3.8</v>
      </c>
      <c r="AG22">
        <f t="shared" ca="1" si="4"/>
        <v>1.5514184397163122</v>
      </c>
      <c r="AH22" s="67">
        <f t="shared" ca="1" si="5"/>
        <v>0</v>
      </c>
      <c r="AI22" s="67">
        <f t="shared" ca="1" si="6"/>
        <v>0.69716312056737539</v>
      </c>
      <c r="AJ22" s="67">
        <f t="shared" ca="1" si="7"/>
        <v>2.2485815602836876</v>
      </c>
      <c r="AK22">
        <f t="shared" ca="1" si="8"/>
        <v>5.351418439716312</v>
      </c>
      <c r="AL22">
        <f t="shared" ca="1" si="9"/>
        <v>6.9028368794326243</v>
      </c>
      <c r="AM22">
        <f t="shared" ca="1" si="10"/>
        <v>8.4542553191489365</v>
      </c>
      <c r="AN22">
        <f t="shared" ca="1" si="11"/>
        <v>4.5999999999999996</v>
      </c>
      <c r="AO22">
        <f t="shared" ca="1" si="12"/>
        <v>5</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
      <c r="B23" s="67">
        <f ca="1">IF(Planned!$C$6&lt;&gt;"Overall",COUNTBLANK(OFFSET(Planned!E34,0,0,1,Num_Modalities)),IF(COUNTBLANK(Planned!O34)=1,Num_Modalities,0))</f>
        <v>1</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3.8</v>
      </c>
      <c r="W23" s="49"/>
      <c r="AB23">
        <f t="shared" si="0"/>
        <v>21</v>
      </c>
      <c r="AC23" s="36">
        <f>IF(Planned!$C$8=0,'Planned background (hide)'!F23,'Planned background (hide)'!G23)</f>
        <v>21</v>
      </c>
      <c r="AD23" s="36">
        <f t="shared" si="2"/>
        <v>0</v>
      </c>
      <c r="AE23" s="5">
        <f t="shared" ca="1" si="1"/>
        <v>0</v>
      </c>
      <c r="AF23" s="5">
        <f t="shared" ca="1" si="3"/>
        <v>3.8</v>
      </c>
      <c r="AG23">
        <f t="shared" ca="1" si="4"/>
        <v>1.5514184397163122</v>
      </c>
      <c r="AH23" s="67">
        <f t="shared" ca="1" si="5"/>
        <v>0</v>
      </c>
      <c r="AI23" s="67">
        <f t="shared" ca="1" si="6"/>
        <v>0.69716312056737539</v>
      </c>
      <c r="AJ23" s="67">
        <f t="shared" ca="1" si="7"/>
        <v>2.2485815602836876</v>
      </c>
      <c r="AK23">
        <f t="shared" ca="1" si="8"/>
        <v>5.351418439716312</v>
      </c>
      <c r="AL23">
        <f t="shared" ca="1" si="9"/>
        <v>6.9028368794326243</v>
      </c>
      <c r="AM23">
        <f t="shared" ca="1" si="10"/>
        <v>8.4542553191489365</v>
      </c>
      <c r="AN23">
        <f t="shared" ca="1" si="11"/>
        <v>4.5999999999999996</v>
      </c>
      <c r="AO23">
        <f t="shared" ca="1" si="12"/>
        <v>5</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
      <c r="B24" s="67">
        <f ca="1">IF(Planned!$C$6&lt;&gt;"Overall",COUNTBLANK(OFFSET(Planned!E35,0,0,1,Num_Modalities)),IF(COUNTBLANK(Planned!O35)=1,Num_Modalities,0))</f>
        <v>1</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1.75</v>
      </c>
      <c r="W24" s="49"/>
      <c r="AB24">
        <f t="shared" si="0"/>
        <v>22</v>
      </c>
      <c r="AC24" s="36">
        <f>IF(Planned!$C$8=0,'Planned background (hide)'!F24,'Planned background (hide)'!G24)</f>
        <v>22</v>
      </c>
      <c r="AD24" s="36">
        <f t="shared" si="2"/>
        <v>0</v>
      </c>
      <c r="AE24" s="5">
        <f t="shared" ca="1" si="1"/>
        <v>0</v>
      </c>
      <c r="AF24" s="5">
        <f t="shared" ca="1" si="3"/>
        <v>3.8</v>
      </c>
      <c r="AG24">
        <f t="shared" ca="1" si="4"/>
        <v>1.5514184397163122</v>
      </c>
      <c r="AH24" s="67">
        <f t="shared" ca="1" si="5"/>
        <v>0</v>
      </c>
      <c r="AI24" s="67">
        <f t="shared" ca="1" si="6"/>
        <v>0.69716312056737539</v>
      </c>
      <c r="AJ24" s="67">
        <f t="shared" ca="1" si="7"/>
        <v>2.2485815602836876</v>
      </c>
      <c r="AK24">
        <f t="shared" ca="1" si="8"/>
        <v>5.351418439716312</v>
      </c>
      <c r="AL24">
        <f t="shared" ca="1" si="9"/>
        <v>6.9028368794326243</v>
      </c>
      <c r="AM24">
        <f t="shared" ca="1" si="10"/>
        <v>8.4542553191489365</v>
      </c>
      <c r="AN24">
        <f t="shared" ca="1" si="11"/>
        <v>4.5999999999999996</v>
      </c>
      <c r="AO24">
        <f t="shared" ca="1" si="12"/>
        <v>5</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
      <c r="B25" s="67">
        <f ca="1">IF(Planned!$C$6&lt;&gt;"Overall",COUNTBLANK(OFFSET(Planned!E36,0,0,1,Num_Modalities)),IF(COUNTBLANK(Planned!O36)=1,Num_Modalities,0))</f>
        <v>1</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1.5514184397163122</v>
      </c>
      <c r="AB25">
        <f t="shared" si="0"/>
        <v>23</v>
      </c>
      <c r="AC25" s="36">
        <f>IF(Planned!$C$8=0,'Planned background (hide)'!F25,'Planned background (hide)'!G25)</f>
        <v>23</v>
      </c>
      <c r="AD25" s="36">
        <f t="shared" si="2"/>
        <v>0</v>
      </c>
      <c r="AE25" s="5">
        <f t="shared" ca="1" si="1"/>
        <v>0</v>
      </c>
      <c r="AF25" s="5">
        <f t="shared" ca="1" si="3"/>
        <v>3.8</v>
      </c>
      <c r="AG25">
        <f t="shared" ca="1" si="4"/>
        <v>1.5514184397163122</v>
      </c>
      <c r="AH25" s="67">
        <f t="shared" ca="1" si="5"/>
        <v>0</v>
      </c>
      <c r="AI25" s="67">
        <f t="shared" ca="1" si="6"/>
        <v>0.69716312056737539</v>
      </c>
      <c r="AJ25" s="67">
        <f t="shared" ca="1" si="7"/>
        <v>2.2485815602836876</v>
      </c>
      <c r="AK25">
        <f t="shared" ca="1" si="8"/>
        <v>5.351418439716312</v>
      </c>
      <c r="AL25">
        <f t="shared" ca="1" si="9"/>
        <v>6.9028368794326243</v>
      </c>
      <c r="AM25">
        <f t="shared" ca="1" si="10"/>
        <v>8.4542553191489365</v>
      </c>
      <c r="AN25">
        <f t="shared" ca="1" si="11"/>
        <v>4.5999999999999996</v>
      </c>
      <c r="AO25">
        <f t="shared" ca="1" si="12"/>
        <v>5</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
      <c r="B26" s="67">
        <f ca="1">IF(Planned!$C$6&lt;&gt;"Overall",COUNTBLANK(OFFSET(Planned!E37,0,0,1,Num_Modalities)),IF(COUNTBLANK(Planned!O37)=1,Num_Modalities,0))</f>
        <v>1</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4.5999999999999996</v>
      </c>
      <c r="AB26">
        <f t="shared" si="0"/>
        <v>24</v>
      </c>
      <c r="AC26" s="36">
        <f>IF(Planned!$C$8=0,'Planned background (hide)'!F26,'Planned background (hide)'!G26)</f>
        <v>24</v>
      </c>
      <c r="AD26" s="36">
        <f t="shared" si="2"/>
        <v>0</v>
      </c>
      <c r="AE26" s="5">
        <f t="shared" ca="1" si="1"/>
        <v>0</v>
      </c>
      <c r="AF26" s="5">
        <f t="shared" ca="1" si="3"/>
        <v>3.8</v>
      </c>
      <c r="AG26">
        <f t="shared" ca="1" si="4"/>
        <v>1.5514184397163122</v>
      </c>
      <c r="AH26" s="67">
        <f t="shared" ca="1" si="5"/>
        <v>0</v>
      </c>
      <c r="AI26" s="67">
        <f t="shared" ca="1" si="6"/>
        <v>0.69716312056737539</v>
      </c>
      <c r="AJ26" s="67">
        <f t="shared" ca="1" si="7"/>
        <v>2.2485815602836876</v>
      </c>
      <c r="AK26">
        <f t="shared" ca="1" si="8"/>
        <v>5.351418439716312</v>
      </c>
      <c r="AL26">
        <f t="shared" ca="1" si="9"/>
        <v>6.9028368794326243</v>
      </c>
      <c r="AM26">
        <f t="shared" ca="1" si="10"/>
        <v>8.4542553191489365</v>
      </c>
      <c r="AN26">
        <f t="shared" ca="1" si="11"/>
        <v>4.5999999999999996</v>
      </c>
      <c r="AO26">
        <f t="shared" ca="1" si="12"/>
        <v>5</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
      <c r="B27" s="67">
        <f ca="1">IF(Planned!$C$6&lt;&gt;"Overall",COUNTBLANK(OFFSET(Planned!E38,0,0,1,Num_Modalities)),IF(COUNTBLANK(Planned!O38)=1,Num_Modalities,0))</f>
        <v>1</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5</v>
      </c>
      <c r="AB27">
        <f t="shared" si="0"/>
        <v>25</v>
      </c>
      <c r="AC27" s="36">
        <f>IF(Planned!$C$8=0,'Planned background (hide)'!F27,'Planned background (hide)'!G27)</f>
        <v>25</v>
      </c>
      <c r="AD27" s="36">
        <f t="shared" si="2"/>
        <v>0</v>
      </c>
      <c r="AE27" s="5">
        <f t="shared" ca="1" si="1"/>
        <v>0</v>
      </c>
      <c r="AF27" s="5">
        <f t="shared" ca="1" si="3"/>
        <v>3.8</v>
      </c>
      <c r="AG27">
        <f t="shared" ca="1" si="4"/>
        <v>1.5514184397163122</v>
      </c>
      <c r="AH27" s="67">
        <f t="shared" ca="1" si="5"/>
        <v>0</v>
      </c>
      <c r="AI27" s="67">
        <f t="shared" ca="1" si="6"/>
        <v>0.69716312056737539</v>
      </c>
      <c r="AJ27" s="67">
        <f t="shared" ca="1" si="7"/>
        <v>2.2485815602836876</v>
      </c>
      <c r="AK27">
        <f t="shared" ca="1" si="8"/>
        <v>5.351418439716312</v>
      </c>
      <c r="AL27">
        <f t="shared" ca="1" si="9"/>
        <v>6.9028368794326243</v>
      </c>
      <c r="AM27">
        <f t="shared" ca="1" si="10"/>
        <v>8.4542553191489365</v>
      </c>
      <c r="AN27">
        <f t="shared" ca="1" si="11"/>
        <v>4.5999999999999996</v>
      </c>
      <c r="AO27">
        <f t="shared" ca="1" si="12"/>
        <v>5</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
      <c r="B28" s="67">
        <f ca="1">IF(Planned!$C$6&lt;&gt;"Overall",COUNTBLANK(OFFSET(Planned!E39,0,0,1,Num_Modalities)),IF(COUNTBLANK(Planned!O39)=1,Num_Modalities,0))</f>
        <v>1</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3.8</v>
      </c>
      <c r="AG28">
        <f t="shared" ca="1" si="4"/>
        <v>1.5514184397163122</v>
      </c>
      <c r="AH28" s="67">
        <f t="shared" ca="1" si="5"/>
        <v>0</v>
      </c>
      <c r="AI28" s="67">
        <f t="shared" ca="1" si="6"/>
        <v>0.69716312056737539</v>
      </c>
      <c r="AJ28" s="67">
        <f t="shared" ca="1" si="7"/>
        <v>2.2485815602836876</v>
      </c>
      <c r="AK28">
        <f t="shared" ca="1" si="8"/>
        <v>5.351418439716312</v>
      </c>
      <c r="AL28">
        <f t="shared" ca="1" si="9"/>
        <v>6.9028368794326243</v>
      </c>
      <c r="AM28">
        <f t="shared" ca="1" si="10"/>
        <v>8.4542553191489365</v>
      </c>
      <c r="AN28">
        <f t="shared" ca="1" si="11"/>
        <v>4.5999999999999996</v>
      </c>
      <c r="AO28">
        <f t="shared" ca="1" si="12"/>
        <v>5</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
      <c r="B29" s="67">
        <f ca="1">IF(Planned!$C$6&lt;&gt;"Overall",COUNTBLANK(OFFSET(Planned!E40,0,0,1,Num_Modalities)),IF(COUNTBLANK(Planned!O40)=1,Num_Modalities,0))</f>
        <v>1</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3.8</v>
      </c>
      <c r="AG29">
        <f t="shared" ca="1" si="4"/>
        <v>1.5514184397163122</v>
      </c>
      <c r="AH29" s="67">
        <f t="shared" ca="1" si="5"/>
        <v>0</v>
      </c>
      <c r="AI29" s="67">
        <f t="shared" ca="1" si="6"/>
        <v>0.69716312056737539</v>
      </c>
      <c r="AJ29" s="67">
        <f t="shared" ca="1" si="7"/>
        <v>2.2485815602836876</v>
      </c>
      <c r="AK29">
        <f t="shared" ca="1" si="8"/>
        <v>5.351418439716312</v>
      </c>
      <c r="AL29">
        <f t="shared" ca="1" si="9"/>
        <v>6.9028368794326243</v>
      </c>
      <c r="AM29">
        <f t="shared" ca="1" si="10"/>
        <v>8.4542553191489365</v>
      </c>
      <c r="AN29">
        <f t="shared" ca="1" si="11"/>
        <v>4.5999999999999996</v>
      </c>
      <c r="AO29">
        <f t="shared" ca="1" si="12"/>
        <v>5</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
      <c r="B30" s="67">
        <f ca="1">IF(Planned!$C$6&lt;&gt;"Overall",COUNTBLANK(OFFSET(Planned!E41,0,0,1,Num_Modalities)),IF(COUNTBLANK(Planned!O41)=1,Num_Modalities,0))</f>
        <v>1</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3.8</v>
      </c>
      <c r="AG30">
        <f t="shared" ca="1" si="4"/>
        <v>1.5514184397163122</v>
      </c>
      <c r="AH30" s="67">
        <f t="shared" ca="1" si="5"/>
        <v>0</v>
      </c>
      <c r="AI30" s="67">
        <f t="shared" ca="1" si="6"/>
        <v>0.69716312056737539</v>
      </c>
      <c r="AJ30" s="67">
        <f t="shared" ca="1" si="7"/>
        <v>2.2485815602836876</v>
      </c>
      <c r="AK30">
        <f t="shared" ca="1" si="8"/>
        <v>5.351418439716312</v>
      </c>
      <c r="AL30">
        <f t="shared" ca="1" si="9"/>
        <v>6.9028368794326243</v>
      </c>
      <c r="AM30">
        <f t="shared" ca="1" si="10"/>
        <v>8.4542553191489365</v>
      </c>
      <c r="AN30">
        <f t="shared" ca="1" si="11"/>
        <v>4.5999999999999996</v>
      </c>
      <c r="AO30">
        <f t="shared" ca="1" si="12"/>
        <v>5</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
      <c r="B31" s="67">
        <f ca="1">IF(Planned!$C$6&lt;&gt;"Overall",COUNTBLANK(OFFSET(Planned!E42,0,0,1,Num_Modalities)),IF(COUNTBLANK(Planned!O42)=1,Num_Modalities,0))</f>
        <v>1</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3.8</v>
      </c>
      <c r="AG31">
        <f t="shared" ca="1" si="4"/>
        <v>1.5514184397163122</v>
      </c>
      <c r="AH31" s="67">
        <f t="shared" ca="1" si="5"/>
        <v>0</v>
      </c>
      <c r="AI31" s="67">
        <f t="shared" ca="1" si="6"/>
        <v>0.69716312056737539</v>
      </c>
      <c r="AJ31" s="67">
        <f t="shared" ca="1" si="7"/>
        <v>2.2485815602836876</v>
      </c>
      <c r="AK31">
        <f t="shared" ca="1" si="8"/>
        <v>5.351418439716312</v>
      </c>
      <c r="AL31">
        <f t="shared" ca="1" si="9"/>
        <v>6.9028368794326243</v>
      </c>
      <c r="AM31">
        <f t="shared" ca="1" si="10"/>
        <v>8.4542553191489365</v>
      </c>
      <c r="AN31">
        <f t="shared" ca="1" si="11"/>
        <v>4.5999999999999996</v>
      </c>
      <c r="AO31">
        <f t="shared" ca="1" si="12"/>
        <v>5</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
      <c r="B32" s="67">
        <f ca="1">IF(Planned!$C$6&lt;&gt;"Overall",COUNTBLANK(OFFSET(Planned!E43,0,0,1,Num_Modalities)),IF(COUNTBLANK(Planned!O43)=1,Num_Modalities,0))</f>
        <v>1</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3.8</v>
      </c>
      <c r="AG32">
        <f t="shared" ca="1" si="4"/>
        <v>1.5514184397163122</v>
      </c>
      <c r="AH32" s="67">
        <f t="shared" ca="1" si="5"/>
        <v>0</v>
      </c>
      <c r="AI32" s="67">
        <f t="shared" ca="1" si="6"/>
        <v>0.69716312056737539</v>
      </c>
      <c r="AJ32" s="67">
        <f t="shared" ca="1" si="7"/>
        <v>2.2485815602836876</v>
      </c>
      <c r="AK32">
        <f t="shared" ca="1" si="8"/>
        <v>5.351418439716312</v>
      </c>
      <c r="AL32">
        <f t="shared" ca="1" si="9"/>
        <v>6.9028368794326243</v>
      </c>
      <c r="AM32">
        <f t="shared" ca="1" si="10"/>
        <v>8.4542553191489365</v>
      </c>
      <c r="AN32">
        <f t="shared" ca="1" si="11"/>
        <v>4.5999999999999996</v>
      </c>
      <c r="AO32">
        <f t="shared" ca="1" si="12"/>
        <v>5</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
      <c r="B33" s="67">
        <f ca="1">IF(Planned!$C$6&lt;&gt;"Overall",COUNTBLANK(OFFSET(Planned!E44,0,0,1,Num_Modalities)),IF(COUNTBLANK(Planned!O44)=1,Num_Modalities,0))</f>
        <v>1</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3.8</v>
      </c>
      <c r="AG33">
        <f t="shared" ca="1" si="4"/>
        <v>1.5514184397163122</v>
      </c>
      <c r="AH33" s="67">
        <f t="shared" ca="1" si="5"/>
        <v>0</v>
      </c>
      <c r="AI33" s="67">
        <f t="shared" ca="1" si="6"/>
        <v>0.69716312056737539</v>
      </c>
      <c r="AJ33" s="67">
        <f t="shared" ca="1" si="7"/>
        <v>2.2485815602836876</v>
      </c>
      <c r="AK33">
        <f t="shared" ca="1" si="8"/>
        <v>5.351418439716312</v>
      </c>
      <c r="AL33">
        <f t="shared" ca="1" si="9"/>
        <v>6.9028368794326243</v>
      </c>
      <c r="AM33">
        <f t="shared" ca="1" si="10"/>
        <v>8.4542553191489365</v>
      </c>
      <c r="AN33">
        <f t="shared" ca="1" si="11"/>
        <v>4.5999999999999996</v>
      </c>
      <c r="AO33">
        <f t="shared" ca="1" si="12"/>
        <v>5</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
      <c r="B34" s="67">
        <f ca="1">IF(Planned!$C$6&lt;&gt;"Overall",COUNTBLANK(OFFSET(Planned!E45,0,0,1,Num_Modalities)),IF(COUNTBLANK(Planned!O45)=1,Num_Modalities,0))</f>
        <v>1</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3.8</v>
      </c>
      <c r="AG34">
        <f t="shared" ca="1" si="4"/>
        <v>1.5514184397163122</v>
      </c>
      <c r="AH34" s="67">
        <f t="shared" ca="1" si="5"/>
        <v>0</v>
      </c>
      <c r="AI34" s="67">
        <f t="shared" ca="1" si="6"/>
        <v>0.69716312056737539</v>
      </c>
      <c r="AJ34" s="67">
        <f t="shared" ca="1" si="7"/>
        <v>2.2485815602836876</v>
      </c>
      <c r="AK34">
        <f t="shared" ca="1" si="8"/>
        <v>5.351418439716312</v>
      </c>
      <c r="AL34">
        <f t="shared" ca="1" si="9"/>
        <v>6.9028368794326243</v>
      </c>
      <c r="AM34">
        <f t="shared" ca="1" si="10"/>
        <v>8.4542553191489365</v>
      </c>
      <c r="AN34">
        <f t="shared" ca="1" si="11"/>
        <v>4.5999999999999996</v>
      </c>
      <c r="AO34">
        <f t="shared" ca="1" si="12"/>
        <v>5</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
      <c r="B35" s="67">
        <f ca="1">IF(Planned!$C$6&lt;&gt;"Overall",COUNTBLANK(OFFSET(Planned!E46,0,0,1,Num_Modalities)),IF(COUNTBLANK(Planned!O46)=1,Num_Modalities,0))</f>
        <v>1</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3.8</v>
      </c>
      <c r="AG35">
        <f t="shared" ca="1" si="4"/>
        <v>1.5514184397163122</v>
      </c>
      <c r="AH35" s="67">
        <f t="shared" ca="1" si="5"/>
        <v>0</v>
      </c>
      <c r="AI35" s="67">
        <f t="shared" ca="1" si="6"/>
        <v>0.69716312056737539</v>
      </c>
      <c r="AJ35" s="67">
        <f t="shared" ca="1" si="7"/>
        <v>2.2485815602836876</v>
      </c>
      <c r="AK35">
        <f t="shared" ca="1" si="8"/>
        <v>5.351418439716312</v>
      </c>
      <c r="AL35">
        <f t="shared" ca="1" si="9"/>
        <v>6.9028368794326243</v>
      </c>
      <c r="AM35">
        <f t="shared" ca="1" si="10"/>
        <v>8.4542553191489365</v>
      </c>
      <c r="AN35">
        <f t="shared" ca="1" si="11"/>
        <v>4.5999999999999996</v>
      </c>
      <c r="AO35">
        <f t="shared" ca="1" si="12"/>
        <v>5</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
      <c r="B36" s="67">
        <f ca="1">IF(Planned!$C$6&lt;&gt;"Overall",COUNTBLANK(OFFSET(Planned!E47,0,0,1,Num_Modalities)),IF(COUNTBLANK(Planned!O47)=1,Num_Modalities,0))</f>
        <v>1</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3.8</v>
      </c>
      <c r="AG36">
        <f t="shared" ca="1" si="4"/>
        <v>1.5514184397163122</v>
      </c>
      <c r="AH36" s="67">
        <f t="shared" ca="1" si="5"/>
        <v>0</v>
      </c>
      <c r="AI36" s="67">
        <f t="shared" ca="1" si="6"/>
        <v>0.69716312056737539</v>
      </c>
      <c r="AJ36" s="67">
        <f t="shared" ca="1" si="7"/>
        <v>2.2485815602836876</v>
      </c>
      <c r="AK36">
        <f t="shared" ca="1" si="8"/>
        <v>5.351418439716312</v>
      </c>
      <c r="AL36">
        <f t="shared" ca="1" si="9"/>
        <v>6.9028368794326243</v>
      </c>
      <c r="AM36">
        <f t="shared" ca="1" si="10"/>
        <v>8.4542553191489365</v>
      </c>
      <c r="AN36">
        <f t="shared" ca="1" si="11"/>
        <v>4.5999999999999996</v>
      </c>
      <c r="AO36">
        <f t="shared" ca="1" si="12"/>
        <v>5</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
      <c r="B37" s="67">
        <f ca="1">IF(Planned!$C$6&lt;&gt;"Overall",COUNTBLANK(OFFSET(Planned!E48,0,0,1,Num_Modalities)),IF(COUNTBLANK(Planned!O48)=1,Num_Modalities,0))</f>
        <v>1</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3.8</v>
      </c>
      <c r="AG37">
        <f t="shared" ca="1" si="4"/>
        <v>1.5514184397163122</v>
      </c>
      <c r="AH37" s="67">
        <f t="shared" ca="1" si="5"/>
        <v>0</v>
      </c>
      <c r="AI37" s="67">
        <f t="shared" ca="1" si="6"/>
        <v>0.69716312056737539</v>
      </c>
      <c r="AJ37" s="67">
        <f t="shared" ca="1" si="7"/>
        <v>2.2485815602836876</v>
      </c>
      <c r="AK37">
        <f t="shared" ca="1" si="8"/>
        <v>5.351418439716312</v>
      </c>
      <c r="AL37">
        <f t="shared" ca="1" si="9"/>
        <v>6.9028368794326243</v>
      </c>
      <c r="AM37">
        <f t="shared" ca="1" si="10"/>
        <v>8.4542553191489365</v>
      </c>
      <c r="AN37">
        <f t="shared" ca="1" si="11"/>
        <v>4.5999999999999996</v>
      </c>
      <c r="AO37">
        <f t="shared" ca="1" si="12"/>
        <v>5</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
      <c r="B38" s="67">
        <f ca="1">IF(Planned!$C$6&lt;&gt;"Overall",COUNTBLANK(OFFSET(Planned!E49,0,0,1,Num_Modalities)),IF(COUNTBLANK(Planned!O49)=1,Num_Modalities,0))</f>
        <v>1</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3.8</v>
      </c>
      <c r="AG38">
        <f t="shared" ca="1" si="4"/>
        <v>1.5514184397163122</v>
      </c>
      <c r="AH38" s="67">
        <f t="shared" ca="1" si="5"/>
        <v>0</v>
      </c>
      <c r="AI38" s="67">
        <f t="shared" ca="1" si="6"/>
        <v>0.69716312056737539</v>
      </c>
      <c r="AJ38" s="67">
        <f t="shared" ca="1" si="7"/>
        <v>2.2485815602836876</v>
      </c>
      <c r="AK38">
        <f t="shared" ca="1" si="8"/>
        <v>5.351418439716312</v>
      </c>
      <c r="AL38">
        <f t="shared" ca="1" si="9"/>
        <v>6.9028368794326243</v>
      </c>
      <c r="AM38">
        <f t="shared" ca="1" si="10"/>
        <v>8.4542553191489365</v>
      </c>
      <c r="AN38">
        <f t="shared" ca="1" si="11"/>
        <v>4.5999999999999996</v>
      </c>
      <c r="AO38">
        <f t="shared" ca="1" si="12"/>
        <v>5</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
      <c r="B39" s="67">
        <f ca="1">IF(Planned!$C$6&lt;&gt;"Overall",COUNTBLANK(OFFSET(Planned!E50,0,0,1,Num_Modalities)),IF(COUNTBLANK(Planned!O50)=1,Num_Modalities,0))</f>
        <v>1</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3.8</v>
      </c>
      <c r="AG39">
        <f t="shared" ca="1" si="4"/>
        <v>1.5514184397163122</v>
      </c>
      <c r="AH39" s="67">
        <f t="shared" ca="1" si="5"/>
        <v>0</v>
      </c>
      <c r="AI39" s="67">
        <f t="shared" ca="1" si="6"/>
        <v>0.69716312056737539</v>
      </c>
      <c r="AJ39" s="67">
        <f t="shared" ca="1" si="7"/>
        <v>2.2485815602836876</v>
      </c>
      <c r="AK39">
        <f t="shared" ca="1" si="8"/>
        <v>5.351418439716312</v>
      </c>
      <c r="AL39">
        <f t="shared" ca="1" si="9"/>
        <v>6.9028368794326243</v>
      </c>
      <c r="AM39">
        <f t="shared" ca="1" si="10"/>
        <v>8.4542553191489365</v>
      </c>
      <c r="AN39">
        <f t="shared" ca="1" si="11"/>
        <v>4.5999999999999996</v>
      </c>
      <c r="AO39">
        <f t="shared" ca="1" si="12"/>
        <v>5</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
      <c r="B40" s="67">
        <f ca="1">IF(Planned!$C$6&lt;&gt;"Overall",COUNTBLANK(OFFSET(Planned!E51,0,0,1,Num_Modalities)),IF(COUNTBLANK(Planned!O51)=1,Num_Modalities,0))</f>
        <v>1</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3.8</v>
      </c>
      <c r="AG40">
        <f t="shared" ca="1" si="4"/>
        <v>1.5514184397163122</v>
      </c>
      <c r="AH40" s="67">
        <f t="shared" ca="1" si="5"/>
        <v>0</v>
      </c>
      <c r="AI40" s="67">
        <f t="shared" ca="1" si="6"/>
        <v>0.69716312056737539</v>
      </c>
      <c r="AJ40" s="67">
        <f t="shared" ca="1" si="7"/>
        <v>2.2485815602836876</v>
      </c>
      <c r="AK40">
        <f t="shared" ca="1" si="8"/>
        <v>5.351418439716312</v>
      </c>
      <c r="AL40">
        <f t="shared" ca="1" si="9"/>
        <v>6.9028368794326243</v>
      </c>
      <c r="AM40">
        <f t="shared" ca="1" si="10"/>
        <v>8.4542553191489365</v>
      </c>
      <c r="AN40">
        <f t="shared" ca="1" si="11"/>
        <v>4.5999999999999996</v>
      </c>
      <c r="AO40">
        <f t="shared" ca="1" si="12"/>
        <v>5</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
      <c r="B41" s="67">
        <f ca="1">IF(Planned!$C$6&lt;&gt;"Overall",COUNTBLANK(OFFSET(Planned!E52,0,0,1,Num_Modalities)),IF(COUNTBLANK(Planned!O52)=1,Num_Modalities,0))</f>
        <v>1</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3.8</v>
      </c>
      <c r="AG41">
        <f t="shared" ca="1" si="4"/>
        <v>1.5514184397163122</v>
      </c>
      <c r="AH41" s="67">
        <f t="shared" ca="1" si="5"/>
        <v>0</v>
      </c>
      <c r="AI41" s="67">
        <f t="shared" ca="1" si="6"/>
        <v>0.69716312056737539</v>
      </c>
      <c r="AJ41" s="67">
        <f t="shared" ca="1" si="7"/>
        <v>2.2485815602836876</v>
      </c>
      <c r="AK41">
        <f t="shared" ca="1" si="8"/>
        <v>5.351418439716312</v>
      </c>
      <c r="AL41">
        <f t="shared" ca="1" si="9"/>
        <v>6.9028368794326243</v>
      </c>
      <c r="AM41">
        <f t="shared" ca="1" si="10"/>
        <v>8.4542553191489365</v>
      </c>
      <c r="AN41">
        <f t="shared" ca="1" si="11"/>
        <v>4.5999999999999996</v>
      </c>
      <c r="AO41">
        <f t="shared" ca="1" si="12"/>
        <v>5</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
      <c r="B42" s="67">
        <f ca="1">IF(Planned!$C$6&lt;&gt;"Overall",COUNTBLANK(OFFSET(Planned!E53,0,0,1,Num_Modalities)),IF(COUNTBLANK(Planned!O53)=1,Num_Modalities,0))</f>
        <v>1</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3.8</v>
      </c>
      <c r="AG42">
        <f t="shared" ca="1" si="4"/>
        <v>1.5514184397163122</v>
      </c>
      <c r="AH42" s="67">
        <f t="shared" ca="1" si="5"/>
        <v>0</v>
      </c>
      <c r="AI42" s="67">
        <f t="shared" ca="1" si="6"/>
        <v>0.69716312056737539</v>
      </c>
      <c r="AJ42" s="67">
        <f t="shared" ca="1" si="7"/>
        <v>2.2485815602836876</v>
      </c>
      <c r="AK42">
        <f t="shared" ca="1" si="8"/>
        <v>5.351418439716312</v>
      </c>
      <c r="AL42">
        <f t="shared" ca="1" si="9"/>
        <v>6.9028368794326243</v>
      </c>
      <c r="AM42">
        <f t="shared" ca="1" si="10"/>
        <v>8.4542553191489365</v>
      </c>
      <c r="AN42">
        <f t="shared" ca="1" si="11"/>
        <v>4.5999999999999996</v>
      </c>
      <c r="AO42">
        <f t="shared" ca="1" si="12"/>
        <v>5</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
      <c r="B43" s="67">
        <f ca="1">IF(Planned!$C$6&lt;&gt;"Overall",COUNTBLANK(OFFSET(Planned!E54,0,0,1,Num_Modalities)),IF(COUNTBLANK(Planned!O54)=1,Num_Modalities,0))</f>
        <v>1</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3.8</v>
      </c>
      <c r="AG43">
        <f t="shared" ca="1" si="4"/>
        <v>1.5514184397163122</v>
      </c>
      <c r="AH43" s="67">
        <f t="shared" ca="1" si="5"/>
        <v>0</v>
      </c>
      <c r="AI43" s="67">
        <f t="shared" ca="1" si="6"/>
        <v>0.69716312056737539</v>
      </c>
      <c r="AJ43" s="67">
        <f t="shared" ca="1" si="7"/>
        <v>2.2485815602836876</v>
      </c>
      <c r="AK43">
        <f t="shared" ca="1" si="8"/>
        <v>5.351418439716312</v>
      </c>
      <c r="AL43">
        <f t="shared" ca="1" si="9"/>
        <v>6.9028368794326243</v>
      </c>
      <c r="AM43">
        <f t="shared" ca="1" si="10"/>
        <v>8.4542553191489365</v>
      </c>
      <c r="AN43">
        <f t="shared" ca="1" si="11"/>
        <v>4.5999999999999996</v>
      </c>
      <c r="AO43">
        <f t="shared" ca="1" si="12"/>
        <v>5</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
      <c r="B44" s="67">
        <f ca="1">IF(Planned!$C$6&lt;&gt;"Overall",COUNTBLANK(OFFSET(Planned!E55,0,0,1,Num_Modalities)),IF(COUNTBLANK(Planned!O55)=1,Num_Modalities,0))</f>
        <v>1</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3.8</v>
      </c>
      <c r="AG44">
        <f t="shared" ca="1" si="4"/>
        <v>1.5514184397163122</v>
      </c>
      <c r="AH44" s="67">
        <f t="shared" ca="1" si="5"/>
        <v>0</v>
      </c>
      <c r="AI44" s="67">
        <f t="shared" ca="1" si="6"/>
        <v>0.69716312056737539</v>
      </c>
      <c r="AJ44" s="67">
        <f t="shared" ca="1" si="7"/>
        <v>2.2485815602836876</v>
      </c>
      <c r="AK44">
        <f t="shared" ca="1" si="8"/>
        <v>5.351418439716312</v>
      </c>
      <c r="AL44">
        <f t="shared" ca="1" si="9"/>
        <v>6.9028368794326243</v>
      </c>
      <c r="AM44">
        <f t="shared" ca="1" si="10"/>
        <v>8.4542553191489365</v>
      </c>
      <c r="AN44">
        <f t="shared" ca="1" si="11"/>
        <v>4.5999999999999996</v>
      </c>
      <c r="AO44">
        <f t="shared" ca="1" si="12"/>
        <v>5</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
      <c r="B45" s="67">
        <f ca="1">IF(Planned!$C$6&lt;&gt;"Overall",COUNTBLANK(OFFSET(Planned!E56,0,0,1,Num_Modalities)),IF(COUNTBLANK(Planned!O56)=1,Num_Modalities,0))</f>
        <v>1</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3.8</v>
      </c>
      <c r="AG45">
        <f t="shared" ca="1" si="4"/>
        <v>1.5514184397163122</v>
      </c>
      <c r="AH45" s="67">
        <f t="shared" ca="1" si="5"/>
        <v>0</v>
      </c>
      <c r="AI45" s="67">
        <f t="shared" ca="1" si="6"/>
        <v>0.69716312056737539</v>
      </c>
      <c r="AJ45" s="67">
        <f t="shared" ca="1" si="7"/>
        <v>2.2485815602836876</v>
      </c>
      <c r="AK45">
        <f t="shared" ca="1" si="8"/>
        <v>5.351418439716312</v>
      </c>
      <c r="AL45">
        <f t="shared" ca="1" si="9"/>
        <v>6.9028368794326243</v>
      </c>
      <c r="AM45">
        <f t="shared" ca="1" si="10"/>
        <v>8.4542553191489365</v>
      </c>
      <c r="AN45">
        <f t="shared" ca="1" si="11"/>
        <v>4.5999999999999996</v>
      </c>
      <c r="AO45">
        <f t="shared" ca="1" si="12"/>
        <v>5</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
      <c r="B46" s="67">
        <f ca="1">IF(Planned!$C$6&lt;&gt;"Overall",COUNTBLANK(OFFSET(Planned!E57,0,0,1,Num_Modalities)),IF(COUNTBLANK(Planned!O57)=1,Num_Modalities,0))</f>
        <v>1</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3.8</v>
      </c>
      <c r="AG46">
        <f t="shared" ca="1" si="4"/>
        <v>1.5514184397163122</v>
      </c>
      <c r="AH46" s="67">
        <f t="shared" ca="1" si="5"/>
        <v>0</v>
      </c>
      <c r="AI46" s="67">
        <f t="shared" ca="1" si="6"/>
        <v>0.69716312056737539</v>
      </c>
      <c r="AJ46" s="67">
        <f t="shared" ca="1" si="7"/>
        <v>2.2485815602836876</v>
      </c>
      <c r="AK46">
        <f t="shared" ca="1" si="8"/>
        <v>5.351418439716312</v>
      </c>
      <c r="AL46">
        <f t="shared" ca="1" si="9"/>
        <v>6.9028368794326243</v>
      </c>
      <c r="AM46">
        <f t="shared" ca="1" si="10"/>
        <v>8.4542553191489365</v>
      </c>
      <c r="AN46">
        <f t="shared" ca="1" si="11"/>
        <v>4.5999999999999996</v>
      </c>
      <c r="AO46">
        <f t="shared" ca="1" si="12"/>
        <v>5</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
      <c r="B47" s="67">
        <f ca="1">IF(Planned!$C$6&lt;&gt;"Overall",COUNTBLANK(OFFSET(Planned!E58,0,0,1,Num_Modalities)),IF(COUNTBLANK(Planned!O58)=1,Num_Modalities,0))</f>
        <v>1</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3.8</v>
      </c>
      <c r="AG47">
        <f t="shared" ca="1" si="4"/>
        <v>1.5514184397163122</v>
      </c>
      <c r="AH47" s="67">
        <f t="shared" ca="1" si="5"/>
        <v>0</v>
      </c>
      <c r="AI47" s="67">
        <f t="shared" ca="1" si="6"/>
        <v>0.69716312056737539</v>
      </c>
      <c r="AJ47" s="67">
        <f t="shared" ca="1" si="7"/>
        <v>2.2485815602836876</v>
      </c>
      <c r="AK47">
        <f t="shared" ca="1" si="8"/>
        <v>5.351418439716312</v>
      </c>
      <c r="AL47">
        <f t="shared" ca="1" si="9"/>
        <v>6.9028368794326243</v>
      </c>
      <c r="AM47">
        <f t="shared" ca="1" si="10"/>
        <v>8.4542553191489365</v>
      </c>
      <c r="AN47">
        <f t="shared" ca="1" si="11"/>
        <v>4.5999999999999996</v>
      </c>
      <c r="AO47">
        <f t="shared" ca="1" si="12"/>
        <v>5</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
      <c r="B48" s="67">
        <f ca="1">IF(Planned!$C$6&lt;&gt;"Overall",COUNTBLANK(OFFSET(Planned!E59,0,0,1,Num_Modalities)),IF(COUNTBLANK(Planned!O59)=1,Num_Modalities,0))</f>
        <v>1</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3.8</v>
      </c>
      <c r="AG48">
        <f t="shared" ca="1" si="4"/>
        <v>1.5514184397163122</v>
      </c>
      <c r="AH48" s="67">
        <f t="shared" ca="1" si="5"/>
        <v>0</v>
      </c>
      <c r="AI48" s="67">
        <f t="shared" ca="1" si="6"/>
        <v>0.69716312056737539</v>
      </c>
      <c r="AJ48" s="67">
        <f t="shared" ca="1" si="7"/>
        <v>2.2485815602836876</v>
      </c>
      <c r="AK48">
        <f t="shared" ca="1" si="8"/>
        <v>5.351418439716312</v>
      </c>
      <c r="AL48">
        <f t="shared" ca="1" si="9"/>
        <v>6.9028368794326243</v>
      </c>
      <c r="AM48">
        <f t="shared" ca="1" si="10"/>
        <v>8.4542553191489365</v>
      </c>
      <c r="AN48">
        <f t="shared" ca="1" si="11"/>
        <v>4.5999999999999996</v>
      </c>
      <c r="AO48">
        <f t="shared" ca="1" si="12"/>
        <v>5</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
      <c r="B49" s="67">
        <f ca="1">IF(Planned!$C$6&lt;&gt;"Overall",COUNTBLANK(OFFSET(Planned!E60,0,0,1,Num_Modalities)),IF(COUNTBLANK(Planned!O60)=1,Num_Modalities,0))</f>
        <v>1</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3.8</v>
      </c>
      <c r="AG49">
        <f t="shared" ca="1" si="4"/>
        <v>1.5514184397163122</v>
      </c>
      <c r="AH49" s="67">
        <f t="shared" ca="1" si="5"/>
        <v>0</v>
      </c>
      <c r="AI49" s="67">
        <f t="shared" ca="1" si="6"/>
        <v>0.69716312056737539</v>
      </c>
      <c r="AJ49" s="67">
        <f t="shared" ca="1" si="7"/>
        <v>2.2485815602836876</v>
      </c>
      <c r="AK49">
        <f t="shared" ca="1" si="8"/>
        <v>5.351418439716312</v>
      </c>
      <c r="AL49">
        <f t="shared" ca="1" si="9"/>
        <v>6.9028368794326243</v>
      </c>
      <c r="AM49">
        <f t="shared" ca="1" si="10"/>
        <v>8.4542553191489365</v>
      </c>
      <c r="AN49">
        <f t="shared" ca="1" si="11"/>
        <v>4.5999999999999996</v>
      </c>
      <c r="AO49">
        <f t="shared" ca="1" si="12"/>
        <v>5</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
      <c r="B50" s="67">
        <f ca="1">IF(Planned!$C$6&lt;&gt;"Overall",COUNTBLANK(OFFSET(Planned!E61,0,0,1,Num_Modalities)),IF(COUNTBLANK(Planned!O61)=1,Num_Modalities,0))</f>
        <v>1</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3.8</v>
      </c>
      <c r="AG50">
        <f t="shared" ca="1" si="4"/>
        <v>1.5514184397163122</v>
      </c>
      <c r="AH50" s="67">
        <f t="shared" ca="1" si="5"/>
        <v>0</v>
      </c>
      <c r="AI50" s="67">
        <f t="shared" ca="1" si="6"/>
        <v>0.69716312056737539</v>
      </c>
      <c r="AJ50" s="67">
        <f t="shared" ca="1" si="7"/>
        <v>2.2485815602836876</v>
      </c>
      <c r="AK50">
        <f t="shared" ca="1" si="8"/>
        <v>5.351418439716312</v>
      </c>
      <c r="AL50">
        <f t="shared" ca="1" si="9"/>
        <v>6.9028368794326243</v>
      </c>
      <c r="AM50">
        <f t="shared" ca="1" si="10"/>
        <v>8.4542553191489365</v>
      </c>
      <c r="AN50">
        <f t="shared" ca="1" si="11"/>
        <v>4.5999999999999996</v>
      </c>
      <c r="AO50">
        <f t="shared" ca="1" si="12"/>
        <v>5</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
      <c r="B51" s="67">
        <f ca="1">IF(Planned!$C$6&lt;&gt;"Overall",COUNTBLANK(OFFSET(Planned!E62,0,0,1,Num_Modalities)),IF(COUNTBLANK(Planned!O62)=1,Num_Modalities,0))</f>
        <v>1</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3.8</v>
      </c>
      <c r="AG51">
        <f t="shared" ca="1" si="4"/>
        <v>1.5514184397163122</v>
      </c>
      <c r="AH51" s="67">
        <f t="shared" ca="1" si="5"/>
        <v>0</v>
      </c>
      <c r="AI51" s="67">
        <f t="shared" ca="1" si="6"/>
        <v>0.69716312056737539</v>
      </c>
      <c r="AJ51" s="67">
        <f t="shared" ca="1" si="7"/>
        <v>2.2485815602836876</v>
      </c>
      <c r="AK51">
        <f t="shared" ca="1" si="8"/>
        <v>5.351418439716312</v>
      </c>
      <c r="AL51">
        <f t="shared" ca="1" si="9"/>
        <v>6.9028368794326243</v>
      </c>
      <c r="AM51">
        <f t="shared" ca="1" si="10"/>
        <v>8.4542553191489365</v>
      </c>
      <c r="AN51">
        <f t="shared" ca="1" si="11"/>
        <v>4.5999999999999996</v>
      </c>
      <c r="AO51">
        <f t="shared" ca="1" si="12"/>
        <v>5</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
      <c r="B52" s="67">
        <f ca="1">IF(Planned!$C$6&lt;&gt;"Overall",COUNTBLANK(OFFSET(Planned!E63,0,0,1,Num_Modalities)),IF(COUNTBLANK(Planned!O63)=1,Num_Modalities,0))</f>
        <v>1</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3.8</v>
      </c>
      <c r="AG52">
        <f t="shared" ca="1" si="4"/>
        <v>1.5514184397163122</v>
      </c>
      <c r="AH52" s="67">
        <f t="shared" ca="1" si="5"/>
        <v>0</v>
      </c>
      <c r="AI52" s="67">
        <f t="shared" ca="1" si="6"/>
        <v>0.69716312056737539</v>
      </c>
      <c r="AJ52" s="67">
        <f t="shared" ca="1" si="7"/>
        <v>2.2485815602836876</v>
      </c>
      <c r="AK52">
        <f t="shared" ca="1" si="8"/>
        <v>5.351418439716312</v>
      </c>
      <c r="AL52">
        <f t="shared" ca="1" si="9"/>
        <v>6.9028368794326243</v>
      </c>
      <c r="AM52">
        <f t="shared" ca="1" si="10"/>
        <v>8.4542553191489365</v>
      </c>
      <c r="AN52">
        <f t="shared" ca="1" si="11"/>
        <v>4.5999999999999996</v>
      </c>
      <c r="AO52">
        <f t="shared" ca="1" si="12"/>
        <v>5</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
      <c r="B53" s="67">
        <f ca="1">IF(Planned!$C$6&lt;&gt;"Overall",COUNTBLANK(OFFSET(Planned!E64,0,0,1,Num_Modalities)),IF(COUNTBLANK(Planned!O64)=1,Num_Modalities,0))</f>
        <v>1</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3.8</v>
      </c>
      <c r="AG53">
        <f t="shared" ca="1" si="4"/>
        <v>1.5514184397163122</v>
      </c>
      <c r="AH53" s="67">
        <f t="shared" ca="1" si="5"/>
        <v>0</v>
      </c>
      <c r="AI53" s="67">
        <f t="shared" ca="1" si="6"/>
        <v>0.69716312056737539</v>
      </c>
      <c r="AJ53" s="67">
        <f t="shared" ca="1" si="7"/>
        <v>2.2485815602836876</v>
      </c>
      <c r="AK53">
        <f t="shared" ca="1" si="8"/>
        <v>5.351418439716312</v>
      </c>
      <c r="AL53">
        <f t="shared" ca="1" si="9"/>
        <v>6.9028368794326243</v>
      </c>
      <c r="AM53">
        <f t="shared" ca="1" si="10"/>
        <v>8.4542553191489365</v>
      </c>
      <c r="AN53">
        <f t="shared" ca="1" si="11"/>
        <v>4.5999999999999996</v>
      </c>
      <c r="AO53">
        <f t="shared" ca="1" si="12"/>
        <v>5</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3.8</v>
      </c>
      <c r="AG54">
        <f t="shared" ca="1" si="4"/>
        <v>1.5514184397163122</v>
      </c>
      <c r="AH54" s="67">
        <f t="shared" ca="1" si="5"/>
        <v>0</v>
      </c>
      <c r="AI54" s="67">
        <f t="shared" ca="1" si="6"/>
        <v>0.69716312056737539</v>
      </c>
      <c r="AJ54" s="67">
        <f t="shared" ca="1" si="7"/>
        <v>2.2485815602836876</v>
      </c>
      <c r="AK54">
        <f t="shared" ca="1" si="8"/>
        <v>5.351418439716312</v>
      </c>
      <c r="AL54">
        <f t="shared" ca="1" si="9"/>
        <v>6.9028368794326243</v>
      </c>
      <c r="AM54">
        <f t="shared" ca="1" si="10"/>
        <v>8.4542553191489365</v>
      </c>
      <c r="AN54">
        <f t="shared" ca="1" si="11"/>
        <v>4.5999999999999996</v>
      </c>
      <c r="AO54">
        <f t="shared" ca="1" si="12"/>
        <v>5</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3.8</v>
      </c>
      <c r="AG55" s="67">
        <f t="shared" ca="1" si="4"/>
        <v>1.5514184397163122</v>
      </c>
      <c r="AH55" s="67">
        <f t="shared" ref="AH55" ca="1" si="28">IF(AF55-(3*AG55)&lt;=0,0,AF55-(3*AG55))</f>
        <v>0</v>
      </c>
      <c r="AI55" s="67">
        <f t="shared" ref="AI55" ca="1" si="29">IF(AF55-(2*AG55)&lt;=0,0,AF55-(2*AG55))</f>
        <v>0.69716312056737539</v>
      </c>
      <c r="AJ55" s="67">
        <f t="shared" ref="AJ55" ca="1" si="30">IF(AF55-(1*AG55)&lt;=0,0,AF55-(1*AG55))</f>
        <v>2.2485815602836876</v>
      </c>
      <c r="AK55" s="67">
        <f t="shared" ref="AK55" ca="1" si="31">AF55+(1*AG55)</f>
        <v>5.351418439716312</v>
      </c>
      <c r="AL55" s="67">
        <f t="shared" ref="AL55" ca="1" si="32">AF55+(2*AG55)</f>
        <v>6.9028368794326243</v>
      </c>
      <c r="AM55" s="67">
        <f t="shared" ref="AM55" ca="1" si="33">AF55+(3*AG55)</f>
        <v>8.4542553191489365</v>
      </c>
      <c r="AN55" s="67">
        <f t="shared" ca="1" si="11"/>
        <v>4.5999999999999996</v>
      </c>
      <c r="AO55" s="67">
        <f t="shared" ca="1" si="12"/>
        <v>5</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4.25" x14ac:dyDescent="0.2"/>
  <cols>
    <col min="1" max="1" width="17.25" style="52" customWidth="1"/>
    <col min="2" max="2" width="11.5" style="52" customWidth="1"/>
    <col min="3" max="19" width="9" style="52"/>
    <col min="20" max="20" width="9.75" style="52" bestFit="1" customWidth="1"/>
    <col min="21" max="16384" width="9" style="52"/>
  </cols>
  <sheetData>
    <row r="1" spans="1:20" x14ac:dyDescent="0.2">
      <c r="B1" s="53"/>
    </row>
    <row r="3" spans="1:20" ht="15" x14ac:dyDescent="0.25">
      <c r="A3" s="56" t="s">
        <v>185</v>
      </c>
    </row>
    <row r="4" spans="1:20" x14ac:dyDescent="0.2">
      <c r="A4" s="38" t="s">
        <v>268</v>
      </c>
    </row>
    <row r="5" spans="1:20" x14ac:dyDescent="0.2">
      <c r="A5" s="38" t="s">
        <v>269</v>
      </c>
    </row>
    <row r="7" spans="1:20" x14ac:dyDescent="0.2">
      <c r="A7" s="55" t="s">
        <v>147</v>
      </c>
      <c r="T7" s="58"/>
    </row>
    <row r="8" spans="1:20" ht="15" x14ac:dyDescent="0.25">
      <c r="A8" s="56" t="str">
        <f>'Planned background (hide)'!AA19&amp;" weeks"</f>
        <v>5 weeks</v>
      </c>
      <c r="T8" s="58"/>
    </row>
    <row r="10" spans="1:20" x14ac:dyDescent="0.2">
      <c r="A10" s="52" t="s">
        <v>195</v>
      </c>
      <c r="C10" s="211" t="s">
        <v>20</v>
      </c>
    </row>
    <row r="11" spans="1:20" x14ac:dyDescent="0.2">
      <c r="C11" s="57"/>
    </row>
    <row r="12" spans="1:20" x14ac:dyDescent="0.2">
      <c r="A12" s="52" t="s">
        <v>196</v>
      </c>
      <c r="C12" s="211" t="s">
        <v>22</v>
      </c>
    </row>
    <row r="27" spans="1:2" ht="15" x14ac:dyDescent="0.25">
      <c r="A27" s="56" t="s">
        <v>178</v>
      </c>
    </row>
    <row r="28" spans="1:2" x14ac:dyDescent="0.2">
      <c r="A28" s="40"/>
      <c r="B28" s="52" t="s">
        <v>175</v>
      </c>
    </row>
    <row r="29" spans="1:2" x14ac:dyDescent="0.2">
      <c r="A29" s="41"/>
      <c r="B29" s="52" t="s">
        <v>176</v>
      </c>
    </row>
    <row r="30" spans="1:2" x14ac:dyDescent="0.2">
      <c r="A30" s="42"/>
      <c r="B30" s="52" t="s">
        <v>197</v>
      </c>
    </row>
    <row r="31" spans="1:2" x14ac:dyDescent="0.2">
      <c r="A31" s="43"/>
      <c r="B31" s="52" t="s">
        <v>177</v>
      </c>
    </row>
    <row r="34" spans="4:4" x14ac:dyDescent="0.2">
      <c r="D34" s="61"/>
    </row>
    <row r="35" spans="4:4" x14ac:dyDescent="0.2">
      <c r="D35" s="61"/>
    </row>
  </sheetData>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866775</xdr:colOff>
                    <xdr:row>3</xdr:row>
                    <xdr:rowOff>171450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866775</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90" zoomScaleNormal="90" workbookViewId="0">
      <selection activeCell="O24" sqref="O24"/>
    </sheetView>
  </sheetViews>
  <sheetFormatPr defaultRowHeight="14.25" x14ac:dyDescent="0.2"/>
  <cols>
    <col min="1" max="1" width="2.625" style="52" customWidth="1"/>
    <col min="2" max="2" width="20.625" customWidth="1"/>
    <col min="3" max="3" width="16.75" customWidth="1"/>
    <col min="4" max="4" width="13" bestFit="1" customWidth="1"/>
    <col min="5" max="5" width="7.125" customWidth="1"/>
    <col min="6" max="6" width="7.75" customWidth="1"/>
    <col min="7" max="7" width="7.75" style="67" hidden="1" customWidth="1"/>
    <col min="8" max="8" width="8.625" customWidth="1"/>
    <col min="9" max="9" width="10.5" customWidth="1"/>
    <col min="10" max="10" width="11.25" style="52" hidden="1" customWidth="1"/>
    <col min="11" max="11" width="9.75" style="72" hidden="1" customWidth="1"/>
    <col min="12" max="12" width="9" style="72" customWidth="1"/>
    <col min="13" max="13" width="3.25" style="72" customWidth="1"/>
    <col min="14" max="14" width="23.25" customWidth="1"/>
    <col min="15" max="15" width="16.25" bestFit="1" customWidth="1"/>
    <col min="16" max="16" width="13" customWidth="1"/>
    <col min="17" max="17" width="6.5" customWidth="1"/>
    <col min="18" max="18" width="8.25" customWidth="1"/>
    <col min="19" max="19" width="8.25" style="67" hidden="1" customWidth="1"/>
    <col min="20" max="20" width="8.75" customWidth="1"/>
    <col min="21" max="21" width="10.625" customWidth="1"/>
    <col min="22" max="64" width="9" style="52"/>
  </cols>
  <sheetData>
    <row r="1" spans="1:23" s="52" customFormat="1" x14ac:dyDescent="0.2">
      <c r="B1" s="72"/>
      <c r="C1" s="72"/>
      <c r="D1" s="72"/>
      <c r="E1" s="72"/>
      <c r="F1" s="72"/>
      <c r="G1" s="72"/>
      <c r="H1" s="72"/>
      <c r="I1" s="72"/>
      <c r="J1" s="72"/>
      <c r="K1" s="72"/>
      <c r="L1" s="72"/>
      <c r="M1" s="72"/>
      <c r="N1" s="72"/>
      <c r="O1" s="72"/>
      <c r="P1" s="72"/>
      <c r="Q1" s="72"/>
      <c r="R1" s="72"/>
      <c r="S1" s="72"/>
      <c r="T1" s="72"/>
      <c r="U1" s="72"/>
    </row>
    <row r="2" spans="1:23" s="52" customFormat="1" ht="15" x14ac:dyDescent="0.25">
      <c r="B2" s="105" t="s">
        <v>391</v>
      </c>
      <c r="C2" s="105"/>
      <c r="D2" s="72"/>
      <c r="E2" s="72"/>
      <c r="F2" s="72"/>
      <c r="G2" s="72"/>
      <c r="H2" s="72"/>
      <c r="I2" s="72"/>
      <c r="J2" s="72"/>
      <c r="K2" s="72"/>
      <c r="L2" s="72"/>
      <c r="M2" s="72"/>
      <c r="N2" s="385" t="s">
        <v>1298</v>
      </c>
      <c r="O2" s="72"/>
      <c r="P2" s="72"/>
      <c r="Q2" s="72"/>
      <c r="R2" s="72"/>
      <c r="S2" s="72"/>
      <c r="T2" s="72"/>
      <c r="U2" s="72"/>
    </row>
    <row r="3" spans="1:23" s="52" customFormat="1" x14ac:dyDescent="0.2">
      <c r="B3" s="72" t="s">
        <v>474</v>
      </c>
      <c r="C3" s="386"/>
      <c r="D3" s="72"/>
      <c r="F3" s="72"/>
      <c r="G3" s="72"/>
      <c r="H3" s="72"/>
      <c r="I3" s="72"/>
      <c r="J3" s="72"/>
      <c r="K3" s="72"/>
      <c r="L3" s="72"/>
      <c r="M3" s="72"/>
      <c r="N3" s="72"/>
      <c r="O3" s="72"/>
      <c r="P3" s="72"/>
      <c r="Q3" s="72"/>
      <c r="R3" s="72"/>
      <c r="S3" s="72"/>
      <c r="T3" s="72"/>
      <c r="U3" s="72"/>
    </row>
    <row r="4" spans="1:23" x14ac:dyDescent="0.2">
      <c r="B4" t="s">
        <v>437</v>
      </c>
      <c r="C4" s="269" t="str">
        <f>IF(C3="","",DATE(YEAR(C3)+1,MONTH(C3),DAY(C3))-1)</f>
        <v/>
      </c>
      <c r="D4" s="74"/>
      <c r="F4" s="72"/>
      <c r="G4" s="72"/>
      <c r="H4" s="72"/>
      <c r="I4" s="72"/>
      <c r="J4" s="67"/>
      <c r="K4" s="67"/>
      <c r="L4" s="67"/>
      <c r="M4" s="67"/>
      <c r="N4" s="72"/>
      <c r="O4" s="72"/>
      <c r="P4" s="72"/>
      <c r="Q4" s="72"/>
      <c r="R4" s="72"/>
      <c r="S4" s="72"/>
      <c r="T4" s="72"/>
      <c r="U4" s="72"/>
    </row>
    <row r="5" spans="1:23" s="52" customFormat="1" x14ac:dyDescent="0.2">
      <c r="D5" s="72"/>
      <c r="E5" s="72"/>
      <c r="F5" s="72"/>
      <c r="G5" s="72"/>
      <c r="H5" s="72"/>
      <c r="I5" s="72"/>
      <c r="J5" s="72"/>
      <c r="K5" s="72"/>
      <c r="L5" s="72"/>
      <c r="M5" s="72"/>
      <c r="N5" s="72"/>
      <c r="O5" s="72"/>
      <c r="P5" s="72"/>
      <c r="Q5" s="72"/>
      <c r="R5" s="72"/>
      <c r="S5" s="72"/>
      <c r="T5" s="72"/>
      <c r="U5" s="72"/>
    </row>
    <row r="6" spans="1:23" s="52" customFormat="1" x14ac:dyDescent="0.2">
      <c r="B6" s="116" t="s">
        <v>438</v>
      </c>
      <c r="C6" s="116" t="s">
        <v>439</v>
      </c>
      <c r="D6" s="72"/>
      <c r="E6" s="72"/>
      <c r="F6" s="72"/>
      <c r="G6" s="72"/>
      <c r="H6" s="72"/>
      <c r="I6" s="72"/>
      <c r="J6" s="72"/>
      <c r="K6" s="72"/>
      <c r="L6" s="72"/>
      <c r="M6" s="72"/>
      <c r="N6" s="72"/>
      <c r="O6" s="72"/>
      <c r="P6" s="72"/>
      <c r="Q6" s="72"/>
      <c r="R6" s="72"/>
      <c r="S6" s="72"/>
      <c r="T6" s="72"/>
      <c r="U6" s="72"/>
    </row>
    <row r="7" spans="1:23" s="52" customFormat="1" x14ac:dyDescent="0.2">
      <c r="B7" s="76"/>
      <c r="C7" s="76"/>
      <c r="D7" s="72"/>
      <c r="E7" s="72"/>
      <c r="F7" s="72"/>
      <c r="G7" s="72"/>
      <c r="H7" s="72"/>
      <c r="I7" s="72"/>
      <c r="J7" s="72"/>
      <c r="K7" s="72"/>
      <c r="L7" s="72"/>
      <c r="M7" s="72"/>
      <c r="N7" s="72"/>
      <c r="O7" s="72"/>
      <c r="P7" s="72"/>
      <c r="Q7" s="72"/>
      <c r="R7" s="72"/>
      <c r="S7" s="72"/>
      <c r="T7" s="72"/>
      <c r="U7" s="72"/>
    </row>
    <row r="8" spans="1:23" s="52" customFormat="1" x14ac:dyDescent="0.2">
      <c r="B8" s="75"/>
      <c r="C8" s="75"/>
      <c r="D8" s="72"/>
      <c r="E8" s="72"/>
      <c r="F8" s="72"/>
      <c r="G8" s="72"/>
      <c r="H8" s="72"/>
      <c r="I8" s="72"/>
      <c r="J8" s="72"/>
      <c r="K8" s="72"/>
      <c r="L8" s="72"/>
      <c r="M8" s="72"/>
      <c r="N8" s="72"/>
      <c r="O8" s="72"/>
      <c r="P8" s="72"/>
      <c r="Q8" s="72"/>
      <c r="R8" s="72"/>
      <c r="S8" s="72"/>
      <c r="T8" s="72"/>
      <c r="U8" s="72"/>
    </row>
    <row r="9" spans="1:23" hidden="1" x14ac:dyDescent="0.2">
      <c r="B9" s="117" t="s">
        <v>469</v>
      </c>
      <c r="C9" s="117" t="s">
        <v>476</v>
      </c>
      <c r="D9" s="72"/>
      <c r="E9" s="72"/>
      <c r="F9" s="72"/>
      <c r="G9" s="72"/>
      <c r="H9" s="72"/>
      <c r="I9" s="72"/>
      <c r="J9" s="67"/>
      <c r="K9" s="67"/>
      <c r="L9" s="67"/>
      <c r="M9" s="67"/>
      <c r="N9" s="72"/>
      <c r="O9" s="72"/>
      <c r="P9" s="72"/>
      <c r="Q9" s="72"/>
      <c r="R9" s="72"/>
      <c r="S9" s="72"/>
      <c r="T9" s="72"/>
      <c r="U9" s="72"/>
    </row>
    <row r="10" spans="1:23" hidden="1" x14ac:dyDescent="0.2">
      <c r="B10" s="69"/>
      <c r="C10" s="69"/>
      <c r="D10" s="72"/>
      <c r="E10" s="72"/>
      <c r="F10" s="72"/>
      <c r="G10" s="72"/>
      <c r="H10" s="72"/>
      <c r="I10" s="72"/>
      <c r="J10" s="67"/>
      <c r="K10" s="67"/>
      <c r="L10" s="67"/>
      <c r="M10" s="67"/>
      <c r="N10" s="72"/>
      <c r="O10" s="72"/>
      <c r="P10" s="72"/>
      <c r="Q10" s="72"/>
      <c r="R10" s="72"/>
      <c r="S10" s="72"/>
      <c r="T10" s="72"/>
      <c r="U10" s="72"/>
    </row>
    <row r="11" spans="1:23" s="52" customFormat="1" ht="15" x14ac:dyDescent="0.25">
      <c r="B11" s="168" t="s">
        <v>490</v>
      </c>
      <c r="C11" s="169" t="s">
        <v>19</v>
      </c>
      <c r="D11" s="226" t="str">
        <f ca="1">"On aggregate, 1 patient = "&amp;TEXT('Demand background (hide)'!$BN$16,"#.#")&amp;" "&amp;Setup!$I$17</f>
        <v>On aggregate, 1 patient = 1. Minutes</v>
      </c>
      <c r="E11" s="72"/>
      <c r="F11" s="72"/>
      <c r="G11" s="72"/>
      <c r="H11" s="72"/>
      <c r="I11" s="72"/>
      <c r="J11" s="72"/>
      <c r="K11" s="72"/>
      <c r="L11" s="72"/>
      <c r="M11" s="72"/>
      <c r="N11" s="72"/>
      <c r="O11" s="72"/>
      <c r="P11" s="72"/>
      <c r="Q11" s="72"/>
      <c r="R11" s="72"/>
      <c r="S11" s="72"/>
      <c r="T11" s="72"/>
      <c r="U11" s="72"/>
    </row>
    <row r="12" spans="1:23" s="52" customFormat="1" ht="15" x14ac:dyDescent="0.25">
      <c r="B12" s="56" t="s">
        <v>1294</v>
      </c>
      <c r="C12" s="382" t="s">
        <v>1302</v>
      </c>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19" t="s">
        <v>440</v>
      </c>
      <c r="C13" s="419"/>
      <c r="D13" s="73"/>
      <c r="E13" s="73"/>
      <c r="F13" s="73"/>
      <c r="G13" s="73"/>
      <c r="H13" s="73"/>
      <c r="I13" s="73"/>
      <c r="J13" s="72"/>
      <c r="K13" s="72"/>
      <c r="L13" s="72"/>
      <c r="M13" s="72"/>
      <c r="N13" s="72"/>
      <c r="O13" s="72"/>
      <c r="P13" s="72"/>
      <c r="Q13" s="72"/>
      <c r="R13" s="72"/>
      <c r="S13" s="72"/>
      <c r="T13" s="72"/>
      <c r="U13" s="72"/>
    </row>
    <row r="14" spans="1:23" x14ac:dyDescent="0.2">
      <c r="B14" s="118" t="s">
        <v>434</v>
      </c>
      <c r="C14" s="75"/>
      <c r="D14" s="72"/>
      <c r="E14" s="72"/>
      <c r="F14" s="72"/>
      <c r="G14" s="72"/>
      <c r="H14" s="72"/>
      <c r="I14" s="72"/>
      <c r="J14" s="67"/>
      <c r="K14" s="67"/>
      <c r="L14" s="67"/>
      <c r="M14" s="368"/>
      <c r="N14" s="119" t="s">
        <v>436</v>
      </c>
      <c r="O14" s="72"/>
      <c r="P14" s="72"/>
      <c r="Q14" s="72"/>
      <c r="R14" s="72"/>
      <c r="S14" s="72"/>
      <c r="T14" s="72"/>
      <c r="U14" s="72"/>
    </row>
    <row r="15" spans="1:23" x14ac:dyDescent="0.2">
      <c r="A15" s="226"/>
      <c r="B15" s="72"/>
      <c r="C15" s="72"/>
      <c r="D15" s="72"/>
      <c r="E15" s="72"/>
      <c r="F15" s="72"/>
      <c r="G15" s="71"/>
      <c r="H15" s="225">
        <f>SUMIF(L17:L116,"x",H17:H116)</f>
        <v>0</v>
      </c>
      <c r="I15" s="225">
        <f>H15/52</f>
        <v>0</v>
      </c>
      <c r="J15" s="67"/>
      <c r="K15" s="67"/>
      <c r="L15" s="67"/>
      <c r="M15" s="368"/>
      <c r="N15" s="72"/>
      <c r="O15" s="72"/>
      <c r="P15" s="72"/>
      <c r="Q15" s="72"/>
      <c r="R15" s="119" t="s">
        <v>255</v>
      </c>
      <c r="S15" s="119"/>
      <c r="T15" s="224">
        <f>SUMIF(V17:V116,"x",T17:T116)</f>
        <v>0</v>
      </c>
      <c r="U15" s="224">
        <f>SUM(U17:U116)</f>
        <v>0</v>
      </c>
      <c r="W15" s="72"/>
    </row>
    <row r="16" spans="1:23" ht="44.25" customHeight="1" x14ac:dyDescent="0.2">
      <c r="A16" s="293">
        <f>MAX(A17:A116)</f>
        <v>0</v>
      </c>
      <c r="B16" s="295" t="s">
        <v>512</v>
      </c>
      <c r="C16" s="295" t="s">
        <v>513</v>
      </c>
      <c r="D16" s="295" t="s">
        <v>514</v>
      </c>
      <c r="E16" s="295" t="s">
        <v>253</v>
      </c>
      <c r="F16" s="295" t="str">
        <f>C11&amp;" Per Clinic"</f>
        <v>Patients Per Clinic</v>
      </c>
      <c r="G16" s="295" t="s">
        <v>441</v>
      </c>
      <c r="H16" s="295" t="str">
        <f>"Total 
("&amp;$C$11&amp;")"</f>
        <v>Total 
(Patients)</v>
      </c>
      <c r="I16" s="295" t="s">
        <v>254</v>
      </c>
      <c r="J16" s="67"/>
      <c r="K16" s="67"/>
      <c r="L16" s="295" t="s">
        <v>1243</v>
      </c>
      <c r="M16" s="294">
        <f>MAX(M17:M116)</f>
        <v>0</v>
      </c>
      <c r="N16" s="296" t="s">
        <v>512</v>
      </c>
      <c r="O16" s="296" t="s">
        <v>513</v>
      </c>
      <c r="P16" s="296" t="s">
        <v>514</v>
      </c>
      <c r="Q16" s="296" t="s">
        <v>253</v>
      </c>
      <c r="R16" s="296" t="str">
        <f>C11&amp;" Per Clinic"</f>
        <v>Patients Per Clinic</v>
      </c>
      <c r="S16" s="296" t="s">
        <v>441</v>
      </c>
      <c r="T16" s="296" t="str">
        <f>"Total 
("&amp;C11&amp;")"</f>
        <v>Total 
(Patients)</v>
      </c>
      <c r="U16" s="296" t="s">
        <v>254</v>
      </c>
      <c r="V16" s="312" t="s">
        <v>1243</v>
      </c>
      <c r="W16" s="72"/>
    </row>
    <row r="17" spans="1:23" x14ac:dyDescent="0.2">
      <c r="A17" s="293">
        <f>IF(B17&lt;&gt;"",ROW(A1),0)</f>
        <v>0</v>
      </c>
      <c r="B17" s="163"/>
      <c r="C17" s="163"/>
      <c r="D17" s="163"/>
      <c r="E17" s="175"/>
      <c r="F17" s="175"/>
      <c r="G17" s="130"/>
      <c r="H17" s="222" t="str">
        <f>IF(ROW(A1)&lt;=$A$16,F17*E17,"")</f>
        <v/>
      </c>
      <c r="I17" s="299" t="str">
        <f>IFERROR(H17/52,"")</f>
        <v/>
      </c>
      <c r="J17" s="67"/>
      <c r="K17" s="67"/>
      <c r="L17" s="361" t="s">
        <v>1238</v>
      </c>
      <c r="M17" s="294">
        <f>IF(N17&lt;&gt;"",ROW(A1),0)</f>
        <v>0</v>
      </c>
      <c r="N17" s="176"/>
      <c r="O17" s="176"/>
      <c r="P17" s="176"/>
      <c r="Q17" s="177"/>
      <c r="R17" s="177"/>
      <c r="S17" s="131"/>
      <c r="T17" s="223" t="str">
        <f>IF(ROW(A1)&lt;=$M$16,R17*Q17,"")</f>
        <v/>
      </c>
      <c r="U17" s="300" t="str">
        <f>IFERROR(T17/52,"")</f>
        <v/>
      </c>
      <c r="V17" s="362" t="s">
        <v>1238</v>
      </c>
      <c r="W17" s="72"/>
    </row>
    <row r="18" spans="1:23" x14ac:dyDescent="0.2">
      <c r="A18" s="293">
        <f t="shared" ref="A18:A81" si="0">IF(B18&lt;&gt;"",ROW(A2),0)</f>
        <v>0</v>
      </c>
      <c r="B18" s="163"/>
      <c r="C18" s="163"/>
      <c r="D18" s="163"/>
      <c r="E18" s="175"/>
      <c r="F18" s="175"/>
      <c r="G18" s="130"/>
      <c r="H18" s="222" t="str">
        <f t="shared" ref="H18:H81" si="1">IF(ROW(A2)&lt;=$A$16,F18*E18,"")</f>
        <v/>
      </c>
      <c r="I18" s="299" t="str">
        <f t="shared" ref="I18:I81" si="2">IFERROR(H18/52,"")</f>
        <v/>
      </c>
      <c r="J18" s="67"/>
      <c r="K18" s="67"/>
      <c r="L18" s="361" t="s">
        <v>1238</v>
      </c>
      <c r="M18" s="294">
        <f t="shared" ref="M18:M81" si="3">IF(N18&lt;&gt;"",ROW(A2),0)</f>
        <v>0</v>
      </c>
      <c r="N18" s="176"/>
      <c r="O18" s="163"/>
      <c r="P18" s="163"/>
      <c r="Q18" s="175"/>
      <c r="R18" s="175"/>
      <c r="S18" s="130"/>
      <c r="T18" s="223" t="str">
        <f t="shared" ref="T18:T81" si="4">IF(ROW(A2)&lt;=$M$16,R18*Q18,"")</f>
        <v/>
      </c>
      <c r="U18" s="299" t="str">
        <f t="shared" ref="U18:U81" si="5">IFERROR(T18/52,"")</f>
        <v/>
      </c>
      <c r="V18" s="362" t="s">
        <v>1238</v>
      </c>
      <c r="W18" s="72"/>
    </row>
    <row r="19" spans="1:23" x14ac:dyDescent="0.2">
      <c r="A19" s="293">
        <f t="shared" si="0"/>
        <v>0</v>
      </c>
      <c r="B19" s="163"/>
      <c r="C19" s="163"/>
      <c r="D19" s="163"/>
      <c r="E19" s="175"/>
      <c r="F19" s="175"/>
      <c r="G19" s="130"/>
      <c r="H19" s="222" t="str">
        <f t="shared" si="1"/>
        <v/>
      </c>
      <c r="I19" s="299" t="str">
        <f t="shared" si="2"/>
        <v/>
      </c>
      <c r="J19" s="67"/>
      <c r="K19" s="67"/>
      <c r="L19" s="361" t="s">
        <v>1238</v>
      </c>
      <c r="M19" s="294">
        <f t="shared" si="3"/>
        <v>0</v>
      </c>
      <c r="N19" s="176"/>
      <c r="O19" s="163"/>
      <c r="P19" s="163"/>
      <c r="Q19" s="175"/>
      <c r="R19" s="175"/>
      <c r="S19" s="130"/>
      <c r="T19" s="223" t="str">
        <f t="shared" si="4"/>
        <v/>
      </c>
      <c r="U19" s="222" t="str">
        <f t="shared" si="5"/>
        <v/>
      </c>
      <c r="V19" s="362" t="s">
        <v>1238</v>
      </c>
      <c r="W19" s="72"/>
    </row>
    <row r="20" spans="1:23" x14ac:dyDescent="0.2">
      <c r="A20" s="293">
        <f t="shared" si="0"/>
        <v>0</v>
      </c>
      <c r="B20" s="163"/>
      <c r="C20" s="163"/>
      <c r="D20" s="163"/>
      <c r="E20" s="175"/>
      <c r="F20" s="175"/>
      <c r="G20" s="130"/>
      <c r="H20" s="222" t="str">
        <f t="shared" si="1"/>
        <v/>
      </c>
      <c r="I20" s="299" t="str">
        <f t="shared" si="2"/>
        <v/>
      </c>
      <c r="J20" s="67"/>
      <c r="K20" s="67"/>
      <c r="L20" s="361" t="s">
        <v>1238</v>
      </c>
      <c r="M20" s="294">
        <f t="shared" si="3"/>
        <v>0</v>
      </c>
      <c r="N20" s="176"/>
      <c r="O20" s="163"/>
      <c r="P20" s="163"/>
      <c r="Q20" s="175"/>
      <c r="R20" s="175"/>
      <c r="S20" s="130"/>
      <c r="T20" s="223" t="str">
        <f t="shared" si="4"/>
        <v/>
      </c>
      <c r="U20" s="222" t="str">
        <f t="shared" si="5"/>
        <v/>
      </c>
      <c r="V20" s="362" t="s">
        <v>1238</v>
      </c>
      <c r="W20" s="72"/>
    </row>
    <row r="21" spans="1:23" x14ac:dyDescent="0.2">
      <c r="A21" s="293">
        <f t="shared" si="0"/>
        <v>0</v>
      </c>
      <c r="B21" s="163"/>
      <c r="C21" s="163"/>
      <c r="D21" s="163"/>
      <c r="E21" s="175"/>
      <c r="F21" s="175"/>
      <c r="G21" s="130"/>
      <c r="H21" s="222" t="str">
        <f t="shared" si="1"/>
        <v/>
      </c>
      <c r="I21" s="222" t="str">
        <f t="shared" si="2"/>
        <v/>
      </c>
      <c r="J21" s="67"/>
      <c r="K21" s="67"/>
      <c r="L21" s="361" t="s">
        <v>1238</v>
      </c>
      <c r="M21" s="294">
        <f t="shared" si="3"/>
        <v>0</v>
      </c>
      <c r="N21" s="176"/>
      <c r="O21" s="163"/>
      <c r="P21" s="163"/>
      <c r="Q21" s="175"/>
      <c r="R21" s="175"/>
      <c r="S21" s="130"/>
      <c r="T21" s="223" t="str">
        <f t="shared" si="4"/>
        <v/>
      </c>
      <c r="U21" s="222" t="str">
        <f t="shared" si="5"/>
        <v/>
      </c>
      <c r="V21" s="362" t="s">
        <v>1238</v>
      </c>
      <c r="W21" s="72"/>
    </row>
    <row r="22" spans="1:23" x14ac:dyDescent="0.2">
      <c r="A22" s="293">
        <f t="shared" si="0"/>
        <v>0</v>
      </c>
      <c r="B22" s="163"/>
      <c r="C22" s="163"/>
      <c r="D22" s="163"/>
      <c r="E22" s="175"/>
      <c r="F22" s="175"/>
      <c r="G22" s="130"/>
      <c r="H22" s="222" t="str">
        <f t="shared" si="1"/>
        <v/>
      </c>
      <c r="I22" s="222" t="str">
        <f t="shared" si="2"/>
        <v/>
      </c>
      <c r="J22" s="67"/>
      <c r="K22" s="67"/>
      <c r="L22" s="361" t="s">
        <v>1238</v>
      </c>
      <c r="M22" s="294">
        <f t="shared" si="3"/>
        <v>0</v>
      </c>
      <c r="N22" s="176"/>
      <c r="O22" s="163"/>
      <c r="P22" s="163"/>
      <c r="Q22" s="175"/>
      <c r="R22" s="175"/>
      <c r="S22" s="130"/>
      <c r="T22" s="223" t="str">
        <f t="shared" si="4"/>
        <v/>
      </c>
      <c r="U22" s="222" t="str">
        <f t="shared" si="5"/>
        <v/>
      </c>
      <c r="V22" s="362" t="s">
        <v>1238</v>
      </c>
      <c r="W22" s="72"/>
    </row>
    <row r="23" spans="1:23" x14ac:dyDescent="0.2">
      <c r="A23" s="293">
        <f t="shared" si="0"/>
        <v>0</v>
      </c>
      <c r="B23" s="163"/>
      <c r="C23" s="163"/>
      <c r="D23" s="163"/>
      <c r="E23" s="175"/>
      <c r="F23" s="175"/>
      <c r="G23" s="130"/>
      <c r="H23" s="222" t="str">
        <f t="shared" si="1"/>
        <v/>
      </c>
      <c r="I23" s="222" t="str">
        <f t="shared" si="2"/>
        <v/>
      </c>
      <c r="J23" s="67"/>
      <c r="K23" s="67"/>
      <c r="L23" s="361" t="s">
        <v>1238</v>
      </c>
      <c r="M23" s="294">
        <f t="shared" si="3"/>
        <v>0</v>
      </c>
      <c r="N23" s="176"/>
      <c r="O23" s="163"/>
      <c r="P23" s="163"/>
      <c r="Q23" s="175"/>
      <c r="R23" s="175"/>
      <c r="S23" s="130"/>
      <c r="T23" s="223" t="str">
        <f t="shared" si="4"/>
        <v/>
      </c>
      <c r="U23" s="222" t="str">
        <f t="shared" si="5"/>
        <v/>
      </c>
      <c r="V23" s="362" t="s">
        <v>1238</v>
      </c>
      <c r="W23" s="72"/>
    </row>
    <row r="24" spans="1:23" x14ac:dyDescent="0.2">
      <c r="A24" s="293">
        <f t="shared" si="0"/>
        <v>0</v>
      </c>
      <c r="B24" s="163"/>
      <c r="C24" s="163"/>
      <c r="D24" s="163"/>
      <c r="E24" s="175"/>
      <c r="F24" s="175"/>
      <c r="G24" s="130"/>
      <c r="H24" s="222" t="str">
        <f t="shared" si="1"/>
        <v/>
      </c>
      <c r="I24" s="222" t="str">
        <f t="shared" si="2"/>
        <v/>
      </c>
      <c r="J24" s="67"/>
      <c r="K24" s="67"/>
      <c r="L24" s="361" t="s">
        <v>1238</v>
      </c>
      <c r="M24" s="294">
        <f t="shared" si="3"/>
        <v>0</v>
      </c>
      <c r="N24" s="176"/>
      <c r="O24" s="163"/>
      <c r="P24" s="163"/>
      <c r="Q24" s="175"/>
      <c r="R24" s="175"/>
      <c r="S24" s="130"/>
      <c r="T24" s="223" t="str">
        <f t="shared" si="4"/>
        <v/>
      </c>
      <c r="U24" s="222" t="str">
        <f t="shared" si="5"/>
        <v/>
      </c>
      <c r="V24" s="362" t="s">
        <v>1238</v>
      </c>
      <c r="W24" s="72"/>
    </row>
    <row r="25" spans="1:23" x14ac:dyDescent="0.2">
      <c r="A25" s="293">
        <f t="shared" si="0"/>
        <v>0</v>
      </c>
      <c r="B25" s="163"/>
      <c r="C25" s="163"/>
      <c r="D25" s="163"/>
      <c r="E25" s="175"/>
      <c r="F25" s="175"/>
      <c r="G25" s="130"/>
      <c r="H25" s="222" t="str">
        <f t="shared" si="1"/>
        <v/>
      </c>
      <c r="I25" s="222" t="str">
        <f t="shared" si="2"/>
        <v/>
      </c>
      <c r="J25" s="67"/>
      <c r="K25" s="67"/>
      <c r="L25" s="361" t="s">
        <v>1238</v>
      </c>
      <c r="M25" s="294">
        <f t="shared" si="3"/>
        <v>0</v>
      </c>
      <c r="N25" s="176"/>
      <c r="O25" s="163"/>
      <c r="P25" s="163"/>
      <c r="Q25" s="175"/>
      <c r="R25" s="175"/>
      <c r="S25" s="130"/>
      <c r="T25" s="223" t="str">
        <f t="shared" si="4"/>
        <v/>
      </c>
      <c r="U25" s="222" t="str">
        <f t="shared" si="5"/>
        <v/>
      </c>
      <c r="V25" s="362" t="s">
        <v>1238</v>
      </c>
      <c r="W25" s="72"/>
    </row>
    <row r="26" spans="1:23" x14ac:dyDescent="0.2">
      <c r="A26" s="293">
        <f t="shared" si="0"/>
        <v>0</v>
      </c>
      <c r="B26" s="163"/>
      <c r="C26" s="163"/>
      <c r="D26" s="163"/>
      <c r="E26" s="175"/>
      <c r="F26" s="175"/>
      <c r="G26" s="130"/>
      <c r="H26" s="222" t="str">
        <f t="shared" si="1"/>
        <v/>
      </c>
      <c r="I26" s="222" t="str">
        <f t="shared" si="2"/>
        <v/>
      </c>
      <c r="J26" s="67"/>
      <c r="K26" s="67"/>
      <c r="L26" s="361" t="s">
        <v>1238</v>
      </c>
      <c r="M26" s="294">
        <f t="shared" si="3"/>
        <v>0</v>
      </c>
      <c r="N26" s="176"/>
      <c r="O26" s="163"/>
      <c r="P26" s="163"/>
      <c r="Q26" s="175"/>
      <c r="R26" s="175"/>
      <c r="S26" s="130"/>
      <c r="T26" s="223" t="str">
        <f t="shared" si="4"/>
        <v/>
      </c>
      <c r="U26" s="222" t="str">
        <f t="shared" si="5"/>
        <v/>
      </c>
      <c r="V26" s="362" t="s">
        <v>1238</v>
      </c>
      <c r="W26" s="72"/>
    </row>
    <row r="27" spans="1:23" x14ac:dyDescent="0.2">
      <c r="A27" s="293">
        <f t="shared" si="0"/>
        <v>0</v>
      </c>
      <c r="B27" s="163"/>
      <c r="C27" s="163"/>
      <c r="D27" s="163"/>
      <c r="E27" s="175"/>
      <c r="F27" s="175"/>
      <c r="G27" s="130"/>
      <c r="H27" s="222" t="str">
        <f t="shared" si="1"/>
        <v/>
      </c>
      <c r="I27" s="222" t="str">
        <f t="shared" si="2"/>
        <v/>
      </c>
      <c r="J27" s="67"/>
      <c r="K27" s="67"/>
      <c r="L27" s="361" t="s">
        <v>1238</v>
      </c>
      <c r="M27" s="294">
        <f t="shared" si="3"/>
        <v>0</v>
      </c>
      <c r="N27" s="176"/>
      <c r="O27" s="163"/>
      <c r="P27" s="163"/>
      <c r="Q27" s="175"/>
      <c r="R27" s="175"/>
      <c r="S27" s="130"/>
      <c r="T27" s="223" t="str">
        <f t="shared" si="4"/>
        <v/>
      </c>
      <c r="U27" s="222" t="str">
        <f t="shared" si="5"/>
        <v/>
      </c>
      <c r="V27" s="362" t="s">
        <v>1238</v>
      </c>
      <c r="W27" s="72"/>
    </row>
    <row r="28" spans="1:23" x14ac:dyDescent="0.2">
      <c r="A28" s="293">
        <f t="shared" si="0"/>
        <v>0</v>
      </c>
      <c r="B28" s="163"/>
      <c r="C28" s="163"/>
      <c r="D28" s="163"/>
      <c r="E28" s="175"/>
      <c r="F28" s="175"/>
      <c r="G28" s="130"/>
      <c r="H28" s="222" t="str">
        <f t="shared" si="1"/>
        <v/>
      </c>
      <c r="I28" s="222" t="str">
        <f t="shared" si="2"/>
        <v/>
      </c>
      <c r="J28" s="67"/>
      <c r="K28" s="67"/>
      <c r="L28" s="361" t="s">
        <v>1238</v>
      </c>
      <c r="M28" s="294">
        <f t="shared" si="3"/>
        <v>0</v>
      </c>
      <c r="N28" s="176"/>
      <c r="O28" s="163"/>
      <c r="P28" s="163"/>
      <c r="Q28" s="175"/>
      <c r="R28" s="175"/>
      <c r="S28" s="130"/>
      <c r="T28" s="223" t="str">
        <f t="shared" si="4"/>
        <v/>
      </c>
      <c r="U28" s="222" t="str">
        <f t="shared" si="5"/>
        <v/>
      </c>
      <c r="V28" s="362" t="s">
        <v>1238</v>
      </c>
      <c r="W28" s="72"/>
    </row>
    <row r="29" spans="1:23" x14ac:dyDescent="0.2">
      <c r="A29" s="293">
        <f t="shared" si="0"/>
        <v>0</v>
      </c>
      <c r="B29" s="163"/>
      <c r="C29" s="163"/>
      <c r="D29" s="163"/>
      <c r="E29" s="175"/>
      <c r="F29" s="175"/>
      <c r="G29" s="130"/>
      <c r="H29" s="222" t="str">
        <f t="shared" si="1"/>
        <v/>
      </c>
      <c r="I29" s="222" t="str">
        <f t="shared" si="2"/>
        <v/>
      </c>
      <c r="J29" s="67"/>
      <c r="K29" s="67"/>
      <c r="L29" s="361" t="s">
        <v>1238</v>
      </c>
      <c r="M29" s="294">
        <f t="shared" si="3"/>
        <v>0</v>
      </c>
      <c r="N29" s="176"/>
      <c r="O29" s="163"/>
      <c r="P29" s="163"/>
      <c r="Q29" s="175"/>
      <c r="R29" s="175"/>
      <c r="S29" s="130"/>
      <c r="T29" s="223" t="str">
        <f t="shared" si="4"/>
        <v/>
      </c>
      <c r="U29" s="222" t="str">
        <f t="shared" si="5"/>
        <v/>
      </c>
      <c r="V29" s="362" t="s">
        <v>1238</v>
      </c>
      <c r="W29" s="72"/>
    </row>
    <row r="30" spans="1:23" x14ac:dyDescent="0.2">
      <c r="A30" s="293">
        <f t="shared" si="0"/>
        <v>0</v>
      </c>
      <c r="B30" s="163"/>
      <c r="C30" s="163"/>
      <c r="D30" s="163"/>
      <c r="E30" s="175"/>
      <c r="F30" s="175"/>
      <c r="G30" s="130"/>
      <c r="H30" s="222" t="str">
        <f t="shared" si="1"/>
        <v/>
      </c>
      <c r="I30" s="222" t="str">
        <f t="shared" si="2"/>
        <v/>
      </c>
      <c r="J30" s="67"/>
      <c r="K30" s="67"/>
      <c r="L30" s="361" t="s">
        <v>1238</v>
      </c>
      <c r="M30" s="294">
        <f t="shared" si="3"/>
        <v>0</v>
      </c>
      <c r="N30" s="176"/>
      <c r="O30" s="163"/>
      <c r="P30" s="163"/>
      <c r="Q30" s="175"/>
      <c r="R30" s="175"/>
      <c r="S30" s="130"/>
      <c r="T30" s="223" t="str">
        <f t="shared" si="4"/>
        <v/>
      </c>
      <c r="U30" s="222" t="str">
        <f t="shared" si="5"/>
        <v/>
      </c>
      <c r="V30" s="362" t="s">
        <v>1238</v>
      </c>
      <c r="W30" s="72"/>
    </row>
    <row r="31" spans="1:23" x14ac:dyDescent="0.2">
      <c r="A31" s="293">
        <f t="shared" si="0"/>
        <v>0</v>
      </c>
      <c r="B31" s="163"/>
      <c r="C31" s="163"/>
      <c r="D31" s="163"/>
      <c r="E31" s="175"/>
      <c r="F31" s="175"/>
      <c r="G31" s="130"/>
      <c r="H31" s="222" t="str">
        <f t="shared" si="1"/>
        <v/>
      </c>
      <c r="I31" s="222" t="str">
        <f t="shared" si="2"/>
        <v/>
      </c>
      <c r="J31" s="67"/>
      <c r="K31" s="67"/>
      <c r="L31" s="361" t="s">
        <v>1238</v>
      </c>
      <c r="M31" s="294">
        <f t="shared" si="3"/>
        <v>0</v>
      </c>
      <c r="N31" s="176"/>
      <c r="O31" s="163"/>
      <c r="P31" s="163"/>
      <c r="Q31" s="175"/>
      <c r="R31" s="175"/>
      <c r="S31" s="130"/>
      <c r="T31" s="223" t="str">
        <f t="shared" si="4"/>
        <v/>
      </c>
      <c r="U31" s="222" t="str">
        <f t="shared" si="5"/>
        <v/>
      </c>
      <c r="V31" s="362" t="s">
        <v>1238</v>
      </c>
      <c r="W31" s="72"/>
    </row>
    <row r="32" spans="1:23" x14ac:dyDescent="0.2">
      <c r="A32" s="293">
        <f t="shared" si="0"/>
        <v>0</v>
      </c>
      <c r="B32" s="163"/>
      <c r="C32" s="163"/>
      <c r="D32" s="163"/>
      <c r="E32" s="175"/>
      <c r="F32" s="175"/>
      <c r="G32" s="130"/>
      <c r="H32" s="222" t="str">
        <f t="shared" si="1"/>
        <v/>
      </c>
      <c r="I32" s="222" t="str">
        <f t="shared" si="2"/>
        <v/>
      </c>
      <c r="J32" s="67"/>
      <c r="K32" s="67"/>
      <c r="L32" s="361" t="s">
        <v>1238</v>
      </c>
      <c r="M32" s="294">
        <f t="shared" si="3"/>
        <v>0</v>
      </c>
      <c r="N32" s="176"/>
      <c r="O32" s="163"/>
      <c r="P32" s="163"/>
      <c r="Q32" s="175"/>
      <c r="R32" s="175"/>
      <c r="S32" s="130"/>
      <c r="T32" s="223" t="str">
        <f t="shared" si="4"/>
        <v/>
      </c>
      <c r="U32" s="222" t="str">
        <f t="shared" si="5"/>
        <v/>
      </c>
      <c r="V32" s="362" t="s">
        <v>1238</v>
      </c>
      <c r="W32" s="72"/>
    </row>
    <row r="33" spans="1:23" x14ac:dyDescent="0.2">
      <c r="A33" s="293">
        <f t="shared" si="0"/>
        <v>0</v>
      </c>
      <c r="B33" s="163"/>
      <c r="C33" s="163"/>
      <c r="D33" s="163"/>
      <c r="E33" s="175"/>
      <c r="F33" s="175"/>
      <c r="G33" s="130"/>
      <c r="H33" s="222" t="str">
        <f t="shared" si="1"/>
        <v/>
      </c>
      <c r="I33" s="222" t="str">
        <f t="shared" si="2"/>
        <v/>
      </c>
      <c r="J33" s="67"/>
      <c r="K33" s="67"/>
      <c r="L33" s="361" t="s">
        <v>1238</v>
      </c>
      <c r="M33" s="294">
        <f t="shared" si="3"/>
        <v>0</v>
      </c>
      <c r="N33" s="176"/>
      <c r="O33" s="163"/>
      <c r="P33" s="163"/>
      <c r="Q33" s="175"/>
      <c r="R33" s="175"/>
      <c r="S33" s="130"/>
      <c r="T33" s="223" t="str">
        <f t="shared" si="4"/>
        <v/>
      </c>
      <c r="U33" s="222" t="str">
        <f t="shared" si="5"/>
        <v/>
      </c>
      <c r="V33" s="362" t="s">
        <v>1238</v>
      </c>
      <c r="W33" s="72"/>
    </row>
    <row r="34" spans="1:23" x14ac:dyDescent="0.2">
      <c r="A34" s="293">
        <f t="shared" si="0"/>
        <v>0</v>
      </c>
      <c r="B34" s="163"/>
      <c r="C34" s="163"/>
      <c r="D34" s="163"/>
      <c r="E34" s="175"/>
      <c r="F34" s="175"/>
      <c r="G34" s="130"/>
      <c r="H34" s="222" t="str">
        <f t="shared" si="1"/>
        <v/>
      </c>
      <c r="I34" s="222" t="str">
        <f t="shared" si="2"/>
        <v/>
      </c>
      <c r="J34" s="67"/>
      <c r="K34" s="67"/>
      <c r="L34" s="361" t="s">
        <v>1238</v>
      </c>
      <c r="M34" s="294">
        <f t="shared" si="3"/>
        <v>0</v>
      </c>
      <c r="N34" s="176"/>
      <c r="O34" s="163"/>
      <c r="P34" s="163"/>
      <c r="Q34" s="175"/>
      <c r="R34" s="175"/>
      <c r="S34" s="130"/>
      <c r="T34" s="223" t="str">
        <f t="shared" si="4"/>
        <v/>
      </c>
      <c r="U34" s="222" t="str">
        <f t="shared" si="5"/>
        <v/>
      </c>
      <c r="V34" s="362" t="s">
        <v>1238</v>
      </c>
      <c r="W34" s="72"/>
    </row>
    <row r="35" spans="1:23" x14ac:dyDescent="0.2">
      <c r="A35" s="293">
        <f t="shared" si="0"/>
        <v>0</v>
      </c>
      <c r="B35" s="163"/>
      <c r="C35" s="163"/>
      <c r="D35" s="163"/>
      <c r="E35" s="175"/>
      <c r="F35" s="175"/>
      <c r="G35" s="130"/>
      <c r="H35" s="222" t="str">
        <f t="shared" si="1"/>
        <v/>
      </c>
      <c r="I35" s="222" t="str">
        <f t="shared" si="2"/>
        <v/>
      </c>
      <c r="J35" s="67"/>
      <c r="K35" s="67"/>
      <c r="L35" s="361" t="s">
        <v>1238</v>
      </c>
      <c r="M35" s="294">
        <f t="shared" si="3"/>
        <v>0</v>
      </c>
      <c r="N35" s="176"/>
      <c r="O35" s="163"/>
      <c r="P35" s="163"/>
      <c r="Q35" s="175"/>
      <c r="R35" s="175"/>
      <c r="S35" s="130"/>
      <c r="T35" s="223" t="str">
        <f t="shared" si="4"/>
        <v/>
      </c>
      <c r="U35" s="222" t="str">
        <f t="shared" si="5"/>
        <v/>
      </c>
      <c r="V35" s="362" t="s">
        <v>1238</v>
      </c>
      <c r="W35" s="72"/>
    </row>
    <row r="36" spans="1:23" x14ac:dyDescent="0.2">
      <c r="A36" s="293">
        <f t="shared" si="0"/>
        <v>0</v>
      </c>
      <c r="B36" s="163"/>
      <c r="C36" s="163"/>
      <c r="D36" s="163"/>
      <c r="E36" s="175"/>
      <c r="F36" s="175"/>
      <c r="G36" s="130"/>
      <c r="H36" s="222" t="str">
        <f t="shared" si="1"/>
        <v/>
      </c>
      <c r="I36" s="222" t="str">
        <f t="shared" si="2"/>
        <v/>
      </c>
      <c r="J36" s="67"/>
      <c r="K36" s="67"/>
      <c r="L36" s="361" t="s">
        <v>1238</v>
      </c>
      <c r="M36" s="294">
        <f t="shared" si="3"/>
        <v>0</v>
      </c>
      <c r="N36" s="176"/>
      <c r="O36" s="163"/>
      <c r="P36" s="163"/>
      <c r="Q36" s="175"/>
      <c r="R36" s="175"/>
      <c r="S36" s="130"/>
      <c r="T36" s="223" t="str">
        <f t="shared" si="4"/>
        <v/>
      </c>
      <c r="U36" s="222" t="str">
        <f t="shared" si="5"/>
        <v/>
      </c>
      <c r="V36" s="362" t="s">
        <v>1238</v>
      </c>
      <c r="W36" s="72"/>
    </row>
    <row r="37" spans="1:23" x14ac:dyDescent="0.2">
      <c r="A37" s="293">
        <f t="shared" si="0"/>
        <v>0</v>
      </c>
      <c r="B37" s="163"/>
      <c r="C37" s="163"/>
      <c r="D37" s="163"/>
      <c r="E37" s="175"/>
      <c r="F37" s="175"/>
      <c r="G37" s="130"/>
      <c r="H37" s="222" t="str">
        <f t="shared" si="1"/>
        <v/>
      </c>
      <c r="I37" s="222" t="str">
        <f t="shared" si="2"/>
        <v/>
      </c>
      <c r="J37" s="67"/>
      <c r="K37" s="67"/>
      <c r="L37" s="361" t="s">
        <v>1238</v>
      </c>
      <c r="M37" s="294">
        <f t="shared" si="3"/>
        <v>0</v>
      </c>
      <c r="N37" s="176"/>
      <c r="O37" s="163"/>
      <c r="P37" s="163"/>
      <c r="Q37" s="175"/>
      <c r="R37" s="175"/>
      <c r="S37" s="130"/>
      <c r="T37" s="223" t="str">
        <f t="shared" si="4"/>
        <v/>
      </c>
      <c r="U37" s="222" t="str">
        <f t="shared" si="5"/>
        <v/>
      </c>
      <c r="V37" s="362" t="s">
        <v>1238</v>
      </c>
      <c r="W37" s="72"/>
    </row>
    <row r="38" spans="1:23" x14ac:dyDescent="0.2">
      <c r="A38" s="293">
        <f t="shared" si="0"/>
        <v>0</v>
      </c>
      <c r="B38" s="163"/>
      <c r="C38" s="163"/>
      <c r="D38" s="163"/>
      <c r="E38" s="175"/>
      <c r="F38" s="175"/>
      <c r="G38" s="130"/>
      <c r="H38" s="222" t="str">
        <f t="shared" si="1"/>
        <v/>
      </c>
      <c r="I38" s="222" t="str">
        <f t="shared" si="2"/>
        <v/>
      </c>
      <c r="J38" s="67"/>
      <c r="K38" s="67"/>
      <c r="L38" s="361" t="s">
        <v>1238</v>
      </c>
      <c r="M38" s="294">
        <f t="shared" si="3"/>
        <v>0</v>
      </c>
      <c r="N38" s="176"/>
      <c r="O38" s="163"/>
      <c r="P38" s="163"/>
      <c r="Q38" s="175"/>
      <c r="R38" s="175"/>
      <c r="S38" s="130"/>
      <c r="T38" s="223" t="str">
        <f t="shared" si="4"/>
        <v/>
      </c>
      <c r="U38" s="222" t="str">
        <f t="shared" si="5"/>
        <v/>
      </c>
      <c r="V38" s="362" t="s">
        <v>1238</v>
      </c>
      <c r="W38" s="72"/>
    </row>
    <row r="39" spans="1:23" x14ac:dyDescent="0.2">
      <c r="A39" s="293">
        <f t="shared" si="0"/>
        <v>0</v>
      </c>
      <c r="B39" s="163"/>
      <c r="C39" s="163"/>
      <c r="D39" s="163"/>
      <c r="E39" s="175"/>
      <c r="F39" s="175"/>
      <c r="G39" s="130"/>
      <c r="H39" s="222" t="str">
        <f t="shared" si="1"/>
        <v/>
      </c>
      <c r="I39" s="222" t="str">
        <f t="shared" si="2"/>
        <v/>
      </c>
      <c r="J39" s="67"/>
      <c r="K39" s="67"/>
      <c r="L39" s="361" t="s">
        <v>1238</v>
      </c>
      <c r="M39" s="294">
        <f t="shared" si="3"/>
        <v>0</v>
      </c>
      <c r="N39" s="176"/>
      <c r="O39" s="163"/>
      <c r="P39" s="163"/>
      <c r="Q39" s="175"/>
      <c r="R39" s="175"/>
      <c r="S39" s="130"/>
      <c r="T39" s="223" t="str">
        <f t="shared" si="4"/>
        <v/>
      </c>
      <c r="U39" s="222" t="str">
        <f t="shared" si="5"/>
        <v/>
      </c>
      <c r="V39" s="362" t="s">
        <v>1238</v>
      </c>
      <c r="W39" s="72"/>
    </row>
    <row r="40" spans="1:23" x14ac:dyDescent="0.2">
      <c r="A40" s="293">
        <f t="shared" si="0"/>
        <v>0</v>
      </c>
      <c r="B40" s="163"/>
      <c r="C40" s="163"/>
      <c r="D40" s="163"/>
      <c r="E40" s="175"/>
      <c r="F40" s="175"/>
      <c r="G40" s="130"/>
      <c r="H40" s="222" t="str">
        <f t="shared" si="1"/>
        <v/>
      </c>
      <c r="I40" s="222" t="str">
        <f t="shared" si="2"/>
        <v/>
      </c>
      <c r="J40" s="67"/>
      <c r="K40" s="67"/>
      <c r="L40" s="361" t="s">
        <v>1238</v>
      </c>
      <c r="M40" s="294">
        <f t="shared" si="3"/>
        <v>0</v>
      </c>
      <c r="N40" s="176"/>
      <c r="O40" s="163"/>
      <c r="P40" s="163"/>
      <c r="Q40" s="175"/>
      <c r="R40" s="175"/>
      <c r="S40" s="130"/>
      <c r="T40" s="223" t="str">
        <f t="shared" si="4"/>
        <v/>
      </c>
      <c r="U40" s="222" t="str">
        <f t="shared" si="5"/>
        <v/>
      </c>
      <c r="V40" s="362" t="s">
        <v>1238</v>
      </c>
      <c r="W40" s="72"/>
    </row>
    <row r="41" spans="1:23" x14ac:dyDescent="0.2">
      <c r="A41" s="293">
        <f t="shared" si="0"/>
        <v>0</v>
      </c>
      <c r="B41" s="163"/>
      <c r="C41" s="163"/>
      <c r="D41" s="163"/>
      <c r="E41" s="175"/>
      <c r="F41" s="175"/>
      <c r="G41" s="130"/>
      <c r="H41" s="222" t="str">
        <f t="shared" si="1"/>
        <v/>
      </c>
      <c r="I41" s="222" t="str">
        <f t="shared" si="2"/>
        <v/>
      </c>
      <c r="J41" s="67"/>
      <c r="K41" s="67"/>
      <c r="L41" s="361" t="s">
        <v>1238</v>
      </c>
      <c r="M41" s="294">
        <f t="shared" si="3"/>
        <v>0</v>
      </c>
      <c r="N41" s="176"/>
      <c r="O41" s="163"/>
      <c r="P41" s="163"/>
      <c r="Q41" s="175"/>
      <c r="R41" s="175"/>
      <c r="S41" s="130"/>
      <c r="T41" s="223" t="str">
        <f t="shared" si="4"/>
        <v/>
      </c>
      <c r="U41" s="222" t="str">
        <f t="shared" si="5"/>
        <v/>
      </c>
      <c r="V41" s="362" t="s">
        <v>1238</v>
      </c>
      <c r="W41" s="72"/>
    </row>
    <row r="42" spans="1:23" x14ac:dyDescent="0.2">
      <c r="A42" s="293">
        <f t="shared" si="0"/>
        <v>0</v>
      </c>
      <c r="B42" s="163"/>
      <c r="C42" s="163"/>
      <c r="D42" s="163"/>
      <c r="E42" s="175"/>
      <c r="F42" s="175"/>
      <c r="G42" s="130"/>
      <c r="H42" s="222" t="str">
        <f t="shared" si="1"/>
        <v/>
      </c>
      <c r="I42" s="222" t="str">
        <f t="shared" si="2"/>
        <v/>
      </c>
      <c r="J42" s="67"/>
      <c r="K42" s="67"/>
      <c r="L42" s="361" t="s">
        <v>1238</v>
      </c>
      <c r="M42" s="294">
        <f t="shared" si="3"/>
        <v>0</v>
      </c>
      <c r="N42" s="176"/>
      <c r="O42" s="163"/>
      <c r="P42" s="163"/>
      <c r="Q42" s="175"/>
      <c r="R42" s="175"/>
      <c r="S42" s="130"/>
      <c r="T42" s="223" t="str">
        <f t="shared" si="4"/>
        <v/>
      </c>
      <c r="U42" s="222" t="str">
        <f t="shared" si="5"/>
        <v/>
      </c>
      <c r="V42" s="362" t="s">
        <v>1238</v>
      </c>
      <c r="W42" s="72"/>
    </row>
    <row r="43" spans="1:23" x14ac:dyDescent="0.2">
      <c r="A43" s="293">
        <f t="shared" si="0"/>
        <v>0</v>
      </c>
      <c r="B43" s="163"/>
      <c r="C43" s="163"/>
      <c r="D43" s="163"/>
      <c r="E43" s="175"/>
      <c r="F43" s="175"/>
      <c r="G43" s="130"/>
      <c r="H43" s="222" t="str">
        <f t="shared" si="1"/>
        <v/>
      </c>
      <c r="I43" s="222" t="str">
        <f t="shared" si="2"/>
        <v/>
      </c>
      <c r="J43" s="67"/>
      <c r="K43" s="67"/>
      <c r="L43" s="361" t="s">
        <v>1238</v>
      </c>
      <c r="M43" s="294">
        <f t="shared" si="3"/>
        <v>0</v>
      </c>
      <c r="N43" s="176"/>
      <c r="O43" s="163"/>
      <c r="P43" s="163"/>
      <c r="Q43" s="175"/>
      <c r="R43" s="175"/>
      <c r="S43" s="130"/>
      <c r="T43" s="223" t="str">
        <f t="shared" si="4"/>
        <v/>
      </c>
      <c r="U43" s="222" t="str">
        <f t="shared" si="5"/>
        <v/>
      </c>
      <c r="V43" s="362" t="s">
        <v>1238</v>
      </c>
      <c r="W43" s="72"/>
    </row>
    <row r="44" spans="1:23" x14ac:dyDescent="0.2">
      <c r="A44" s="293">
        <f t="shared" si="0"/>
        <v>0</v>
      </c>
      <c r="B44" s="163"/>
      <c r="C44" s="163"/>
      <c r="D44" s="163"/>
      <c r="E44" s="175"/>
      <c r="F44" s="175"/>
      <c r="G44" s="130"/>
      <c r="H44" s="222" t="str">
        <f t="shared" si="1"/>
        <v/>
      </c>
      <c r="I44" s="222" t="str">
        <f t="shared" si="2"/>
        <v/>
      </c>
      <c r="J44" s="67"/>
      <c r="K44" s="67"/>
      <c r="L44" s="361" t="s">
        <v>1238</v>
      </c>
      <c r="M44" s="294">
        <f t="shared" si="3"/>
        <v>0</v>
      </c>
      <c r="N44" s="176"/>
      <c r="O44" s="163"/>
      <c r="P44" s="163"/>
      <c r="Q44" s="175"/>
      <c r="R44" s="175"/>
      <c r="S44" s="130"/>
      <c r="T44" s="223" t="str">
        <f t="shared" si="4"/>
        <v/>
      </c>
      <c r="U44" s="222" t="str">
        <f t="shared" si="5"/>
        <v/>
      </c>
      <c r="V44" s="362" t="s">
        <v>1238</v>
      </c>
      <c r="W44" s="72"/>
    </row>
    <row r="45" spans="1:23" x14ac:dyDescent="0.2">
      <c r="A45" s="293">
        <f t="shared" si="0"/>
        <v>0</v>
      </c>
      <c r="B45" s="163"/>
      <c r="C45" s="163"/>
      <c r="D45" s="163"/>
      <c r="E45" s="175"/>
      <c r="F45" s="175"/>
      <c r="G45" s="130"/>
      <c r="H45" s="222" t="str">
        <f t="shared" si="1"/>
        <v/>
      </c>
      <c r="I45" s="222" t="str">
        <f t="shared" si="2"/>
        <v/>
      </c>
      <c r="J45" s="67"/>
      <c r="K45" s="67"/>
      <c r="L45" s="361" t="s">
        <v>1238</v>
      </c>
      <c r="M45" s="294">
        <f t="shared" si="3"/>
        <v>0</v>
      </c>
      <c r="N45" s="176"/>
      <c r="O45" s="163"/>
      <c r="P45" s="163"/>
      <c r="Q45" s="175"/>
      <c r="R45" s="175"/>
      <c r="S45" s="130"/>
      <c r="T45" s="223" t="str">
        <f t="shared" si="4"/>
        <v/>
      </c>
      <c r="U45" s="222" t="str">
        <f t="shared" si="5"/>
        <v/>
      </c>
      <c r="V45" s="362" t="s">
        <v>1238</v>
      </c>
      <c r="W45" s="72"/>
    </row>
    <row r="46" spans="1:23" x14ac:dyDescent="0.2">
      <c r="A46" s="293">
        <f t="shared" si="0"/>
        <v>0</v>
      </c>
      <c r="B46" s="163"/>
      <c r="C46" s="163"/>
      <c r="D46" s="163"/>
      <c r="E46" s="175"/>
      <c r="F46" s="175"/>
      <c r="G46" s="130"/>
      <c r="H46" s="222" t="str">
        <f t="shared" si="1"/>
        <v/>
      </c>
      <c r="I46" s="222" t="str">
        <f t="shared" si="2"/>
        <v/>
      </c>
      <c r="J46" s="67"/>
      <c r="K46" s="67"/>
      <c r="L46" s="361" t="s">
        <v>1238</v>
      </c>
      <c r="M46" s="294">
        <f t="shared" si="3"/>
        <v>0</v>
      </c>
      <c r="N46" s="176"/>
      <c r="O46" s="163"/>
      <c r="P46" s="163"/>
      <c r="Q46" s="175"/>
      <c r="R46" s="175"/>
      <c r="S46" s="130"/>
      <c r="T46" s="223" t="str">
        <f t="shared" si="4"/>
        <v/>
      </c>
      <c r="U46" s="222" t="str">
        <f t="shared" si="5"/>
        <v/>
      </c>
      <c r="V46" s="362" t="s">
        <v>1238</v>
      </c>
      <c r="W46" s="72"/>
    </row>
    <row r="47" spans="1:23" x14ac:dyDescent="0.2">
      <c r="A47" s="293">
        <f t="shared" si="0"/>
        <v>0</v>
      </c>
      <c r="B47" s="163"/>
      <c r="C47" s="163"/>
      <c r="D47" s="163"/>
      <c r="E47" s="175"/>
      <c r="F47" s="175"/>
      <c r="G47" s="130"/>
      <c r="H47" s="222" t="str">
        <f t="shared" si="1"/>
        <v/>
      </c>
      <c r="I47" s="222" t="str">
        <f t="shared" si="2"/>
        <v/>
      </c>
      <c r="J47" s="67"/>
      <c r="K47" s="67"/>
      <c r="L47" s="361" t="s">
        <v>1238</v>
      </c>
      <c r="M47" s="294">
        <f t="shared" si="3"/>
        <v>0</v>
      </c>
      <c r="N47" s="176"/>
      <c r="O47" s="163"/>
      <c r="P47" s="163"/>
      <c r="Q47" s="175"/>
      <c r="R47" s="175"/>
      <c r="S47" s="130"/>
      <c r="T47" s="223" t="str">
        <f t="shared" si="4"/>
        <v/>
      </c>
      <c r="U47" s="222" t="str">
        <f t="shared" si="5"/>
        <v/>
      </c>
      <c r="V47" s="362" t="s">
        <v>1238</v>
      </c>
      <c r="W47" s="72"/>
    </row>
    <row r="48" spans="1:23" x14ac:dyDescent="0.2">
      <c r="A48" s="293">
        <f t="shared" si="0"/>
        <v>0</v>
      </c>
      <c r="B48" s="163"/>
      <c r="C48" s="163"/>
      <c r="D48" s="163"/>
      <c r="E48" s="175"/>
      <c r="F48" s="175"/>
      <c r="G48" s="130"/>
      <c r="H48" s="222" t="str">
        <f t="shared" si="1"/>
        <v/>
      </c>
      <c r="I48" s="222" t="str">
        <f t="shared" si="2"/>
        <v/>
      </c>
      <c r="J48" s="67"/>
      <c r="K48" s="67"/>
      <c r="L48" s="361" t="s">
        <v>1238</v>
      </c>
      <c r="M48" s="294">
        <f t="shared" si="3"/>
        <v>0</v>
      </c>
      <c r="N48" s="176"/>
      <c r="O48" s="163"/>
      <c r="P48" s="163"/>
      <c r="Q48" s="175"/>
      <c r="R48" s="175"/>
      <c r="S48" s="130"/>
      <c r="T48" s="223" t="str">
        <f t="shared" si="4"/>
        <v/>
      </c>
      <c r="U48" s="222" t="str">
        <f t="shared" si="5"/>
        <v/>
      </c>
      <c r="V48" s="362" t="s">
        <v>1238</v>
      </c>
      <c r="W48" s="72"/>
    </row>
    <row r="49" spans="1:23" x14ac:dyDescent="0.2">
      <c r="A49" s="293">
        <f t="shared" si="0"/>
        <v>0</v>
      </c>
      <c r="B49" s="163"/>
      <c r="C49" s="163"/>
      <c r="D49" s="163"/>
      <c r="E49" s="175"/>
      <c r="F49" s="175"/>
      <c r="G49" s="130"/>
      <c r="H49" s="222" t="str">
        <f t="shared" si="1"/>
        <v/>
      </c>
      <c r="I49" s="222" t="str">
        <f t="shared" si="2"/>
        <v/>
      </c>
      <c r="J49" s="67"/>
      <c r="K49" s="67"/>
      <c r="L49" s="361" t="s">
        <v>1238</v>
      </c>
      <c r="M49" s="294">
        <f t="shared" si="3"/>
        <v>0</v>
      </c>
      <c r="N49" s="176"/>
      <c r="O49" s="163"/>
      <c r="P49" s="163"/>
      <c r="Q49" s="175"/>
      <c r="R49" s="175"/>
      <c r="S49" s="130"/>
      <c r="T49" s="223" t="str">
        <f t="shared" si="4"/>
        <v/>
      </c>
      <c r="U49" s="222" t="str">
        <f t="shared" si="5"/>
        <v/>
      </c>
      <c r="V49" s="362" t="s">
        <v>1238</v>
      </c>
      <c r="W49" s="72"/>
    </row>
    <row r="50" spans="1:23" x14ac:dyDescent="0.2">
      <c r="A50" s="293">
        <f t="shared" si="0"/>
        <v>0</v>
      </c>
      <c r="B50" s="163"/>
      <c r="C50" s="163"/>
      <c r="D50" s="163"/>
      <c r="E50" s="175"/>
      <c r="F50" s="175"/>
      <c r="G50" s="130"/>
      <c r="H50" s="222" t="str">
        <f t="shared" si="1"/>
        <v/>
      </c>
      <c r="I50" s="222" t="str">
        <f t="shared" si="2"/>
        <v/>
      </c>
      <c r="J50" s="67"/>
      <c r="K50" s="67"/>
      <c r="L50" s="361" t="s">
        <v>1238</v>
      </c>
      <c r="M50" s="294">
        <f t="shared" si="3"/>
        <v>0</v>
      </c>
      <c r="N50" s="176"/>
      <c r="O50" s="163"/>
      <c r="P50" s="163"/>
      <c r="Q50" s="175"/>
      <c r="R50" s="175"/>
      <c r="S50" s="130"/>
      <c r="T50" s="223" t="str">
        <f t="shared" si="4"/>
        <v/>
      </c>
      <c r="U50" s="222" t="str">
        <f t="shared" si="5"/>
        <v/>
      </c>
      <c r="V50" s="362" t="s">
        <v>1238</v>
      </c>
      <c r="W50" s="72"/>
    </row>
    <row r="51" spans="1:23" x14ac:dyDescent="0.2">
      <c r="A51" s="293">
        <f t="shared" si="0"/>
        <v>0</v>
      </c>
      <c r="B51" s="163"/>
      <c r="C51" s="163"/>
      <c r="D51" s="163"/>
      <c r="E51" s="175"/>
      <c r="F51" s="175"/>
      <c r="G51" s="130"/>
      <c r="H51" s="222" t="str">
        <f t="shared" si="1"/>
        <v/>
      </c>
      <c r="I51" s="222" t="str">
        <f t="shared" si="2"/>
        <v/>
      </c>
      <c r="J51" s="67"/>
      <c r="K51" s="67"/>
      <c r="L51" s="361" t="s">
        <v>1238</v>
      </c>
      <c r="M51" s="294">
        <f t="shared" si="3"/>
        <v>0</v>
      </c>
      <c r="N51" s="176"/>
      <c r="O51" s="163"/>
      <c r="P51" s="163"/>
      <c r="Q51" s="175"/>
      <c r="R51" s="175"/>
      <c r="S51" s="130"/>
      <c r="T51" s="223" t="str">
        <f t="shared" si="4"/>
        <v/>
      </c>
      <c r="U51" s="222" t="str">
        <f t="shared" si="5"/>
        <v/>
      </c>
      <c r="V51" s="362" t="s">
        <v>1238</v>
      </c>
      <c r="W51" s="72"/>
    </row>
    <row r="52" spans="1:23" x14ac:dyDescent="0.2">
      <c r="A52" s="293">
        <f t="shared" si="0"/>
        <v>0</v>
      </c>
      <c r="B52" s="163"/>
      <c r="C52" s="163"/>
      <c r="D52" s="163"/>
      <c r="E52" s="175"/>
      <c r="F52" s="175"/>
      <c r="G52" s="130"/>
      <c r="H52" s="222" t="str">
        <f t="shared" si="1"/>
        <v/>
      </c>
      <c r="I52" s="222" t="str">
        <f t="shared" si="2"/>
        <v/>
      </c>
      <c r="J52" s="67"/>
      <c r="K52" s="67"/>
      <c r="L52" s="361" t="s">
        <v>1238</v>
      </c>
      <c r="M52" s="294">
        <f t="shared" si="3"/>
        <v>0</v>
      </c>
      <c r="N52" s="176"/>
      <c r="O52" s="163"/>
      <c r="P52" s="163"/>
      <c r="Q52" s="175"/>
      <c r="R52" s="175"/>
      <c r="S52" s="130"/>
      <c r="T52" s="223" t="str">
        <f t="shared" si="4"/>
        <v/>
      </c>
      <c r="U52" s="222" t="str">
        <f t="shared" si="5"/>
        <v/>
      </c>
      <c r="V52" s="362" t="s">
        <v>1238</v>
      </c>
      <c r="W52" s="72"/>
    </row>
    <row r="53" spans="1:23" x14ac:dyDescent="0.2">
      <c r="A53" s="293">
        <f t="shared" si="0"/>
        <v>0</v>
      </c>
      <c r="B53" s="163"/>
      <c r="C53" s="163"/>
      <c r="D53" s="163"/>
      <c r="E53" s="175"/>
      <c r="F53" s="175"/>
      <c r="G53" s="130"/>
      <c r="H53" s="222" t="str">
        <f t="shared" si="1"/>
        <v/>
      </c>
      <c r="I53" s="222" t="str">
        <f t="shared" si="2"/>
        <v/>
      </c>
      <c r="J53" s="67"/>
      <c r="K53" s="67"/>
      <c r="L53" s="361" t="s">
        <v>1238</v>
      </c>
      <c r="M53" s="294">
        <f t="shared" si="3"/>
        <v>0</v>
      </c>
      <c r="N53" s="176"/>
      <c r="O53" s="163"/>
      <c r="P53" s="163"/>
      <c r="Q53" s="175"/>
      <c r="R53" s="175"/>
      <c r="S53" s="130"/>
      <c r="T53" s="223" t="str">
        <f t="shared" si="4"/>
        <v/>
      </c>
      <c r="U53" s="222" t="str">
        <f t="shared" si="5"/>
        <v/>
      </c>
      <c r="V53" s="362" t="s">
        <v>1238</v>
      </c>
      <c r="W53" s="72"/>
    </row>
    <row r="54" spans="1:23" x14ac:dyDescent="0.2">
      <c r="A54" s="293">
        <f t="shared" si="0"/>
        <v>0</v>
      </c>
      <c r="B54" s="163"/>
      <c r="C54" s="163"/>
      <c r="D54" s="163"/>
      <c r="E54" s="175"/>
      <c r="F54" s="175"/>
      <c r="G54" s="130"/>
      <c r="H54" s="222" t="str">
        <f t="shared" si="1"/>
        <v/>
      </c>
      <c r="I54" s="222" t="str">
        <f t="shared" si="2"/>
        <v/>
      </c>
      <c r="J54" s="67"/>
      <c r="K54" s="67"/>
      <c r="L54" s="361" t="s">
        <v>1238</v>
      </c>
      <c r="M54" s="294">
        <f t="shared" si="3"/>
        <v>0</v>
      </c>
      <c r="N54" s="176"/>
      <c r="O54" s="163"/>
      <c r="P54" s="163"/>
      <c r="Q54" s="175"/>
      <c r="R54" s="175"/>
      <c r="S54" s="130"/>
      <c r="T54" s="223" t="str">
        <f t="shared" si="4"/>
        <v/>
      </c>
      <c r="U54" s="222" t="str">
        <f t="shared" si="5"/>
        <v/>
      </c>
      <c r="V54" s="362" t="s">
        <v>1238</v>
      </c>
      <c r="W54" s="72"/>
    </row>
    <row r="55" spans="1:23" x14ac:dyDescent="0.2">
      <c r="A55" s="293">
        <f t="shared" si="0"/>
        <v>0</v>
      </c>
      <c r="B55" s="163"/>
      <c r="C55" s="163"/>
      <c r="D55" s="163"/>
      <c r="E55" s="175"/>
      <c r="F55" s="175"/>
      <c r="G55" s="130"/>
      <c r="H55" s="222" t="str">
        <f t="shared" si="1"/>
        <v/>
      </c>
      <c r="I55" s="222" t="str">
        <f t="shared" si="2"/>
        <v/>
      </c>
      <c r="J55" s="67"/>
      <c r="K55" s="67"/>
      <c r="L55" s="361" t="s">
        <v>1238</v>
      </c>
      <c r="M55" s="294">
        <f t="shared" si="3"/>
        <v>0</v>
      </c>
      <c r="N55" s="176"/>
      <c r="O55" s="163"/>
      <c r="P55" s="163"/>
      <c r="Q55" s="175"/>
      <c r="R55" s="175"/>
      <c r="S55" s="130"/>
      <c r="T55" s="223" t="str">
        <f t="shared" si="4"/>
        <v/>
      </c>
      <c r="U55" s="222" t="str">
        <f t="shared" si="5"/>
        <v/>
      </c>
      <c r="V55" s="362" t="s">
        <v>1238</v>
      </c>
      <c r="W55" s="72"/>
    </row>
    <row r="56" spans="1:23" x14ac:dyDescent="0.2">
      <c r="A56" s="293">
        <f t="shared" si="0"/>
        <v>0</v>
      </c>
      <c r="B56" s="163"/>
      <c r="C56" s="163"/>
      <c r="D56" s="163"/>
      <c r="E56" s="175"/>
      <c r="F56" s="175"/>
      <c r="G56" s="130"/>
      <c r="H56" s="222" t="str">
        <f t="shared" si="1"/>
        <v/>
      </c>
      <c r="I56" s="222" t="str">
        <f t="shared" si="2"/>
        <v/>
      </c>
      <c r="J56" s="67"/>
      <c r="K56" s="67"/>
      <c r="L56" s="361" t="s">
        <v>1238</v>
      </c>
      <c r="M56" s="294">
        <f t="shared" si="3"/>
        <v>0</v>
      </c>
      <c r="N56" s="176"/>
      <c r="O56" s="163"/>
      <c r="P56" s="163"/>
      <c r="Q56" s="175"/>
      <c r="R56" s="175"/>
      <c r="S56" s="130"/>
      <c r="T56" s="223" t="str">
        <f t="shared" si="4"/>
        <v/>
      </c>
      <c r="U56" s="222" t="str">
        <f t="shared" si="5"/>
        <v/>
      </c>
      <c r="V56" s="362" t="s">
        <v>1238</v>
      </c>
      <c r="W56" s="72"/>
    </row>
    <row r="57" spans="1:23" x14ac:dyDescent="0.2">
      <c r="A57" s="293">
        <f t="shared" si="0"/>
        <v>0</v>
      </c>
      <c r="B57" s="163"/>
      <c r="C57" s="163"/>
      <c r="D57" s="163"/>
      <c r="E57" s="175"/>
      <c r="F57" s="175"/>
      <c r="G57" s="130"/>
      <c r="H57" s="222" t="str">
        <f t="shared" si="1"/>
        <v/>
      </c>
      <c r="I57" s="222" t="str">
        <f t="shared" si="2"/>
        <v/>
      </c>
      <c r="J57" s="67"/>
      <c r="K57" s="67"/>
      <c r="L57" s="361" t="s">
        <v>1238</v>
      </c>
      <c r="M57" s="294">
        <f t="shared" si="3"/>
        <v>0</v>
      </c>
      <c r="N57" s="176"/>
      <c r="O57" s="163"/>
      <c r="P57" s="163"/>
      <c r="Q57" s="175"/>
      <c r="R57" s="175"/>
      <c r="S57" s="130"/>
      <c r="T57" s="223" t="str">
        <f t="shared" si="4"/>
        <v/>
      </c>
      <c r="U57" s="222" t="str">
        <f t="shared" si="5"/>
        <v/>
      </c>
      <c r="V57" s="362" t="s">
        <v>1238</v>
      </c>
      <c r="W57" s="72"/>
    </row>
    <row r="58" spans="1:23" x14ac:dyDescent="0.2">
      <c r="A58" s="293">
        <f t="shared" si="0"/>
        <v>0</v>
      </c>
      <c r="B58" s="163"/>
      <c r="C58" s="163"/>
      <c r="D58" s="163"/>
      <c r="E58" s="175"/>
      <c r="F58" s="175"/>
      <c r="G58" s="130"/>
      <c r="H58" s="222" t="str">
        <f t="shared" si="1"/>
        <v/>
      </c>
      <c r="I58" s="222" t="str">
        <f t="shared" si="2"/>
        <v/>
      </c>
      <c r="J58" s="67"/>
      <c r="K58" s="67"/>
      <c r="L58" s="361" t="s">
        <v>1238</v>
      </c>
      <c r="M58" s="294">
        <f t="shared" si="3"/>
        <v>0</v>
      </c>
      <c r="N58" s="176"/>
      <c r="O58" s="163"/>
      <c r="P58" s="163"/>
      <c r="Q58" s="175"/>
      <c r="R58" s="175"/>
      <c r="S58" s="130"/>
      <c r="T58" s="223" t="str">
        <f t="shared" si="4"/>
        <v/>
      </c>
      <c r="U58" s="222" t="str">
        <f t="shared" si="5"/>
        <v/>
      </c>
      <c r="V58" s="362" t="s">
        <v>1238</v>
      </c>
      <c r="W58" s="72"/>
    </row>
    <row r="59" spans="1:23" x14ac:dyDescent="0.2">
      <c r="A59" s="293">
        <f t="shared" si="0"/>
        <v>0</v>
      </c>
      <c r="B59" s="163"/>
      <c r="C59" s="163"/>
      <c r="D59" s="163"/>
      <c r="E59" s="175"/>
      <c r="F59" s="175"/>
      <c r="G59" s="130"/>
      <c r="H59" s="222" t="str">
        <f t="shared" si="1"/>
        <v/>
      </c>
      <c r="I59" s="222" t="str">
        <f t="shared" si="2"/>
        <v/>
      </c>
      <c r="J59" s="67"/>
      <c r="K59" s="67"/>
      <c r="L59" s="361" t="s">
        <v>1238</v>
      </c>
      <c r="M59" s="294">
        <f t="shared" si="3"/>
        <v>0</v>
      </c>
      <c r="N59" s="176"/>
      <c r="O59" s="163"/>
      <c r="P59" s="163"/>
      <c r="Q59" s="175"/>
      <c r="R59" s="175"/>
      <c r="S59" s="130"/>
      <c r="T59" s="223" t="str">
        <f t="shared" si="4"/>
        <v/>
      </c>
      <c r="U59" s="222" t="str">
        <f t="shared" si="5"/>
        <v/>
      </c>
      <c r="V59" s="362" t="s">
        <v>1238</v>
      </c>
      <c r="W59" s="72"/>
    </row>
    <row r="60" spans="1:23" x14ac:dyDescent="0.2">
      <c r="A60" s="293">
        <f t="shared" si="0"/>
        <v>0</v>
      </c>
      <c r="B60" s="163"/>
      <c r="C60" s="163"/>
      <c r="D60" s="163"/>
      <c r="E60" s="175"/>
      <c r="F60" s="175"/>
      <c r="G60" s="130"/>
      <c r="H60" s="222" t="str">
        <f t="shared" si="1"/>
        <v/>
      </c>
      <c r="I60" s="222" t="str">
        <f t="shared" si="2"/>
        <v/>
      </c>
      <c r="J60" s="67"/>
      <c r="K60" s="67"/>
      <c r="L60" s="361" t="s">
        <v>1238</v>
      </c>
      <c r="M60" s="294">
        <f t="shared" si="3"/>
        <v>0</v>
      </c>
      <c r="N60" s="176"/>
      <c r="O60" s="163"/>
      <c r="P60" s="163"/>
      <c r="Q60" s="175"/>
      <c r="R60" s="175"/>
      <c r="S60" s="130"/>
      <c r="T60" s="223" t="str">
        <f t="shared" si="4"/>
        <v/>
      </c>
      <c r="U60" s="222" t="str">
        <f t="shared" si="5"/>
        <v/>
      </c>
      <c r="V60" s="362" t="s">
        <v>1238</v>
      </c>
      <c r="W60" s="72"/>
    </row>
    <row r="61" spans="1:23" x14ac:dyDescent="0.2">
      <c r="A61" s="293">
        <f t="shared" si="0"/>
        <v>0</v>
      </c>
      <c r="B61" s="163"/>
      <c r="C61" s="163"/>
      <c r="D61" s="163"/>
      <c r="E61" s="175"/>
      <c r="F61" s="175"/>
      <c r="G61" s="130"/>
      <c r="H61" s="222" t="str">
        <f t="shared" si="1"/>
        <v/>
      </c>
      <c r="I61" s="222" t="str">
        <f t="shared" si="2"/>
        <v/>
      </c>
      <c r="J61" s="67"/>
      <c r="K61" s="67"/>
      <c r="L61" s="361" t="s">
        <v>1238</v>
      </c>
      <c r="M61" s="294">
        <f t="shared" si="3"/>
        <v>0</v>
      </c>
      <c r="N61" s="176"/>
      <c r="O61" s="163"/>
      <c r="P61" s="163"/>
      <c r="Q61" s="175"/>
      <c r="R61" s="175"/>
      <c r="S61" s="130"/>
      <c r="T61" s="223" t="str">
        <f t="shared" si="4"/>
        <v/>
      </c>
      <c r="U61" s="222" t="str">
        <f t="shared" si="5"/>
        <v/>
      </c>
      <c r="V61" s="362" t="s">
        <v>1238</v>
      </c>
      <c r="W61" s="72"/>
    </row>
    <row r="62" spans="1:23" x14ac:dyDescent="0.2">
      <c r="A62" s="293">
        <f t="shared" si="0"/>
        <v>0</v>
      </c>
      <c r="B62" s="163"/>
      <c r="C62" s="163"/>
      <c r="D62" s="163"/>
      <c r="E62" s="175"/>
      <c r="F62" s="175"/>
      <c r="G62" s="130"/>
      <c r="H62" s="222" t="str">
        <f t="shared" si="1"/>
        <v/>
      </c>
      <c r="I62" s="222" t="str">
        <f t="shared" si="2"/>
        <v/>
      </c>
      <c r="J62" s="67"/>
      <c r="K62" s="67"/>
      <c r="L62" s="361" t="s">
        <v>1238</v>
      </c>
      <c r="M62" s="294">
        <f t="shared" si="3"/>
        <v>0</v>
      </c>
      <c r="N62" s="176"/>
      <c r="O62" s="163"/>
      <c r="P62" s="163"/>
      <c r="Q62" s="175"/>
      <c r="R62" s="175"/>
      <c r="S62" s="130"/>
      <c r="T62" s="223" t="str">
        <f t="shared" si="4"/>
        <v/>
      </c>
      <c r="U62" s="222" t="str">
        <f t="shared" si="5"/>
        <v/>
      </c>
      <c r="V62" s="362" t="s">
        <v>1238</v>
      </c>
      <c r="W62" s="72"/>
    </row>
    <row r="63" spans="1:23" x14ac:dyDescent="0.2">
      <c r="A63" s="293">
        <f t="shared" si="0"/>
        <v>0</v>
      </c>
      <c r="B63" s="163"/>
      <c r="C63" s="163"/>
      <c r="D63" s="163"/>
      <c r="E63" s="175"/>
      <c r="F63" s="175"/>
      <c r="G63" s="130"/>
      <c r="H63" s="222" t="str">
        <f t="shared" si="1"/>
        <v/>
      </c>
      <c r="I63" s="222" t="str">
        <f t="shared" si="2"/>
        <v/>
      </c>
      <c r="J63" s="67"/>
      <c r="K63" s="67"/>
      <c r="L63" s="361" t="s">
        <v>1238</v>
      </c>
      <c r="M63" s="294">
        <f t="shared" si="3"/>
        <v>0</v>
      </c>
      <c r="N63" s="176"/>
      <c r="O63" s="163"/>
      <c r="P63" s="163"/>
      <c r="Q63" s="175"/>
      <c r="R63" s="175"/>
      <c r="S63" s="130"/>
      <c r="T63" s="223" t="str">
        <f t="shared" si="4"/>
        <v/>
      </c>
      <c r="U63" s="222" t="str">
        <f t="shared" si="5"/>
        <v/>
      </c>
      <c r="V63" s="362" t="s">
        <v>1238</v>
      </c>
      <c r="W63" s="72"/>
    </row>
    <row r="64" spans="1:23" x14ac:dyDescent="0.2">
      <c r="A64" s="293">
        <f t="shared" si="0"/>
        <v>0</v>
      </c>
      <c r="B64" s="163"/>
      <c r="C64" s="163"/>
      <c r="D64" s="163"/>
      <c r="E64" s="175"/>
      <c r="F64" s="175"/>
      <c r="G64" s="130"/>
      <c r="H64" s="222" t="str">
        <f t="shared" si="1"/>
        <v/>
      </c>
      <c r="I64" s="222" t="str">
        <f t="shared" si="2"/>
        <v/>
      </c>
      <c r="J64" s="67"/>
      <c r="K64" s="67"/>
      <c r="L64" s="361" t="s">
        <v>1238</v>
      </c>
      <c r="M64" s="294">
        <f t="shared" si="3"/>
        <v>0</v>
      </c>
      <c r="N64" s="176"/>
      <c r="O64" s="163"/>
      <c r="P64" s="163"/>
      <c r="Q64" s="175"/>
      <c r="R64" s="175"/>
      <c r="S64" s="130"/>
      <c r="T64" s="223" t="str">
        <f t="shared" si="4"/>
        <v/>
      </c>
      <c r="U64" s="222" t="str">
        <f t="shared" si="5"/>
        <v/>
      </c>
      <c r="V64" s="362" t="s">
        <v>1238</v>
      </c>
      <c r="W64" s="72"/>
    </row>
    <row r="65" spans="1:23" x14ac:dyDescent="0.2">
      <c r="A65" s="293">
        <f t="shared" si="0"/>
        <v>0</v>
      </c>
      <c r="B65" s="163"/>
      <c r="C65" s="163"/>
      <c r="D65" s="163"/>
      <c r="E65" s="175"/>
      <c r="F65" s="175"/>
      <c r="G65" s="130"/>
      <c r="H65" s="222" t="str">
        <f t="shared" si="1"/>
        <v/>
      </c>
      <c r="I65" s="222" t="str">
        <f t="shared" si="2"/>
        <v/>
      </c>
      <c r="J65" s="67"/>
      <c r="K65" s="67"/>
      <c r="L65" s="361" t="s">
        <v>1238</v>
      </c>
      <c r="M65" s="294">
        <f t="shared" si="3"/>
        <v>0</v>
      </c>
      <c r="N65" s="176"/>
      <c r="O65" s="163"/>
      <c r="P65" s="163"/>
      <c r="Q65" s="175"/>
      <c r="R65" s="175"/>
      <c r="S65" s="130"/>
      <c r="T65" s="223" t="str">
        <f t="shared" si="4"/>
        <v/>
      </c>
      <c r="U65" s="222" t="str">
        <f t="shared" si="5"/>
        <v/>
      </c>
      <c r="V65" s="362" t="s">
        <v>1238</v>
      </c>
      <c r="W65" s="72"/>
    </row>
    <row r="66" spans="1:23" x14ac:dyDescent="0.2">
      <c r="A66" s="293">
        <f t="shared" si="0"/>
        <v>0</v>
      </c>
      <c r="B66" s="163"/>
      <c r="C66" s="163"/>
      <c r="D66" s="163"/>
      <c r="E66" s="175"/>
      <c r="F66" s="175"/>
      <c r="G66" s="130"/>
      <c r="H66" s="222" t="str">
        <f t="shared" si="1"/>
        <v/>
      </c>
      <c r="I66" s="222" t="str">
        <f t="shared" si="2"/>
        <v/>
      </c>
      <c r="J66" s="67"/>
      <c r="K66" s="67"/>
      <c r="L66" s="361" t="s">
        <v>1238</v>
      </c>
      <c r="M66" s="294">
        <f t="shared" si="3"/>
        <v>0</v>
      </c>
      <c r="N66" s="176"/>
      <c r="O66" s="163"/>
      <c r="P66" s="163"/>
      <c r="Q66" s="175"/>
      <c r="R66" s="175"/>
      <c r="S66" s="130"/>
      <c r="T66" s="223" t="str">
        <f t="shared" si="4"/>
        <v/>
      </c>
      <c r="U66" s="222" t="str">
        <f t="shared" si="5"/>
        <v/>
      </c>
      <c r="V66" s="362" t="s">
        <v>1238</v>
      </c>
      <c r="W66" s="72"/>
    </row>
    <row r="67" spans="1:23" x14ac:dyDescent="0.2">
      <c r="A67" s="293">
        <f t="shared" si="0"/>
        <v>0</v>
      </c>
      <c r="B67" s="163"/>
      <c r="C67" s="163"/>
      <c r="D67" s="163"/>
      <c r="E67" s="175"/>
      <c r="F67" s="175"/>
      <c r="G67" s="130"/>
      <c r="H67" s="222" t="str">
        <f t="shared" si="1"/>
        <v/>
      </c>
      <c r="I67" s="222" t="str">
        <f t="shared" si="2"/>
        <v/>
      </c>
      <c r="J67" s="67"/>
      <c r="K67" s="67"/>
      <c r="L67" s="361" t="s">
        <v>1238</v>
      </c>
      <c r="M67" s="294">
        <f t="shared" si="3"/>
        <v>0</v>
      </c>
      <c r="N67" s="176"/>
      <c r="O67" s="163"/>
      <c r="P67" s="163"/>
      <c r="Q67" s="175"/>
      <c r="R67" s="175"/>
      <c r="S67" s="130"/>
      <c r="T67" s="223" t="str">
        <f t="shared" si="4"/>
        <v/>
      </c>
      <c r="U67" s="222" t="str">
        <f t="shared" si="5"/>
        <v/>
      </c>
      <c r="V67" s="362" t="s">
        <v>1238</v>
      </c>
      <c r="W67" s="72"/>
    </row>
    <row r="68" spans="1:23" x14ac:dyDescent="0.2">
      <c r="A68" s="293">
        <f t="shared" si="0"/>
        <v>0</v>
      </c>
      <c r="B68" s="163"/>
      <c r="C68" s="163"/>
      <c r="D68" s="163"/>
      <c r="E68" s="175"/>
      <c r="F68" s="175"/>
      <c r="G68" s="130"/>
      <c r="H68" s="222" t="str">
        <f t="shared" si="1"/>
        <v/>
      </c>
      <c r="I68" s="222" t="str">
        <f t="shared" si="2"/>
        <v/>
      </c>
      <c r="J68" s="67"/>
      <c r="K68" s="67"/>
      <c r="L68" s="361" t="s">
        <v>1238</v>
      </c>
      <c r="M68" s="294">
        <f t="shared" si="3"/>
        <v>0</v>
      </c>
      <c r="N68" s="176"/>
      <c r="O68" s="163"/>
      <c r="P68" s="163"/>
      <c r="Q68" s="175"/>
      <c r="R68" s="175"/>
      <c r="S68" s="130"/>
      <c r="T68" s="223" t="str">
        <f t="shared" si="4"/>
        <v/>
      </c>
      <c r="U68" s="222" t="str">
        <f t="shared" si="5"/>
        <v/>
      </c>
      <c r="V68" s="362" t="s">
        <v>1238</v>
      </c>
      <c r="W68" s="72"/>
    </row>
    <row r="69" spans="1:23" x14ac:dyDescent="0.2">
      <c r="A69" s="293">
        <f t="shared" si="0"/>
        <v>0</v>
      </c>
      <c r="B69" s="163"/>
      <c r="C69" s="163"/>
      <c r="D69" s="163"/>
      <c r="E69" s="175"/>
      <c r="F69" s="175"/>
      <c r="G69" s="130"/>
      <c r="H69" s="222" t="str">
        <f t="shared" si="1"/>
        <v/>
      </c>
      <c r="I69" s="222" t="str">
        <f t="shared" si="2"/>
        <v/>
      </c>
      <c r="J69" s="67"/>
      <c r="K69" s="67"/>
      <c r="L69" s="361" t="s">
        <v>1238</v>
      </c>
      <c r="M69" s="294">
        <f t="shared" si="3"/>
        <v>0</v>
      </c>
      <c r="N69" s="176"/>
      <c r="O69" s="163"/>
      <c r="P69" s="163"/>
      <c r="Q69" s="175"/>
      <c r="R69" s="175"/>
      <c r="S69" s="130"/>
      <c r="T69" s="223" t="str">
        <f t="shared" si="4"/>
        <v/>
      </c>
      <c r="U69" s="222" t="str">
        <f t="shared" si="5"/>
        <v/>
      </c>
      <c r="V69" s="362" t="s">
        <v>1238</v>
      </c>
      <c r="W69" s="72"/>
    </row>
    <row r="70" spans="1:23" x14ac:dyDescent="0.2">
      <c r="A70" s="293">
        <f t="shared" si="0"/>
        <v>0</v>
      </c>
      <c r="B70" s="163"/>
      <c r="C70" s="163"/>
      <c r="D70" s="163"/>
      <c r="E70" s="175"/>
      <c r="F70" s="175"/>
      <c r="G70" s="130"/>
      <c r="H70" s="222" t="str">
        <f t="shared" si="1"/>
        <v/>
      </c>
      <c r="I70" s="222" t="str">
        <f t="shared" si="2"/>
        <v/>
      </c>
      <c r="J70" s="67"/>
      <c r="K70" s="67"/>
      <c r="L70" s="361" t="s">
        <v>1238</v>
      </c>
      <c r="M70" s="294">
        <f t="shared" si="3"/>
        <v>0</v>
      </c>
      <c r="N70" s="176"/>
      <c r="O70" s="163"/>
      <c r="P70" s="163"/>
      <c r="Q70" s="175"/>
      <c r="R70" s="175"/>
      <c r="S70" s="130"/>
      <c r="T70" s="223" t="str">
        <f t="shared" si="4"/>
        <v/>
      </c>
      <c r="U70" s="222" t="str">
        <f t="shared" si="5"/>
        <v/>
      </c>
      <c r="V70" s="362" t="s">
        <v>1238</v>
      </c>
      <c r="W70" s="72"/>
    </row>
    <row r="71" spans="1:23" x14ac:dyDescent="0.2">
      <c r="A71" s="293">
        <f t="shared" si="0"/>
        <v>0</v>
      </c>
      <c r="B71" s="163"/>
      <c r="C71" s="163"/>
      <c r="D71" s="163"/>
      <c r="E71" s="175"/>
      <c r="F71" s="175"/>
      <c r="G71" s="130"/>
      <c r="H71" s="222" t="str">
        <f t="shared" si="1"/>
        <v/>
      </c>
      <c r="I71" s="222" t="str">
        <f t="shared" si="2"/>
        <v/>
      </c>
      <c r="J71" s="67"/>
      <c r="K71" s="67"/>
      <c r="L71" s="361" t="s">
        <v>1238</v>
      </c>
      <c r="M71" s="294">
        <f t="shared" si="3"/>
        <v>0</v>
      </c>
      <c r="N71" s="176"/>
      <c r="O71" s="163"/>
      <c r="P71" s="163"/>
      <c r="Q71" s="175"/>
      <c r="R71" s="175"/>
      <c r="S71" s="130"/>
      <c r="T71" s="223" t="str">
        <f t="shared" si="4"/>
        <v/>
      </c>
      <c r="U71" s="222" t="str">
        <f t="shared" si="5"/>
        <v/>
      </c>
      <c r="V71" s="362" t="s">
        <v>1238</v>
      </c>
      <c r="W71" s="72"/>
    </row>
    <row r="72" spans="1:23" x14ac:dyDescent="0.2">
      <c r="A72" s="293">
        <f t="shared" si="0"/>
        <v>0</v>
      </c>
      <c r="B72" s="163"/>
      <c r="C72" s="163"/>
      <c r="D72" s="163"/>
      <c r="E72" s="175"/>
      <c r="F72" s="175"/>
      <c r="G72" s="130"/>
      <c r="H72" s="222" t="str">
        <f t="shared" si="1"/>
        <v/>
      </c>
      <c r="I72" s="222" t="str">
        <f t="shared" si="2"/>
        <v/>
      </c>
      <c r="J72" s="67"/>
      <c r="K72" s="67"/>
      <c r="L72" s="361" t="s">
        <v>1238</v>
      </c>
      <c r="M72" s="294">
        <f t="shared" si="3"/>
        <v>0</v>
      </c>
      <c r="N72" s="176"/>
      <c r="O72" s="163"/>
      <c r="P72" s="163"/>
      <c r="Q72" s="175"/>
      <c r="R72" s="175"/>
      <c r="S72" s="130"/>
      <c r="T72" s="223" t="str">
        <f t="shared" si="4"/>
        <v/>
      </c>
      <c r="U72" s="222" t="str">
        <f t="shared" si="5"/>
        <v/>
      </c>
      <c r="V72" s="362" t="s">
        <v>1238</v>
      </c>
      <c r="W72" s="72"/>
    </row>
    <row r="73" spans="1:23" x14ac:dyDescent="0.2">
      <c r="A73" s="293">
        <f t="shared" si="0"/>
        <v>0</v>
      </c>
      <c r="B73" s="163"/>
      <c r="C73" s="163"/>
      <c r="D73" s="163"/>
      <c r="E73" s="175"/>
      <c r="F73" s="175"/>
      <c r="G73" s="130"/>
      <c r="H73" s="222" t="str">
        <f t="shared" si="1"/>
        <v/>
      </c>
      <c r="I73" s="222" t="str">
        <f t="shared" si="2"/>
        <v/>
      </c>
      <c r="J73" s="67"/>
      <c r="K73" s="67"/>
      <c r="L73" s="361" t="s">
        <v>1238</v>
      </c>
      <c r="M73" s="294">
        <f t="shared" si="3"/>
        <v>0</v>
      </c>
      <c r="N73" s="176"/>
      <c r="O73" s="163"/>
      <c r="P73" s="163"/>
      <c r="Q73" s="175"/>
      <c r="R73" s="175"/>
      <c r="S73" s="130"/>
      <c r="T73" s="223" t="str">
        <f t="shared" si="4"/>
        <v/>
      </c>
      <c r="U73" s="222" t="str">
        <f t="shared" si="5"/>
        <v/>
      </c>
      <c r="V73" s="362" t="s">
        <v>1238</v>
      </c>
      <c r="W73" s="72"/>
    </row>
    <row r="74" spans="1:23" x14ac:dyDescent="0.2">
      <c r="A74" s="293">
        <f t="shared" si="0"/>
        <v>0</v>
      </c>
      <c r="B74" s="163"/>
      <c r="C74" s="163"/>
      <c r="D74" s="163"/>
      <c r="E74" s="175"/>
      <c r="F74" s="175"/>
      <c r="G74" s="130"/>
      <c r="H74" s="222" t="str">
        <f t="shared" si="1"/>
        <v/>
      </c>
      <c r="I74" s="222" t="str">
        <f t="shared" si="2"/>
        <v/>
      </c>
      <c r="J74" s="67"/>
      <c r="K74" s="67"/>
      <c r="L74" s="361" t="s">
        <v>1238</v>
      </c>
      <c r="M74" s="294">
        <f t="shared" si="3"/>
        <v>0</v>
      </c>
      <c r="N74" s="176"/>
      <c r="O74" s="163"/>
      <c r="P74" s="163"/>
      <c r="Q74" s="175"/>
      <c r="R74" s="175"/>
      <c r="S74" s="130"/>
      <c r="T74" s="223" t="str">
        <f t="shared" si="4"/>
        <v/>
      </c>
      <c r="U74" s="222" t="str">
        <f t="shared" si="5"/>
        <v/>
      </c>
      <c r="V74" s="362" t="s">
        <v>1238</v>
      </c>
      <c r="W74" s="72"/>
    </row>
    <row r="75" spans="1:23" x14ac:dyDescent="0.2">
      <c r="A75" s="293">
        <f t="shared" si="0"/>
        <v>0</v>
      </c>
      <c r="B75" s="163"/>
      <c r="C75" s="163"/>
      <c r="D75" s="163"/>
      <c r="E75" s="175"/>
      <c r="F75" s="175"/>
      <c r="G75" s="130"/>
      <c r="H75" s="222" t="str">
        <f t="shared" si="1"/>
        <v/>
      </c>
      <c r="I75" s="222" t="str">
        <f t="shared" si="2"/>
        <v/>
      </c>
      <c r="J75" s="67"/>
      <c r="K75" s="67"/>
      <c r="L75" s="361" t="s">
        <v>1238</v>
      </c>
      <c r="M75" s="294">
        <f t="shared" si="3"/>
        <v>0</v>
      </c>
      <c r="N75" s="176"/>
      <c r="O75" s="163"/>
      <c r="P75" s="163"/>
      <c r="Q75" s="175"/>
      <c r="R75" s="175"/>
      <c r="S75" s="130"/>
      <c r="T75" s="223" t="str">
        <f t="shared" si="4"/>
        <v/>
      </c>
      <c r="U75" s="222" t="str">
        <f t="shared" si="5"/>
        <v/>
      </c>
      <c r="V75" s="362" t="s">
        <v>1238</v>
      </c>
      <c r="W75" s="72"/>
    </row>
    <row r="76" spans="1:23" x14ac:dyDescent="0.2">
      <c r="A76" s="293">
        <f t="shared" si="0"/>
        <v>0</v>
      </c>
      <c r="B76" s="163"/>
      <c r="C76" s="163"/>
      <c r="D76" s="163"/>
      <c r="E76" s="175"/>
      <c r="F76" s="175"/>
      <c r="G76" s="130"/>
      <c r="H76" s="222" t="str">
        <f t="shared" si="1"/>
        <v/>
      </c>
      <c r="I76" s="222" t="str">
        <f t="shared" si="2"/>
        <v/>
      </c>
      <c r="J76" s="67"/>
      <c r="K76" s="67"/>
      <c r="L76" s="361" t="s">
        <v>1238</v>
      </c>
      <c r="M76" s="294">
        <f t="shared" si="3"/>
        <v>0</v>
      </c>
      <c r="N76" s="176"/>
      <c r="O76" s="163"/>
      <c r="P76" s="163"/>
      <c r="Q76" s="175"/>
      <c r="R76" s="175"/>
      <c r="S76" s="130"/>
      <c r="T76" s="223" t="str">
        <f t="shared" si="4"/>
        <v/>
      </c>
      <c r="U76" s="222" t="str">
        <f t="shared" si="5"/>
        <v/>
      </c>
      <c r="V76" s="362" t="s">
        <v>1238</v>
      </c>
      <c r="W76" s="72"/>
    </row>
    <row r="77" spans="1:23" x14ac:dyDescent="0.2">
      <c r="A77" s="293">
        <f t="shared" si="0"/>
        <v>0</v>
      </c>
      <c r="B77" s="163"/>
      <c r="C77" s="163"/>
      <c r="D77" s="163"/>
      <c r="E77" s="175"/>
      <c r="F77" s="175"/>
      <c r="G77" s="130"/>
      <c r="H77" s="222" t="str">
        <f t="shared" si="1"/>
        <v/>
      </c>
      <c r="I77" s="222" t="str">
        <f t="shared" si="2"/>
        <v/>
      </c>
      <c r="J77" s="67"/>
      <c r="K77" s="67"/>
      <c r="L77" s="361" t="s">
        <v>1238</v>
      </c>
      <c r="M77" s="294">
        <f t="shared" si="3"/>
        <v>0</v>
      </c>
      <c r="N77" s="176"/>
      <c r="O77" s="163"/>
      <c r="P77" s="163"/>
      <c r="Q77" s="175"/>
      <c r="R77" s="175"/>
      <c r="S77" s="130"/>
      <c r="T77" s="223" t="str">
        <f t="shared" si="4"/>
        <v/>
      </c>
      <c r="U77" s="222" t="str">
        <f t="shared" si="5"/>
        <v/>
      </c>
      <c r="V77" s="362" t="s">
        <v>1238</v>
      </c>
      <c r="W77" s="72"/>
    </row>
    <row r="78" spans="1:23" x14ac:dyDescent="0.2">
      <c r="A78" s="293">
        <f t="shared" si="0"/>
        <v>0</v>
      </c>
      <c r="B78" s="163"/>
      <c r="C78" s="163"/>
      <c r="D78" s="163"/>
      <c r="E78" s="175"/>
      <c r="F78" s="175"/>
      <c r="G78" s="130"/>
      <c r="H78" s="222" t="str">
        <f t="shared" si="1"/>
        <v/>
      </c>
      <c r="I78" s="222" t="str">
        <f t="shared" si="2"/>
        <v/>
      </c>
      <c r="J78" s="67"/>
      <c r="K78" s="67"/>
      <c r="L78" s="361" t="s">
        <v>1238</v>
      </c>
      <c r="M78" s="294">
        <f t="shared" si="3"/>
        <v>0</v>
      </c>
      <c r="N78" s="176"/>
      <c r="O78" s="163"/>
      <c r="P78" s="163"/>
      <c r="Q78" s="175"/>
      <c r="R78" s="175"/>
      <c r="S78" s="130"/>
      <c r="T78" s="223" t="str">
        <f t="shared" si="4"/>
        <v/>
      </c>
      <c r="U78" s="222" t="str">
        <f t="shared" si="5"/>
        <v/>
      </c>
      <c r="V78" s="362" t="s">
        <v>1238</v>
      </c>
      <c r="W78" s="72"/>
    </row>
    <row r="79" spans="1:23" x14ac:dyDescent="0.2">
      <c r="A79" s="293">
        <f t="shared" si="0"/>
        <v>0</v>
      </c>
      <c r="B79" s="163"/>
      <c r="C79" s="163"/>
      <c r="D79" s="163"/>
      <c r="E79" s="175"/>
      <c r="F79" s="175"/>
      <c r="G79" s="130"/>
      <c r="H79" s="222" t="str">
        <f t="shared" si="1"/>
        <v/>
      </c>
      <c r="I79" s="222" t="str">
        <f t="shared" si="2"/>
        <v/>
      </c>
      <c r="J79" s="67"/>
      <c r="K79" s="67"/>
      <c r="L79" s="361" t="s">
        <v>1238</v>
      </c>
      <c r="M79" s="294">
        <f t="shared" si="3"/>
        <v>0</v>
      </c>
      <c r="N79" s="176"/>
      <c r="O79" s="163"/>
      <c r="P79" s="163"/>
      <c r="Q79" s="175"/>
      <c r="R79" s="175"/>
      <c r="S79" s="130"/>
      <c r="T79" s="223" t="str">
        <f t="shared" si="4"/>
        <v/>
      </c>
      <c r="U79" s="222" t="str">
        <f t="shared" si="5"/>
        <v/>
      </c>
      <c r="V79" s="362" t="s">
        <v>1238</v>
      </c>
      <c r="W79" s="72"/>
    </row>
    <row r="80" spans="1:23" x14ac:dyDescent="0.2">
      <c r="A80" s="293">
        <f t="shared" si="0"/>
        <v>0</v>
      </c>
      <c r="B80" s="163"/>
      <c r="C80" s="163"/>
      <c r="D80" s="163"/>
      <c r="E80" s="175"/>
      <c r="F80" s="175"/>
      <c r="G80" s="130"/>
      <c r="H80" s="222" t="str">
        <f t="shared" si="1"/>
        <v/>
      </c>
      <c r="I80" s="222" t="str">
        <f t="shared" si="2"/>
        <v/>
      </c>
      <c r="J80" s="67"/>
      <c r="K80" s="67"/>
      <c r="L80" s="361" t="s">
        <v>1238</v>
      </c>
      <c r="M80" s="294">
        <f t="shared" si="3"/>
        <v>0</v>
      </c>
      <c r="N80" s="176"/>
      <c r="O80" s="163"/>
      <c r="P80" s="163"/>
      <c r="Q80" s="175"/>
      <c r="R80" s="175"/>
      <c r="S80" s="130"/>
      <c r="T80" s="223" t="str">
        <f t="shared" si="4"/>
        <v/>
      </c>
      <c r="U80" s="222" t="str">
        <f t="shared" si="5"/>
        <v/>
      </c>
      <c r="V80" s="362" t="s">
        <v>1238</v>
      </c>
      <c r="W80" s="72"/>
    </row>
    <row r="81" spans="1:23" x14ac:dyDescent="0.2">
      <c r="A81" s="293">
        <f t="shared" si="0"/>
        <v>0</v>
      </c>
      <c r="B81" s="163"/>
      <c r="C81" s="163"/>
      <c r="D81" s="163"/>
      <c r="E81" s="175"/>
      <c r="F81" s="175"/>
      <c r="G81" s="130"/>
      <c r="H81" s="222" t="str">
        <f t="shared" si="1"/>
        <v/>
      </c>
      <c r="I81" s="222" t="str">
        <f t="shared" si="2"/>
        <v/>
      </c>
      <c r="J81" s="67"/>
      <c r="K81" s="67"/>
      <c r="L81" s="361" t="s">
        <v>1238</v>
      </c>
      <c r="M81" s="294">
        <f t="shared" si="3"/>
        <v>0</v>
      </c>
      <c r="N81" s="176"/>
      <c r="O81" s="163"/>
      <c r="P81" s="163"/>
      <c r="Q81" s="175"/>
      <c r="R81" s="175"/>
      <c r="S81" s="130"/>
      <c r="T81" s="223" t="str">
        <f t="shared" si="4"/>
        <v/>
      </c>
      <c r="U81" s="222" t="str">
        <f t="shared" si="5"/>
        <v/>
      </c>
      <c r="V81" s="362" t="s">
        <v>1238</v>
      </c>
      <c r="W81" s="72"/>
    </row>
    <row r="82" spans="1:23" x14ac:dyDescent="0.2">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1" t="s">
        <v>1238</v>
      </c>
      <c r="M82" s="294">
        <f t="shared" ref="M82:M116" si="9">IF(N82&lt;&gt;"",ROW(A66),0)</f>
        <v>0</v>
      </c>
      <c r="N82" s="176"/>
      <c r="O82" s="163"/>
      <c r="P82" s="163"/>
      <c r="Q82" s="175"/>
      <c r="R82" s="175"/>
      <c r="S82" s="130"/>
      <c r="T82" s="223" t="str">
        <f t="shared" ref="T82:T116" si="10">IF(ROW(A66)&lt;=$M$16,R82*Q82,"")</f>
        <v/>
      </c>
      <c r="U82" s="222" t="str">
        <f t="shared" ref="U82:U116" si="11">IFERROR(T82/52,"")</f>
        <v/>
      </c>
      <c r="V82" s="362" t="s">
        <v>1238</v>
      </c>
      <c r="W82" s="72"/>
    </row>
    <row r="83" spans="1:23" x14ac:dyDescent="0.2">
      <c r="A83" s="293">
        <f t="shared" si="6"/>
        <v>0</v>
      </c>
      <c r="B83" s="163"/>
      <c r="C83" s="163"/>
      <c r="D83" s="163"/>
      <c r="E83" s="175"/>
      <c r="F83" s="175"/>
      <c r="G83" s="130"/>
      <c r="H83" s="222" t="str">
        <f t="shared" si="7"/>
        <v/>
      </c>
      <c r="I83" s="222" t="str">
        <f t="shared" si="8"/>
        <v/>
      </c>
      <c r="J83" s="67"/>
      <c r="K83" s="67"/>
      <c r="L83" s="361" t="s">
        <v>1238</v>
      </c>
      <c r="M83" s="294">
        <f t="shared" si="9"/>
        <v>0</v>
      </c>
      <c r="N83" s="176"/>
      <c r="O83" s="163"/>
      <c r="P83" s="163"/>
      <c r="Q83" s="175"/>
      <c r="R83" s="175"/>
      <c r="S83" s="130"/>
      <c r="T83" s="223" t="str">
        <f t="shared" si="10"/>
        <v/>
      </c>
      <c r="U83" s="222" t="str">
        <f t="shared" si="11"/>
        <v/>
      </c>
      <c r="V83" s="362" t="s">
        <v>1238</v>
      </c>
      <c r="W83" s="72"/>
    </row>
    <row r="84" spans="1:23" x14ac:dyDescent="0.2">
      <c r="A84" s="293">
        <f t="shared" si="6"/>
        <v>0</v>
      </c>
      <c r="B84" s="163"/>
      <c r="C84" s="163"/>
      <c r="D84" s="163"/>
      <c r="E84" s="175"/>
      <c r="F84" s="175"/>
      <c r="G84" s="130"/>
      <c r="H84" s="222" t="str">
        <f t="shared" si="7"/>
        <v/>
      </c>
      <c r="I84" s="222" t="str">
        <f t="shared" si="8"/>
        <v/>
      </c>
      <c r="J84" s="67"/>
      <c r="K84" s="67"/>
      <c r="L84" s="361" t="s">
        <v>1238</v>
      </c>
      <c r="M84" s="294">
        <f t="shared" si="9"/>
        <v>0</v>
      </c>
      <c r="N84" s="176"/>
      <c r="O84" s="163"/>
      <c r="P84" s="163"/>
      <c r="Q84" s="175"/>
      <c r="R84" s="175"/>
      <c r="S84" s="130"/>
      <c r="T84" s="223" t="str">
        <f t="shared" si="10"/>
        <v/>
      </c>
      <c r="U84" s="222" t="str">
        <f t="shared" si="11"/>
        <v/>
      </c>
      <c r="V84" s="362" t="s">
        <v>1238</v>
      </c>
      <c r="W84" s="72"/>
    </row>
    <row r="85" spans="1:23" x14ac:dyDescent="0.2">
      <c r="A85" s="293">
        <f t="shared" si="6"/>
        <v>0</v>
      </c>
      <c r="B85" s="163"/>
      <c r="C85" s="163"/>
      <c r="D85" s="163"/>
      <c r="E85" s="175"/>
      <c r="F85" s="175"/>
      <c r="G85" s="130"/>
      <c r="H85" s="222" t="str">
        <f t="shared" si="7"/>
        <v/>
      </c>
      <c r="I85" s="222" t="str">
        <f t="shared" si="8"/>
        <v/>
      </c>
      <c r="J85" s="67"/>
      <c r="K85" s="67"/>
      <c r="L85" s="361" t="s">
        <v>1238</v>
      </c>
      <c r="M85" s="294">
        <f t="shared" si="9"/>
        <v>0</v>
      </c>
      <c r="N85" s="176"/>
      <c r="O85" s="163"/>
      <c r="P85" s="163"/>
      <c r="Q85" s="175"/>
      <c r="R85" s="175"/>
      <c r="S85" s="130"/>
      <c r="T85" s="223" t="str">
        <f t="shared" si="10"/>
        <v/>
      </c>
      <c r="U85" s="222" t="str">
        <f t="shared" si="11"/>
        <v/>
      </c>
      <c r="V85" s="362" t="s">
        <v>1238</v>
      </c>
      <c r="W85" s="72"/>
    </row>
    <row r="86" spans="1:23" x14ac:dyDescent="0.2">
      <c r="A86" s="293">
        <f t="shared" si="6"/>
        <v>0</v>
      </c>
      <c r="B86" s="163"/>
      <c r="C86" s="163"/>
      <c r="D86" s="163"/>
      <c r="E86" s="175"/>
      <c r="F86" s="175"/>
      <c r="G86" s="130"/>
      <c r="H86" s="222" t="str">
        <f t="shared" si="7"/>
        <v/>
      </c>
      <c r="I86" s="222" t="str">
        <f t="shared" si="8"/>
        <v/>
      </c>
      <c r="J86" s="67"/>
      <c r="K86" s="67"/>
      <c r="L86" s="361" t="s">
        <v>1238</v>
      </c>
      <c r="M86" s="294">
        <f t="shared" si="9"/>
        <v>0</v>
      </c>
      <c r="N86" s="176"/>
      <c r="O86" s="163"/>
      <c r="P86" s="163"/>
      <c r="Q86" s="175"/>
      <c r="R86" s="175"/>
      <c r="S86" s="130"/>
      <c r="T86" s="223" t="str">
        <f t="shared" si="10"/>
        <v/>
      </c>
      <c r="U86" s="222" t="str">
        <f t="shared" si="11"/>
        <v/>
      </c>
      <c r="V86" s="362" t="s">
        <v>1238</v>
      </c>
      <c r="W86" s="72"/>
    </row>
    <row r="87" spans="1:23" x14ac:dyDescent="0.2">
      <c r="A87" s="293">
        <f t="shared" si="6"/>
        <v>0</v>
      </c>
      <c r="B87" s="163"/>
      <c r="C87" s="163"/>
      <c r="D87" s="163"/>
      <c r="E87" s="175"/>
      <c r="F87" s="175"/>
      <c r="G87" s="130"/>
      <c r="H87" s="222" t="str">
        <f t="shared" si="7"/>
        <v/>
      </c>
      <c r="I87" s="222" t="str">
        <f t="shared" si="8"/>
        <v/>
      </c>
      <c r="J87" s="67"/>
      <c r="K87" s="67"/>
      <c r="L87" s="361" t="s">
        <v>1238</v>
      </c>
      <c r="M87" s="294">
        <f t="shared" si="9"/>
        <v>0</v>
      </c>
      <c r="N87" s="176"/>
      <c r="O87" s="163"/>
      <c r="P87" s="163"/>
      <c r="Q87" s="175"/>
      <c r="R87" s="175"/>
      <c r="S87" s="130"/>
      <c r="T87" s="223" t="str">
        <f t="shared" si="10"/>
        <v/>
      </c>
      <c r="U87" s="222" t="str">
        <f t="shared" si="11"/>
        <v/>
      </c>
      <c r="V87" s="362" t="s">
        <v>1238</v>
      </c>
      <c r="W87" s="72"/>
    </row>
    <row r="88" spans="1:23" x14ac:dyDescent="0.2">
      <c r="A88" s="293">
        <f t="shared" si="6"/>
        <v>0</v>
      </c>
      <c r="B88" s="163"/>
      <c r="C88" s="163"/>
      <c r="D88" s="163"/>
      <c r="E88" s="175"/>
      <c r="F88" s="175"/>
      <c r="G88" s="130"/>
      <c r="H88" s="222" t="str">
        <f t="shared" si="7"/>
        <v/>
      </c>
      <c r="I88" s="222" t="str">
        <f t="shared" si="8"/>
        <v/>
      </c>
      <c r="J88" s="67"/>
      <c r="K88" s="67"/>
      <c r="L88" s="361" t="s">
        <v>1238</v>
      </c>
      <c r="M88" s="294">
        <f t="shared" si="9"/>
        <v>0</v>
      </c>
      <c r="N88" s="176"/>
      <c r="O88" s="163"/>
      <c r="P88" s="163"/>
      <c r="Q88" s="175"/>
      <c r="R88" s="175"/>
      <c r="S88" s="130"/>
      <c r="T88" s="223" t="str">
        <f t="shared" si="10"/>
        <v/>
      </c>
      <c r="U88" s="222" t="str">
        <f t="shared" si="11"/>
        <v/>
      </c>
      <c r="V88" s="362" t="s">
        <v>1238</v>
      </c>
      <c r="W88" s="72"/>
    </row>
    <row r="89" spans="1:23" x14ac:dyDescent="0.2">
      <c r="A89" s="293">
        <f t="shared" si="6"/>
        <v>0</v>
      </c>
      <c r="B89" s="163"/>
      <c r="C89" s="163"/>
      <c r="D89" s="163"/>
      <c r="E89" s="175"/>
      <c r="F89" s="175"/>
      <c r="G89" s="130"/>
      <c r="H89" s="222" t="str">
        <f t="shared" si="7"/>
        <v/>
      </c>
      <c r="I89" s="222" t="str">
        <f t="shared" si="8"/>
        <v/>
      </c>
      <c r="J89" s="67"/>
      <c r="K89" s="67"/>
      <c r="L89" s="361" t="s">
        <v>1238</v>
      </c>
      <c r="M89" s="294">
        <f t="shared" si="9"/>
        <v>0</v>
      </c>
      <c r="N89" s="176"/>
      <c r="O89" s="163"/>
      <c r="P89" s="163"/>
      <c r="Q89" s="175"/>
      <c r="R89" s="175"/>
      <c r="S89" s="130"/>
      <c r="T89" s="223" t="str">
        <f t="shared" si="10"/>
        <v/>
      </c>
      <c r="U89" s="222" t="str">
        <f t="shared" si="11"/>
        <v/>
      </c>
      <c r="V89" s="362" t="s">
        <v>1238</v>
      </c>
      <c r="W89" s="72"/>
    </row>
    <row r="90" spans="1:23" x14ac:dyDescent="0.2">
      <c r="A90" s="293">
        <f t="shared" si="6"/>
        <v>0</v>
      </c>
      <c r="B90" s="163"/>
      <c r="C90" s="163"/>
      <c r="D90" s="163"/>
      <c r="E90" s="175"/>
      <c r="F90" s="175"/>
      <c r="G90" s="130"/>
      <c r="H90" s="222" t="str">
        <f t="shared" si="7"/>
        <v/>
      </c>
      <c r="I90" s="222" t="str">
        <f t="shared" si="8"/>
        <v/>
      </c>
      <c r="J90" s="67"/>
      <c r="K90" s="67"/>
      <c r="L90" s="361" t="s">
        <v>1238</v>
      </c>
      <c r="M90" s="294">
        <f t="shared" si="9"/>
        <v>0</v>
      </c>
      <c r="N90" s="176"/>
      <c r="O90" s="163"/>
      <c r="P90" s="163"/>
      <c r="Q90" s="175"/>
      <c r="R90" s="175"/>
      <c r="S90" s="130"/>
      <c r="T90" s="223" t="str">
        <f t="shared" si="10"/>
        <v/>
      </c>
      <c r="U90" s="222" t="str">
        <f t="shared" si="11"/>
        <v/>
      </c>
      <c r="V90" s="362" t="s">
        <v>1238</v>
      </c>
      <c r="W90" s="72"/>
    </row>
    <row r="91" spans="1:23" x14ac:dyDescent="0.2">
      <c r="A91" s="293">
        <f t="shared" si="6"/>
        <v>0</v>
      </c>
      <c r="B91" s="163"/>
      <c r="C91" s="163"/>
      <c r="D91" s="163"/>
      <c r="E91" s="175"/>
      <c r="F91" s="175"/>
      <c r="G91" s="130"/>
      <c r="H91" s="222" t="str">
        <f t="shared" si="7"/>
        <v/>
      </c>
      <c r="I91" s="222" t="str">
        <f t="shared" si="8"/>
        <v/>
      </c>
      <c r="J91" s="67"/>
      <c r="K91" s="67"/>
      <c r="L91" s="361" t="s">
        <v>1238</v>
      </c>
      <c r="M91" s="294">
        <f t="shared" si="9"/>
        <v>0</v>
      </c>
      <c r="N91" s="176"/>
      <c r="O91" s="163"/>
      <c r="P91" s="163"/>
      <c r="Q91" s="175"/>
      <c r="R91" s="175"/>
      <c r="S91" s="130"/>
      <c r="T91" s="223" t="str">
        <f t="shared" si="10"/>
        <v/>
      </c>
      <c r="U91" s="222" t="str">
        <f t="shared" si="11"/>
        <v/>
      </c>
      <c r="V91" s="362" t="s">
        <v>1238</v>
      </c>
      <c r="W91" s="72"/>
    </row>
    <row r="92" spans="1:23" x14ac:dyDescent="0.2">
      <c r="A92" s="293">
        <f t="shared" si="6"/>
        <v>0</v>
      </c>
      <c r="B92" s="163"/>
      <c r="C92" s="163"/>
      <c r="D92" s="163"/>
      <c r="E92" s="175"/>
      <c r="F92" s="175"/>
      <c r="G92" s="130"/>
      <c r="H92" s="222" t="str">
        <f t="shared" si="7"/>
        <v/>
      </c>
      <c r="I92" s="222" t="str">
        <f t="shared" si="8"/>
        <v/>
      </c>
      <c r="J92" s="67"/>
      <c r="K92" s="67"/>
      <c r="L92" s="361" t="s">
        <v>1238</v>
      </c>
      <c r="M92" s="294">
        <f t="shared" si="9"/>
        <v>0</v>
      </c>
      <c r="N92" s="176"/>
      <c r="O92" s="163"/>
      <c r="P92" s="163"/>
      <c r="Q92" s="175"/>
      <c r="R92" s="175"/>
      <c r="S92" s="130"/>
      <c r="T92" s="223" t="str">
        <f t="shared" si="10"/>
        <v/>
      </c>
      <c r="U92" s="222" t="str">
        <f t="shared" si="11"/>
        <v/>
      </c>
      <c r="V92" s="362" t="s">
        <v>1238</v>
      </c>
      <c r="W92" s="72"/>
    </row>
    <row r="93" spans="1:23" x14ac:dyDescent="0.2">
      <c r="A93" s="293">
        <f t="shared" si="6"/>
        <v>0</v>
      </c>
      <c r="B93" s="163"/>
      <c r="C93" s="163"/>
      <c r="D93" s="163"/>
      <c r="E93" s="175"/>
      <c r="F93" s="175"/>
      <c r="G93" s="130"/>
      <c r="H93" s="222" t="str">
        <f t="shared" si="7"/>
        <v/>
      </c>
      <c r="I93" s="222" t="str">
        <f t="shared" si="8"/>
        <v/>
      </c>
      <c r="J93" s="67"/>
      <c r="K93" s="67"/>
      <c r="L93" s="361" t="s">
        <v>1238</v>
      </c>
      <c r="M93" s="294">
        <f t="shared" si="9"/>
        <v>0</v>
      </c>
      <c r="N93" s="176"/>
      <c r="O93" s="163"/>
      <c r="P93" s="163"/>
      <c r="Q93" s="175"/>
      <c r="R93" s="175"/>
      <c r="S93" s="130"/>
      <c r="T93" s="223" t="str">
        <f t="shared" si="10"/>
        <v/>
      </c>
      <c r="U93" s="222" t="str">
        <f t="shared" si="11"/>
        <v/>
      </c>
      <c r="V93" s="362" t="s">
        <v>1238</v>
      </c>
      <c r="W93" s="72"/>
    </row>
    <row r="94" spans="1:23" x14ac:dyDescent="0.2">
      <c r="A94" s="293">
        <f t="shared" si="6"/>
        <v>0</v>
      </c>
      <c r="B94" s="163"/>
      <c r="C94" s="163"/>
      <c r="D94" s="163"/>
      <c r="E94" s="175"/>
      <c r="F94" s="175"/>
      <c r="G94" s="130"/>
      <c r="H94" s="222" t="str">
        <f t="shared" si="7"/>
        <v/>
      </c>
      <c r="I94" s="222" t="str">
        <f t="shared" si="8"/>
        <v/>
      </c>
      <c r="J94" s="67"/>
      <c r="K94" s="67"/>
      <c r="L94" s="361" t="s">
        <v>1238</v>
      </c>
      <c r="M94" s="294">
        <f t="shared" si="9"/>
        <v>0</v>
      </c>
      <c r="N94" s="176"/>
      <c r="O94" s="163"/>
      <c r="P94" s="163"/>
      <c r="Q94" s="175"/>
      <c r="R94" s="175"/>
      <c r="S94" s="130"/>
      <c r="T94" s="223" t="str">
        <f t="shared" si="10"/>
        <v/>
      </c>
      <c r="U94" s="222" t="str">
        <f t="shared" si="11"/>
        <v/>
      </c>
      <c r="V94" s="362" t="s">
        <v>1238</v>
      </c>
      <c r="W94" s="72"/>
    </row>
    <row r="95" spans="1:23" x14ac:dyDescent="0.2">
      <c r="A95" s="293">
        <f t="shared" si="6"/>
        <v>0</v>
      </c>
      <c r="B95" s="163"/>
      <c r="C95" s="163"/>
      <c r="D95" s="163"/>
      <c r="E95" s="175"/>
      <c r="F95" s="175"/>
      <c r="G95" s="130"/>
      <c r="H95" s="222" t="str">
        <f t="shared" si="7"/>
        <v/>
      </c>
      <c r="I95" s="222" t="str">
        <f t="shared" si="8"/>
        <v/>
      </c>
      <c r="J95" s="67"/>
      <c r="K95" s="67"/>
      <c r="L95" s="361" t="s">
        <v>1238</v>
      </c>
      <c r="M95" s="294">
        <f t="shared" si="9"/>
        <v>0</v>
      </c>
      <c r="N95" s="176"/>
      <c r="O95" s="163"/>
      <c r="P95" s="163"/>
      <c r="Q95" s="175"/>
      <c r="R95" s="175"/>
      <c r="S95" s="130"/>
      <c r="T95" s="223" t="str">
        <f t="shared" si="10"/>
        <v/>
      </c>
      <c r="U95" s="222" t="str">
        <f t="shared" si="11"/>
        <v/>
      </c>
      <c r="V95" s="362" t="s">
        <v>1238</v>
      </c>
      <c r="W95" s="72"/>
    </row>
    <row r="96" spans="1:23" x14ac:dyDescent="0.2">
      <c r="A96" s="293">
        <f t="shared" si="6"/>
        <v>0</v>
      </c>
      <c r="B96" s="163"/>
      <c r="C96" s="163"/>
      <c r="D96" s="163"/>
      <c r="E96" s="175"/>
      <c r="F96" s="175"/>
      <c r="G96" s="130"/>
      <c r="H96" s="222" t="str">
        <f t="shared" si="7"/>
        <v/>
      </c>
      <c r="I96" s="222" t="str">
        <f t="shared" si="8"/>
        <v/>
      </c>
      <c r="J96" s="67"/>
      <c r="K96" s="67"/>
      <c r="L96" s="361" t="s">
        <v>1238</v>
      </c>
      <c r="M96" s="294">
        <f t="shared" si="9"/>
        <v>0</v>
      </c>
      <c r="N96" s="176"/>
      <c r="O96" s="163"/>
      <c r="P96" s="163"/>
      <c r="Q96" s="175"/>
      <c r="R96" s="175"/>
      <c r="S96" s="130"/>
      <c r="T96" s="223" t="str">
        <f t="shared" si="10"/>
        <v/>
      </c>
      <c r="U96" s="222" t="str">
        <f t="shared" si="11"/>
        <v/>
      </c>
      <c r="V96" s="362" t="s">
        <v>1238</v>
      </c>
      <c r="W96" s="72"/>
    </row>
    <row r="97" spans="1:23" x14ac:dyDescent="0.2">
      <c r="A97" s="293">
        <f t="shared" si="6"/>
        <v>0</v>
      </c>
      <c r="B97" s="163"/>
      <c r="C97" s="163"/>
      <c r="D97" s="163"/>
      <c r="E97" s="175"/>
      <c r="F97" s="175"/>
      <c r="G97" s="130"/>
      <c r="H97" s="222" t="str">
        <f t="shared" si="7"/>
        <v/>
      </c>
      <c r="I97" s="222" t="str">
        <f t="shared" si="8"/>
        <v/>
      </c>
      <c r="J97" s="67"/>
      <c r="K97" s="67"/>
      <c r="L97" s="361" t="s">
        <v>1238</v>
      </c>
      <c r="M97" s="294">
        <f t="shared" si="9"/>
        <v>0</v>
      </c>
      <c r="N97" s="176"/>
      <c r="O97" s="163"/>
      <c r="P97" s="163"/>
      <c r="Q97" s="175"/>
      <c r="R97" s="175"/>
      <c r="S97" s="130"/>
      <c r="T97" s="223" t="str">
        <f t="shared" si="10"/>
        <v/>
      </c>
      <c r="U97" s="222" t="str">
        <f t="shared" si="11"/>
        <v/>
      </c>
      <c r="V97" s="362" t="s">
        <v>1238</v>
      </c>
      <c r="W97" s="72"/>
    </row>
    <row r="98" spans="1:23" x14ac:dyDescent="0.2">
      <c r="A98" s="293">
        <f t="shared" si="6"/>
        <v>0</v>
      </c>
      <c r="B98" s="163"/>
      <c r="C98" s="163"/>
      <c r="D98" s="163"/>
      <c r="E98" s="175"/>
      <c r="F98" s="175"/>
      <c r="G98" s="130"/>
      <c r="H98" s="222" t="str">
        <f t="shared" si="7"/>
        <v/>
      </c>
      <c r="I98" s="222" t="str">
        <f t="shared" si="8"/>
        <v/>
      </c>
      <c r="J98" s="67"/>
      <c r="K98" s="67"/>
      <c r="L98" s="361" t="s">
        <v>1238</v>
      </c>
      <c r="M98" s="294">
        <f t="shared" si="9"/>
        <v>0</v>
      </c>
      <c r="N98" s="176"/>
      <c r="O98" s="163"/>
      <c r="P98" s="163"/>
      <c r="Q98" s="175"/>
      <c r="R98" s="175"/>
      <c r="S98" s="130"/>
      <c r="T98" s="223" t="str">
        <f t="shared" si="10"/>
        <v/>
      </c>
      <c r="U98" s="222" t="str">
        <f t="shared" si="11"/>
        <v/>
      </c>
      <c r="V98" s="362" t="s">
        <v>1238</v>
      </c>
      <c r="W98" s="72"/>
    </row>
    <row r="99" spans="1:23" x14ac:dyDescent="0.2">
      <c r="A99" s="293">
        <f t="shared" si="6"/>
        <v>0</v>
      </c>
      <c r="B99" s="163"/>
      <c r="C99" s="163"/>
      <c r="D99" s="163"/>
      <c r="E99" s="175"/>
      <c r="F99" s="175"/>
      <c r="G99" s="130"/>
      <c r="H99" s="222" t="str">
        <f t="shared" si="7"/>
        <v/>
      </c>
      <c r="I99" s="222" t="str">
        <f t="shared" si="8"/>
        <v/>
      </c>
      <c r="J99" s="67"/>
      <c r="K99" s="67"/>
      <c r="L99" s="361" t="s">
        <v>1238</v>
      </c>
      <c r="M99" s="294">
        <f t="shared" si="9"/>
        <v>0</v>
      </c>
      <c r="N99" s="176"/>
      <c r="O99" s="163"/>
      <c r="P99" s="163"/>
      <c r="Q99" s="175"/>
      <c r="R99" s="175"/>
      <c r="S99" s="130"/>
      <c r="T99" s="223" t="str">
        <f t="shared" si="10"/>
        <v/>
      </c>
      <c r="U99" s="222" t="str">
        <f t="shared" si="11"/>
        <v/>
      </c>
      <c r="V99" s="362" t="s">
        <v>1238</v>
      </c>
      <c r="W99" s="72"/>
    </row>
    <row r="100" spans="1:23" x14ac:dyDescent="0.2">
      <c r="A100" s="293">
        <f t="shared" si="6"/>
        <v>0</v>
      </c>
      <c r="B100" s="163"/>
      <c r="C100" s="163"/>
      <c r="D100" s="163"/>
      <c r="E100" s="175"/>
      <c r="F100" s="175"/>
      <c r="G100" s="130"/>
      <c r="H100" s="222" t="str">
        <f t="shared" si="7"/>
        <v/>
      </c>
      <c r="I100" s="222" t="str">
        <f t="shared" si="8"/>
        <v/>
      </c>
      <c r="J100" s="67"/>
      <c r="K100" s="67"/>
      <c r="L100" s="361" t="s">
        <v>1238</v>
      </c>
      <c r="M100" s="294">
        <f t="shared" si="9"/>
        <v>0</v>
      </c>
      <c r="N100" s="176"/>
      <c r="O100" s="163"/>
      <c r="P100" s="163"/>
      <c r="Q100" s="175"/>
      <c r="R100" s="175"/>
      <c r="S100" s="130"/>
      <c r="T100" s="223" t="str">
        <f t="shared" si="10"/>
        <v/>
      </c>
      <c r="U100" s="222" t="str">
        <f t="shared" si="11"/>
        <v/>
      </c>
      <c r="V100" s="362" t="s">
        <v>1238</v>
      </c>
      <c r="W100" s="72"/>
    </row>
    <row r="101" spans="1:23" x14ac:dyDescent="0.2">
      <c r="A101" s="293">
        <f t="shared" si="6"/>
        <v>0</v>
      </c>
      <c r="B101" s="163"/>
      <c r="C101" s="163"/>
      <c r="D101" s="163"/>
      <c r="E101" s="175"/>
      <c r="F101" s="175"/>
      <c r="G101" s="130"/>
      <c r="H101" s="222" t="str">
        <f t="shared" si="7"/>
        <v/>
      </c>
      <c r="I101" s="222" t="str">
        <f t="shared" si="8"/>
        <v/>
      </c>
      <c r="J101" s="67"/>
      <c r="K101" s="67"/>
      <c r="L101" s="361" t="s">
        <v>1238</v>
      </c>
      <c r="M101" s="294">
        <f t="shared" si="9"/>
        <v>0</v>
      </c>
      <c r="N101" s="176"/>
      <c r="O101" s="163"/>
      <c r="P101" s="163"/>
      <c r="Q101" s="175"/>
      <c r="R101" s="175"/>
      <c r="S101" s="130"/>
      <c r="T101" s="223" t="str">
        <f t="shared" si="10"/>
        <v/>
      </c>
      <c r="U101" s="222" t="str">
        <f t="shared" si="11"/>
        <v/>
      </c>
      <c r="V101" s="362" t="s">
        <v>1238</v>
      </c>
      <c r="W101" s="72"/>
    </row>
    <row r="102" spans="1:23" x14ac:dyDescent="0.2">
      <c r="A102" s="293">
        <f t="shared" si="6"/>
        <v>0</v>
      </c>
      <c r="B102" s="163"/>
      <c r="C102" s="163"/>
      <c r="D102" s="163"/>
      <c r="E102" s="175"/>
      <c r="F102" s="175"/>
      <c r="G102" s="130"/>
      <c r="H102" s="222" t="str">
        <f t="shared" si="7"/>
        <v/>
      </c>
      <c r="I102" s="222" t="str">
        <f t="shared" si="8"/>
        <v/>
      </c>
      <c r="J102" s="67"/>
      <c r="K102" s="67"/>
      <c r="L102" s="361" t="s">
        <v>1238</v>
      </c>
      <c r="M102" s="294">
        <f t="shared" si="9"/>
        <v>0</v>
      </c>
      <c r="N102" s="176"/>
      <c r="O102" s="163"/>
      <c r="P102" s="163"/>
      <c r="Q102" s="175"/>
      <c r="R102" s="175"/>
      <c r="S102" s="130"/>
      <c r="T102" s="223" t="str">
        <f t="shared" si="10"/>
        <v/>
      </c>
      <c r="U102" s="222" t="str">
        <f t="shared" si="11"/>
        <v/>
      </c>
      <c r="V102" s="362" t="s">
        <v>1238</v>
      </c>
      <c r="W102" s="72"/>
    </row>
    <row r="103" spans="1:23" x14ac:dyDescent="0.2">
      <c r="A103" s="293">
        <f t="shared" si="6"/>
        <v>0</v>
      </c>
      <c r="B103" s="163"/>
      <c r="C103" s="163"/>
      <c r="D103" s="163"/>
      <c r="E103" s="175"/>
      <c r="F103" s="175"/>
      <c r="G103" s="130"/>
      <c r="H103" s="222" t="str">
        <f t="shared" si="7"/>
        <v/>
      </c>
      <c r="I103" s="222" t="str">
        <f t="shared" si="8"/>
        <v/>
      </c>
      <c r="J103" s="67"/>
      <c r="K103" s="67"/>
      <c r="L103" s="361" t="s">
        <v>1238</v>
      </c>
      <c r="M103" s="294">
        <f t="shared" si="9"/>
        <v>0</v>
      </c>
      <c r="N103" s="176"/>
      <c r="O103" s="163"/>
      <c r="P103" s="163"/>
      <c r="Q103" s="175"/>
      <c r="R103" s="175"/>
      <c r="S103" s="130"/>
      <c r="T103" s="223" t="str">
        <f t="shared" si="10"/>
        <v/>
      </c>
      <c r="U103" s="222" t="str">
        <f t="shared" si="11"/>
        <v/>
      </c>
      <c r="V103" s="362" t="s">
        <v>1238</v>
      </c>
      <c r="W103" s="72"/>
    </row>
    <row r="104" spans="1:23" x14ac:dyDescent="0.2">
      <c r="A104" s="293">
        <f t="shared" si="6"/>
        <v>0</v>
      </c>
      <c r="B104" s="163"/>
      <c r="C104" s="163"/>
      <c r="D104" s="163"/>
      <c r="E104" s="175"/>
      <c r="F104" s="175"/>
      <c r="G104" s="130"/>
      <c r="H104" s="222" t="str">
        <f t="shared" si="7"/>
        <v/>
      </c>
      <c r="I104" s="222" t="str">
        <f t="shared" si="8"/>
        <v/>
      </c>
      <c r="J104" s="67"/>
      <c r="K104" s="67"/>
      <c r="L104" s="361" t="s">
        <v>1238</v>
      </c>
      <c r="M104" s="294">
        <f t="shared" si="9"/>
        <v>0</v>
      </c>
      <c r="N104" s="176"/>
      <c r="O104" s="163"/>
      <c r="P104" s="163"/>
      <c r="Q104" s="175"/>
      <c r="R104" s="175"/>
      <c r="S104" s="130"/>
      <c r="T104" s="223" t="str">
        <f t="shared" si="10"/>
        <v/>
      </c>
      <c r="U104" s="222" t="str">
        <f t="shared" si="11"/>
        <v/>
      </c>
      <c r="V104" s="362" t="s">
        <v>1238</v>
      </c>
      <c r="W104" s="72"/>
    </row>
    <row r="105" spans="1:23" x14ac:dyDescent="0.2">
      <c r="A105" s="293">
        <f t="shared" si="6"/>
        <v>0</v>
      </c>
      <c r="B105" s="163"/>
      <c r="C105" s="163"/>
      <c r="D105" s="163"/>
      <c r="E105" s="175"/>
      <c r="F105" s="175"/>
      <c r="G105" s="130"/>
      <c r="H105" s="222" t="str">
        <f t="shared" si="7"/>
        <v/>
      </c>
      <c r="I105" s="222" t="str">
        <f t="shared" si="8"/>
        <v/>
      </c>
      <c r="J105" s="67"/>
      <c r="K105" s="67"/>
      <c r="L105" s="361" t="s">
        <v>1238</v>
      </c>
      <c r="M105" s="294">
        <f t="shared" si="9"/>
        <v>0</v>
      </c>
      <c r="N105" s="176"/>
      <c r="O105" s="163"/>
      <c r="P105" s="163"/>
      <c r="Q105" s="175"/>
      <c r="R105" s="175"/>
      <c r="S105" s="130"/>
      <c r="T105" s="223" t="str">
        <f t="shared" si="10"/>
        <v/>
      </c>
      <c r="U105" s="222" t="str">
        <f t="shared" si="11"/>
        <v/>
      </c>
      <c r="V105" s="362" t="s">
        <v>1238</v>
      </c>
      <c r="W105" s="72"/>
    </row>
    <row r="106" spans="1:23" x14ac:dyDescent="0.2">
      <c r="A106" s="293">
        <f t="shared" si="6"/>
        <v>0</v>
      </c>
      <c r="B106" s="163"/>
      <c r="C106" s="163"/>
      <c r="D106" s="163"/>
      <c r="E106" s="175"/>
      <c r="F106" s="175"/>
      <c r="G106" s="130"/>
      <c r="H106" s="222" t="str">
        <f t="shared" si="7"/>
        <v/>
      </c>
      <c r="I106" s="222" t="str">
        <f t="shared" si="8"/>
        <v/>
      </c>
      <c r="J106" s="67"/>
      <c r="K106" s="67"/>
      <c r="L106" s="361" t="s">
        <v>1238</v>
      </c>
      <c r="M106" s="294">
        <f t="shared" si="9"/>
        <v>0</v>
      </c>
      <c r="N106" s="176"/>
      <c r="O106" s="163"/>
      <c r="P106" s="163"/>
      <c r="Q106" s="175"/>
      <c r="R106" s="175"/>
      <c r="S106" s="130"/>
      <c r="T106" s="223" t="str">
        <f t="shared" si="10"/>
        <v/>
      </c>
      <c r="U106" s="222" t="str">
        <f t="shared" si="11"/>
        <v/>
      </c>
      <c r="V106" s="362" t="s">
        <v>1238</v>
      </c>
      <c r="W106" s="72"/>
    </row>
    <row r="107" spans="1:23" x14ac:dyDescent="0.2">
      <c r="A107" s="293">
        <f t="shared" si="6"/>
        <v>0</v>
      </c>
      <c r="B107" s="163"/>
      <c r="C107" s="163"/>
      <c r="D107" s="163"/>
      <c r="E107" s="175"/>
      <c r="F107" s="175"/>
      <c r="G107" s="130"/>
      <c r="H107" s="222" t="str">
        <f t="shared" si="7"/>
        <v/>
      </c>
      <c r="I107" s="222" t="str">
        <f t="shared" si="8"/>
        <v/>
      </c>
      <c r="J107" s="67"/>
      <c r="K107" s="67"/>
      <c r="L107" s="361" t="s">
        <v>1238</v>
      </c>
      <c r="M107" s="294">
        <f t="shared" si="9"/>
        <v>0</v>
      </c>
      <c r="N107" s="176"/>
      <c r="O107" s="163"/>
      <c r="P107" s="163"/>
      <c r="Q107" s="175"/>
      <c r="R107" s="175"/>
      <c r="S107" s="130"/>
      <c r="T107" s="223" t="str">
        <f t="shared" si="10"/>
        <v/>
      </c>
      <c r="U107" s="222" t="str">
        <f t="shared" si="11"/>
        <v/>
      </c>
      <c r="V107" s="362" t="s">
        <v>1238</v>
      </c>
      <c r="W107" s="72"/>
    </row>
    <row r="108" spans="1:23" x14ac:dyDescent="0.2">
      <c r="A108" s="293">
        <f t="shared" si="6"/>
        <v>0</v>
      </c>
      <c r="B108" s="163"/>
      <c r="C108" s="163"/>
      <c r="D108" s="163"/>
      <c r="E108" s="175"/>
      <c r="F108" s="175"/>
      <c r="G108" s="130"/>
      <c r="H108" s="222" t="str">
        <f t="shared" si="7"/>
        <v/>
      </c>
      <c r="I108" s="222" t="str">
        <f t="shared" si="8"/>
        <v/>
      </c>
      <c r="J108" s="67"/>
      <c r="K108" s="67"/>
      <c r="L108" s="361" t="s">
        <v>1238</v>
      </c>
      <c r="M108" s="294">
        <f t="shared" si="9"/>
        <v>0</v>
      </c>
      <c r="N108" s="176"/>
      <c r="O108" s="163"/>
      <c r="P108" s="163"/>
      <c r="Q108" s="175"/>
      <c r="R108" s="175"/>
      <c r="S108" s="130"/>
      <c r="T108" s="223" t="str">
        <f t="shared" si="10"/>
        <v/>
      </c>
      <c r="U108" s="222" t="str">
        <f t="shared" si="11"/>
        <v/>
      </c>
      <c r="V108" s="362" t="s">
        <v>1238</v>
      </c>
      <c r="W108" s="72"/>
    </row>
    <row r="109" spans="1:23" x14ac:dyDescent="0.2">
      <c r="A109" s="293">
        <f t="shared" si="6"/>
        <v>0</v>
      </c>
      <c r="B109" s="163"/>
      <c r="C109" s="163"/>
      <c r="D109" s="163"/>
      <c r="E109" s="175"/>
      <c r="F109" s="175"/>
      <c r="G109" s="130"/>
      <c r="H109" s="222" t="str">
        <f t="shared" si="7"/>
        <v/>
      </c>
      <c r="I109" s="222" t="str">
        <f t="shared" si="8"/>
        <v/>
      </c>
      <c r="J109" s="67"/>
      <c r="K109" s="67"/>
      <c r="L109" s="361" t="s">
        <v>1238</v>
      </c>
      <c r="M109" s="294">
        <f t="shared" si="9"/>
        <v>0</v>
      </c>
      <c r="N109" s="176"/>
      <c r="O109" s="163"/>
      <c r="P109" s="163"/>
      <c r="Q109" s="175"/>
      <c r="R109" s="175"/>
      <c r="S109" s="130"/>
      <c r="T109" s="223" t="str">
        <f t="shared" si="10"/>
        <v/>
      </c>
      <c r="U109" s="222" t="str">
        <f t="shared" si="11"/>
        <v/>
      </c>
      <c r="V109" s="362" t="s">
        <v>1238</v>
      </c>
      <c r="W109" s="72"/>
    </row>
    <row r="110" spans="1:23" x14ac:dyDescent="0.2">
      <c r="A110" s="293">
        <f t="shared" si="6"/>
        <v>0</v>
      </c>
      <c r="B110" s="163"/>
      <c r="C110" s="163"/>
      <c r="D110" s="163"/>
      <c r="E110" s="175"/>
      <c r="F110" s="175"/>
      <c r="G110" s="130"/>
      <c r="H110" s="222" t="str">
        <f t="shared" si="7"/>
        <v/>
      </c>
      <c r="I110" s="222" t="str">
        <f t="shared" si="8"/>
        <v/>
      </c>
      <c r="J110" s="67"/>
      <c r="K110" s="67"/>
      <c r="L110" s="361" t="s">
        <v>1238</v>
      </c>
      <c r="M110" s="294">
        <f t="shared" si="9"/>
        <v>0</v>
      </c>
      <c r="N110" s="176"/>
      <c r="O110" s="163"/>
      <c r="P110" s="163"/>
      <c r="Q110" s="175"/>
      <c r="R110" s="175"/>
      <c r="S110" s="130"/>
      <c r="T110" s="223" t="str">
        <f t="shared" si="10"/>
        <v/>
      </c>
      <c r="U110" s="222" t="str">
        <f t="shared" si="11"/>
        <v/>
      </c>
      <c r="V110" s="362" t="s">
        <v>1238</v>
      </c>
      <c r="W110" s="72"/>
    </row>
    <row r="111" spans="1:23" x14ac:dyDescent="0.2">
      <c r="A111" s="293">
        <f t="shared" si="6"/>
        <v>0</v>
      </c>
      <c r="B111" s="163"/>
      <c r="C111" s="163"/>
      <c r="D111" s="163"/>
      <c r="E111" s="175"/>
      <c r="F111" s="175"/>
      <c r="G111" s="130"/>
      <c r="H111" s="222" t="str">
        <f t="shared" si="7"/>
        <v/>
      </c>
      <c r="I111" s="222" t="str">
        <f t="shared" si="8"/>
        <v/>
      </c>
      <c r="J111" s="67"/>
      <c r="K111" s="67"/>
      <c r="L111" s="361" t="s">
        <v>1238</v>
      </c>
      <c r="M111" s="294">
        <f t="shared" si="9"/>
        <v>0</v>
      </c>
      <c r="N111" s="176"/>
      <c r="O111" s="163"/>
      <c r="P111" s="163"/>
      <c r="Q111" s="175"/>
      <c r="R111" s="175"/>
      <c r="S111" s="130"/>
      <c r="T111" s="223" t="str">
        <f t="shared" si="10"/>
        <v/>
      </c>
      <c r="U111" s="222" t="str">
        <f t="shared" si="11"/>
        <v/>
      </c>
      <c r="V111" s="362" t="s">
        <v>1238</v>
      </c>
      <c r="W111" s="72"/>
    </row>
    <row r="112" spans="1:23" x14ac:dyDescent="0.2">
      <c r="A112" s="293">
        <f t="shared" si="6"/>
        <v>0</v>
      </c>
      <c r="B112" s="163"/>
      <c r="C112" s="163"/>
      <c r="D112" s="163"/>
      <c r="E112" s="175"/>
      <c r="F112" s="175"/>
      <c r="G112" s="130"/>
      <c r="H112" s="222" t="str">
        <f t="shared" si="7"/>
        <v/>
      </c>
      <c r="I112" s="222" t="str">
        <f t="shared" si="8"/>
        <v/>
      </c>
      <c r="J112" s="67"/>
      <c r="K112" s="67"/>
      <c r="L112" s="361" t="s">
        <v>1238</v>
      </c>
      <c r="M112" s="294">
        <f t="shared" si="9"/>
        <v>0</v>
      </c>
      <c r="N112" s="176"/>
      <c r="O112" s="163"/>
      <c r="P112" s="163"/>
      <c r="Q112" s="175"/>
      <c r="R112" s="175"/>
      <c r="S112" s="130"/>
      <c r="T112" s="223" t="str">
        <f t="shared" si="10"/>
        <v/>
      </c>
      <c r="U112" s="222" t="str">
        <f t="shared" si="11"/>
        <v/>
      </c>
      <c r="V112" s="362" t="s">
        <v>1238</v>
      </c>
      <c r="W112" s="72"/>
    </row>
    <row r="113" spans="1:23" x14ac:dyDescent="0.2">
      <c r="A113" s="293">
        <f t="shared" si="6"/>
        <v>0</v>
      </c>
      <c r="B113" s="163"/>
      <c r="C113" s="163"/>
      <c r="D113" s="163"/>
      <c r="E113" s="175"/>
      <c r="F113" s="175"/>
      <c r="G113" s="130"/>
      <c r="H113" s="222" t="str">
        <f t="shared" si="7"/>
        <v/>
      </c>
      <c r="I113" s="222" t="str">
        <f t="shared" si="8"/>
        <v/>
      </c>
      <c r="J113" s="67"/>
      <c r="K113" s="67"/>
      <c r="L113" s="361" t="s">
        <v>1238</v>
      </c>
      <c r="M113" s="294">
        <f t="shared" si="9"/>
        <v>0</v>
      </c>
      <c r="N113" s="176"/>
      <c r="O113" s="163"/>
      <c r="P113" s="163"/>
      <c r="Q113" s="175"/>
      <c r="R113" s="175"/>
      <c r="S113" s="130"/>
      <c r="T113" s="223" t="str">
        <f t="shared" si="10"/>
        <v/>
      </c>
      <c r="U113" s="222" t="str">
        <f t="shared" si="11"/>
        <v/>
      </c>
      <c r="V113" s="362" t="s">
        <v>1238</v>
      </c>
      <c r="W113" s="72"/>
    </row>
    <row r="114" spans="1:23" x14ac:dyDescent="0.2">
      <c r="A114" s="293">
        <f t="shared" si="6"/>
        <v>0</v>
      </c>
      <c r="B114" s="163"/>
      <c r="C114" s="163"/>
      <c r="D114" s="163"/>
      <c r="E114" s="175"/>
      <c r="F114" s="175"/>
      <c r="G114" s="130"/>
      <c r="H114" s="222" t="str">
        <f t="shared" si="7"/>
        <v/>
      </c>
      <c r="I114" s="222" t="str">
        <f t="shared" si="8"/>
        <v/>
      </c>
      <c r="J114" s="67"/>
      <c r="K114" s="67"/>
      <c r="L114" s="361" t="s">
        <v>1238</v>
      </c>
      <c r="M114" s="294">
        <f t="shared" si="9"/>
        <v>0</v>
      </c>
      <c r="N114" s="176"/>
      <c r="O114" s="163"/>
      <c r="P114" s="163"/>
      <c r="Q114" s="175"/>
      <c r="R114" s="175"/>
      <c r="S114" s="130"/>
      <c r="T114" s="223" t="str">
        <f t="shared" si="10"/>
        <v/>
      </c>
      <c r="U114" s="222" t="str">
        <f t="shared" si="11"/>
        <v/>
      </c>
      <c r="V114" s="362" t="s">
        <v>1238</v>
      </c>
      <c r="W114" s="72"/>
    </row>
    <row r="115" spans="1:23" x14ac:dyDescent="0.2">
      <c r="A115" s="293">
        <f t="shared" si="6"/>
        <v>0</v>
      </c>
      <c r="B115" s="163"/>
      <c r="C115" s="163"/>
      <c r="D115" s="163"/>
      <c r="E115" s="175"/>
      <c r="F115" s="175"/>
      <c r="G115" s="130"/>
      <c r="H115" s="222" t="str">
        <f t="shared" si="7"/>
        <v/>
      </c>
      <c r="I115" s="222" t="str">
        <f t="shared" si="8"/>
        <v/>
      </c>
      <c r="J115" s="67"/>
      <c r="K115" s="67"/>
      <c r="L115" s="361" t="s">
        <v>1238</v>
      </c>
      <c r="M115" s="294">
        <f t="shared" si="9"/>
        <v>0</v>
      </c>
      <c r="N115" s="176"/>
      <c r="O115" s="163"/>
      <c r="P115" s="163"/>
      <c r="Q115" s="175"/>
      <c r="R115" s="175"/>
      <c r="S115" s="130"/>
      <c r="T115" s="223" t="str">
        <f t="shared" si="10"/>
        <v/>
      </c>
      <c r="U115" s="222" t="str">
        <f t="shared" si="11"/>
        <v/>
      </c>
      <c r="V115" s="362" t="s">
        <v>1238</v>
      </c>
      <c r="W115" s="72"/>
    </row>
    <row r="116" spans="1:23" x14ac:dyDescent="0.2">
      <c r="A116" s="293">
        <f t="shared" si="6"/>
        <v>0</v>
      </c>
      <c r="B116" s="163"/>
      <c r="C116" s="163"/>
      <c r="D116" s="163"/>
      <c r="E116" s="175"/>
      <c r="F116" s="175"/>
      <c r="G116" s="130"/>
      <c r="H116" s="222" t="str">
        <f t="shared" si="7"/>
        <v/>
      </c>
      <c r="I116" s="222" t="str">
        <f t="shared" si="8"/>
        <v/>
      </c>
      <c r="J116" s="67"/>
      <c r="K116" s="67"/>
      <c r="L116" s="361" t="s">
        <v>1238</v>
      </c>
      <c r="M116" s="294">
        <f t="shared" si="9"/>
        <v>0</v>
      </c>
      <c r="N116" s="176"/>
      <c r="O116" s="163"/>
      <c r="P116" s="163"/>
      <c r="Q116" s="175"/>
      <c r="R116" s="175"/>
      <c r="S116" s="130"/>
      <c r="T116" s="223" t="str">
        <f t="shared" si="10"/>
        <v/>
      </c>
      <c r="U116" s="222" t="str">
        <f t="shared" si="11"/>
        <v/>
      </c>
      <c r="V116" s="362" t="s">
        <v>1238</v>
      </c>
      <c r="W116" s="72"/>
    </row>
    <row r="117" spans="1:23" s="52" customFormat="1" x14ac:dyDescent="0.2">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
      <c r="G131" s="72"/>
      <c r="K131" s="72"/>
      <c r="L131" s="72"/>
      <c r="M131" s="72"/>
      <c r="S131" s="72"/>
    </row>
    <row r="132" spans="2:21" s="52" customFormat="1" x14ac:dyDescent="0.2">
      <c r="G132" s="72"/>
      <c r="K132" s="72"/>
      <c r="L132" s="72"/>
      <c r="M132" s="72"/>
      <c r="S132" s="72"/>
    </row>
    <row r="133" spans="2:21" s="52" customFormat="1" x14ac:dyDescent="0.2">
      <c r="G133" s="72"/>
      <c r="K133" s="72"/>
      <c r="L133" s="72"/>
      <c r="M133" s="72"/>
      <c r="S133" s="72"/>
    </row>
    <row r="134" spans="2:21" s="52" customFormat="1" x14ac:dyDescent="0.2">
      <c r="G134" s="72"/>
      <c r="K134" s="72"/>
      <c r="L134" s="72"/>
      <c r="M134" s="72"/>
      <c r="S134" s="72"/>
    </row>
    <row r="135" spans="2:21" s="52" customFormat="1" x14ac:dyDescent="0.2">
      <c r="G135" s="72"/>
      <c r="K135" s="72"/>
      <c r="L135" s="72"/>
      <c r="M135" s="72"/>
      <c r="S135" s="72"/>
    </row>
    <row r="136" spans="2:21" s="52" customFormat="1" x14ac:dyDescent="0.2">
      <c r="G136" s="72"/>
      <c r="K136" s="72"/>
      <c r="L136" s="72"/>
      <c r="M136" s="72"/>
      <c r="S136" s="72"/>
    </row>
    <row r="137" spans="2:21" s="52" customFormat="1" x14ac:dyDescent="0.2">
      <c r="G137" s="72"/>
      <c r="K137" s="72"/>
      <c r="L137" s="72"/>
      <c r="M137" s="72"/>
      <c r="S137" s="72"/>
    </row>
    <row r="138" spans="2:21" s="52" customFormat="1" x14ac:dyDescent="0.2">
      <c r="G138" s="72"/>
      <c r="K138" s="72"/>
      <c r="L138" s="72"/>
      <c r="M138" s="72"/>
      <c r="S138" s="72"/>
    </row>
    <row r="139" spans="2:21" s="52" customFormat="1" x14ac:dyDescent="0.2">
      <c r="G139" s="72"/>
      <c r="K139" s="72"/>
      <c r="L139" s="72"/>
      <c r="M139" s="72"/>
      <c r="S139" s="72"/>
    </row>
    <row r="140" spans="2:21" s="52" customFormat="1" x14ac:dyDescent="0.2">
      <c r="G140" s="72"/>
      <c r="K140" s="72"/>
      <c r="L140" s="72"/>
      <c r="M140" s="72"/>
      <c r="S140" s="72"/>
    </row>
    <row r="141" spans="2:21" s="52" customFormat="1" x14ac:dyDescent="0.2">
      <c r="G141" s="72"/>
      <c r="K141" s="72"/>
      <c r="L141" s="72"/>
      <c r="M141" s="72"/>
      <c r="S141" s="72"/>
    </row>
    <row r="142" spans="2:21" s="52" customFormat="1" x14ac:dyDescent="0.2">
      <c r="G142" s="72"/>
      <c r="K142" s="72"/>
      <c r="L142" s="72"/>
      <c r="M142" s="72"/>
      <c r="S142" s="72"/>
    </row>
    <row r="143" spans="2:21" s="52" customFormat="1" x14ac:dyDescent="0.2">
      <c r="G143" s="72"/>
      <c r="K143" s="72"/>
      <c r="L143" s="72"/>
      <c r="M143" s="72"/>
      <c r="S143" s="72"/>
    </row>
    <row r="144" spans="2:21" s="52" customFormat="1" x14ac:dyDescent="0.2">
      <c r="G144" s="72"/>
      <c r="K144" s="72"/>
      <c r="L144" s="72"/>
      <c r="M144" s="72"/>
      <c r="S144" s="72"/>
    </row>
    <row r="145" spans="7:19" s="52" customFormat="1" x14ac:dyDescent="0.2">
      <c r="G145" s="72"/>
      <c r="K145" s="72"/>
      <c r="L145" s="72"/>
      <c r="M145" s="72"/>
      <c r="S145" s="72"/>
    </row>
    <row r="146" spans="7:19" s="52" customFormat="1" x14ac:dyDescent="0.2">
      <c r="G146" s="72"/>
      <c r="K146" s="72"/>
      <c r="L146" s="72"/>
      <c r="M146" s="72"/>
      <c r="S146" s="72"/>
    </row>
    <row r="147" spans="7:19" s="52" customFormat="1" x14ac:dyDescent="0.2">
      <c r="G147" s="72"/>
      <c r="K147" s="72"/>
      <c r="L147" s="72"/>
      <c r="M147" s="72"/>
      <c r="S147" s="72"/>
    </row>
    <row r="148" spans="7:19" s="52" customFormat="1" x14ac:dyDescent="0.2">
      <c r="G148" s="72"/>
      <c r="K148" s="72"/>
      <c r="L148" s="72"/>
      <c r="M148" s="72"/>
      <c r="S148" s="72"/>
    </row>
    <row r="149" spans="7:19" s="52" customFormat="1" x14ac:dyDescent="0.2">
      <c r="G149" s="72"/>
      <c r="K149" s="72"/>
      <c r="L149" s="72"/>
      <c r="M149" s="72"/>
      <c r="S149" s="72"/>
    </row>
    <row r="150" spans="7:19" s="52" customFormat="1" x14ac:dyDescent="0.2">
      <c r="G150" s="72"/>
      <c r="K150" s="72"/>
      <c r="L150" s="72"/>
      <c r="M150" s="72"/>
      <c r="S150" s="72"/>
    </row>
    <row r="151" spans="7:19" s="52" customFormat="1" x14ac:dyDescent="0.2">
      <c r="G151" s="72"/>
      <c r="K151" s="72"/>
      <c r="L151" s="72"/>
      <c r="M151" s="72"/>
      <c r="S151" s="72"/>
    </row>
    <row r="152" spans="7:19" s="52" customFormat="1" x14ac:dyDescent="0.2">
      <c r="G152" s="72"/>
      <c r="K152" s="72"/>
      <c r="L152" s="72"/>
      <c r="M152" s="72"/>
      <c r="S152" s="72"/>
    </row>
    <row r="153" spans="7:19" s="52" customFormat="1" x14ac:dyDescent="0.2">
      <c r="G153" s="72"/>
      <c r="K153" s="72"/>
      <c r="L153" s="72"/>
      <c r="M153" s="72"/>
      <c r="S153" s="72"/>
    </row>
    <row r="154" spans="7:19" s="52" customFormat="1" x14ac:dyDescent="0.2">
      <c r="G154" s="72"/>
      <c r="K154" s="72"/>
      <c r="L154" s="72"/>
      <c r="M154" s="72"/>
      <c r="S154" s="72"/>
    </row>
    <row r="155" spans="7:19" s="52" customFormat="1" x14ac:dyDescent="0.2">
      <c r="G155" s="72"/>
      <c r="K155" s="72"/>
      <c r="L155" s="72"/>
      <c r="M155" s="72"/>
      <c r="S155" s="72"/>
    </row>
    <row r="156" spans="7:19" s="52" customFormat="1" x14ac:dyDescent="0.2">
      <c r="G156" s="72"/>
      <c r="K156" s="72"/>
      <c r="L156" s="72"/>
      <c r="M156" s="72"/>
      <c r="S156" s="72"/>
    </row>
    <row r="157" spans="7:19" s="52" customFormat="1" x14ac:dyDescent="0.2">
      <c r="G157" s="72"/>
      <c r="K157" s="72"/>
      <c r="L157" s="72"/>
      <c r="M157" s="72"/>
      <c r="S157" s="72"/>
    </row>
    <row r="158" spans="7:19" s="52" customFormat="1" x14ac:dyDescent="0.2">
      <c r="G158" s="72"/>
      <c r="K158" s="72"/>
      <c r="L158" s="72"/>
      <c r="M158" s="72"/>
      <c r="S158" s="72"/>
    </row>
    <row r="159" spans="7:19" s="52" customFormat="1" x14ac:dyDescent="0.2">
      <c r="G159" s="72"/>
      <c r="K159" s="72"/>
      <c r="L159" s="72"/>
      <c r="M159" s="72"/>
      <c r="S159" s="72"/>
    </row>
    <row r="160" spans="7:19" s="52" customFormat="1" x14ac:dyDescent="0.2">
      <c r="G160" s="72"/>
      <c r="K160" s="72"/>
      <c r="L160" s="72"/>
      <c r="M160" s="72"/>
      <c r="S160" s="72"/>
    </row>
    <row r="161" spans="7:19" s="52" customFormat="1" x14ac:dyDescent="0.2">
      <c r="G161" s="72"/>
      <c r="K161" s="72"/>
      <c r="L161" s="72"/>
      <c r="M161" s="72"/>
      <c r="S161" s="72"/>
    </row>
    <row r="162" spans="7:19" s="52" customFormat="1" x14ac:dyDescent="0.2">
      <c r="G162" s="72"/>
      <c r="K162" s="72"/>
      <c r="L162" s="72"/>
      <c r="M162" s="72"/>
      <c r="S162" s="72"/>
    </row>
    <row r="163" spans="7:19" s="52" customFormat="1" x14ac:dyDescent="0.2">
      <c r="G163" s="72"/>
      <c r="K163" s="72"/>
      <c r="L163" s="72"/>
      <c r="M163" s="72"/>
      <c r="S163" s="72"/>
    </row>
    <row r="164" spans="7:19" s="52" customFormat="1" x14ac:dyDescent="0.2">
      <c r="G164" s="72"/>
      <c r="K164" s="72"/>
      <c r="L164" s="72"/>
      <c r="M164" s="72"/>
      <c r="S164" s="72"/>
    </row>
    <row r="165" spans="7:19" s="52" customFormat="1" x14ac:dyDescent="0.2">
      <c r="G165" s="72"/>
      <c r="K165" s="72"/>
      <c r="L165" s="72"/>
      <c r="M165" s="72"/>
      <c r="S165" s="72"/>
    </row>
    <row r="166" spans="7:19" s="52" customFormat="1" x14ac:dyDescent="0.2">
      <c r="G166" s="72"/>
      <c r="K166" s="72"/>
      <c r="L166" s="72"/>
      <c r="M166" s="72"/>
      <c r="S166" s="72"/>
    </row>
    <row r="167" spans="7:19" s="52" customFormat="1" x14ac:dyDescent="0.2">
      <c r="G167" s="72"/>
      <c r="K167" s="72"/>
      <c r="L167" s="72"/>
      <c r="M167" s="72"/>
      <c r="S167" s="72"/>
    </row>
    <row r="168" spans="7:19" s="52" customFormat="1" x14ac:dyDescent="0.2">
      <c r="G168" s="72"/>
      <c r="K168" s="72"/>
      <c r="L168" s="72"/>
      <c r="M168" s="72"/>
      <c r="S168" s="72"/>
    </row>
    <row r="169" spans="7:19" s="52" customFormat="1" x14ac:dyDescent="0.2">
      <c r="G169" s="72"/>
      <c r="K169" s="72"/>
      <c r="L169" s="72"/>
      <c r="M169" s="72"/>
      <c r="S169" s="72"/>
    </row>
    <row r="170" spans="7:19" s="52" customFormat="1" x14ac:dyDescent="0.2">
      <c r="G170" s="72"/>
      <c r="K170" s="72"/>
      <c r="L170" s="72"/>
      <c r="M170" s="72"/>
      <c r="S170" s="72"/>
    </row>
    <row r="171" spans="7:19" s="52" customFormat="1" x14ac:dyDescent="0.2">
      <c r="G171" s="72"/>
      <c r="K171" s="72"/>
      <c r="L171" s="72"/>
      <c r="M171" s="72"/>
      <c r="S171" s="72"/>
    </row>
    <row r="172" spans="7:19" s="52" customFormat="1" x14ac:dyDescent="0.2">
      <c r="G172" s="72"/>
      <c r="K172" s="72"/>
      <c r="L172" s="72"/>
      <c r="M172" s="72"/>
      <c r="S172" s="72"/>
    </row>
    <row r="173" spans="7:19" s="52" customFormat="1" x14ac:dyDescent="0.2">
      <c r="G173" s="72"/>
      <c r="K173" s="72"/>
      <c r="L173" s="72"/>
      <c r="M173" s="72"/>
      <c r="S173" s="72"/>
    </row>
    <row r="174" spans="7:19" s="52" customFormat="1" x14ac:dyDescent="0.2">
      <c r="G174" s="72"/>
      <c r="K174" s="72"/>
      <c r="L174" s="72"/>
      <c r="M174" s="72"/>
      <c r="S174" s="72"/>
    </row>
    <row r="175" spans="7:19" s="52" customFormat="1" x14ac:dyDescent="0.2">
      <c r="G175" s="72"/>
      <c r="K175" s="72"/>
      <c r="L175" s="72"/>
      <c r="M175" s="72"/>
      <c r="S175" s="72"/>
    </row>
    <row r="176" spans="7:19" s="52" customFormat="1" x14ac:dyDescent="0.2">
      <c r="G176" s="72"/>
      <c r="K176" s="72"/>
      <c r="L176" s="72"/>
      <c r="M176" s="72"/>
      <c r="S176" s="72"/>
    </row>
    <row r="177" spans="7:19" s="52" customFormat="1" x14ac:dyDescent="0.2">
      <c r="G177" s="72"/>
      <c r="K177" s="72"/>
      <c r="L177" s="72"/>
      <c r="M177" s="72"/>
      <c r="S177" s="72"/>
    </row>
    <row r="178" spans="7:19" s="52" customFormat="1" x14ac:dyDescent="0.2">
      <c r="G178" s="72"/>
      <c r="K178" s="72"/>
      <c r="L178" s="72"/>
      <c r="M178" s="72"/>
      <c r="S178" s="72"/>
    </row>
    <row r="179" spans="7:19" s="52" customFormat="1" x14ac:dyDescent="0.2">
      <c r="G179" s="72"/>
      <c r="K179" s="72"/>
      <c r="L179" s="72"/>
      <c r="M179" s="72"/>
      <c r="S179" s="72"/>
    </row>
    <row r="180" spans="7:19" s="52" customFormat="1" x14ac:dyDescent="0.2">
      <c r="G180" s="72"/>
      <c r="K180" s="72"/>
      <c r="L180" s="72"/>
      <c r="M180" s="72"/>
      <c r="S180" s="72"/>
    </row>
    <row r="181" spans="7:19" s="52" customFormat="1" x14ac:dyDescent="0.2">
      <c r="G181" s="72"/>
      <c r="K181" s="72"/>
      <c r="L181" s="72"/>
      <c r="M181" s="72"/>
      <c r="S181" s="72"/>
    </row>
    <row r="182" spans="7:19" s="52" customFormat="1" x14ac:dyDescent="0.2">
      <c r="G182" s="72"/>
      <c r="K182" s="72"/>
      <c r="L182" s="72"/>
      <c r="M182" s="72"/>
      <c r="S182" s="72"/>
    </row>
    <row r="183" spans="7:19" s="52" customFormat="1" x14ac:dyDescent="0.2">
      <c r="G183" s="72"/>
      <c r="K183" s="72"/>
      <c r="L183" s="72"/>
      <c r="M183" s="72"/>
      <c r="S183" s="72"/>
    </row>
    <row r="184" spans="7:19" s="52" customFormat="1" x14ac:dyDescent="0.2">
      <c r="G184" s="72"/>
      <c r="K184" s="72"/>
      <c r="L184" s="72"/>
      <c r="M184" s="72"/>
      <c r="S184" s="72"/>
    </row>
    <row r="185" spans="7:19" s="52" customFormat="1" x14ac:dyDescent="0.2">
      <c r="G185" s="72"/>
      <c r="K185" s="72"/>
      <c r="L185" s="72"/>
      <c r="M185" s="72"/>
      <c r="S185" s="72"/>
    </row>
    <row r="186" spans="7:19" s="52" customFormat="1" x14ac:dyDescent="0.2">
      <c r="G186" s="72"/>
      <c r="K186" s="72"/>
      <c r="L186" s="72"/>
      <c r="M186" s="72"/>
      <c r="S186" s="72"/>
    </row>
    <row r="187" spans="7:19" s="52" customFormat="1" x14ac:dyDescent="0.2">
      <c r="G187" s="72"/>
      <c r="K187" s="72"/>
      <c r="L187" s="72"/>
      <c r="M187" s="72"/>
      <c r="S187" s="72"/>
    </row>
    <row r="188" spans="7:19" s="52" customFormat="1" x14ac:dyDescent="0.2">
      <c r="G188" s="72"/>
      <c r="K188" s="72"/>
      <c r="L188" s="72"/>
      <c r="M188" s="72"/>
      <c r="S188" s="72"/>
    </row>
    <row r="189" spans="7:19" s="52" customFormat="1" x14ac:dyDescent="0.2">
      <c r="G189" s="72"/>
      <c r="K189" s="72"/>
      <c r="L189" s="72"/>
      <c r="M189" s="72"/>
      <c r="S189" s="72"/>
    </row>
    <row r="190" spans="7:19" s="52" customFormat="1" x14ac:dyDescent="0.2">
      <c r="G190" s="72"/>
      <c r="K190" s="72"/>
      <c r="L190" s="72"/>
      <c r="M190" s="72"/>
      <c r="S190" s="72"/>
    </row>
    <row r="191" spans="7:19" s="52" customFormat="1" x14ac:dyDescent="0.2">
      <c r="G191" s="72"/>
      <c r="K191" s="72"/>
      <c r="L191" s="72"/>
      <c r="M191" s="72"/>
      <c r="S191" s="72"/>
    </row>
    <row r="192" spans="7:19" s="52" customFormat="1" x14ac:dyDescent="0.2">
      <c r="G192" s="72"/>
      <c r="K192" s="72"/>
      <c r="L192" s="72"/>
      <c r="M192" s="72"/>
      <c r="S192" s="72"/>
    </row>
    <row r="193" spans="7:19" s="52" customFormat="1" x14ac:dyDescent="0.2">
      <c r="G193" s="72"/>
      <c r="K193" s="72"/>
      <c r="L193" s="72"/>
      <c r="M193" s="72"/>
      <c r="S193" s="72"/>
    </row>
    <row r="194" spans="7:19" s="52" customFormat="1" x14ac:dyDescent="0.2">
      <c r="G194" s="72"/>
      <c r="K194" s="72"/>
      <c r="L194" s="72"/>
      <c r="M194" s="72"/>
      <c r="S194" s="72"/>
    </row>
    <row r="195" spans="7:19" s="52" customFormat="1" x14ac:dyDescent="0.2">
      <c r="G195" s="72"/>
      <c r="K195" s="72"/>
      <c r="L195" s="72"/>
      <c r="M195" s="72"/>
      <c r="S195" s="72"/>
    </row>
    <row r="196" spans="7:19" s="52" customFormat="1" x14ac:dyDescent="0.2">
      <c r="G196" s="72"/>
      <c r="K196" s="72"/>
      <c r="L196" s="72"/>
      <c r="M196" s="72"/>
      <c r="S196" s="72"/>
    </row>
    <row r="197" spans="7:19" s="52" customFormat="1" x14ac:dyDescent="0.2">
      <c r="G197" s="72"/>
      <c r="K197" s="72"/>
      <c r="L197" s="72"/>
      <c r="M197" s="72"/>
      <c r="S197" s="72"/>
    </row>
    <row r="198" spans="7:19" s="52" customFormat="1" x14ac:dyDescent="0.2">
      <c r="G198" s="72"/>
      <c r="K198" s="72"/>
      <c r="L198" s="72"/>
      <c r="M198" s="72"/>
      <c r="S198" s="72"/>
    </row>
    <row r="199" spans="7:19" s="52" customFormat="1" x14ac:dyDescent="0.2">
      <c r="G199" s="72"/>
      <c r="K199" s="72"/>
      <c r="L199" s="72"/>
      <c r="M199" s="72"/>
      <c r="S199" s="72"/>
    </row>
    <row r="200" spans="7:19" s="52" customFormat="1" x14ac:dyDescent="0.2">
      <c r="G200" s="72"/>
      <c r="K200" s="72"/>
      <c r="L200" s="72"/>
      <c r="M200" s="72"/>
      <c r="S200" s="72"/>
    </row>
    <row r="201" spans="7:19" s="52" customFormat="1" x14ac:dyDescent="0.2">
      <c r="G201" s="72"/>
      <c r="K201" s="72"/>
      <c r="L201" s="72"/>
      <c r="M201" s="72"/>
      <c r="S201" s="72"/>
    </row>
    <row r="202" spans="7:19" s="52" customFormat="1" x14ac:dyDescent="0.2">
      <c r="G202" s="72"/>
      <c r="K202" s="72"/>
      <c r="L202" s="72"/>
      <c r="M202" s="72"/>
      <c r="S202" s="72"/>
    </row>
    <row r="203" spans="7:19" s="52" customFormat="1" x14ac:dyDescent="0.2">
      <c r="G203" s="72"/>
      <c r="K203" s="72"/>
      <c r="L203" s="72"/>
      <c r="M203" s="72"/>
      <c r="S203" s="72"/>
    </row>
    <row r="204" spans="7:19" s="52" customFormat="1" x14ac:dyDescent="0.2">
      <c r="G204" s="72"/>
      <c r="K204" s="72"/>
      <c r="L204" s="72"/>
      <c r="M204" s="72"/>
      <c r="S204" s="72"/>
    </row>
    <row r="205" spans="7:19" s="52" customFormat="1" x14ac:dyDescent="0.2">
      <c r="G205" s="72"/>
      <c r="K205" s="72"/>
      <c r="L205" s="72"/>
      <c r="M205" s="72"/>
      <c r="S205" s="72"/>
    </row>
    <row r="206" spans="7:19" s="52" customFormat="1" x14ac:dyDescent="0.2">
      <c r="G206" s="72"/>
      <c r="K206" s="72"/>
      <c r="L206" s="72"/>
      <c r="M206" s="72"/>
      <c r="S206" s="72"/>
    </row>
    <row r="207" spans="7:19" s="52" customFormat="1" x14ac:dyDescent="0.2">
      <c r="G207" s="72"/>
      <c r="K207" s="72"/>
      <c r="L207" s="72"/>
      <c r="M207" s="72"/>
      <c r="S207" s="72"/>
    </row>
    <row r="208" spans="7:19" s="52" customFormat="1" x14ac:dyDescent="0.2">
      <c r="G208" s="72"/>
      <c r="K208" s="72"/>
      <c r="L208" s="72"/>
      <c r="M208" s="72"/>
      <c r="S208" s="72"/>
    </row>
    <row r="209" spans="7:19" s="52" customFormat="1" x14ac:dyDescent="0.2">
      <c r="G209" s="72"/>
      <c r="K209" s="72"/>
      <c r="L209" s="72"/>
      <c r="M209" s="72"/>
      <c r="S209" s="72"/>
    </row>
    <row r="210" spans="7:19" s="52" customFormat="1" x14ac:dyDescent="0.2">
      <c r="G210" s="72"/>
      <c r="K210" s="72"/>
      <c r="L210" s="72"/>
      <c r="M210" s="72"/>
      <c r="S210" s="72"/>
    </row>
    <row r="211" spans="7:19" s="52" customFormat="1" x14ac:dyDescent="0.2">
      <c r="G211" s="72"/>
      <c r="K211" s="72"/>
      <c r="L211" s="72"/>
      <c r="M211" s="72"/>
      <c r="S211" s="72"/>
    </row>
    <row r="212" spans="7:19" s="52" customFormat="1" x14ac:dyDescent="0.2">
      <c r="G212" s="72"/>
      <c r="K212" s="72"/>
      <c r="L212" s="72"/>
      <c r="M212" s="72"/>
      <c r="S212" s="72"/>
    </row>
    <row r="213" spans="7:19" s="52" customFormat="1" x14ac:dyDescent="0.2">
      <c r="G213" s="72"/>
      <c r="K213" s="72"/>
      <c r="L213" s="72"/>
      <c r="M213" s="72"/>
      <c r="S213" s="72"/>
    </row>
    <row r="214" spans="7:19" s="52" customFormat="1" x14ac:dyDescent="0.2">
      <c r="G214" s="72"/>
      <c r="K214" s="72"/>
      <c r="L214" s="72"/>
      <c r="M214" s="72"/>
      <c r="S214" s="72"/>
    </row>
    <row r="215" spans="7:19" s="52" customFormat="1" x14ac:dyDescent="0.2">
      <c r="G215" s="72"/>
      <c r="K215" s="72"/>
      <c r="L215" s="72"/>
      <c r="M215" s="72"/>
      <c r="S215" s="72"/>
    </row>
    <row r="216" spans="7:19" s="52" customFormat="1" x14ac:dyDescent="0.2">
      <c r="G216" s="72"/>
      <c r="K216" s="72"/>
      <c r="L216" s="72"/>
      <c r="M216" s="72"/>
      <c r="S216" s="72"/>
    </row>
    <row r="217" spans="7:19" s="52" customFormat="1" x14ac:dyDescent="0.2">
      <c r="G217" s="72"/>
      <c r="K217" s="72"/>
      <c r="L217" s="72"/>
      <c r="M217" s="72"/>
      <c r="S217" s="72"/>
    </row>
    <row r="218" spans="7:19" s="52" customFormat="1" x14ac:dyDescent="0.2">
      <c r="G218" s="72"/>
      <c r="K218" s="72"/>
      <c r="L218" s="72"/>
      <c r="M218" s="72"/>
      <c r="S218" s="72"/>
    </row>
    <row r="219" spans="7:19" s="52" customFormat="1" x14ac:dyDescent="0.2">
      <c r="G219" s="72"/>
      <c r="K219" s="72"/>
      <c r="L219" s="72"/>
      <c r="M219" s="72"/>
      <c r="S219" s="72"/>
    </row>
    <row r="220" spans="7:19" s="52" customFormat="1" x14ac:dyDescent="0.2">
      <c r="G220" s="72"/>
      <c r="K220" s="72"/>
      <c r="L220" s="72"/>
      <c r="M220" s="72"/>
      <c r="S220" s="72"/>
    </row>
    <row r="221" spans="7:19" s="52" customFormat="1" x14ac:dyDescent="0.2">
      <c r="G221" s="72"/>
      <c r="K221" s="72"/>
      <c r="L221" s="72"/>
      <c r="M221" s="72"/>
      <c r="S221" s="72"/>
    </row>
    <row r="222" spans="7:19" s="52" customFormat="1" x14ac:dyDescent="0.2">
      <c r="G222" s="72"/>
      <c r="K222" s="72"/>
      <c r="L222" s="72"/>
      <c r="M222" s="72"/>
      <c r="S222" s="72"/>
    </row>
    <row r="223" spans="7:19" s="52" customFormat="1" x14ac:dyDescent="0.2">
      <c r="G223" s="72"/>
      <c r="K223" s="72"/>
      <c r="L223" s="72"/>
      <c r="M223" s="72"/>
      <c r="S223" s="72"/>
    </row>
    <row r="224" spans="7:19" s="52" customFormat="1" x14ac:dyDescent="0.2">
      <c r="G224" s="72"/>
      <c r="K224" s="72"/>
      <c r="L224" s="72"/>
      <c r="M224" s="72"/>
      <c r="S224" s="72"/>
    </row>
    <row r="225" spans="7:19" s="52" customFormat="1" x14ac:dyDescent="0.2">
      <c r="G225" s="72"/>
      <c r="K225" s="72"/>
      <c r="L225" s="72"/>
      <c r="M225" s="72"/>
      <c r="S225" s="72"/>
    </row>
    <row r="226" spans="7:19" s="52" customFormat="1" x14ac:dyDescent="0.2">
      <c r="G226" s="72"/>
      <c r="K226" s="72"/>
      <c r="L226" s="72"/>
      <c r="M226" s="72"/>
      <c r="S226" s="72"/>
    </row>
    <row r="227" spans="7:19" s="52" customFormat="1" x14ac:dyDescent="0.2">
      <c r="G227" s="72"/>
      <c r="K227" s="72"/>
      <c r="L227" s="72"/>
      <c r="M227" s="72"/>
      <c r="S227" s="72"/>
    </row>
    <row r="228" spans="7:19" s="52" customFormat="1" x14ac:dyDescent="0.2">
      <c r="G228" s="72"/>
      <c r="K228" s="72"/>
      <c r="L228" s="72"/>
      <c r="M228" s="72"/>
      <c r="S228" s="72"/>
    </row>
    <row r="229" spans="7:19" s="52" customFormat="1" x14ac:dyDescent="0.2">
      <c r="G229" s="72"/>
      <c r="K229" s="72"/>
      <c r="L229" s="72"/>
      <c r="M229" s="72"/>
      <c r="S229" s="72"/>
    </row>
    <row r="230" spans="7:19" s="52" customFormat="1" x14ac:dyDescent="0.2">
      <c r="G230" s="72"/>
      <c r="K230" s="72"/>
      <c r="L230" s="72"/>
      <c r="M230" s="72"/>
      <c r="S230" s="72"/>
    </row>
    <row r="231" spans="7:19" s="52" customFormat="1" x14ac:dyDescent="0.2">
      <c r="G231" s="72"/>
      <c r="K231" s="72"/>
      <c r="L231" s="72"/>
      <c r="M231" s="72"/>
      <c r="S231" s="72"/>
    </row>
    <row r="232" spans="7:19" s="52" customFormat="1" x14ac:dyDescent="0.2">
      <c r="G232" s="72"/>
      <c r="K232" s="72"/>
      <c r="L232" s="72"/>
      <c r="M232" s="72"/>
      <c r="S232" s="72"/>
    </row>
    <row r="233" spans="7:19" s="52" customFormat="1" x14ac:dyDescent="0.2">
      <c r="G233" s="72"/>
      <c r="K233" s="72"/>
      <c r="L233" s="72"/>
      <c r="M233" s="72"/>
      <c r="S233" s="72"/>
    </row>
    <row r="234" spans="7:19" s="52" customFormat="1" x14ac:dyDescent="0.2">
      <c r="G234" s="72"/>
      <c r="K234" s="72"/>
      <c r="L234" s="72"/>
      <c r="M234" s="72"/>
      <c r="S234" s="72"/>
    </row>
    <row r="235" spans="7:19" s="52" customFormat="1" x14ac:dyDescent="0.2">
      <c r="G235" s="72"/>
      <c r="K235" s="72"/>
      <c r="L235" s="72"/>
      <c r="M235" s="72"/>
      <c r="S235" s="72"/>
    </row>
    <row r="236" spans="7:19" s="52" customFormat="1" x14ac:dyDescent="0.2">
      <c r="G236" s="72"/>
      <c r="K236" s="72"/>
      <c r="L236" s="72"/>
      <c r="M236" s="72"/>
      <c r="S236" s="72"/>
    </row>
    <row r="237" spans="7:19" s="52" customFormat="1" x14ac:dyDescent="0.2">
      <c r="G237" s="72"/>
      <c r="K237" s="72"/>
      <c r="L237" s="72"/>
      <c r="M237" s="72"/>
      <c r="S237" s="72"/>
    </row>
    <row r="238" spans="7:19" s="52" customFormat="1" x14ac:dyDescent="0.2">
      <c r="G238" s="72"/>
      <c r="K238" s="72"/>
      <c r="L238" s="72"/>
      <c r="M238" s="72"/>
      <c r="S238" s="72"/>
    </row>
    <row r="239" spans="7:19" s="52" customFormat="1" x14ac:dyDescent="0.2">
      <c r="G239" s="72"/>
      <c r="K239" s="72"/>
      <c r="L239" s="72"/>
      <c r="M239" s="72"/>
      <c r="S239" s="72"/>
    </row>
    <row r="240" spans="7:19" s="52" customFormat="1" x14ac:dyDescent="0.2">
      <c r="G240" s="72"/>
      <c r="K240" s="72"/>
      <c r="L240" s="72"/>
      <c r="M240" s="72"/>
      <c r="S240" s="72"/>
    </row>
    <row r="241" spans="5:19" s="52" customFormat="1" x14ac:dyDescent="0.2">
      <c r="G241" s="72"/>
      <c r="K241" s="72"/>
      <c r="L241" s="72"/>
      <c r="M241" s="72"/>
      <c r="S241" s="72"/>
    </row>
    <row r="242" spans="5:19" s="52" customFormat="1" x14ac:dyDescent="0.2">
      <c r="G242" s="72"/>
      <c r="K242" s="72"/>
      <c r="L242" s="72"/>
      <c r="M242" s="72"/>
      <c r="S242" s="72"/>
    </row>
    <row r="243" spans="5:19" s="52" customFormat="1" x14ac:dyDescent="0.2">
      <c r="E243" s="72"/>
      <c r="F243" s="72"/>
      <c r="G243" s="72"/>
      <c r="H243" s="72"/>
      <c r="I243" s="72"/>
      <c r="K243" s="72"/>
      <c r="L243" s="72"/>
      <c r="M243" s="72"/>
      <c r="S243" s="72"/>
    </row>
    <row r="244" spans="5:19" s="52" customFormat="1" x14ac:dyDescent="0.2">
      <c r="E244" s="72"/>
      <c r="F244" s="72"/>
      <c r="G244" s="72"/>
      <c r="H244" s="72"/>
      <c r="I244" s="72"/>
      <c r="K244" s="72"/>
      <c r="L244" s="72"/>
      <c r="M244" s="72"/>
      <c r="S244" s="72"/>
    </row>
    <row r="245" spans="5:19" s="52" customFormat="1" x14ac:dyDescent="0.2">
      <c r="E245" s="72"/>
      <c r="F245" s="72"/>
      <c r="G245" s="72"/>
      <c r="H245" s="72"/>
      <c r="I245" s="72"/>
      <c r="K245" s="72"/>
      <c r="L245" s="72"/>
      <c r="M245" s="72"/>
      <c r="S245" s="72"/>
    </row>
    <row r="246" spans="5:19" s="52" customFormat="1" x14ac:dyDescent="0.2">
      <c r="E246" s="72"/>
      <c r="F246" s="72"/>
      <c r="G246" s="72"/>
      <c r="H246" s="72"/>
      <c r="I246" s="72"/>
      <c r="K246" s="72"/>
      <c r="L246" s="72"/>
      <c r="M246" s="72"/>
      <c r="S246" s="72"/>
    </row>
    <row r="247" spans="5:19" s="52" customFormat="1" x14ac:dyDescent="0.2">
      <c r="E247" s="72"/>
      <c r="F247" s="72"/>
      <c r="G247" s="72"/>
      <c r="H247" s="72"/>
      <c r="I247" s="72"/>
      <c r="K247" s="72"/>
      <c r="L247" s="72"/>
      <c r="M247" s="72"/>
      <c r="S247" s="72"/>
    </row>
    <row r="248" spans="5:19" s="52" customFormat="1" x14ac:dyDescent="0.2">
      <c r="E248" s="72"/>
      <c r="F248" s="72"/>
      <c r="G248" s="72"/>
      <c r="H248" s="72"/>
      <c r="I248" s="72"/>
      <c r="K248" s="72"/>
      <c r="L248" s="72"/>
      <c r="M248" s="72"/>
      <c r="S248" s="72"/>
    </row>
    <row r="249" spans="5:19" s="52" customFormat="1" x14ac:dyDescent="0.2">
      <c r="E249" s="72"/>
      <c r="F249" s="72"/>
      <c r="G249" s="72"/>
      <c r="H249" s="72"/>
      <c r="I249" s="72"/>
      <c r="K249" s="72"/>
      <c r="L249" s="72"/>
      <c r="M249" s="72"/>
      <c r="S249" s="72"/>
    </row>
    <row r="250" spans="5:19" s="52" customFormat="1" x14ac:dyDescent="0.2">
      <c r="E250" s="72"/>
      <c r="F250" s="72"/>
      <c r="G250" s="72"/>
      <c r="H250" s="72"/>
      <c r="I250" s="72"/>
      <c r="K250" s="72"/>
      <c r="L250" s="72"/>
      <c r="M250" s="72"/>
      <c r="S250" s="72"/>
    </row>
    <row r="251" spans="5:19" s="52" customFormat="1" x14ac:dyDescent="0.2">
      <c r="E251" s="72"/>
      <c r="F251" s="72"/>
      <c r="G251" s="72"/>
      <c r="H251" s="72"/>
      <c r="I251" s="72"/>
      <c r="K251" s="72"/>
      <c r="L251" s="72"/>
      <c r="M251" s="72"/>
      <c r="S251" s="72"/>
    </row>
    <row r="252" spans="5:19" s="52" customFormat="1" x14ac:dyDescent="0.2">
      <c r="E252" s="72"/>
      <c r="F252" s="72"/>
      <c r="G252" s="72"/>
      <c r="H252" s="72"/>
      <c r="I252" s="72"/>
      <c r="K252" s="72"/>
      <c r="L252" s="72"/>
      <c r="M252" s="72"/>
      <c r="S252" s="72"/>
    </row>
    <row r="253" spans="5:19" s="52" customFormat="1" x14ac:dyDescent="0.2">
      <c r="E253" s="72"/>
      <c r="F253" s="72"/>
      <c r="G253" s="72"/>
      <c r="H253" s="72"/>
      <c r="I253" s="72"/>
      <c r="K253" s="72"/>
      <c r="L253" s="72"/>
      <c r="M253" s="72"/>
      <c r="S253" s="72"/>
    </row>
    <row r="254" spans="5:19" x14ac:dyDescent="0.2">
      <c r="E254" s="72"/>
      <c r="F254" s="72"/>
      <c r="G254" s="72"/>
      <c r="H254" s="72"/>
      <c r="I254" s="72"/>
    </row>
    <row r="255" spans="5:19" x14ac:dyDescent="0.2">
      <c r="E255" s="72"/>
      <c r="F255" s="72"/>
      <c r="G255" s="72"/>
      <c r="H255" s="72"/>
      <c r="I255" s="72"/>
    </row>
    <row r="256" spans="5:19" x14ac:dyDescent="0.2">
      <c r="E256" s="72"/>
      <c r="F256" s="72"/>
      <c r="G256" s="72"/>
      <c r="H256" s="72"/>
      <c r="I256" s="72"/>
    </row>
    <row r="257" spans="5:9" x14ac:dyDescent="0.2">
      <c r="E257" s="72"/>
      <c r="F257" s="72"/>
      <c r="G257" s="72"/>
      <c r="H257" s="72"/>
      <c r="I257" s="72"/>
    </row>
    <row r="258" spans="5:9" x14ac:dyDescent="0.2">
      <c r="E258" s="72"/>
      <c r="F258" s="72"/>
      <c r="G258" s="72"/>
      <c r="H258" s="72"/>
      <c r="I258" s="72"/>
    </row>
    <row r="259" spans="5:9" x14ac:dyDescent="0.2">
      <c r="E259" s="72"/>
      <c r="F259" s="72"/>
      <c r="G259" s="72"/>
      <c r="H259" s="72"/>
      <c r="I259" s="72"/>
    </row>
  </sheetData>
  <sheetProtection algorithmName="SHA-512" hashValue="Ilzml+yy3przbPLf+odjjqHoJ1da0W/b/NXYgU5yGyhXmXgAwbPV2DxUXT8iwtfbWVPid+03q39gDvmxZZKkjg==" saltValue="JA2V5DcOjMIX+ZxtmmHZhQ==" spinCount="100000" sheet="1" objects="1" scenarios="1"/>
  <mergeCells count="1">
    <mergeCell ref="B13:C13"/>
  </mergeCells>
  <phoneticPr fontId="76" type="noConversion"/>
  <conditionalFormatting sqref="B17:I116">
    <cfRule type="expression" dxfId="42" priority="12">
      <formula>IF(ROW(B17)-16&lt;=$A$16,TRUE, FALSE)</formula>
    </cfRule>
  </conditionalFormatting>
  <conditionalFormatting sqref="N17:U116">
    <cfRule type="expression" dxfId="41" priority="11">
      <formula>IF(ROW(N17)-16&lt;=$M$16,TRUE, FALSE)</formula>
    </cfRule>
  </conditionalFormatting>
  <conditionalFormatting sqref="L17:L116">
    <cfRule type="expression" dxfId="40" priority="10">
      <formula>IF(ROW(L17)-16&lt;=$A$16,TRUE, FALSE)</formula>
    </cfRule>
  </conditionalFormatting>
  <conditionalFormatting sqref="V17:V116">
    <cfRule type="expression" dxfId="39" priority="4">
      <formula>IF(ROW(V17)-16&lt;=$M$16,TRUE, FALSE)</formula>
    </cfRule>
  </conditionalFormatting>
  <conditionalFormatting sqref="L17:L116 B17:F116">
    <cfRule type="expression" dxfId="38" priority="3">
      <formula>IF(OR(LOWER($L17)="x",$A17=0),FALSE,TRUE)</formula>
    </cfRule>
  </conditionalFormatting>
  <conditionalFormatting sqref="N17:R116 V17:V116">
    <cfRule type="expression" dxfId="37" priority="1">
      <formula>IF(OR(LOWER($V17)="x",$M17=0),FALSE,TRUE)</formula>
    </cfRule>
  </conditionalFormatting>
  <dataValidations count="2">
    <dataValidation type="list" allowBlank="1" showInputMessage="1" showErrorMessage="1" sqref="L17:L116 V17:V116" xr:uid="{75EFCBC7-094A-4C84-90AD-9F5611DD4B80}">
      <formula1>"x"</formula1>
    </dataValidation>
    <dataValidation type="whole" allowBlank="1" showInputMessage="1" showErrorMessage="1" errorTitle="Invalid value entered" error="Please enter a value between 0 and 52. If more than 52 weeks is required, please split capacity over multiple lines." sqref="E17:E116" xr:uid="{E6F9CE89-F305-4234-A637-F553A73DE4C6}">
      <formula1>0</formula1>
      <formula2>52</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95250</xdr:rowOff>
                  </from>
                  <to>
                    <xdr:col>3</xdr:col>
                    <xdr:colOff>247650</xdr:colOff>
                    <xdr:row>13</xdr:row>
                    <xdr:rowOff>95250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95250</xdr:rowOff>
                  </from>
                  <to>
                    <xdr:col>3</xdr:col>
                    <xdr:colOff>142875</xdr:colOff>
                    <xdr:row>6</xdr:row>
                    <xdr:rowOff>171450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1428750</xdr:colOff>
                    <xdr:row>15</xdr:row>
                    <xdr:rowOff>533400</xdr:rowOff>
                  </from>
                  <to>
                    <xdr:col>2</xdr:col>
                    <xdr:colOff>1123950</xdr:colOff>
                    <xdr:row>16</xdr:row>
                    <xdr:rowOff>171450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561975</xdr:colOff>
                    <xdr:row>5</xdr:row>
                    <xdr:rowOff>171450</xdr:rowOff>
                  </from>
                  <to>
                    <xdr:col>2</xdr:col>
                    <xdr:colOff>866775</xdr:colOff>
                    <xdr:row>7</xdr:row>
                    <xdr:rowOff>28575</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819150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12</xdr:col>
                    <xdr:colOff>238125</xdr:colOff>
                    <xdr:row>2</xdr:row>
                    <xdr:rowOff>104775</xdr:rowOff>
                  </from>
                  <to>
                    <xdr:col>13</xdr:col>
                    <xdr:colOff>1352550</xdr:colOff>
                    <xdr:row>5</xdr:row>
                    <xdr:rowOff>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12</xdr:col>
                    <xdr:colOff>247650</xdr:colOff>
                    <xdr:row>5</xdr:row>
                    <xdr:rowOff>38100</xdr:rowOff>
                  </from>
                  <to>
                    <xdr:col>13</xdr:col>
                    <xdr:colOff>1352550</xdr:colOff>
                    <xdr:row>7</xdr:row>
                    <xdr:rowOff>95250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12</xdr:col>
                    <xdr:colOff>247650</xdr:colOff>
                    <xdr:row>7</xdr:row>
                    <xdr:rowOff>171450</xdr:rowOff>
                  </from>
                  <to>
                    <xdr:col>13</xdr:col>
                    <xdr:colOff>1352550</xdr:colOff>
                    <xdr:row>12</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Q12" sqref="Q12"/>
    </sheetView>
  </sheetViews>
  <sheetFormatPr defaultColWidth="9" defaultRowHeight="14.25" x14ac:dyDescent="0.2"/>
  <cols>
    <col min="1" max="1" width="2.5" style="72" customWidth="1"/>
    <col min="2" max="2" width="40.625" style="72" customWidth="1"/>
    <col min="3" max="3" width="0.75" style="81" customWidth="1"/>
    <col min="4" max="5" width="10.75" style="72" customWidth="1"/>
    <col min="6" max="6" width="0.75" style="81" customWidth="1"/>
    <col min="7" max="8" width="10.75" style="72" customWidth="1"/>
    <col min="9" max="9" width="0.75" style="81" customWidth="1"/>
    <col min="10" max="11" width="10.75" style="72" customWidth="1"/>
    <col min="12" max="12" width="0.75" style="81" customWidth="1"/>
    <col min="13" max="14" width="10.75" style="72" customWidth="1"/>
    <col min="15" max="15" width="0.75" style="81" customWidth="1"/>
    <col min="16" max="17" width="10.75" style="72" customWidth="1"/>
    <col min="18" max="18" width="2.75" style="72" customWidth="1"/>
    <col min="19" max="16384" width="9" style="72"/>
  </cols>
  <sheetData>
    <row r="2" spans="1:19" ht="14.25" customHeight="1" x14ac:dyDescent="0.2">
      <c r="B2" s="107" t="s">
        <v>478</v>
      </c>
      <c r="C2" s="128"/>
      <c r="D2" s="128"/>
      <c r="E2" s="128"/>
      <c r="F2" s="110"/>
    </row>
    <row r="3" spans="1:19" x14ac:dyDescent="0.2">
      <c r="B3" s="139" t="s">
        <v>474</v>
      </c>
      <c r="C3" s="139"/>
      <c r="D3" s="270">
        <f ca="1">IF(Capacity!C3="",TODAY(),Capacity!C3)</f>
        <v>44511</v>
      </c>
      <c r="F3" s="111"/>
    </row>
    <row r="4" spans="1:19" x14ac:dyDescent="0.2">
      <c r="B4" s="139" t="s">
        <v>437</v>
      </c>
      <c r="C4" s="139"/>
      <c r="D4" s="271">
        <f ca="1">IF(Capacity!C4="",DATE(YEAR(D3)+1,MONTH(D3),DAY(D3))-1,Capacity!C4)</f>
        <v>44875</v>
      </c>
      <c r="F4" s="111"/>
    </row>
    <row r="6" spans="1:19" ht="15" customHeight="1" x14ac:dyDescent="0.2">
      <c r="C6" s="108"/>
      <c r="D6" s="106"/>
      <c r="E6" s="106"/>
      <c r="F6" s="108"/>
      <c r="G6" s="106"/>
      <c r="H6" s="106"/>
      <c r="I6" s="108"/>
      <c r="J6" s="106"/>
      <c r="K6" s="106"/>
      <c r="L6" s="108"/>
      <c r="M6" s="106"/>
      <c r="N6" s="106"/>
      <c r="O6" s="108"/>
      <c r="P6" s="106"/>
      <c r="Q6" s="106"/>
      <c r="R6" s="77"/>
      <c r="S6" s="78"/>
    </row>
    <row r="7" spans="1:19" ht="14.25" customHeight="1" x14ac:dyDescent="0.2">
      <c r="B7" s="106"/>
      <c r="C7" s="108"/>
      <c r="D7" s="106"/>
      <c r="E7" s="106"/>
      <c r="F7" s="108"/>
      <c r="G7" s="106"/>
      <c r="H7" s="106"/>
      <c r="I7" s="108"/>
      <c r="J7" s="106"/>
      <c r="K7" s="106"/>
      <c r="L7" s="108"/>
      <c r="M7" s="106"/>
      <c r="N7" s="106"/>
      <c r="O7" s="108"/>
      <c r="P7" s="106"/>
      <c r="Q7" s="106"/>
      <c r="R7" s="77"/>
      <c r="S7" s="78"/>
    </row>
    <row r="8" spans="1:19" ht="15" x14ac:dyDescent="0.2">
      <c r="C8" s="109"/>
      <c r="D8" s="424" t="s">
        <v>475</v>
      </c>
      <c r="E8" s="424"/>
      <c r="F8" s="424"/>
      <c r="G8" s="424"/>
      <c r="H8" s="424"/>
      <c r="I8" s="424"/>
      <c r="J8" s="424"/>
      <c r="K8" s="424"/>
      <c r="L8" s="108"/>
      <c r="M8" s="106"/>
      <c r="N8" s="106"/>
      <c r="O8" s="108"/>
      <c r="P8" s="106"/>
      <c r="Q8" s="106"/>
      <c r="S8" s="78"/>
    </row>
    <row r="10" spans="1:19" x14ac:dyDescent="0.2">
      <c r="D10" s="422" t="s">
        <v>444</v>
      </c>
      <c r="E10" s="423"/>
      <c r="F10" s="112"/>
      <c r="G10" s="420" t="s">
        <v>445</v>
      </c>
      <c r="H10" s="421"/>
      <c r="I10" s="112"/>
      <c r="J10" s="422" t="s">
        <v>446</v>
      </c>
      <c r="K10" s="423"/>
      <c r="L10" s="112"/>
      <c r="M10" s="420" t="s">
        <v>447</v>
      </c>
      <c r="N10" s="421"/>
      <c r="O10" s="112"/>
      <c r="P10" s="422" t="s">
        <v>448</v>
      </c>
      <c r="Q10" s="423"/>
    </row>
    <row r="11" spans="1:19" x14ac:dyDescent="0.2">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
      <c r="A12" s="74">
        <f>IF(B12="",0,ROW(A1))</f>
        <v>1</v>
      </c>
      <c r="B12" s="171" t="s">
        <v>1254</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
      <c r="A13" s="74">
        <f t="shared" ref="A13:A76" si="0">IF(B13="",0,ROW(A2))</f>
        <v>2</v>
      </c>
      <c r="B13" s="172" t="s">
        <v>1255</v>
      </c>
      <c r="D13" s="174">
        <v>43815</v>
      </c>
      <c r="E13" s="174">
        <v>43849</v>
      </c>
      <c r="F13" s="111"/>
      <c r="G13" s="174"/>
      <c r="H13" s="174"/>
      <c r="J13" s="174"/>
      <c r="K13" s="174"/>
      <c r="M13" s="174"/>
      <c r="N13" s="174"/>
      <c r="P13" s="174"/>
      <c r="Q13" s="174"/>
    </row>
    <row r="14" spans="1:19" x14ac:dyDescent="0.2">
      <c r="A14" s="74">
        <f t="shared" si="0"/>
        <v>3</v>
      </c>
      <c r="B14" s="172" t="s">
        <v>1256</v>
      </c>
      <c r="D14" s="174">
        <v>43682</v>
      </c>
      <c r="E14" s="174">
        <v>43723</v>
      </c>
      <c r="F14" s="111"/>
      <c r="G14" s="174"/>
      <c r="H14" s="174"/>
      <c r="J14" s="174"/>
      <c r="K14" s="174"/>
      <c r="M14" s="174"/>
      <c r="N14" s="174"/>
      <c r="P14" s="174"/>
      <c r="Q14" s="174"/>
    </row>
    <row r="15" spans="1:19" x14ac:dyDescent="0.2">
      <c r="A15" s="74">
        <f t="shared" si="0"/>
        <v>4</v>
      </c>
      <c r="B15" s="172" t="s">
        <v>1257</v>
      </c>
      <c r="D15" s="174"/>
      <c r="E15" s="174"/>
      <c r="G15" s="174"/>
      <c r="H15" s="174"/>
      <c r="J15" s="174"/>
      <c r="K15" s="174"/>
      <c r="M15" s="174"/>
      <c r="N15" s="174"/>
      <c r="P15" s="174"/>
      <c r="Q15" s="174"/>
    </row>
    <row r="16" spans="1:19" x14ac:dyDescent="0.2">
      <c r="A16" s="74">
        <f t="shared" si="0"/>
        <v>5</v>
      </c>
      <c r="B16" s="172" t="s">
        <v>1258</v>
      </c>
      <c r="D16" s="174"/>
      <c r="E16" s="174"/>
      <c r="G16" s="174"/>
      <c r="H16" s="174"/>
      <c r="J16" s="174"/>
      <c r="K16" s="174"/>
      <c r="M16" s="174"/>
      <c r="N16" s="174"/>
      <c r="P16" s="174"/>
      <c r="Q16" s="174"/>
    </row>
    <row r="17" spans="1:17" x14ac:dyDescent="0.2">
      <c r="A17" s="74">
        <f t="shared" si="0"/>
        <v>0</v>
      </c>
      <c r="B17" s="172"/>
      <c r="D17" s="174"/>
      <c r="E17" s="174"/>
      <c r="G17" s="174"/>
      <c r="H17" s="174"/>
      <c r="J17" s="174"/>
      <c r="K17" s="174"/>
      <c r="M17" s="174"/>
      <c r="N17" s="174"/>
      <c r="P17" s="174"/>
      <c r="Q17" s="174"/>
    </row>
    <row r="18" spans="1:17" x14ac:dyDescent="0.2">
      <c r="A18" s="74">
        <f t="shared" si="0"/>
        <v>0</v>
      </c>
      <c r="B18" s="172"/>
      <c r="D18" s="174"/>
      <c r="E18" s="174"/>
      <c r="G18" s="174"/>
      <c r="H18" s="174"/>
      <c r="J18" s="174"/>
      <c r="K18" s="174"/>
      <c r="M18" s="174"/>
      <c r="N18" s="174"/>
      <c r="P18" s="174"/>
      <c r="Q18" s="174"/>
    </row>
    <row r="19" spans="1:17" x14ac:dyDescent="0.2">
      <c r="A19" s="74">
        <f t="shared" si="0"/>
        <v>0</v>
      </c>
      <c r="B19" s="172"/>
      <c r="D19" s="174"/>
      <c r="E19" s="174"/>
      <c r="G19" s="174"/>
      <c r="H19" s="174"/>
      <c r="J19" s="174"/>
      <c r="K19" s="174"/>
      <c r="M19" s="174"/>
      <c r="N19" s="174"/>
      <c r="P19" s="174"/>
      <c r="Q19" s="174"/>
    </row>
    <row r="20" spans="1:17" x14ac:dyDescent="0.2">
      <c r="A20" s="74">
        <f t="shared" si="0"/>
        <v>0</v>
      </c>
      <c r="B20" s="172"/>
      <c r="D20" s="174"/>
      <c r="E20" s="174"/>
      <c r="G20" s="174"/>
      <c r="H20" s="174"/>
      <c r="J20" s="174"/>
      <c r="K20" s="174"/>
      <c r="M20" s="174"/>
      <c r="N20" s="174"/>
      <c r="P20" s="174"/>
      <c r="Q20" s="174"/>
    </row>
    <row r="21" spans="1:17" x14ac:dyDescent="0.2">
      <c r="A21" s="74">
        <f t="shared" si="0"/>
        <v>0</v>
      </c>
      <c r="B21" s="172"/>
      <c r="D21" s="174"/>
      <c r="E21" s="174"/>
      <c r="G21" s="174"/>
      <c r="H21" s="174"/>
      <c r="J21" s="174"/>
      <c r="K21" s="174"/>
      <c r="M21" s="174"/>
      <c r="N21" s="174"/>
      <c r="P21" s="174"/>
      <c r="Q21" s="174"/>
    </row>
    <row r="22" spans="1:17" x14ac:dyDescent="0.2">
      <c r="A22" s="74">
        <f t="shared" si="0"/>
        <v>0</v>
      </c>
      <c r="B22" s="172"/>
      <c r="D22" s="174"/>
      <c r="E22" s="174"/>
      <c r="G22" s="174"/>
      <c r="H22" s="174"/>
      <c r="J22" s="174"/>
      <c r="K22" s="174"/>
      <c r="M22" s="174"/>
      <c r="N22" s="174"/>
      <c r="P22" s="174"/>
      <c r="Q22" s="174"/>
    </row>
    <row r="23" spans="1:17" x14ac:dyDescent="0.2">
      <c r="A23" s="74">
        <f t="shared" si="0"/>
        <v>0</v>
      </c>
      <c r="B23" s="172"/>
      <c r="D23" s="174"/>
      <c r="E23" s="174"/>
      <c r="G23" s="174"/>
      <c r="H23" s="174"/>
      <c r="J23" s="174"/>
      <c r="K23" s="174"/>
      <c r="M23" s="174"/>
      <c r="N23" s="174"/>
      <c r="P23" s="174"/>
      <c r="Q23" s="174"/>
    </row>
    <row r="24" spans="1:17" x14ac:dyDescent="0.2">
      <c r="A24" s="74">
        <f t="shared" si="0"/>
        <v>0</v>
      </c>
      <c r="B24" s="172"/>
      <c r="D24" s="174"/>
      <c r="E24" s="174"/>
      <c r="G24" s="174"/>
      <c r="H24" s="174"/>
      <c r="J24" s="174"/>
      <c r="K24" s="174"/>
      <c r="M24" s="174"/>
      <c r="N24" s="174"/>
      <c r="P24" s="174"/>
      <c r="Q24" s="174"/>
    </row>
    <row r="25" spans="1:17" x14ac:dyDescent="0.2">
      <c r="A25" s="74">
        <f t="shared" si="0"/>
        <v>0</v>
      </c>
      <c r="B25" s="172"/>
      <c r="D25" s="174"/>
      <c r="E25" s="174"/>
      <c r="G25" s="174"/>
      <c r="H25" s="174"/>
      <c r="J25" s="174"/>
      <c r="K25" s="174"/>
      <c r="M25" s="174"/>
      <c r="N25" s="174"/>
      <c r="P25" s="174"/>
      <c r="Q25" s="174"/>
    </row>
    <row r="26" spans="1:17" x14ac:dyDescent="0.2">
      <c r="A26" s="74">
        <f t="shared" si="0"/>
        <v>0</v>
      </c>
      <c r="B26" s="172"/>
      <c r="D26" s="174"/>
      <c r="E26" s="174"/>
      <c r="G26" s="174"/>
      <c r="H26" s="174"/>
      <c r="J26" s="174"/>
      <c r="K26" s="174"/>
      <c r="M26" s="174"/>
      <c r="N26" s="174"/>
      <c r="P26" s="174"/>
      <c r="Q26" s="174"/>
    </row>
    <row r="27" spans="1:17" x14ac:dyDescent="0.2">
      <c r="A27" s="74">
        <f t="shared" si="0"/>
        <v>0</v>
      </c>
      <c r="B27" s="172"/>
      <c r="D27" s="174"/>
      <c r="E27" s="174"/>
      <c r="G27" s="174"/>
      <c r="H27" s="174"/>
      <c r="J27" s="174"/>
      <c r="K27" s="174"/>
      <c r="M27" s="174"/>
      <c r="N27" s="174"/>
      <c r="P27" s="174"/>
      <c r="Q27" s="174"/>
    </row>
    <row r="28" spans="1:17" x14ac:dyDescent="0.2">
      <c r="A28" s="74">
        <f t="shared" si="0"/>
        <v>0</v>
      </c>
      <c r="B28" s="172"/>
      <c r="D28" s="174"/>
      <c r="E28" s="174"/>
      <c r="G28" s="174"/>
      <c r="H28" s="174"/>
      <c r="J28" s="174"/>
      <c r="K28" s="174"/>
      <c r="M28" s="174"/>
      <c r="N28" s="174"/>
      <c r="P28" s="174"/>
      <c r="Q28" s="174"/>
    </row>
    <row r="29" spans="1:17" x14ac:dyDescent="0.2">
      <c r="A29" s="74">
        <f t="shared" si="0"/>
        <v>0</v>
      </c>
      <c r="B29" s="172"/>
      <c r="D29" s="174"/>
      <c r="E29" s="174"/>
      <c r="G29" s="174"/>
      <c r="H29" s="174"/>
      <c r="J29" s="174"/>
      <c r="K29" s="174"/>
      <c r="M29" s="174"/>
      <c r="N29" s="174"/>
      <c r="P29" s="174"/>
      <c r="Q29" s="174"/>
    </row>
    <row r="30" spans="1:17" x14ac:dyDescent="0.2">
      <c r="A30" s="74">
        <f t="shared" si="0"/>
        <v>0</v>
      </c>
      <c r="B30" s="172"/>
      <c r="D30" s="174"/>
      <c r="E30" s="174"/>
      <c r="G30" s="174"/>
      <c r="H30" s="174"/>
      <c r="J30" s="174"/>
      <c r="K30" s="174"/>
      <c r="M30" s="174"/>
      <c r="N30" s="174"/>
      <c r="P30" s="174"/>
      <c r="Q30" s="174"/>
    </row>
    <row r="31" spans="1:17" x14ac:dyDescent="0.2">
      <c r="A31" s="74">
        <f t="shared" si="0"/>
        <v>0</v>
      </c>
      <c r="B31" s="172"/>
      <c r="D31" s="174"/>
      <c r="E31" s="174"/>
      <c r="G31" s="174"/>
      <c r="H31" s="174"/>
      <c r="J31" s="174"/>
      <c r="K31" s="174"/>
      <c r="M31" s="174"/>
      <c r="N31" s="174"/>
      <c r="P31" s="174"/>
      <c r="Q31" s="174"/>
    </row>
    <row r="32" spans="1:17" x14ac:dyDescent="0.2">
      <c r="A32" s="74">
        <f t="shared" si="0"/>
        <v>0</v>
      </c>
      <c r="B32" s="172"/>
      <c r="D32" s="174"/>
      <c r="E32" s="174"/>
      <c r="G32" s="174"/>
      <c r="H32" s="174"/>
      <c r="J32" s="174"/>
      <c r="K32" s="174"/>
      <c r="M32" s="174"/>
      <c r="N32" s="174"/>
      <c r="P32" s="174"/>
      <c r="Q32" s="174"/>
    </row>
    <row r="33" spans="1:17" x14ac:dyDescent="0.2">
      <c r="A33" s="74">
        <f t="shared" si="0"/>
        <v>0</v>
      </c>
      <c r="B33" s="172"/>
      <c r="D33" s="174"/>
      <c r="E33" s="174"/>
      <c r="G33" s="174"/>
      <c r="H33" s="174"/>
      <c r="J33" s="174"/>
      <c r="K33" s="174"/>
      <c r="M33" s="174"/>
      <c r="N33" s="174"/>
      <c r="P33" s="174"/>
      <c r="Q33" s="174"/>
    </row>
    <row r="34" spans="1:17" x14ac:dyDescent="0.2">
      <c r="A34" s="74">
        <f t="shared" si="0"/>
        <v>0</v>
      </c>
      <c r="B34" s="172"/>
      <c r="D34" s="174"/>
      <c r="E34" s="174"/>
      <c r="G34" s="174"/>
      <c r="H34" s="174"/>
      <c r="J34" s="174"/>
      <c r="K34" s="174"/>
      <c r="M34" s="174"/>
      <c r="N34" s="174"/>
      <c r="P34" s="174"/>
      <c r="Q34" s="174"/>
    </row>
    <row r="35" spans="1:17" x14ac:dyDescent="0.2">
      <c r="A35" s="74">
        <f t="shared" si="0"/>
        <v>0</v>
      </c>
      <c r="B35" s="172"/>
      <c r="D35" s="174"/>
      <c r="E35" s="174"/>
      <c r="G35" s="174"/>
      <c r="H35" s="174"/>
      <c r="J35" s="174"/>
      <c r="K35" s="174"/>
      <c r="M35" s="174"/>
      <c r="N35" s="174"/>
      <c r="P35" s="174"/>
      <c r="Q35" s="174"/>
    </row>
    <row r="36" spans="1:17" x14ac:dyDescent="0.2">
      <c r="A36" s="74">
        <f t="shared" si="0"/>
        <v>0</v>
      </c>
      <c r="B36" s="172"/>
      <c r="D36" s="174"/>
      <c r="E36" s="174"/>
      <c r="G36" s="174"/>
      <c r="H36" s="174"/>
      <c r="J36" s="174"/>
      <c r="K36" s="174"/>
      <c r="M36" s="174"/>
      <c r="N36" s="174"/>
      <c r="P36" s="174"/>
      <c r="Q36" s="174"/>
    </row>
    <row r="37" spans="1:17" x14ac:dyDescent="0.2">
      <c r="A37" s="74">
        <f t="shared" si="0"/>
        <v>0</v>
      </c>
      <c r="B37" s="172"/>
      <c r="D37" s="174"/>
      <c r="E37" s="174"/>
      <c r="G37" s="174"/>
      <c r="H37" s="174"/>
      <c r="J37" s="174"/>
      <c r="K37" s="174"/>
      <c r="M37" s="174"/>
      <c r="N37" s="174"/>
      <c r="P37" s="174"/>
      <c r="Q37" s="174"/>
    </row>
    <row r="38" spans="1:17" x14ac:dyDescent="0.2">
      <c r="A38" s="74">
        <f t="shared" si="0"/>
        <v>0</v>
      </c>
      <c r="B38" s="172"/>
      <c r="D38" s="174"/>
      <c r="E38" s="174"/>
      <c r="G38" s="174"/>
      <c r="H38" s="174"/>
      <c r="J38" s="174"/>
      <c r="K38" s="174"/>
      <c r="M38" s="174"/>
      <c r="N38" s="174"/>
      <c r="P38" s="174"/>
      <c r="Q38" s="174"/>
    </row>
    <row r="39" spans="1:17" x14ac:dyDescent="0.2">
      <c r="A39" s="74">
        <f t="shared" si="0"/>
        <v>0</v>
      </c>
      <c r="B39" s="172"/>
      <c r="D39" s="174"/>
      <c r="E39" s="174"/>
      <c r="G39" s="174"/>
      <c r="H39" s="174"/>
      <c r="J39" s="174"/>
      <c r="K39" s="174"/>
      <c r="M39" s="174"/>
      <c r="N39" s="174"/>
      <c r="P39" s="174"/>
      <c r="Q39" s="174"/>
    </row>
    <row r="40" spans="1:17" x14ac:dyDescent="0.2">
      <c r="A40" s="74">
        <f t="shared" si="0"/>
        <v>0</v>
      </c>
      <c r="B40" s="172"/>
      <c r="D40" s="174"/>
      <c r="E40" s="174"/>
      <c r="G40" s="174"/>
      <c r="H40" s="174"/>
      <c r="J40" s="174"/>
      <c r="K40" s="174"/>
      <c r="M40" s="174"/>
      <c r="N40" s="174"/>
      <c r="P40" s="174"/>
      <c r="Q40" s="174"/>
    </row>
    <row r="41" spans="1:17" x14ac:dyDescent="0.2">
      <c r="A41" s="74">
        <f t="shared" si="0"/>
        <v>0</v>
      </c>
      <c r="B41" s="172"/>
      <c r="D41" s="174"/>
      <c r="E41" s="174"/>
      <c r="G41" s="174"/>
      <c r="H41" s="174"/>
      <c r="J41" s="174"/>
      <c r="K41" s="174"/>
      <c r="M41" s="174"/>
      <c r="N41" s="174"/>
      <c r="P41" s="174"/>
      <c r="Q41" s="174"/>
    </row>
    <row r="42" spans="1:17" x14ac:dyDescent="0.2">
      <c r="A42" s="74">
        <f t="shared" si="0"/>
        <v>0</v>
      </c>
      <c r="B42" s="172"/>
      <c r="D42" s="174"/>
      <c r="E42" s="174"/>
      <c r="G42" s="174"/>
      <c r="H42" s="174"/>
      <c r="J42" s="174"/>
      <c r="K42" s="174"/>
      <c r="M42" s="174"/>
      <c r="N42" s="174"/>
      <c r="P42" s="174"/>
      <c r="Q42" s="174"/>
    </row>
    <row r="43" spans="1:17" x14ac:dyDescent="0.2">
      <c r="A43" s="74">
        <f t="shared" si="0"/>
        <v>0</v>
      </c>
      <c r="B43" s="172"/>
      <c r="D43" s="174"/>
      <c r="E43" s="174"/>
      <c r="G43" s="174"/>
      <c r="H43" s="174"/>
      <c r="J43" s="174"/>
      <c r="K43" s="174"/>
      <c r="M43" s="174"/>
      <c r="N43" s="174"/>
      <c r="P43" s="174"/>
      <c r="Q43" s="174"/>
    </row>
    <row r="44" spans="1:17" x14ac:dyDescent="0.2">
      <c r="A44" s="74">
        <f t="shared" si="0"/>
        <v>0</v>
      </c>
      <c r="B44" s="172"/>
      <c r="D44" s="174"/>
      <c r="E44" s="174"/>
      <c r="G44" s="174"/>
      <c r="H44" s="174"/>
      <c r="J44" s="174"/>
      <c r="K44" s="174"/>
      <c r="M44" s="174"/>
      <c r="N44" s="174"/>
      <c r="P44" s="174"/>
      <c r="Q44" s="174"/>
    </row>
    <row r="45" spans="1:17" x14ac:dyDescent="0.2">
      <c r="A45" s="74">
        <f t="shared" si="0"/>
        <v>0</v>
      </c>
      <c r="B45" s="172"/>
      <c r="D45" s="174"/>
      <c r="E45" s="174"/>
      <c r="G45" s="174"/>
      <c r="H45" s="174"/>
      <c r="J45" s="174"/>
      <c r="K45" s="174"/>
      <c r="M45" s="174"/>
      <c r="N45" s="174"/>
      <c r="P45" s="174"/>
      <c r="Q45" s="174"/>
    </row>
    <row r="46" spans="1:17" x14ac:dyDescent="0.2">
      <c r="A46" s="74">
        <f t="shared" si="0"/>
        <v>0</v>
      </c>
      <c r="B46" s="172"/>
      <c r="D46" s="174"/>
      <c r="E46" s="174"/>
      <c r="G46" s="174"/>
      <c r="H46" s="174"/>
      <c r="J46" s="174"/>
      <c r="K46" s="174"/>
      <c r="M46" s="174"/>
      <c r="N46" s="174"/>
      <c r="P46" s="174"/>
      <c r="Q46" s="174"/>
    </row>
    <row r="47" spans="1:17" x14ac:dyDescent="0.2">
      <c r="A47" s="74">
        <f t="shared" si="0"/>
        <v>0</v>
      </c>
      <c r="B47" s="172"/>
      <c r="D47" s="174"/>
      <c r="E47" s="174"/>
      <c r="G47" s="174"/>
      <c r="H47" s="174"/>
      <c r="J47" s="174"/>
      <c r="K47" s="174"/>
      <c r="M47" s="174"/>
      <c r="N47" s="174"/>
      <c r="P47" s="174"/>
      <c r="Q47" s="174"/>
    </row>
    <row r="48" spans="1:17" x14ac:dyDescent="0.2">
      <c r="A48" s="74">
        <f t="shared" si="0"/>
        <v>0</v>
      </c>
      <c r="B48" s="172"/>
      <c r="D48" s="174"/>
      <c r="E48" s="174"/>
      <c r="G48" s="174"/>
      <c r="H48" s="174"/>
      <c r="J48" s="174"/>
      <c r="K48" s="174"/>
      <c r="M48" s="174"/>
      <c r="N48" s="174"/>
      <c r="P48" s="174"/>
      <c r="Q48" s="174"/>
    </row>
    <row r="49" spans="1:17" x14ac:dyDescent="0.2">
      <c r="A49" s="74">
        <f t="shared" si="0"/>
        <v>0</v>
      </c>
      <c r="B49" s="172"/>
      <c r="D49" s="174"/>
      <c r="E49" s="174"/>
      <c r="G49" s="174"/>
      <c r="H49" s="174"/>
      <c r="J49" s="174"/>
      <c r="K49" s="174"/>
      <c r="M49" s="174"/>
      <c r="N49" s="174"/>
      <c r="P49" s="174"/>
      <c r="Q49" s="174"/>
    </row>
    <row r="50" spans="1:17" x14ac:dyDescent="0.2">
      <c r="A50" s="74">
        <f t="shared" si="0"/>
        <v>0</v>
      </c>
      <c r="B50" s="172"/>
      <c r="D50" s="174"/>
      <c r="E50" s="174"/>
      <c r="G50" s="174"/>
      <c r="H50" s="174"/>
      <c r="J50" s="174"/>
      <c r="K50" s="174"/>
      <c r="M50" s="174"/>
      <c r="N50" s="174"/>
      <c r="P50" s="174"/>
      <c r="Q50" s="174"/>
    </row>
    <row r="51" spans="1:17" x14ac:dyDescent="0.2">
      <c r="A51" s="74">
        <f t="shared" si="0"/>
        <v>0</v>
      </c>
      <c r="B51" s="172"/>
      <c r="D51" s="174"/>
      <c r="E51" s="174"/>
      <c r="G51" s="174"/>
      <c r="H51" s="174"/>
      <c r="J51" s="174"/>
      <c r="K51" s="174"/>
      <c r="M51" s="174"/>
      <c r="N51" s="174"/>
      <c r="P51" s="174"/>
      <c r="Q51" s="174"/>
    </row>
    <row r="52" spans="1:17" x14ac:dyDescent="0.2">
      <c r="A52" s="74">
        <f t="shared" si="0"/>
        <v>0</v>
      </c>
      <c r="B52" s="172"/>
      <c r="D52" s="174"/>
      <c r="E52" s="174"/>
      <c r="G52" s="174"/>
      <c r="H52" s="174"/>
      <c r="J52" s="174"/>
      <c r="K52" s="174"/>
      <c r="M52" s="174"/>
      <c r="N52" s="174"/>
      <c r="P52" s="174"/>
      <c r="Q52" s="174"/>
    </row>
    <row r="53" spans="1:17" x14ac:dyDescent="0.2">
      <c r="A53" s="74">
        <f t="shared" si="0"/>
        <v>0</v>
      </c>
      <c r="B53" s="172"/>
      <c r="D53" s="174"/>
      <c r="E53" s="174"/>
      <c r="G53" s="174"/>
      <c r="H53" s="174"/>
      <c r="J53" s="174"/>
      <c r="K53" s="174"/>
      <c r="M53" s="174"/>
      <c r="N53" s="174"/>
      <c r="P53" s="174"/>
      <c r="Q53" s="174"/>
    </row>
    <row r="54" spans="1:17" x14ac:dyDescent="0.2">
      <c r="A54" s="74">
        <f t="shared" si="0"/>
        <v>0</v>
      </c>
      <c r="B54" s="172"/>
      <c r="D54" s="174"/>
      <c r="E54" s="174"/>
      <c r="G54" s="174"/>
      <c r="H54" s="174"/>
      <c r="J54" s="174"/>
      <c r="K54" s="174"/>
      <c r="M54" s="174"/>
      <c r="N54" s="174"/>
      <c r="P54" s="174"/>
      <c r="Q54" s="174"/>
    </row>
    <row r="55" spans="1:17" x14ac:dyDescent="0.2">
      <c r="A55" s="74">
        <f t="shared" si="0"/>
        <v>0</v>
      </c>
      <c r="B55" s="172"/>
      <c r="D55" s="174"/>
      <c r="E55" s="174"/>
      <c r="G55" s="174"/>
      <c r="H55" s="174"/>
      <c r="J55" s="174"/>
      <c r="K55" s="174"/>
      <c r="M55" s="174"/>
      <c r="N55" s="174"/>
      <c r="P55" s="174"/>
      <c r="Q55" s="174"/>
    </row>
    <row r="56" spans="1:17" x14ac:dyDescent="0.2">
      <c r="A56" s="74">
        <f t="shared" si="0"/>
        <v>0</v>
      </c>
      <c r="B56" s="172"/>
      <c r="D56" s="174"/>
      <c r="E56" s="174"/>
      <c r="G56" s="174"/>
      <c r="H56" s="174"/>
      <c r="J56" s="174"/>
      <c r="K56" s="174"/>
      <c r="M56" s="174"/>
      <c r="N56" s="174"/>
      <c r="P56" s="174"/>
      <c r="Q56" s="174"/>
    </row>
    <row r="57" spans="1:17" x14ac:dyDescent="0.2">
      <c r="A57" s="74">
        <f t="shared" si="0"/>
        <v>0</v>
      </c>
      <c r="B57" s="172"/>
      <c r="D57" s="174"/>
      <c r="E57" s="174"/>
      <c r="G57" s="174"/>
      <c r="H57" s="174"/>
      <c r="J57" s="174"/>
      <c r="K57" s="174"/>
      <c r="M57" s="174"/>
      <c r="N57" s="174"/>
      <c r="P57" s="174"/>
      <c r="Q57" s="174"/>
    </row>
    <row r="58" spans="1:17" x14ac:dyDescent="0.2">
      <c r="A58" s="74">
        <f t="shared" si="0"/>
        <v>0</v>
      </c>
      <c r="B58" s="172"/>
      <c r="D58" s="174"/>
      <c r="E58" s="174"/>
      <c r="G58" s="174"/>
      <c r="H58" s="174"/>
      <c r="J58" s="174"/>
      <c r="K58" s="174"/>
      <c r="M58" s="174"/>
      <c r="N58" s="174"/>
      <c r="P58" s="174"/>
      <c r="Q58" s="174"/>
    </row>
    <row r="59" spans="1:17" x14ac:dyDescent="0.2">
      <c r="A59" s="74">
        <f t="shared" si="0"/>
        <v>0</v>
      </c>
      <c r="B59" s="172"/>
      <c r="D59" s="174"/>
      <c r="E59" s="174"/>
      <c r="G59" s="174"/>
      <c r="H59" s="174"/>
      <c r="J59" s="174"/>
      <c r="K59" s="174"/>
      <c r="M59" s="174"/>
      <c r="N59" s="174"/>
      <c r="P59" s="174"/>
      <c r="Q59" s="174"/>
    </row>
    <row r="60" spans="1:17" x14ac:dyDescent="0.2">
      <c r="A60" s="74">
        <f t="shared" si="0"/>
        <v>0</v>
      </c>
      <c r="B60" s="172"/>
      <c r="D60" s="174"/>
      <c r="E60" s="174"/>
      <c r="G60" s="174"/>
      <c r="H60" s="174"/>
      <c r="J60" s="174"/>
      <c r="K60" s="174"/>
      <c r="M60" s="174"/>
      <c r="N60" s="174"/>
      <c r="P60" s="174"/>
      <c r="Q60" s="174"/>
    </row>
    <row r="61" spans="1:17" x14ac:dyDescent="0.2">
      <c r="A61" s="74">
        <f t="shared" si="0"/>
        <v>0</v>
      </c>
      <c r="B61" s="172"/>
      <c r="D61" s="174"/>
      <c r="E61" s="174"/>
      <c r="G61" s="174"/>
      <c r="H61" s="174"/>
      <c r="J61" s="174"/>
      <c r="K61" s="174"/>
      <c r="M61" s="174"/>
      <c r="N61" s="174"/>
      <c r="P61" s="174"/>
      <c r="Q61" s="174"/>
    </row>
    <row r="62" spans="1:17" x14ac:dyDescent="0.2">
      <c r="A62" s="74">
        <f t="shared" si="0"/>
        <v>0</v>
      </c>
      <c r="B62" s="172"/>
      <c r="D62" s="174"/>
      <c r="E62" s="174"/>
      <c r="G62" s="174"/>
      <c r="H62" s="174"/>
      <c r="J62" s="174"/>
      <c r="K62" s="174"/>
      <c r="M62" s="174"/>
      <c r="N62" s="174"/>
      <c r="P62" s="174"/>
      <c r="Q62" s="174"/>
    </row>
    <row r="63" spans="1:17" x14ac:dyDescent="0.2">
      <c r="A63" s="74">
        <f t="shared" si="0"/>
        <v>0</v>
      </c>
      <c r="B63" s="172"/>
      <c r="D63" s="174"/>
      <c r="E63" s="174"/>
      <c r="G63" s="174"/>
      <c r="H63" s="174"/>
      <c r="J63" s="174"/>
      <c r="K63" s="174"/>
      <c r="M63" s="174"/>
      <c r="N63" s="174"/>
      <c r="P63" s="174"/>
      <c r="Q63" s="174"/>
    </row>
    <row r="64" spans="1:17" x14ac:dyDescent="0.2">
      <c r="A64" s="74">
        <f t="shared" si="0"/>
        <v>0</v>
      </c>
      <c r="B64" s="172"/>
      <c r="D64" s="174"/>
      <c r="E64" s="174"/>
      <c r="G64" s="174"/>
      <c r="H64" s="174"/>
      <c r="J64" s="174"/>
      <c r="K64" s="174"/>
      <c r="M64" s="174"/>
      <c r="N64" s="174"/>
      <c r="P64" s="174"/>
      <c r="Q64" s="174"/>
    </row>
    <row r="65" spans="1:17" x14ac:dyDescent="0.2">
      <c r="A65" s="74">
        <f t="shared" si="0"/>
        <v>0</v>
      </c>
      <c r="B65" s="172"/>
      <c r="D65" s="174"/>
      <c r="E65" s="174"/>
      <c r="G65" s="174"/>
      <c r="H65" s="174"/>
      <c r="J65" s="174"/>
      <c r="K65" s="174"/>
      <c r="M65" s="174"/>
      <c r="N65" s="174"/>
      <c r="P65" s="174"/>
      <c r="Q65" s="174"/>
    </row>
    <row r="66" spans="1:17" x14ac:dyDescent="0.2">
      <c r="A66" s="74">
        <f t="shared" si="0"/>
        <v>0</v>
      </c>
      <c r="B66" s="172"/>
      <c r="D66" s="174"/>
      <c r="E66" s="174"/>
      <c r="G66" s="174"/>
      <c r="H66" s="174"/>
      <c r="J66" s="174"/>
      <c r="K66" s="174"/>
      <c r="M66" s="174"/>
      <c r="N66" s="174"/>
      <c r="P66" s="174"/>
      <c r="Q66" s="174"/>
    </row>
    <row r="67" spans="1:17" x14ac:dyDescent="0.2">
      <c r="A67" s="74">
        <f t="shared" si="0"/>
        <v>0</v>
      </c>
      <c r="B67" s="172"/>
      <c r="D67" s="174"/>
      <c r="E67" s="174"/>
      <c r="G67" s="174"/>
      <c r="H67" s="174"/>
      <c r="J67" s="174"/>
      <c r="K67" s="174"/>
      <c r="M67" s="174"/>
      <c r="N67" s="174"/>
      <c r="P67" s="174"/>
      <c r="Q67" s="174"/>
    </row>
    <row r="68" spans="1:17" x14ac:dyDescent="0.2">
      <c r="A68" s="74">
        <f t="shared" si="0"/>
        <v>0</v>
      </c>
      <c r="B68" s="172"/>
      <c r="D68" s="174"/>
      <c r="E68" s="174"/>
      <c r="G68" s="174"/>
      <c r="H68" s="174"/>
      <c r="J68" s="174"/>
      <c r="K68" s="174"/>
      <c r="M68" s="174"/>
      <c r="N68" s="174"/>
      <c r="P68" s="174"/>
      <c r="Q68" s="174"/>
    </row>
    <row r="69" spans="1:17" x14ac:dyDescent="0.2">
      <c r="A69" s="74">
        <f t="shared" si="0"/>
        <v>0</v>
      </c>
      <c r="B69" s="172"/>
      <c r="D69" s="174"/>
      <c r="E69" s="174"/>
      <c r="G69" s="174"/>
      <c r="H69" s="174"/>
      <c r="J69" s="174"/>
      <c r="K69" s="174"/>
      <c r="M69" s="174"/>
      <c r="N69" s="174"/>
      <c r="P69" s="174"/>
      <c r="Q69" s="174"/>
    </row>
    <row r="70" spans="1:17" x14ac:dyDescent="0.2">
      <c r="A70" s="74">
        <f t="shared" si="0"/>
        <v>0</v>
      </c>
      <c r="B70" s="172"/>
      <c r="D70" s="174"/>
      <c r="E70" s="174"/>
      <c r="G70" s="174"/>
      <c r="H70" s="174"/>
      <c r="J70" s="174"/>
      <c r="K70" s="174"/>
      <c r="M70" s="174"/>
      <c r="N70" s="174"/>
      <c r="P70" s="174"/>
      <c r="Q70" s="174"/>
    </row>
    <row r="71" spans="1:17" x14ac:dyDescent="0.2">
      <c r="A71" s="74">
        <f t="shared" si="0"/>
        <v>0</v>
      </c>
      <c r="B71" s="172"/>
      <c r="D71" s="174"/>
      <c r="E71" s="174"/>
      <c r="G71" s="174"/>
      <c r="H71" s="174"/>
      <c r="J71" s="174"/>
      <c r="K71" s="174"/>
      <c r="M71" s="174"/>
      <c r="N71" s="174"/>
      <c r="P71" s="174"/>
      <c r="Q71" s="174"/>
    </row>
    <row r="72" spans="1:17" x14ac:dyDescent="0.2">
      <c r="A72" s="74">
        <f t="shared" si="0"/>
        <v>0</v>
      </c>
      <c r="B72" s="172"/>
      <c r="D72" s="174"/>
      <c r="E72" s="174"/>
      <c r="G72" s="174"/>
      <c r="H72" s="174"/>
      <c r="J72" s="174"/>
      <c r="K72" s="174"/>
      <c r="M72" s="174"/>
      <c r="N72" s="174"/>
      <c r="P72" s="174"/>
      <c r="Q72" s="174"/>
    </row>
    <row r="73" spans="1:17" x14ac:dyDescent="0.2">
      <c r="A73" s="74">
        <f t="shared" si="0"/>
        <v>0</v>
      </c>
      <c r="B73" s="172"/>
      <c r="D73" s="174"/>
      <c r="E73" s="174"/>
      <c r="G73" s="174"/>
      <c r="H73" s="174"/>
      <c r="J73" s="174"/>
      <c r="K73" s="174"/>
      <c r="M73" s="174"/>
      <c r="N73" s="174"/>
      <c r="P73" s="174"/>
      <c r="Q73" s="174"/>
    </row>
    <row r="74" spans="1:17" x14ac:dyDescent="0.2">
      <c r="A74" s="74">
        <f t="shared" si="0"/>
        <v>0</v>
      </c>
      <c r="B74" s="172"/>
      <c r="D74" s="174"/>
      <c r="E74" s="174"/>
      <c r="G74" s="174"/>
      <c r="H74" s="174"/>
      <c r="J74" s="174"/>
      <c r="K74" s="174"/>
      <c r="M74" s="174"/>
      <c r="N74" s="174"/>
      <c r="P74" s="174"/>
      <c r="Q74" s="174"/>
    </row>
    <row r="75" spans="1:17" x14ac:dyDescent="0.2">
      <c r="A75" s="74">
        <f t="shared" si="0"/>
        <v>0</v>
      </c>
      <c r="B75" s="172"/>
      <c r="D75" s="174"/>
      <c r="E75" s="174"/>
      <c r="G75" s="174"/>
      <c r="H75" s="174"/>
      <c r="J75" s="174"/>
      <c r="K75" s="174"/>
      <c r="M75" s="174"/>
      <c r="N75" s="174"/>
      <c r="P75" s="174"/>
      <c r="Q75" s="174"/>
    </row>
    <row r="76" spans="1:17" x14ac:dyDescent="0.2">
      <c r="A76" s="74">
        <f t="shared" si="0"/>
        <v>0</v>
      </c>
      <c r="B76" s="172"/>
      <c r="D76" s="174"/>
      <c r="E76" s="174"/>
      <c r="G76" s="174"/>
      <c r="H76" s="174"/>
      <c r="J76" s="174"/>
      <c r="K76" s="174"/>
      <c r="M76" s="174"/>
      <c r="N76" s="174"/>
      <c r="P76" s="174"/>
      <c r="Q76" s="174"/>
    </row>
    <row r="77" spans="1:17" x14ac:dyDescent="0.2">
      <c r="A77" s="74">
        <f t="shared" ref="A77:A111" si="1">IF(B77="",0,ROW(A66))</f>
        <v>0</v>
      </c>
      <c r="B77" s="172"/>
      <c r="D77" s="174"/>
      <c r="E77" s="174"/>
      <c r="G77" s="174"/>
      <c r="H77" s="174"/>
      <c r="J77" s="174"/>
      <c r="K77" s="174"/>
      <c r="M77" s="174"/>
      <c r="N77" s="174"/>
      <c r="P77" s="174"/>
      <c r="Q77" s="174"/>
    </row>
    <row r="78" spans="1:17" x14ac:dyDescent="0.2">
      <c r="A78" s="74">
        <f t="shared" si="1"/>
        <v>0</v>
      </c>
      <c r="B78" s="172"/>
      <c r="D78" s="174"/>
      <c r="E78" s="174"/>
      <c r="G78" s="174"/>
      <c r="H78" s="174"/>
      <c r="J78" s="174"/>
      <c r="K78" s="174"/>
      <c r="M78" s="174"/>
      <c r="N78" s="174"/>
      <c r="P78" s="174"/>
      <c r="Q78" s="174"/>
    </row>
    <row r="79" spans="1:17" x14ac:dyDescent="0.2">
      <c r="A79" s="74">
        <f t="shared" si="1"/>
        <v>0</v>
      </c>
      <c r="B79" s="172"/>
      <c r="D79" s="174"/>
      <c r="E79" s="174"/>
      <c r="G79" s="174"/>
      <c r="H79" s="174"/>
      <c r="J79" s="174"/>
      <c r="K79" s="174"/>
      <c r="M79" s="174"/>
      <c r="N79" s="174"/>
      <c r="P79" s="174"/>
      <c r="Q79" s="174"/>
    </row>
    <row r="80" spans="1:17" x14ac:dyDescent="0.2">
      <c r="A80" s="74">
        <f t="shared" si="1"/>
        <v>0</v>
      </c>
      <c r="B80" s="172"/>
      <c r="D80" s="174"/>
      <c r="E80" s="174"/>
      <c r="G80" s="174"/>
      <c r="H80" s="174"/>
      <c r="J80" s="174"/>
      <c r="K80" s="174"/>
      <c r="M80" s="174"/>
      <c r="N80" s="174"/>
      <c r="P80" s="174"/>
      <c r="Q80" s="174"/>
    </row>
    <row r="81" spans="1:17" x14ac:dyDescent="0.2">
      <c r="A81" s="74">
        <f t="shared" si="1"/>
        <v>0</v>
      </c>
      <c r="B81" s="172"/>
      <c r="D81" s="174"/>
      <c r="E81" s="174"/>
      <c r="G81" s="174"/>
      <c r="H81" s="174"/>
      <c r="J81" s="174"/>
      <c r="K81" s="174"/>
      <c r="M81" s="174"/>
      <c r="N81" s="174"/>
      <c r="P81" s="174"/>
      <c r="Q81" s="174"/>
    </row>
    <row r="82" spans="1:17" x14ac:dyDescent="0.2">
      <c r="A82" s="74">
        <f t="shared" si="1"/>
        <v>0</v>
      </c>
      <c r="B82" s="172"/>
      <c r="D82" s="174"/>
      <c r="E82" s="174"/>
      <c r="G82" s="174"/>
      <c r="H82" s="174"/>
      <c r="J82" s="174"/>
      <c r="K82" s="174"/>
      <c r="M82" s="174"/>
      <c r="N82" s="174"/>
      <c r="P82" s="174"/>
      <c r="Q82" s="174"/>
    </row>
    <row r="83" spans="1:17" x14ac:dyDescent="0.2">
      <c r="A83" s="74">
        <f t="shared" si="1"/>
        <v>0</v>
      </c>
      <c r="B83" s="172"/>
      <c r="D83" s="174"/>
      <c r="E83" s="174"/>
      <c r="G83" s="174"/>
      <c r="H83" s="174"/>
      <c r="J83" s="174"/>
      <c r="K83" s="174"/>
      <c r="M83" s="174"/>
      <c r="N83" s="174"/>
      <c r="P83" s="174"/>
      <c r="Q83" s="174"/>
    </row>
    <row r="84" spans="1:17" x14ac:dyDescent="0.2">
      <c r="A84" s="74">
        <f t="shared" si="1"/>
        <v>0</v>
      </c>
      <c r="B84" s="172"/>
      <c r="D84" s="174"/>
      <c r="E84" s="174"/>
      <c r="G84" s="174"/>
      <c r="H84" s="174"/>
      <c r="J84" s="174"/>
      <c r="K84" s="174"/>
      <c r="M84" s="174"/>
      <c r="N84" s="174"/>
      <c r="P84" s="174"/>
      <c r="Q84" s="174"/>
    </row>
    <row r="85" spans="1:17" x14ac:dyDescent="0.2">
      <c r="A85" s="74">
        <f t="shared" si="1"/>
        <v>0</v>
      </c>
      <c r="B85" s="172"/>
      <c r="D85" s="174"/>
      <c r="E85" s="174"/>
      <c r="G85" s="174"/>
      <c r="H85" s="174"/>
      <c r="J85" s="174"/>
      <c r="K85" s="174"/>
      <c r="M85" s="174"/>
      <c r="N85" s="174"/>
      <c r="P85" s="174"/>
      <c r="Q85" s="174"/>
    </row>
    <row r="86" spans="1:17" x14ac:dyDescent="0.2">
      <c r="A86" s="74">
        <f t="shared" si="1"/>
        <v>0</v>
      </c>
      <c r="B86" s="172"/>
      <c r="D86" s="174"/>
      <c r="E86" s="174"/>
      <c r="G86" s="174"/>
      <c r="H86" s="174"/>
      <c r="J86" s="174"/>
      <c r="K86" s="174"/>
      <c r="M86" s="174"/>
      <c r="N86" s="174"/>
      <c r="P86" s="174"/>
      <c r="Q86" s="174"/>
    </row>
    <row r="87" spans="1:17" x14ac:dyDescent="0.2">
      <c r="A87" s="74">
        <f t="shared" si="1"/>
        <v>0</v>
      </c>
      <c r="B87" s="172"/>
      <c r="D87" s="174"/>
      <c r="E87" s="174"/>
      <c r="G87" s="174"/>
      <c r="H87" s="174"/>
      <c r="J87" s="174"/>
      <c r="K87" s="174"/>
      <c r="M87" s="174"/>
      <c r="N87" s="174"/>
      <c r="P87" s="174"/>
      <c r="Q87" s="174"/>
    </row>
    <row r="88" spans="1:17" x14ac:dyDescent="0.2">
      <c r="A88" s="74">
        <f t="shared" si="1"/>
        <v>0</v>
      </c>
      <c r="B88" s="172"/>
      <c r="D88" s="174"/>
      <c r="E88" s="174"/>
      <c r="G88" s="174"/>
      <c r="H88" s="174"/>
      <c r="J88" s="174"/>
      <c r="K88" s="174"/>
      <c r="M88" s="174"/>
      <c r="N88" s="174"/>
      <c r="P88" s="174"/>
      <c r="Q88" s="174"/>
    </row>
    <row r="89" spans="1:17" x14ac:dyDescent="0.2">
      <c r="A89" s="74">
        <f t="shared" si="1"/>
        <v>0</v>
      </c>
      <c r="B89" s="172"/>
      <c r="D89" s="174"/>
      <c r="E89" s="174"/>
      <c r="G89" s="174"/>
      <c r="H89" s="174"/>
      <c r="J89" s="174"/>
      <c r="K89" s="174"/>
      <c r="M89" s="174"/>
      <c r="N89" s="174"/>
      <c r="P89" s="174"/>
      <c r="Q89" s="174"/>
    </row>
    <row r="90" spans="1:17" x14ac:dyDescent="0.2">
      <c r="A90" s="74">
        <f t="shared" si="1"/>
        <v>0</v>
      </c>
      <c r="B90" s="172"/>
      <c r="D90" s="174"/>
      <c r="E90" s="174"/>
      <c r="G90" s="174"/>
      <c r="H90" s="174"/>
      <c r="J90" s="174"/>
      <c r="K90" s="174"/>
      <c r="M90" s="174"/>
      <c r="N90" s="174"/>
      <c r="P90" s="174"/>
      <c r="Q90" s="174"/>
    </row>
    <row r="91" spans="1:17" x14ac:dyDescent="0.2">
      <c r="A91" s="74">
        <f t="shared" si="1"/>
        <v>0</v>
      </c>
      <c r="B91" s="172"/>
      <c r="D91" s="174"/>
      <c r="E91" s="174"/>
      <c r="G91" s="174"/>
      <c r="H91" s="174"/>
      <c r="J91" s="174"/>
      <c r="K91" s="174"/>
      <c r="M91" s="174"/>
      <c r="N91" s="174"/>
      <c r="P91" s="174"/>
      <c r="Q91" s="174"/>
    </row>
    <row r="92" spans="1:17" x14ac:dyDescent="0.2">
      <c r="A92" s="74">
        <f t="shared" si="1"/>
        <v>0</v>
      </c>
      <c r="B92" s="172"/>
      <c r="D92" s="174"/>
      <c r="E92" s="174"/>
      <c r="G92" s="174"/>
      <c r="H92" s="174"/>
      <c r="J92" s="174"/>
      <c r="K92" s="174"/>
      <c r="M92" s="174"/>
      <c r="N92" s="174"/>
      <c r="P92" s="174"/>
      <c r="Q92" s="174"/>
    </row>
    <row r="93" spans="1:17" x14ac:dyDescent="0.2">
      <c r="A93" s="74">
        <f t="shared" si="1"/>
        <v>0</v>
      </c>
      <c r="B93" s="172"/>
      <c r="D93" s="174"/>
      <c r="E93" s="174"/>
      <c r="G93" s="174"/>
      <c r="H93" s="174"/>
      <c r="J93" s="174"/>
      <c r="K93" s="174"/>
      <c r="M93" s="174"/>
      <c r="N93" s="174"/>
      <c r="P93" s="174"/>
      <c r="Q93" s="174"/>
    </row>
    <row r="94" spans="1:17" x14ac:dyDescent="0.2">
      <c r="A94" s="74">
        <f t="shared" si="1"/>
        <v>0</v>
      </c>
      <c r="B94" s="172"/>
      <c r="D94" s="174"/>
      <c r="E94" s="174"/>
      <c r="G94" s="174"/>
      <c r="H94" s="174"/>
      <c r="J94" s="174"/>
      <c r="K94" s="174"/>
      <c r="M94" s="174"/>
      <c r="N94" s="174"/>
      <c r="P94" s="174"/>
      <c r="Q94" s="174"/>
    </row>
    <row r="95" spans="1:17" x14ac:dyDescent="0.2">
      <c r="A95" s="74">
        <f t="shared" si="1"/>
        <v>0</v>
      </c>
      <c r="B95" s="172"/>
      <c r="D95" s="174"/>
      <c r="E95" s="174"/>
      <c r="G95" s="174"/>
      <c r="H95" s="174"/>
      <c r="J95" s="174"/>
      <c r="K95" s="174"/>
      <c r="M95" s="174"/>
      <c r="N95" s="174"/>
      <c r="P95" s="174"/>
      <c r="Q95" s="174"/>
    </row>
    <row r="96" spans="1:17" x14ac:dyDescent="0.2">
      <c r="A96" s="74">
        <f t="shared" si="1"/>
        <v>0</v>
      </c>
      <c r="B96" s="172"/>
      <c r="D96" s="174"/>
      <c r="E96" s="174"/>
      <c r="G96" s="174"/>
      <c r="H96" s="174"/>
      <c r="J96" s="174"/>
      <c r="K96" s="174"/>
      <c r="M96" s="174"/>
      <c r="N96" s="174"/>
      <c r="P96" s="174"/>
      <c r="Q96" s="174"/>
    </row>
    <row r="97" spans="1:17" x14ac:dyDescent="0.2">
      <c r="A97" s="74">
        <f t="shared" si="1"/>
        <v>0</v>
      </c>
      <c r="B97" s="172"/>
      <c r="D97" s="174"/>
      <c r="E97" s="174"/>
      <c r="G97" s="174"/>
      <c r="H97" s="174"/>
      <c r="J97" s="174"/>
      <c r="K97" s="174"/>
      <c r="M97" s="174"/>
      <c r="N97" s="174"/>
      <c r="P97" s="174"/>
      <c r="Q97" s="174"/>
    </row>
    <row r="98" spans="1:17" x14ac:dyDescent="0.2">
      <c r="A98" s="74">
        <f t="shared" si="1"/>
        <v>0</v>
      </c>
      <c r="B98" s="172"/>
      <c r="D98" s="174"/>
      <c r="E98" s="174"/>
      <c r="G98" s="174"/>
      <c r="H98" s="174"/>
      <c r="J98" s="174"/>
      <c r="K98" s="174"/>
      <c r="M98" s="174"/>
      <c r="N98" s="174"/>
      <c r="P98" s="174"/>
      <c r="Q98" s="174"/>
    </row>
    <row r="99" spans="1:17" x14ac:dyDescent="0.2">
      <c r="A99" s="74">
        <f t="shared" si="1"/>
        <v>0</v>
      </c>
      <c r="B99" s="172"/>
      <c r="D99" s="174"/>
      <c r="E99" s="174"/>
      <c r="G99" s="174"/>
      <c r="H99" s="174"/>
      <c r="J99" s="174"/>
      <c r="K99" s="174"/>
      <c r="M99" s="174"/>
      <c r="N99" s="174"/>
      <c r="P99" s="174"/>
      <c r="Q99" s="174"/>
    </row>
    <row r="100" spans="1:17" x14ac:dyDescent="0.2">
      <c r="A100" s="74">
        <f t="shared" si="1"/>
        <v>0</v>
      </c>
      <c r="B100" s="172"/>
      <c r="D100" s="174"/>
      <c r="E100" s="174"/>
      <c r="G100" s="174"/>
      <c r="H100" s="174"/>
      <c r="J100" s="174"/>
      <c r="K100" s="174"/>
      <c r="M100" s="174"/>
      <c r="N100" s="174"/>
      <c r="P100" s="174"/>
      <c r="Q100" s="174"/>
    </row>
    <row r="101" spans="1:17" x14ac:dyDescent="0.2">
      <c r="A101" s="74">
        <f t="shared" si="1"/>
        <v>0</v>
      </c>
      <c r="B101" s="172"/>
      <c r="D101" s="174"/>
      <c r="E101" s="174"/>
      <c r="G101" s="174"/>
      <c r="H101" s="174"/>
      <c r="J101" s="174"/>
      <c r="K101" s="174"/>
      <c r="M101" s="174"/>
      <c r="N101" s="174"/>
      <c r="P101" s="174"/>
      <c r="Q101" s="174"/>
    </row>
    <row r="102" spans="1:17" x14ac:dyDescent="0.2">
      <c r="A102" s="74">
        <f t="shared" si="1"/>
        <v>0</v>
      </c>
      <c r="B102" s="172"/>
      <c r="D102" s="174"/>
      <c r="E102" s="174"/>
      <c r="G102" s="174"/>
      <c r="H102" s="174"/>
      <c r="J102" s="174"/>
      <c r="K102" s="174"/>
      <c r="M102" s="174"/>
      <c r="N102" s="174"/>
      <c r="P102" s="174"/>
      <c r="Q102" s="174"/>
    </row>
    <row r="103" spans="1:17" x14ac:dyDescent="0.2">
      <c r="A103" s="74">
        <f t="shared" si="1"/>
        <v>0</v>
      </c>
      <c r="B103" s="172"/>
      <c r="D103" s="174"/>
      <c r="E103" s="174"/>
      <c r="G103" s="174"/>
      <c r="H103" s="174"/>
      <c r="J103" s="174"/>
      <c r="K103" s="174"/>
      <c r="M103" s="174"/>
      <c r="N103" s="174"/>
      <c r="P103" s="174"/>
      <c r="Q103" s="174"/>
    </row>
    <row r="104" spans="1:17" x14ac:dyDescent="0.2">
      <c r="A104" s="74">
        <f t="shared" si="1"/>
        <v>0</v>
      </c>
      <c r="B104" s="172"/>
      <c r="D104" s="174"/>
      <c r="E104" s="174"/>
      <c r="G104" s="174"/>
      <c r="H104" s="174"/>
      <c r="J104" s="174"/>
      <c r="K104" s="174"/>
      <c r="M104" s="174"/>
      <c r="N104" s="174"/>
      <c r="P104" s="174"/>
      <c r="Q104" s="174"/>
    </row>
    <row r="105" spans="1:17" x14ac:dyDescent="0.2">
      <c r="A105" s="74">
        <f t="shared" si="1"/>
        <v>0</v>
      </c>
      <c r="B105" s="172"/>
      <c r="D105" s="174"/>
      <c r="E105" s="174"/>
      <c r="G105" s="174"/>
      <c r="H105" s="174"/>
      <c r="J105" s="174"/>
      <c r="K105" s="174"/>
      <c r="M105" s="174"/>
      <c r="N105" s="174"/>
      <c r="P105" s="174"/>
      <c r="Q105" s="174"/>
    </row>
    <row r="106" spans="1:17" x14ac:dyDescent="0.2">
      <c r="A106" s="74">
        <f t="shared" si="1"/>
        <v>0</v>
      </c>
      <c r="B106" s="172"/>
      <c r="D106" s="174"/>
      <c r="E106" s="174"/>
      <c r="G106" s="174"/>
      <c r="H106" s="174"/>
      <c r="J106" s="174"/>
      <c r="K106" s="174"/>
      <c r="M106" s="174"/>
      <c r="N106" s="174"/>
      <c r="P106" s="174"/>
      <c r="Q106" s="174"/>
    </row>
    <row r="107" spans="1:17" x14ac:dyDescent="0.2">
      <c r="A107" s="74">
        <f t="shared" si="1"/>
        <v>0</v>
      </c>
      <c r="B107" s="172"/>
      <c r="D107" s="174"/>
      <c r="E107" s="174"/>
      <c r="G107" s="174"/>
      <c r="H107" s="174"/>
      <c r="J107" s="174"/>
      <c r="K107" s="174"/>
      <c r="M107" s="174"/>
      <c r="N107" s="174"/>
      <c r="P107" s="174"/>
      <c r="Q107" s="174"/>
    </row>
    <row r="108" spans="1:17" x14ac:dyDescent="0.2">
      <c r="A108" s="74">
        <f t="shared" si="1"/>
        <v>0</v>
      </c>
      <c r="B108" s="172"/>
      <c r="D108" s="174"/>
      <c r="E108" s="174"/>
      <c r="G108" s="174"/>
      <c r="H108" s="174"/>
      <c r="J108" s="174"/>
      <c r="K108" s="174"/>
      <c r="M108" s="174"/>
      <c r="N108" s="174"/>
      <c r="P108" s="174"/>
      <c r="Q108" s="174"/>
    </row>
    <row r="109" spans="1:17" x14ac:dyDescent="0.2">
      <c r="A109" s="74">
        <f t="shared" si="1"/>
        <v>0</v>
      </c>
      <c r="B109" s="172"/>
      <c r="D109" s="174"/>
      <c r="E109" s="174"/>
      <c r="G109" s="174"/>
      <c r="H109" s="174"/>
      <c r="J109" s="174"/>
      <c r="K109" s="174"/>
      <c r="M109" s="174"/>
      <c r="N109" s="174"/>
      <c r="P109" s="174"/>
      <c r="Q109" s="174"/>
    </row>
    <row r="110" spans="1:17" x14ac:dyDescent="0.2">
      <c r="A110" s="74">
        <f t="shared" si="1"/>
        <v>0</v>
      </c>
      <c r="B110" s="172"/>
      <c r="D110" s="174"/>
      <c r="E110" s="174"/>
      <c r="G110" s="174"/>
      <c r="H110" s="174"/>
      <c r="J110" s="174"/>
      <c r="K110" s="174"/>
      <c r="M110" s="174"/>
      <c r="N110" s="174"/>
      <c r="P110" s="174"/>
      <c r="Q110" s="174"/>
    </row>
    <row r="111" spans="1:17" x14ac:dyDescent="0.2">
      <c r="A111" s="74">
        <f t="shared" si="1"/>
        <v>0</v>
      </c>
      <c r="B111" s="172"/>
      <c r="D111" s="174"/>
      <c r="E111" s="174"/>
      <c r="G111" s="174"/>
      <c r="H111" s="174"/>
      <c r="J111" s="174"/>
      <c r="K111" s="174"/>
      <c r="M111" s="174"/>
      <c r="N111" s="174"/>
      <c r="P111" s="174"/>
      <c r="Q111" s="174"/>
    </row>
  </sheetData>
  <dataConsolidate/>
  <mergeCells count="6">
    <mergeCell ref="M10:N10"/>
    <mergeCell ref="P10:Q10"/>
    <mergeCell ref="D8:K8"/>
    <mergeCell ref="D10:E10"/>
    <mergeCell ref="G10:H10"/>
    <mergeCell ref="J10:K10"/>
  </mergeCells>
  <conditionalFormatting sqref="B12:B111 D12:E111 G12:H111 J12:K111 M12:N111 P12:Q111">
    <cfRule type="expression" dxfId="36" priority="4">
      <formula>IF($B12="",FALSE, TRUE)</formula>
    </cfRule>
  </conditionalFormatting>
  <conditionalFormatting sqref="E12:E111 H12:H111 K12:K111 N12:N111 Q12:Q111">
    <cfRule type="expression" dxfId="35"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B4" sqref="B4"/>
    </sheetView>
  </sheetViews>
  <sheetFormatPr defaultColWidth="9" defaultRowHeight="14.25" x14ac:dyDescent="0.2"/>
  <cols>
    <col min="1" max="1" width="2.75" style="72" customWidth="1"/>
    <col min="2" max="2" width="19.75" style="72" customWidth="1"/>
    <col min="3" max="5" width="30.625" style="72" customWidth="1"/>
    <col min="6" max="6" width="9.75" style="72" customWidth="1"/>
    <col min="7" max="7" width="15.25" style="72" customWidth="1"/>
    <col min="8" max="8" width="9" style="72"/>
    <col min="9" max="9" width="10" style="72" customWidth="1"/>
    <col min="10" max="16384" width="9" style="72"/>
  </cols>
  <sheetData>
    <row r="1" spans="1:11" ht="15" x14ac:dyDescent="0.25">
      <c r="B1" s="425" t="s">
        <v>473</v>
      </c>
      <c r="C1" s="425"/>
      <c r="D1" s="425"/>
    </row>
    <row r="2" spans="1:11" ht="14.25" customHeight="1" x14ac:dyDescent="0.2"/>
    <row r="3" spans="1:11" ht="15" x14ac:dyDescent="0.25">
      <c r="B3" s="56" t="s">
        <v>479</v>
      </c>
    </row>
    <row r="4" spans="1:11" x14ac:dyDescent="0.2">
      <c r="B4" s="140" t="s">
        <v>480</v>
      </c>
    </row>
    <row r="5" spans="1:11" hidden="1" x14ac:dyDescent="0.2"/>
    <row r="6" spans="1:11" ht="15" hidden="1" customHeight="1" x14ac:dyDescent="0.2">
      <c r="A6" s="77"/>
      <c r="B6" s="78"/>
      <c r="C6" s="78"/>
      <c r="D6" s="78"/>
      <c r="E6" s="78"/>
      <c r="F6" s="78"/>
      <c r="G6" s="78"/>
      <c r="H6" s="78"/>
      <c r="I6" s="78"/>
      <c r="J6" s="78"/>
      <c r="K6" s="78"/>
    </row>
    <row r="7" spans="1:11" ht="14.25" hidden="1" customHeight="1" x14ac:dyDescent="0.2">
      <c r="A7" s="77"/>
      <c r="B7" s="78"/>
      <c r="C7" s="78"/>
      <c r="D7" s="78"/>
      <c r="E7" s="78"/>
      <c r="F7" s="78"/>
      <c r="G7" s="78"/>
      <c r="H7" s="78"/>
      <c r="I7" s="78"/>
      <c r="J7" s="78"/>
      <c r="K7" s="78"/>
    </row>
    <row r="8" spans="1:11" x14ac:dyDescent="0.2">
      <c r="B8" s="78"/>
      <c r="C8" s="78"/>
      <c r="D8" s="78"/>
      <c r="E8" s="78"/>
      <c r="F8" s="78"/>
      <c r="G8" s="78"/>
      <c r="H8" s="78"/>
      <c r="I8" s="78"/>
      <c r="J8" s="78"/>
      <c r="K8" s="78"/>
    </row>
    <row r="9" spans="1:11" ht="15" x14ac:dyDescent="0.25">
      <c r="B9" s="56" t="s">
        <v>434</v>
      </c>
    </row>
    <row r="11" spans="1:11" ht="42.75" x14ac:dyDescent="0.2">
      <c r="B11" s="120" t="s">
        <v>252</v>
      </c>
      <c r="C11" s="120" t="s">
        <v>452</v>
      </c>
      <c r="D11" s="120" t="s">
        <v>453</v>
      </c>
      <c r="E11" s="120" t="s">
        <v>454</v>
      </c>
      <c r="F11" s="121" t="s">
        <v>295</v>
      </c>
      <c r="G11" s="121" t="s">
        <v>465</v>
      </c>
      <c r="H11" s="121" t="s">
        <v>460</v>
      </c>
      <c r="I11" s="121" t="s">
        <v>878</v>
      </c>
      <c r="J11" s="121" t="s">
        <v>294</v>
      </c>
    </row>
    <row r="12" spans="1:11" x14ac:dyDescent="0.2">
      <c r="B12" s="218" t="str">
        <f>IF(Capacity!B17=0,"",Capacity!B17)</f>
        <v/>
      </c>
      <c r="C12" s="132" t="s">
        <v>1259</v>
      </c>
      <c r="D12" s="132"/>
      <c r="E12" s="132"/>
      <c r="F12" s="215" t="str">
        <f>IF(ROW(A1)&lt;=Capacity!$A$16,Capacity!E17,"")</f>
        <v/>
      </c>
      <c r="G12" s="216" t="str">
        <f>IF(ROW(A1)&lt;=Capacity!$A$16,'Capacity calculation (hide)'!BH5,"")</f>
        <v/>
      </c>
      <c r="H12" s="215" t="str">
        <f>IF(ROW(A1)&lt;=Capacity!$A$16,Capacity!H17,"")</f>
        <v/>
      </c>
      <c r="I12" s="217" t="str">
        <f>IF(ROW(A1)&lt;=Capacity!$A$16,'Capacity calculation (hide)'!DL5,"")</f>
        <v/>
      </c>
      <c r="J12" s="218" t="str">
        <f>IFERROR(IF(G12-F12 &lt;0, "Under","Over"),"")</f>
        <v/>
      </c>
    </row>
    <row r="13" spans="1:11" x14ac:dyDescent="0.2">
      <c r="B13" s="218" t="str">
        <f>IF(Capacity!B18=0,"",Capacity!B18)</f>
        <v/>
      </c>
      <c r="C13" s="132" t="s">
        <v>1259</v>
      </c>
      <c r="D13" s="132" t="s">
        <v>1260</v>
      </c>
      <c r="E13" s="132"/>
      <c r="F13" s="215" t="str">
        <f>IF(ROW(A2)&lt;=Capacity!$A$16,Capacity!E18,"")</f>
        <v/>
      </c>
      <c r="G13" s="216" t="str">
        <f>IF(ROW(A2)&lt;=Capacity!$A$16,'Capacity calculation (hide)'!BH6,"")</f>
        <v/>
      </c>
      <c r="H13" s="215" t="str">
        <f>IF(ROW(A2)&lt;=Capacity!$A$16,Capacity!H18,"")</f>
        <v/>
      </c>
      <c r="I13" s="217" t="str">
        <f>IF(ROW(A2)&lt;=Capacity!$A$16,'Capacity calculation (hide)'!DL6,"")</f>
        <v/>
      </c>
      <c r="J13" s="218" t="str">
        <f t="shared" ref="J13:J76" si="0">IFERROR(IF(G13-F13 &lt;0, "Under","Over"),"")</f>
        <v/>
      </c>
    </row>
    <row r="14" spans="1:11" x14ac:dyDescent="0.2">
      <c r="B14" s="218" t="str">
        <f>IF(Capacity!B19=0,"",Capacity!B19)</f>
        <v/>
      </c>
      <c r="C14" s="132" t="s">
        <v>1260</v>
      </c>
      <c r="D14" s="132" t="s">
        <v>1261</v>
      </c>
      <c r="E14" s="132"/>
      <c r="F14" s="215" t="str">
        <f>IF(ROW(A3)&lt;=Capacity!$A$16,Capacity!E19,"")</f>
        <v/>
      </c>
      <c r="G14" s="216" t="str">
        <f>IF(ROW(A3)&lt;=Capacity!$A$16,'Capacity calculation (hide)'!BH7,"")</f>
        <v/>
      </c>
      <c r="H14" s="215" t="str">
        <f>IF(ROW(A3)&lt;=Capacity!$A$16,Capacity!H19,"")</f>
        <v/>
      </c>
      <c r="I14" s="217" t="str">
        <f>IF(ROW(A3)&lt;=Capacity!$A$16,'Capacity calculation (hide)'!DL7,"")</f>
        <v/>
      </c>
      <c r="J14" s="218" t="str">
        <f t="shared" si="0"/>
        <v/>
      </c>
    </row>
    <row r="15" spans="1:11" x14ac:dyDescent="0.2">
      <c r="B15" s="218" t="str">
        <f>IF(Capacity!B20=0,"",Capacity!B20)</f>
        <v/>
      </c>
      <c r="C15" s="132" t="s">
        <v>1261</v>
      </c>
      <c r="D15" s="132"/>
      <c r="E15" s="132"/>
      <c r="F15" s="215" t="str">
        <f>IF(ROW(A4)&lt;=Capacity!$A$16,Capacity!E20,"")</f>
        <v/>
      </c>
      <c r="G15" s="216" t="str">
        <f>IF(ROW(A4)&lt;=Capacity!$A$16,'Capacity calculation (hide)'!BH8,"")</f>
        <v/>
      </c>
      <c r="H15" s="215" t="str">
        <f>IF(ROW(A4)&lt;=Capacity!$A$16,Capacity!H20,"")</f>
        <v/>
      </c>
      <c r="I15" s="217" t="str">
        <f>IF(ROW(A4)&lt;=Capacity!$A$16,'Capacity calculation (hide)'!DL8,"")</f>
        <v/>
      </c>
      <c r="J15" s="218" t="str">
        <f t="shared" si="0"/>
        <v/>
      </c>
    </row>
    <row r="16" spans="1:11" x14ac:dyDescent="0.2">
      <c r="B16" s="218" t="str">
        <f>IF(Capacity!B21=0,"",Capacity!B21)</f>
        <v/>
      </c>
      <c r="C16" s="132"/>
      <c r="D16" s="132"/>
      <c r="E16" s="132"/>
      <c r="F16" s="215" t="str">
        <f>IF(ROW(A5)&lt;=Capacity!$A$16,Capacity!E21,"")</f>
        <v/>
      </c>
      <c r="G16" s="216" t="str">
        <f>IF(ROW(A5)&lt;=Capacity!$A$16,'Capacity calculation (hide)'!BH9,"")</f>
        <v/>
      </c>
      <c r="H16" s="215" t="str">
        <f>IF(ROW(A5)&lt;=Capacity!$A$16,Capacity!H21,"")</f>
        <v/>
      </c>
      <c r="I16" s="217" t="str">
        <f>IF(ROW(A5)&lt;=Capacity!$A$16,'Capacity calculation (hide)'!DL9,"")</f>
        <v/>
      </c>
      <c r="J16" s="218" t="str">
        <f t="shared" si="0"/>
        <v/>
      </c>
    </row>
    <row r="17" spans="2:10" x14ac:dyDescent="0.2">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(hide)'!DL10,"")</f>
        <v/>
      </c>
      <c r="J17" s="218" t="str">
        <f t="shared" si="0"/>
        <v/>
      </c>
    </row>
    <row r="18" spans="2:10" x14ac:dyDescent="0.2">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(hide)'!DL11,"")</f>
        <v/>
      </c>
      <c r="J18" s="218" t="str">
        <f t="shared" si="0"/>
        <v/>
      </c>
    </row>
    <row r="19" spans="2:10" x14ac:dyDescent="0.2">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(hide)'!DL12,"")</f>
        <v/>
      </c>
      <c r="J19" s="218" t="str">
        <f t="shared" si="0"/>
        <v/>
      </c>
    </row>
    <row r="20" spans="2:10" x14ac:dyDescent="0.2">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(hide)'!DL13,"")</f>
        <v/>
      </c>
      <c r="J20" s="218" t="str">
        <f t="shared" si="0"/>
        <v/>
      </c>
    </row>
    <row r="21" spans="2:10" x14ac:dyDescent="0.2">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(hide)'!DL14,"")</f>
        <v/>
      </c>
      <c r="J21" s="218" t="str">
        <f t="shared" si="0"/>
        <v/>
      </c>
    </row>
    <row r="22" spans="2:10" x14ac:dyDescent="0.2">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(hide)'!DL15,"")</f>
        <v/>
      </c>
      <c r="J22" s="218" t="str">
        <f t="shared" si="0"/>
        <v/>
      </c>
    </row>
    <row r="23" spans="2:10" x14ac:dyDescent="0.2">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(hide)'!DL16,"")</f>
        <v/>
      </c>
      <c r="J23" s="218" t="str">
        <f t="shared" si="0"/>
        <v/>
      </c>
    </row>
    <row r="24" spans="2:10" x14ac:dyDescent="0.2">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(hide)'!DL17,"")</f>
        <v/>
      </c>
      <c r="J24" s="218" t="str">
        <f t="shared" si="0"/>
        <v/>
      </c>
    </row>
    <row r="25" spans="2:10" x14ac:dyDescent="0.2">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(hide)'!DL18,"")</f>
        <v/>
      </c>
      <c r="J25" s="218" t="str">
        <f t="shared" si="0"/>
        <v/>
      </c>
    </row>
    <row r="26" spans="2:10" x14ac:dyDescent="0.2">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(hide)'!DL19,"")</f>
        <v/>
      </c>
      <c r="J26" s="218" t="str">
        <f t="shared" si="0"/>
        <v/>
      </c>
    </row>
    <row r="27" spans="2:10" x14ac:dyDescent="0.2">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(hide)'!DL20,"")</f>
        <v/>
      </c>
      <c r="J27" s="218" t="str">
        <f t="shared" si="0"/>
        <v/>
      </c>
    </row>
    <row r="28" spans="2:10" x14ac:dyDescent="0.2">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(hide)'!DL21,"")</f>
        <v/>
      </c>
      <c r="J28" s="218" t="str">
        <f t="shared" si="0"/>
        <v/>
      </c>
    </row>
    <row r="29" spans="2:10" x14ac:dyDescent="0.2">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(hide)'!DL22,"")</f>
        <v/>
      </c>
      <c r="J29" s="218" t="str">
        <f t="shared" si="0"/>
        <v/>
      </c>
    </row>
    <row r="30" spans="2:10" x14ac:dyDescent="0.2">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(hide)'!DL23,"")</f>
        <v/>
      </c>
      <c r="J30" s="218" t="str">
        <f t="shared" si="0"/>
        <v/>
      </c>
    </row>
    <row r="31" spans="2:10" x14ac:dyDescent="0.2">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(hide)'!DL24,"")</f>
        <v/>
      </c>
      <c r="J31" s="218" t="str">
        <f t="shared" si="0"/>
        <v/>
      </c>
    </row>
    <row r="32" spans="2:10" x14ac:dyDescent="0.2">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(hide)'!DL25,"")</f>
        <v/>
      </c>
      <c r="J32" s="218" t="str">
        <f t="shared" si="0"/>
        <v/>
      </c>
    </row>
    <row r="33" spans="2:10" x14ac:dyDescent="0.2">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(hide)'!DL26,"")</f>
        <v/>
      </c>
      <c r="J33" s="218" t="str">
        <f t="shared" si="0"/>
        <v/>
      </c>
    </row>
    <row r="34" spans="2:10" x14ac:dyDescent="0.2">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(hide)'!DL27,"")</f>
        <v/>
      </c>
      <c r="J34" s="218" t="str">
        <f t="shared" si="0"/>
        <v/>
      </c>
    </row>
    <row r="35" spans="2:10" x14ac:dyDescent="0.2">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(hide)'!DL28,"")</f>
        <v/>
      </c>
      <c r="J35" s="218" t="str">
        <f t="shared" si="0"/>
        <v/>
      </c>
    </row>
    <row r="36" spans="2:10" x14ac:dyDescent="0.2">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(hide)'!DL29,"")</f>
        <v/>
      </c>
      <c r="J36" s="218" t="str">
        <f t="shared" si="0"/>
        <v/>
      </c>
    </row>
    <row r="37" spans="2:10" x14ac:dyDescent="0.2">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(hide)'!DL30,"")</f>
        <v/>
      </c>
      <c r="J37" s="218" t="str">
        <f t="shared" si="0"/>
        <v/>
      </c>
    </row>
    <row r="38" spans="2:10" x14ac:dyDescent="0.2">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(hide)'!DL31,"")</f>
        <v/>
      </c>
      <c r="J38" s="218" t="str">
        <f t="shared" si="0"/>
        <v/>
      </c>
    </row>
    <row r="39" spans="2:10" x14ac:dyDescent="0.2">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(hide)'!DL32,"")</f>
        <v/>
      </c>
      <c r="J39" s="218" t="str">
        <f t="shared" si="0"/>
        <v/>
      </c>
    </row>
    <row r="40" spans="2:10" x14ac:dyDescent="0.2">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(hide)'!DL33,"")</f>
        <v/>
      </c>
      <c r="J40" s="218" t="str">
        <f t="shared" si="0"/>
        <v/>
      </c>
    </row>
    <row r="41" spans="2:10" x14ac:dyDescent="0.2">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(hide)'!DL34,"")</f>
        <v/>
      </c>
      <c r="J41" s="218" t="str">
        <f t="shared" si="0"/>
        <v/>
      </c>
    </row>
    <row r="42" spans="2:10" x14ac:dyDescent="0.2">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(hide)'!DL35,"")</f>
        <v/>
      </c>
      <c r="J42" s="218" t="str">
        <f t="shared" si="0"/>
        <v/>
      </c>
    </row>
    <row r="43" spans="2:10" x14ac:dyDescent="0.2">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(hide)'!DL36,"")</f>
        <v/>
      </c>
      <c r="J43" s="218" t="str">
        <f t="shared" si="0"/>
        <v/>
      </c>
    </row>
    <row r="44" spans="2:10" x14ac:dyDescent="0.2">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(hide)'!DL37,"")</f>
        <v/>
      </c>
      <c r="J44" s="218" t="str">
        <f t="shared" si="0"/>
        <v/>
      </c>
    </row>
    <row r="45" spans="2:10" x14ac:dyDescent="0.2">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(hide)'!DL38,"")</f>
        <v/>
      </c>
      <c r="J45" s="218" t="str">
        <f t="shared" si="0"/>
        <v/>
      </c>
    </row>
    <row r="46" spans="2:10" x14ac:dyDescent="0.2">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(hide)'!DL39,"")</f>
        <v/>
      </c>
      <c r="J46" s="218" t="str">
        <f t="shared" si="0"/>
        <v/>
      </c>
    </row>
    <row r="47" spans="2:10" x14ac:dyDescent="0.2">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(hide)'!DL40,"")</f>
        <v/>
      </c>
      <c r="J47" s="218" t="str">
        <f t="shared" si="0"/>
        <v/>
      </c>
    </row>
    <row r="48" spans="2:10" x14ac:dyDescent="0.2">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(hide)'!DL41,"")</f>
        <v/>
      </c>
      <c r="J48" s="218" t="str">
        <f t="shared" si="0"/>
        <v/>
      </c>
    </row>
    <row r="49" spans="2:10" x14ac:dyDescent="0.2">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(hide)'!DL42,"")</f>
        <v/>
      </c>
      <c r="J49" s="218" t="str">
        <f t="shared" si="0"/>
        <v/>
      </c>
    </row>
    <row r="50" spans="2:10" x14ac:dyDescent="0.2">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(hide)'!DL43,"")</f>
        <v/>
      </c>
      <c r="J50" s="218" t="str">
        <f t="shared" si="0"/>
        <v/>
      </c>
    </row>
    <row r="51" spans="2:10" x14ac:dyDescent="0.2">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(hide)'!DL44,"")</f>
        <v/>
      </c>
      <c r="J51" s="218" t="str">
        <f t="shared" si="0"/>
        <v/>
      </c>
    </row>
    <row r="52" spans="2:10" x14ac:dyDescent="0.2">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(hide)'!DL45,"")</f>
        <v/>
      </c>
      <c r="J52" s="218" t="str">
        <f t="shared" si="0"/>
        <v/>
      </c>
    </row>
    <row r="53" spans="2:10" x14ac:dyDescent="0.2">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(hide)'!DL46,"")</f>
        <v/>
      </c>
      <c r="J53" s="218" t="str">
        <f t="shared" si="0"/>
        <v/>
      </c>
    </row>
    <row r="54" spans="2:10" x14ac:dyDescent="0.2">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(hide)'!DL47,"")</f>
        <v/>
      </c>
      <c r="J54" s="218" t="str">
        <f t="shared" si="0"/>
        <v/>
      </c>
    </row>
    <row r="55" spans="2:10" x14ac:dyDescent="0.2">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(hide)'!DL48,"")</f>
        <v/>
      </c>
      <c r="J55" s="218" t="str">
        <f t="shared" si="0"/>
        <v/>
      </c>
    </row>
    <row r="56" spans="2:10" x14ac:dyDescent="0.2">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(hide)'!DL49,"")</f>
        <v/>
      </c>
      <c r="J56" s="218" t="str">
        <f t="shared" si="0"/>
        <v/>
      </c>
    </row>
    <row r="57" spans="2:10" x14ac:dyDescent="0.2">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(hide)'!DL50,"")</f>
        <v/>
      </c>
      <c r="J57" s="218" t="str">
        <f t="shared" si="0"/>
        <v/>
      </c>
    </row>
    <row r="58" spans="2:10" x14ac:dyDescent="0.2">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(hide)'!DL51,"")</f>
        <v/>
      </c>
      <c r="J58" s="218" t="str">
        <f t="shared" si="0"/>
        <v/>
      </c>
    </row>
    <row r="59" spans="2:10" x14ac:dyDescent="0.2">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(hide)'!DL52,"")</f>
        <v/>
      </c>
      <c r="J59" s="218" t="str">
        <f t="shared" si="0"/>
        <v/>
      </c>
    </row>
    <row r="60" spans="2:10" x14ac:dyDescent="0.2">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(hide)'!DL53,"")</f>
        <v/>
      </c>
      <c r="J60" s="218" t="str">
        <f t="shared" si="0"/>
        <v/>
      </c>
    </row>
    <row r="61" spans="2:10" x14ac:dyDescent="0.2">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(hide)'!DL54,"")</f>
        <v/>
      </c>
      <c r="J61" s="218" t="str">
        <f t="shared" si="0"/>
        <v/>
      </c>
    </row>
    <row r="62" spans="2:10" x14ac:dyDescent="0.2">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(hide)'!DL55,"")</f>
        <v/>
      </c>
      <c r="J62" s="218" t="str">
        <f t="shared" si="0"/>
        <v/>
      </c>
    </row>
    <row r="63" spans="2:10" x14ac:dyDescent="0.2">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(hide)'!DL56,"")</f>
        <v/>
      </c>
      <c r="J63" s="218" t="str">
        <f t="shared" si="0"/>
        <v/>
      </c>
    </row>
    <row r="64" spans="2:10" x14ac:dyDescent="0.2">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(hide)'!DL57,"")</f>
        <v/>
      </c>
      <c r="J64" s="218" t="str">
        <f t="shared" si="0"/>
        <v/>
      </c>
    </row>
    <row r="65" spans="2:10" x14ac:dyDescent="0.2">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(hide)'!DL58,"")</f>
        <v/>
      </c>
      <c r="J65" s="218" t="str">
        <f t="shared" si="0"/>
        <v/>
      </c>
    </row>
    <row r="66" spans="2:10" x14ac:dyDescent="0.2">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(hide)'!DL59,"")</f>
        <v/>
      </c>
      <c r="J66" s="218" t="str">
        <f t="shared" si="0"/>
        <v/>
      </c>
    </row>
    <row r="67" spans="2:10" x14ac:dyDescent="0.2">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(hide)'!DL60,"")</f>
        <v/>
      </c>
      <c r="J67" s="218" t="str">
        <f t="shared" si="0"/>
        <v/>
      </c>
    </row>
    <row r="68" spans="2:10" x14ac:dyDescent="0.2">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(hide)'!DL61,"")</f>
        <v/>
      </c>
      <c r="J68" s="218" t="str">
        <f t="shared" si="0"/>
        <v/>
      </c>
    </row>
    <row r="69" spans="2:10" x14ac:dyDescent="0.2">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(hide)'!DL62,"")</f>
        <v/>
      </c>
      <c r="J69" s="218" t="str">
        <f t="shared" si="0"/>
        <v/>
      </c>
    </row>
    <row r="70" spans="2:10" x14ac:dyDescent="0.2">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(hide)'!DL63,"")</f>
        <v/>
      </c>
      <c r="J70" s="218" t="str">
        <f t="shared" si="0"/>
        <v/>
      </c>
    </row>
    <row r="71" spans="2:10" x14ac:dyDescent="0.2">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(hide)'!DL64,"")</f>
        <v/>
      </c>
      <c r="J71" s="218" t="str">
        <f t="shared" si="0"/>
        <v/>
      </c>
    </row>
    <row r="72" spans="2:10" x14ac:dyDescent="0.2">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(hide)'!DL65,"")</f>
        <v/>
      </c>
      <c r="J72" s="218" t="str">
        <f t="shared" si="0"/>
        <v/>
      </c>
    </row>
    <row r="73" spans="2:10" x14ac:dyDescent="0.2">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(hide)'!DL66,"")</f>
        <v/>
      </c>
      <c r="J73" s="218" t="str">
        <f t="shared" si="0"/>
        <v/>
      </c>
    </row>
    <row r="74" spans="2:10" x14ac:dyDescent="0.2">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(hide)'!DL67,"")</f>
        <v/>
      </c>
      <c r="J74" s="218" t="str">
        <f t="shared" si="0"/>
        <v/>
      </c>
    </row>
    <row r="75" spans="2:10" x14ac:dyDescent="0.2">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(hide)'!DL68,"")</f>
        <v/>
      </c>
      <c r="J75" s="218" t="str">
        <f t="shared" si="0"/>
        <v/>
      </c>
    </row>
    <row r="76" spans="2:10" x14ac:dyDescent="0.2">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(hide)'!DL69,"")</f>
        <v/>
      </c>
      <c r="J76" s="218" t="str">
        <f t="shared" si="0"/>
        <v/>
      </c>
    </row>
    <row r="77" spans="2:10" x14ac:dyDescent="0.2">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(hide)'!DL70,"")</f>
        <v/>
      </c>
      <c r="J77" s="218" t="str">
        <f t="shared" ref="J77:J111" si="1">IFERROR(IF(G77-F77 &lt;0, "Under","Over"),"")</f>
        <v/>
      </c>
    </row>
    <row r="78" spans="2:10" x14ac:dyDescent="0.2">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(hide)'!DL71,"")</f>
        <v/>
      </c>
      <c r="J78" s="218" t="str">
        <f t="shared" si="1"/>
        <v/>
      </c>
    </row>
    <row r="79" spans="2:10" x14ac:dyDescent="0.2">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(hide)'!DL72,"")</f>
        <v/>
      </c>
      <c r="J79" s="218" t="str">
        <f t="shared" si="1"/>
        <v/>
      </c>
    </row>
    <row r="80" spans="2:10" x14ac:dyDescent="0.2">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(hide)'!DL73,"")</f>
        <v/>
      </c>
      <c r="J80" s="218" t="str">
        <f t="shared" si="1"/>
        <v/>
      </c>
    </row>
    <row r="81" spans="2:10" x14ac:dyDescent="0.2">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(hide)'!DL74,"")</f>
        <v/>
      </c>
      <c r="J81" s="218" t="str">
        <f t="shared" si="1"/>
        <v/>
      </c>
    </row>
    <row r="82" spans="2:10" x14ac:dyDescent="0.2">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(hide)'!DL75,"")</f>
        <v/>
      </c>
      <c r="J82" s="218" t="str">
        <f t="shared" si="1"/>
        <v/>
      </c>
    </row>
    <row r="83" spans="2:10" x14ac:dyDescent="0.2">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(hide)'!DL76,"")</f>
        <v/>
      </c>
      <c r="J83" s="218" t="str">
        <f t="shared" si="1"/>
        <v/>
      </c>
    </row>
    <row r="84" spans="2:10" x14ac:dyDescent="0.2">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(hide)'!DL77,"")</f>
        <v/>
      </c>
      <c r="J84" s="218" t="str">
        <f t="shared" si="1"/>
        <v/>
      </c>
    </row>
    <row r="85" spans="2:10" x14ac:dyDescent="0.2">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(hide)'!DL78,"")</f>
        <v/>
      </c>
      <c r="J85" s="218" t="str">
        <f t="shared" si="1"/>
        <v/>
      </c>
    </row>
    <row r="86" spans="2:10" x14ac:dyDescent="0.2">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(hide)'!DL79,"")</f>
        <v/>
      </c>
      <c r="J86" s="218" t="str">
        <f t="shared" si="1"/>
        <v/>
      </c>
    </row>
    <row r="87" spans="2:10" x14ac:dyDescent="0.2">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(hide)'!DL80,"")</f>
        <v/>
      </c>
      <c r="J87" s="218" t="str">
        <f t="shared" si="1"/>
        <v/>
      </c>
    </row>
    <row r="88" spans="2:10" x14ac:dyDescent="0.2">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(hide)'!DL81,"")</f>
        <v/>
      </c>
      <c r="J88" s="218" t="str">
        <f t="shared" si="1"/>
        <v/>
      </c>
    </row>
    <row r="89" spans="2:10" x14ac:dyDescent="0.2">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(hide)'!DL82,"")</f>
        <v/>
      </c>
      <c r="J89" s="218" t="str">
        <f t="shared" si="1"/>
        <v/>
      </c>
    </row>
    <row r="90" spans="2:10" x14ac:dyDescent="0.2">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(hide)'!DL83,"")</f>
        <v/>
      </c>
      <c r="J90" s="218" t="str">
        <f t="shared" si="1"/>
        <v/>
      </c>
    </row>
    <row r="91" spans="2:10" x14ac:dyDescent="0.2">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(hide)'!DL84,"")</f>
        <v/>
      </c>
      <c r="J91" s="218" t="str">
        <f t="shared" si="1"/>
        <v/>
      </c>
    </row>
    <row r="92" spans="2:10" x14ac:dyDescent="0.2">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(hide)'!DL85,"")</f>
        <v/>
      </c>
      <c r="J92" s="218" t="str">
        <f t="shared" si="1"/>
        <v/>
      </c>
    </row>
    <row r="93" spans="2:10" x14ac:dyDescent="0.2">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(hide)'!DL86,"")</f>
        <v/>
      </c>
      <c r="J93" s="218" t="str">
        <f t="shared" si="1"/>
        <v/>
      </c>
    </row>
    <row r="94" spans="2:10" x14ac:dyDescent="0.2">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(hide)'!DL87,"")</f>
        <v/>
      </c>
      <c r="J94" s="218" t="str">
        <f t="shared" si="1"/>
        <v/>
      </c>
    </row>
    <row r="95" spans="2:10" x14ac:dyDescent="0.2">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(hide)'!DL88,"")</f>
        <v/>
      </c>
      <c r="J95" s="218" t="str">
        <f t="shared" si="1"/>
        <v/>
      </c>
    </row>
    <row r="96" spans="2:10" x14ac:dyDescent="0.2">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(hide)'!DL89,"")</f>
        <v/>
      </c>
      <c r="J96" s="218" t="str">
        <f t="shared" si="1"/>
        <v/>
      </c>
    </row>
    <row r="97" spans="2:10" x14ac:dyDescent="0.2">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(hide)'!DL90,"")</f>
        <v/>
      </c>
      <c r="J97" s="218" t="str">
        <f t="shared" si="1"/>
        <v/>
      </c>
    </row>
    <row r="98" spans="2:10" x14ac:dyDescent="0.2">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(hide)'!DL91,"")</f>
        <v/>
      </c>
      <c r="J98" s="218" t="str">
        <f t="shared" si="1"/>
        <v/>
      </c>
    </row>
    <row r="99" spans="2:10" x14ac:dyDescent="0.2">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(hide)'!DL92,"")</f>
        <v/>
      </c>
      <c r="J99" s="218" t="str">
        <f t="shared" si="1"/>
        <v/>
      </c>
    </row>
    <row r="100" spans="2:10" x14ac:dyDescent="0.2">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(hide)'!DL93,"")</f>
        <v/>
      </c>
      <c r="J100" s="218" t="str">
        <f t="shared" si="1"/>
        <v/>
      </c>
    </row>
    <row r="101" spans="2:10" x14ac:dyDescent="0.2">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(hide)'!DL94,"")</f>
        <v/>
      </c>
      <c r="J101" s="218" t="str">
        <f t="shared" si="1"/>
        <v/>
      </c>
    </row>
    <row r="102" spans="2:10" x14ac:dyDescent="0.2">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(hide)'!DL95,"")</f>
        <v/>
      </c>
      <c r="J102" s="218" t="str">
        <f t="shared" si="1"/>
        <v/>
      </c>
    </row>
    <row r="103" spans="2:10" x14ac:dyDescent="0.2">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(hide)'!DL96,"")</f>
        <v/>
      </c>
      <c r="J103" s="218" t="str">
        <f t="shared" si="1"/>
        <v/>
      </c>
    </row>
    <row r="104" spans="2:10" x14ac:dyDescent="0.2">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(hide)'!DL97,"")</f>
        <v/>
      </c>
      <c r="J104" s="218" t="str">
        <f t="shared" si="1"/>
        <v/>
      </c>
    </row>
    <row r="105" spans="2:10" x14ac:dyDescent="0.2">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(hide)'!DL98,"")</f>
        <v/>
      </c>
      <c r="J105" s="218" t="str">
        <f t="shared" si="1"/>
        <v/>
      </c>
    </row>
    <row r="106" spans="2:10" x14ac:dyDescent="0.2">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(hide)'!DL99,"")</f>
        <v/>
      </c>
      <c r="J106" s="218" t="str">
        <f t="shared" si="1"/>
        <v/>
      </c>
    </row>
    <row r="107" spans="2:10" x14ac:dyDescent="0.2">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(hide)'!DL100,"")</f>
        <v/>
      </c>
      <c r="J107" s="218" t="str">
        <f t="shared" si="1"/>
        <v/>
      </c>
    </row>
    <row r="108" spans="2:10" x14ac:dyDescent="0.2">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(hide)'!DL101,"")</f>
        <v/>
      </c>
      <c r="J108" s="218" t="str">
        <f t="shared" si="1"/>
        <v/>
      </c>
    </row>
    <row r="109" spans="2:10" x14ac:dyDescent="0.2">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(hide)'!DL102,"")</f>
        <v/>
      </c>
      <c r="J109" s="218" t="str">
        <f t="shared" si="1"/>
        <v/>
      </c>
    </row>
    <row r="110" spans="2:10" x14ac:dyDescent="0.2">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(hide)'!DL103,"")</f>
        <v/>
      </c>
      <c r="J110" s="218" t="str">
        <f t="shared" si="1"/>
        <v/>
      </c>
    </row>
    <row r="111" spans="2:10" x14ac:dyDescent="0.2">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(hide)'!DL104,"")</f>
        <v/>
      </c>
      <c r="J111" s="218" t="str">
        <f t="shared" si="1"/>
        <v/>
      </c>
    </row>
    <row r="115" spans="2:10" ht="15" hidden="1" x14ac:dyDescent="0.25">
      <c r="B115" s="56" t="s">
        <v>461</v>
      </c>
    </row>
    <row r="116" spans="2:10" hidden="1" x14ac:dyDescent="0.2"/>
    <row r="117" spans="2:10" ht="42.75" hidden="1" x14ac:dyDescent="0.2">
      <c r="B117" s="120" t="s">
        <v>252</v>
      </c>
      <c r="C117" s="120" t="s">
        <v>452</v>
      </c>
      <c r="D117" s="120" t="s">
        <v>453</v>
      </c>
      <c r="E117" s="120" t="s">
        <v>454</v>
      </c>
      <c r="F117" s="121" t="s">
        <v>295</v>
      </c>
      <c r="G117" s="121" t="s">
        <v>465</v>
      </c>
      <c r="H117" s="121" t="s">
        <v>460</v>
      </c>
      <c r="I117" s="121" t="s">
        <v>464</v>
      </c>
      <c r="J117" s="121" t="s">
        <v>294</v>
      </c>
    </row>
    <row r="118" spans="2:10" hidden="1" x14ac:dyDescent="0.2">
      <c r="B118" s="218" t="str">
        <f>IF(Capacity!N17=0,"",Capacity!N17)</f>
        <v/>
      </c>
      <c r="C118" s="132" t="s">
        <v>1261</v>
      </c>
      <c r="D118" s="132"/>
      <c r="E118" s="132"/>
      <c r="F118" s="215" t="str">
        <f>IF(ROW(A1)&lt;=Capacity!$M$16,Capacity!Q17,"")</f>
        <v/>
      </c>
      <c r="G118" s="320" t="str">
        <f>IF(ROW(A1)&lt;=Capacity!$M$16,'Capacity calculation (hide)'!BH112,"")</f>
        <v/>
      </c>
      <c r="H118" s="215" t="str">
        <f>IF(ROW(A1)&lt;=Capacity!$M$16,Capacity!T17,"")</f>
        <v/>
      </c>
      <c r="I118" s="217" t="str">
        <f>IF(ROW(A1)&lt;=Capacity!$M$16,'Capacity calculation (hide)'!DL111,"")</f>
        <v/>
      </c>
      <c r="J118" s="218" t="str">
        <f>IFERROR(IF(G118-F118 &lt;0, "Under","Over"),"")</f>
        <v/>
      </c>
    </row>
    <row r="119" spans="2:10" hidden="1" x14ac:dyDescent="0.2">
      <c r="B119" s="218" t="str">
        <f>IF(Capacity!N18=0,"",Capacity!N18)</f>
        <v/>
      </c>
      <c r="C119" s="132" t="s">
        <v>1261</v>
      </c>
      <c r="D119" s="132" t="s">
        <v>1260</v>
      </c>
      <c r="E119" s="132"/>
      <c r="F119" s="215" t="str">
        <f>IF(ROW(A2)&lt;=Capacity!$M$16,Capacity!Q18,"")</f>
        <v/>
      </c>
      <c r="G119" s="320" t="str">
        <f>IF(ROW(A2)&lt;=Capacity!$M$16,'Capacity calculation (hide)'!BH113,"")</f>
        <v/>
      </c>
      <c r="H119" s="215" t="str">
        <f>IF(ROW(A2)&lt;=Capacity!$M$16,Capacity!T18,"")</f>
        <v/>
      </c>
      <c r="I119" s="217" t="str">
        <f>IF(ROW(A2)&lt;=Capacity!$M$16,'Capacity calculation (hide)'!DL112,"")</f>
        <v/>
      </c>
      <c r="J119" s="218" t="str">
        <f t="shared" ref="J119:J182" si="2">IFERROR(IF(G119-F119 &lt;0, "Under","Over"),"")</f>
        <v/>
      </c>
    </row>
    <row r="120" spans="2:10" hidden="1" x14ac:dyDescent="0.2">
      <c r="B120" s="218" t="str">
        <f>IF(Capacity!N19=0,"",Capacity!N19)</f>
        <v/>
      </c>
      <c r="C120" s="132"/>
      <c r="D120" s="132"/>
      <c r="E120" s="132"/>
      <c r="F120" s="215" t="str">
        <f>IF(ROW(A3)&lt;=Capacity!$M$16,Capacity!Q19,"")</f>
        <v/>
      </c>
      <c r="G120" s="320" t="str">
        <f>IF(ROW(A3)&lt;=Capacity!$M$16,'Capacity calculation (hide)'!BH114,"")</f>
        <v/>
      </c>
      <c r="H120" s="215" t="str">
        <f>IF(ROW(A3)&lt;=Capacity!$M$16,Capacity!T19,"")</f>
        <v/>
      </c>
      <c r="I120" s="217" t="str">
        <f>IF(ROW(A3)&lt;=Capacity!$M$16,'Capacity calculation (hide)'!DL113,"")</f>
        <v/>
      </c>
      <c r="J120" s="218" t="str">
        <f t="shared" si="2"/>
        <v/>
      </c>
    </row>
    <row r="121" spans="2:10" hidden="1" x14ac:dyDescent="0.2">
      <c r="B121" s="218" t="str">
        <f>IF(Capacity!N20=0,"",Capacity!N20)</f>
        <v/>
      </c>
      <c r="C121" s="132"/>
      <c r="D121" s="132"/>
      <c r="E121" s="132"/>
      <c r="F121" s="215" t="str">
        <f>IF(ROW(A4)&lt;=Capacity!$M$16,Capacity!Q20,"")</f>
        <v/>
      </c>
      <c r="G121" s="320" t="str">
        <f>IF(ROW(A4)&lt;=Capacity!$M$16,'Capacity calculation (hide)'!BH115,"")</f>
        <v/>
      </c>
      <c r="H121" s="215" t="str">
        <f>IF(ROW(A4)&lt;=Capacity!$M$16,Capacity!T20,"")</f>
        <v/>
      </c>
      <c r="I121" s="217" t="str">
        <f>IF(ROW(A4)&lt;=Capacity!$M$16,'Capacity calculation (hide)'!DL114,"")</f>
        <v/>
      </c>
      <c r="J121" s="218" t="str">
        <f t="shared" si="2"/>
        <v/>
      </c>
    </row>
    <row r="122" spans="2:10" hidden="1" x14ac:dyDescent="0.2">
      <c r="B122" s="218" t="str">
        <f>IF(Capacity!N21=0,"",Capacity!N21)</f>
        <v/>
      </c>
      <c r="C122" s="132"/>
      <c r="D122" s="132"/>
      <c r="E122" s="132"/>
      <c r="F122" s="215" t="str">
        <f>IF(ROW(A5)&lt;=Capacity!$M$16,Capacity!Q21,"")</f>
        <v/>
      </c>
      <c r="G122" s="320" t="str">
        <f>IF(ROW(A5)&lt;=Capacity!$M$16,'Capacity calculation (hide)'!BH116,"")</f>
        <v/>
      </c>
      <c r="H122" s="215" t="str">
        <f>IF(ROW(A5)&lt;=Capacity!$M$16,Capacity!T21,"")</f>
        <v/>
      </c>
      <c r="I122" s="217" t="str">
        <f>IF(ROW(A5)&lt;=Capacity!$M$16,'Capacity calculation (hide)'!DL115,"")</f>
        <v/>
      </c>
      <c r="J122" s="218" t="str">
        <f t="shared" si="2"/>
        <v/>
      </c>
    </row>
    <row r="123" spans="2:10" hidden="1" x14ac:dyDescent="0.2">
      <c r="B123" s="218" t="str">
        <f>IF(Capacity!N22=0,"",Capacity!N22)</f>
        <v/>
      </c>
      <c r="C123" s="132"/>
      <c r="D123" s="132"/>
      <c r="E123" s="132"/>
      <c r="F123" s="215" t="str">
        <f>IF(ROW(A6)&lt;=Capacity!$M$16,Capacity!Q22,"")</f>
        <v/>
      </c>
      <c r="G123" s="320" t="str">
        <f>IF(ROW(A6)&lt;=Capacity!$M$16,'Capacity calculation (hide)'!BH117,"")</f>
        <v/>
      </c>
      <c r="H123" s="215" t="str">
        <f>IF(ROW(A6)&lt;=Capacity!$M$16,Capacity!T22,"")</f>
        <v/>
      </c>
      <c r="I123" s="217" t="str">
        <f>IF(ROW(A6)&lt;=Capacity!$M$16,'Capacity calculation (hide)'!DL116,"")</f>
        <v/>
      </c>
      <c r="J123" s="218" t="str">
        <f t="shared" si="2"/>
        <v/>
      </c>
    </row>
    <row r="124" spans="2:10" hidden="1" x14ac:dyDescent="0.2">
      <c r="B124" s="218" t="str">
        <f>IF(Capacity!N23=0,"",Capacity!N23)</f>
        <v/>
      </c>
      <c r="C124" s="132"/>
      <c r="D124" s="132"/>
      <c r="E124" s="132"/>
      <c r="F124" s="215" t="str">
        <f>IF(ROW(A7)&lt;=Capacity!$M$16,Capacity!Q23,"")</f>
        <v/>
      </c>
      <c r="G124" s="320" t="str">
        <f>IF(ROW(A7)&lt;=Capacity!$M$16,'Capacity calculation (hide)'!BH118,"")</f>
        <v/>
      </c>
      <c r="H124" s="215" t="str">
        <f>IF(ROW(A7)&lt;=Capacity!$M$16,Capacity!T23,"")</f>
        <v/>
      </c>
      <c r="I124" s="217" t="str">
        <f>IF(ROW(A7)&lt;=Capacity!$M$16,'Capacity calculation (hide)'!DL117,"")</f>
        <v/>
      </c>
      <c r="J124" s="218" t="str">
        <f t="shared" si="2"/>
        <v/>
      </c>
    </row>
    <row r="125" spans="2:10" hidden="1" x14ac:dyDescent="0.2">
      <c r="B125" s="218" t="str">
        <f>IF(Capacity!N24=0,"",Capacity!N24)</f>
        <v/>
      </c>
      <c r="C125" s="132"/>
      <c r="D125" s="132"/>
      <c r="E125" s="132"/>
      <c r="F125" s="215" t="str">
        <f>IF(ROW(A8)&lt;=Capacity!$M$16,Capacity!Q24,"")</f>
        <v/>
      </c>
      <c r="G125" s="320" t="str">
        <f>IF(ROW(A8)&lt;=Capacity!$M$16,'Capacity calculation (hide)'!BH119,"")</f>
        <v/>
      </c>
      <c r="H125" s="215" t="str">
        <f>IF(ROW(A8)&lt;=Capacity!$M$16,Capacity!T24,"")</f>
        <v/>
      </c>
      <c r="I125" s="217" t="str">
        <f>IF(ROW(A8)&lt;=Capacity!$M$16,'Capacity calculation (hide)'!DL118,"")</f>
        <v/>
      </c>
      <c r="J125" s="218" t="str">
        <f t="shared" si="2"/>
        <v/>
      </c>
    </row>
    <row r="126" spans="2:10" hidden="1" x14ac:dyDescent="0.2">
      <c r="B126" s="218" t="str">
        <f>IF(Capacity!N25=0,"",Capacity!N25)</f>
        <v/>
      </c>
      <c r="C126" s="132"/>
      <c r="D126" s="132"/>
      <c r="E126" s="132"/>
      <c r="F126" s="215" t="str">
        <f>IF(ROW(A9)&lt;=Capacity!$M$16,Capacity!Q25,"")</f>
        <v/>
      </c>
      <c r="G126" s="320" t="str">
        <f>IF(ROW(A9)&lt;=Capacity!$M$16,'Capacity calculation (hide)'!BH120,"")</f>
        <v/>
      </c>
      <c r="H126" s="215" t="str">
        <f>IF(ROW(A9)&lt;=Capacity!$M$16,Capacity!T25,"")</f>
        <v/>
      </c>
      <c r="I126" s="217" t="str">
        <f>IF(ROW(A9)&lt;=Capacity!$M$16,'Capacity calculation (hide)'!DL119,"")</f>
        <v/>
      </c>
      <c r="J126" s="218" t="str">
        <f t="shared" si="2"/>
        <v/>
      </c>
    </row>
    <row r="127" spans="2:10" hidden="1" x14ac:dyDescent="0.2">
      <c r="B127" s="218" t="str">
        <f>IF(Capacity!N26=0,"",Capacity!N26)</f>
        <v/>
      </c>
      <c r="C127" s="132"/>
      <c r="D127" s="132"/>
      <c r="E127" s="132"/>
      <c r="F127" s="215" t="str">
        <f>IF(ROW(A10)&lt;=Capacity!$M$16,Capacity!Q26,"")</f>
        <v/>
      </c>
      <c r="G127" s="320" t="str">
        <f>IF(ROW(A10)&lt;=Capacity!$M$16,'Capacity calculation (hide)'!BH121,"")</f>
        <v/>
      </c>
      <c r="H127" s="215" t="str">
        <f>IF(ROW(A10)&lt;=Capacity!$M$16,Capacity!T26,"")</f>
        <v/>
      </c>
      <c r="I127" s="217" t="str">
        <f>IF(ROW(A10)&lt;=Capacity!$M$16,'Capacity calculation (hide)'!DL120,"")</f>
        <v/>
      </c>
      <c r="J127" s="218" t="str">
        <f t="shared" si="2"/>
        <v/>
      </c>
    </row>
    <row r="128" spans="2:10" hidden="1" x14ac:dyDescent="0.2">
      <c r="B128" s="218" t="str">
        <f>IF(Capacity!N27=0,"",Capacity!N27)</f>
        <v/>
      </c>
      <c r="C128" s="132"/>
      <c r="D128" s="132"/>
      <c r="E128" s="132"/>
      <c r="F128" s="215" t="str">
        <f>IF(ROW(A11)&lt;=Capacity!$M$16,Capacity!Q27,"")</f>
        <v/>
      </c>
      <c r="G128" s="320" t="str">
        <f>IF(ROW(A11)&lt;=Capacity!$M$16,'Capacity calculation (hide)'!BH122,"")</f>
        <v/>
      </c>
      <c r="H128" s="215" t="str">
        <f>IF(ROW(A11)&lt;=Capacity!$M$16,Capacity!T27,"")</f>
        <v/>
      </c>
      <c r="I128" s="217" t="str">
        <f>IF(ROW(A11)&lt;=Capacity!$M$16,'Capacity calculation (hide)'!DL121,"")</f>
        <v/>
      </c>
      <c r="J128" s="218" t="str">
        <f t="shared" si="2"/>
        <v/>
      </c>
    </row>
    <row r="129" spans="2:10" hidden="1" x14ac:dyDescent="0.2">
      <c r="B129" s="218" t="str">
        <f>IF(Capacity!N28=0,"",Capacity!N28)</f>
        <v/>
      </c>
      <c r="C129" s="132"/>
      <c r="D129" s="132"/>
      <c r="E129" s="132"/>
      <c r="F129" s="215" t="str">
        <f>IF(ROW(A12)&lt;=Capacity!$M$16,Capacity!Q28,"")</f>
        <v/>
      </c>
      <c r="G129" s="320" t="str">
        <f>IF(ROW(A12)&lt;=Capacity!$M$16,'Capacity calculation (hide)'!BH123,"")</f>
        <v/>
      </c>
      <c r="H129" s="215" t="str">
        <f>IF(ROW(A12)&lt;=Capacity!$M$16,Capacity!T28,"")</f>
        <v/>
      </c>
      <c r="I129" s="217" t="str">
        <f>IF(ROW(A12)&lt;=Capacity!$M$16,'Capacity calculation (hide)'!DL122,"")</f>
        <v/>
      </c>
      <c r="J129" s="218" t="str">
        <f t="shared" si="2"/>
        <v/>
      </c>
    </row>
    <row r="130" spans="2:10" hidden="1" x14ac:dyDescent="0.2">
      <c r="B130" s="218" t="str">
        <f>IF(Capacity!N29=0,"",Capacity!N29)</f>
        <v/>
      </c>
      <c r="C130" s="132"/>
      <c r="D130" s="132"/>
      <c r="E130" s="132"/>
      <c r="F130" s="215" t="str">
        <f>IF(ROW(A13)&lt;=Capacity!$M$16,Capacity!Q29,"")</f>
        <v/>
      </c>
      <c r="G130" s="320" t="str">
        <f>IF(ROW(A13)&lt;=Capacity!$M$16,'Capacity calculation (hide)'!BH124,"")</f>
        <v/>
      </c>
      <c r="H130" s="215" t="str">
        <f>IF(ROW(A13)&lt;=Capacity!$M$16,Capacity!T29,"")</f>
        <v/>
      </c>
      <c r="I130" s="217" t="str">
        <f>IF(ROW(A13)&lt;=Capacity!$M$16,'Capacity calculation (hide)'!DL123,"")</f>
        <v/>
      </c>
      <c r="J130" s="218" t="str">
        <f t="shared" si="2"/>
        <v/>
      </c>
    </row>
    <row r="131" spans="2:10" hidden="1" x14ac:dyDescent="0.2">
      <c r="B131" s="218" t="str">
        <f>IF(Capacity!N30=0,"",Capacity!N30)</f>
        <v/>
      </c>
      <c r="C131" s="132"/>
      <c r="D131" s="132"/>
      <c r="E131" s="132"/>
      <c r="F131" s="215" t="str">
        <f>IF(ROW(A14)&lt;=Capacity!$M$16,Capacity!Q30,"")</f>
        <v/>
      </c>
      <c r="G131" s="320" t="str">
        <f>IF(ROW(A14)&lt;=Capacity!$M$16,'Capacity calculation (hide)'!BH125,"")</f>
        <v/>
      </c>
      <c r="H131" s="215" t="str">
        <f>IF(ROW(A14)&lt;=Capacity!$M$16,Capacity!T30,"")</f>
        <v/>
      </c>
      <c r="I131" s="217" t="str">
        <f>IF(ROW(A14)&lt;=Capacity!$M$16,'Capacity calculation (hide)'!DL124,"")</f>
        <v/>
      </c>
      <c r="J131" s="218" t="str">
        <f t="shared" si="2"/>
        <v/>
      </c>
    </row>
    <row r="132" spans="2:10" hidden="1" x14ac:dyDescent="0.2">
      <c r="B132" s="218" t="str">
        <f>IF(Capacity!N31=0,"",Capacity!N31)</f>
        <v/>
      </c>
      <c r="C132" s="132"/>
      <c r="D132" s="132"/>
      <c r="E132" s="132"/>
      <c r="F132" s="215" t="str">
        <f>IF(ROW(A15)&lt;=Capacity!$M$16,Capacity!Q31,"")</f>
        <v/>
      </c>
      <c r="G132" s="320" t="str">
        <f>IF(ROW(A15)&lt;=Capacity!$M$16,'Capacity calculation (hide)'!BH126,"")</f>
        <v/>
      </c>
      <c r="H132" s="215" t="str">
        <f>IF(ROW(A15)&lt;=Capacity!$M$16,Capacity!T31,"")</f>
        <v/>
      </c>
      <c r="I132" s="217" t="str">
        <f>IF(ROW(A15)&lt;=Capacity!$M$16,'Capacity calculation (hide)'!DL125,"")</f>
        <v/>
      </c>
      <c r="J132" s="218" t="str">
        <f t="shared" si="2"/>
        <v/>
      </c>
    </row>
    <row r="133" spans="2:10" hidden="1" x14ac:dyDescent="0.2">
      <c r="B133" s="218" t="str">
        <f>IF(Capacity!N32=0,"",Capacity!N32)</f>
        <v/>
      </c>
      <c r="C133" s="132"/>
      <c r="D133" s="132"/>
      <c r="E133" s="132"/>
      <c r="F133" s="215" t="str">
        <f>IF(ROW(A16)&lt;=Capacity!$M$16,Capacity!Q32,"")</f>
        <v/>
      </c>
      <c r="G133" s="320" t="str">
        <f>IF(ROW(A16)&lt;=Capacity!$M$16,'Capacity calculation (hide)'!BH127,"")</f>
        <v/>
      </c>
      <c r="H133" s="215" t="str">
        <f>IF(ROW(A16)&lt;=Capacity!$M$16,Capacity!T32,"")</f>
        <v/>
      </c>
      <c r="I133" s="217" t="str">
        <f>IF(ROW(A16)&lt;=Capacity!$M$16,'Capacity calculation (hide)'!DL126,"")</f>
        <v/>
      </c>
      <c r="J133" s="218" t="str">
        <f t="shared" si="2"/>
        <v/>
      </c>
    </row>
    <row r="134" spans="2:10" hidden="1" x14ac:dyDescent="0.2">
      <c r="B134" s="218" t="str">
        <f>IF(Capacity!N33=0,"",Capacity!N33)</f>
        <v/>
      </c>
      <c r="C134" s="132"/>
      <c r="D134" s="132"/>
      <c r="E134" s="132"/>
      <c r="F134" s="215" t="str">
        <f>IF(ROW(A17)&lt;=Capacity!$M$16,Capacity!Q33,"")</f>
        <v/>
      </c>
      <c r="G134" s="320" t="str">
        <f>IF(ROW(A17)&lt;=Capacity!$M$16,'Capacity calculation (hide)'!BH128,"")</f>
        <v/>
      </c>
      <c r="H134" s="215" t="str">
        <f>IF(ROW(A17)&lt;=Capacity!$M$16,Capacity!T33,"")</f>
        <v/>
      </c>
      <c r="I134" s="217" t="str">
        <f>IF(ROW(A17)&lt;=Capacity!$M$16,'Capacity calculation (hide)'!DL127,"")</f>
        <v/>
      </c>
      <c r="J134" s="218" t="str">
        <f t="shared" si="2"/>
        <v/>
      </c>
    </row>
    <row r="135" spans="2:10" hidden="1" x14ac:dyDescent="0.2">
      <c r="B135" s="218" t="str">
        <f>IF(Capacity!N34=0,"",Capacity!N34)</f>
        <v/>
      </c>
      <c r="C135" s="132"/>
      <c r="D135" s="132"/>
      <c r="E135" s="132"/>
      <c r="F135" s="215" t="str">
        <f>IF(ROW(A18)&lt;=Capacity!$M$16,Capacity!Q34,"")</f>
        <v/>
      </c>
      <c r="G135" s="320" t="str">
        <f>IF(ROW(A18)&lt;=Capacity!$M$16,'Capacity calculation (hide)'!BH129,"")</f>
        <v/>
      </c>
      <c r="H135" s="215" t="str">
        <f>IF(ROW(A18)&lt;=Capacity!$M$16,Capacity!T34,"")</f>
        <v/>
      </c>
      <c r="I135" s="217" t="str">
        <f>IF(ROW(A18)&lt;=Capacity!$M$16,'Capacity calculation (hide)'!DL128,"")</f>
        <v/>
      </c>
      <c r="J135" s="218" t="str">
        <f t="shared" si="2"/>
        <v/>
      </c>
    </row>
    <row r="136" spans="2:10" hidden="1" x14ac:dyDescent="0.2">
      <c r="B136" s="218" t="str">
        <f>IF(Capacity!N35=0,"",Capacity!N35)</f>
        <v/>
      </c>
      <c r="C136" s="132"/>
      <c r="D136" s="132"/>
      <c r="E136" s="132"/>
      <c r="F136" s="215" t="str">
        <f>IF(ROW(A19)&lt;=Capacity!$M$16,Capacity!Q35,"")</f>
        <v/>
      </c>
      <c r="G136" s="320" t="str">
        <f>IF(ROW(A19)&lt;=Capacity!$M$16,'Capacity calculation (hide)'!BH130,"")</f>
        <v/>
      </c>
      <c r="H136" s="215" t="str">
        <f>IF(ROW(A19)&lt;=Capacity!$M$16,Capacity!T35,"")</f>
        <v/>
      </c>
      <c r="I136" s="217" t="str">
        <f>IF(ROW(A19)&lt;=Capacity!$M$16,'Capacity calculation (hide)'!DL129,"")</f>
        <v/>
      </c>
      <c r="J136" s="218" t="str">
        <f t="shared" si="2"/>
        <v/>
      </c>
    </row>
    <row r="137" spans="2:10" hidden="1" x14ac:dyDescent="0.2">
      <c r="B137" s="218" t="str">
        <f>IF(Capacity!N36=0,"",Capacity!N36)</f>
        <v/>
      </c>
      <c r="C137" s="132"/>
      <c r="D137" s="132"/>
      <c r="E137" s="132"/>
      <c r="F137" s="215" t="str">
        <f>IF(ROW(A20)&lt;=Capacity!$M$16,Capacity!Q36,"")</f>
        <v/>
      </c>
      <c r="G137" s="320" t="str">
        <f>IF(ROW(A20)&lt;=Capacity!$M$16,'Capacity calculation (hide)'!BH131,"")</f>
        <v/>
      </c>
      <c r="H137" s="215" t="str">
        <f>IF(ROW(A20)&lt;=Capacity!$M$16,Capacity!T36,"")</f>
        <v/>
      </c>
      <c r="I137" s="217" t="str">
        <f>IF(ROW(A20)&lt;=Capacity!$M$16,'Capacity calculation (hide)'!DL130,"")</f>
        <v/>
      </c>
      <c r="J137" s="218" t="str">
        <f t="shared" si="2"/>
        <v/>
      </c>
    </row>
    <row r="138" spans="2:10" hidden="1" x14ac:dyDescent="0.2">
      <c r="B138" s="218" t="str">
        <f>IF(Capacity!N37=0,"",Capacity!N37)</f>
        <v/>
      </c>
      <c r="C138" s="132"/>
      <c r="D138" s="132"/>
      <c r="E138" s="132"/>
      <c r="F138" s="215" t="str">
        <f>IF(ROW(A21)&lt;=Capacity!$M$16,Capacity!Q37,"")</f>
        <v/>
      </c>
      <c r="G138" s="320" t="str">
        <f>IF(ROW(A21)&lt;=Capacity!$M$16,'Capacity calculation (hide)'!BH132,"")</f>
        <v/>
      </c>
      <c r="H138" s="215" t="str">
        <f>IF(ROW(A21)&lt;=Capacity!$M$16,Capacity!T37,"")</f>
        <v/>
      </c>
      <c r="I138" s="217" t="str">
        <f>IF(ROW(A21)&lt;=Capacity!$M$16,'Capacity calculation (hide)'!DL131,"")</f>
        <v/>
      </c>
      <c r="J138" s="218" t="str">
        <f t="shared" si="2"/>
        <v/>
      </c>
    </row>
    <row r="139" spans="2:10" hidden="1" x14ac:dyDescent="0.2">
      <c r="B139" s="218" t="str">
        <f>IF(Capacity!N38=0,"",Capacity!N38)</f>
        <v/>
      </c>
      <c r="C139" s="132"/>
      <c r="D139" s="132"/>
      <c r="E139" s="132"/>
      <c r="F139" s="215" t="str">
        <f>IF(ROW(A22)&lt;=Capacity!$M$16,Capacity!Q38,"")</f>
        <v/>
      </c>
      <c r="G139" s="320" t="str">
        <f>IF(ROW(A22)&lt;=Capacity!$M$16,'Capacity calculation (hide)'!BH133,"")</f>
        <v/>
      </c>
      <c r="H139" s="215" t="str">
        <f>IF(ROW(A22)&lt;=Capacity!$M$16,Capacity!T38,"")</f>
        <v/>
      </c>
      <c r="I139" s="217" t="str">
        <f>IF(ROW(A22)&lt;=Capacity!$M$16,'Capacity calculation (hide)'!DL132,"")</f>
        <v/>
      </c>
      <c r="J139" s="218" t="str">
        <f t="shared" si="2"/>
        <v/>
      </c>
    </row>
    <row r="140" spans="2:10" hidden="1" x14ac:dyDescent="0.2">
      <c r="B140" s="218" t="str">
        <f>IF(Capacity!N39=0,"",Capacity!N39)</f>
        <v/>
      </c>
      <c r="C140" s="132"/>
      <c r="D140" s="132"/>
      <c r="E140" s="132"/>
      <c r="F140" s="215" t="str">
        <f>IF(ROW(A23)&lt;=Capacity!$M$16,Capacity!Q39,"")</f>
        <v/>
      </c>
      <c r="G140" s="320" t="str">
        <f>IF(ROW(A23)&lt;=Capacity!$M$16,'Capacity calculation (hide)'!BH134,"")</f>
        <v/>
      </c>
      <c r="H140" s="215" t="str">
        <f>IF(ROW(A23)&lt;=Capacity!$M$16,Capacity!T39,"")</f>
        <v/>
      </c>
      <c r="I140" s="217" t="str">
        <f>IF(ROW(A23)&lt;=Capacity!$M$16,'Capacity calculation (hide)'!DL133,"")</f>
        <v/>
      </c>
      <c r="J140" s="218" t="str">
        <f t="shared" si="2"/>
        <v/>
      </c>
    </row>
    <row r="141" spans="2:10" hidden="1" x14ac:dyDescent="0.2">
      <c r="B141" s="218" t="str">
        <f>IF(Capacity!N40=0,"",Capacity!N40)</f>
        <v/>
      </c>
      <c r="C141" s="132"/>
      <c r="D141" s="132"/>
      <c r="E141" s="132"/>
      <c r="F141" s="215" t="str">
        <f>IF(ROW(A24)&lt;=Capacity!$M$16,Capacity!Q40,"")</f>
        <v/>
      </c>
      <c r="G141" s="320" t="str">
        <f>IF(ROW(A24)&lt;=Capacity!$M$16,'Capacity calculation (hide)'!BH135,"")</f>
        <v/>
      </c>
      <c r="H141" s="215" t="str">
        <f>IF(ROW(A24)&lt;=Capacity!$M$16,Capacity!T40,"")</f>
        <v/>
      </c>
      <c r="I141" s="217" t="str">
        <f>IF(ROW(A24)&lt;=Capacity!$M$16,'Capacity calculation (hide)'!DL134,"")</f>
        <v/>
      </c>
      <c r="J141" s="218" t="str">
        <f t="shared" si="2"/>
        <v/>
      </c>
    </row>
    <row r="142" spans="2:10" hidden="1" x14ac:dyDescent="0.2">
      <c r="B142" s="218" t="str">
        <f>IF(Capacity!N41=0,"",Capacity!N41)</f>
        <v/>
      </c>
      <c r="C142" s="132"/>
      <c r="D142" s="132"/>
      <c r="E142" s="132"/>
      <c r="F142" s="215" t="str">
        <f>IF(ROW(A25)&lt;=Capacity!$M$16,Capacity!Q41,"")</f>
        <v/>
      </c>
      <c r="G142" s="320" t="str">
        <f>IF(ROW(A25)&lt;=Capacity!$M$16,'Capacity calculation (hide)'!BH136,"")</f>
        <v/>
      </c>
      <c r="H142" s="215" t="str">
        <f>IF(ROW(A25)&lt;=Capacity!$M$16,Capacity!T41,"")</f>
        <v/>
      </c>
      <c r="I142" s="217" t="str">
        <f>IF(ROW(A25)&lt;=Capacity!$M$16,'Capacity calculation (hide)'!DL135,"")</f>
        <v/>
      </c>
      <c r="J142" s="218" t="str">
        <f t="shared" si="2"/>
        <v/>
      </c>
    </row>
    <row r="143" spans="2:10" hidden="1" x14ac:dyDescent="0.2">
      <c r="B143" s="218" t="str">
        <f>IF(Capacity!N42=0,"",Capacity!N42)</f>
        <v/>
      </c>
      <c r="C143" s="132"/>
      <c r="D143" s="132"/>
      <c r="E143" s="132"/>
      <c r="F143" s="215" t="str">
        <f>IF(ROW(A26)&lt;=Capacity!$M$16,Capacity!Q42,"")</f>
        <v/>
      </c>
      <c r="G143" s="320" t="str">
        <f>IF(ROW(A26)&lt;=Capacity!$M$16,'Capacity calculation (hide)'!BH137,"")</f>
        <v/>
      </c>
      <c r="H143" s="215" t="str">
        <f>IF(ROW(A26)&lt;=Capacity!$M$16,Capacity!T42,"")</f>
        <v/>
      </c>
      <c r="I143" s="217" t="str">
        <f>IF(ROW(A26)&lt;=Capacity!$M$16,'Capacity calculation (hide)'!DL136,"")</f>
        <v/>
      </c>
      <c r="J143" s="218" t="str">
        <f t="shared" si="2"/>
        <v/>
      </c>
    </row>
    <row r="144" spans="2:10" hidden="1" x14ac:dyDescent="0.2">
      <c r="B144" s="218" t="str">
        <f>IF(Capacity!N43=0,"",Capacity!N43)</f>
        <v/>
      </c>
      <c r="C144" s="132"/>
      <c r="D144" s="132"/>
      <c r="E144" s="132"/>
      <c r="F144" s="215" t="str">
        <f>IF(ROW(A27)&lt;=Capacity!$M$16,Capacity!Q43,"")</f>
        <v/>
      </c>
      <c r="G144" s="320" t="str">
        <f>IF(ROW(A27)&lt;=Capacity!$M$16,'Capacity calculation (hide)'!BH138,"")</f>
        <v/>
      </c>
      <c r="H144" s="215" t="str">
        <f>IF(ROW(A27)&lt;=Capacity!$M$16,Capacity!T43,"")</f>
        <v/>
      </c>
      <c r="I144" s="217" t="str">
        <f>IF(ROW(A27)&lt;=Capacity!$M$16,'Capacity calculation (hide)'!DL137,"")</f>
        <v/>
      </c>
      <c r="J144" s="218" t="str">
        <f t="shared" si="2"/>
        <v/>
      </c>
    </row>
    <row r="145" spans="2:10" hidden="1" x14ac:dyDescent="0.2">
      <c r="B145" s="218" t="str">
        <f>IF(Capacity!N44=0,"",Capacity!N44)</f>
        <v/>
      </c>
      <c r="C145" s="132"/>
      <c r="D145" s="132"/>
      <c r="E145" s="132"/>
      <c r="F145" s="215" t="str">
        <f>IF(ROW(A28)&lt;=Capacity!$M$16,Capacity!Q44,"")</f>
        <v/>
      </c>
      <c r="G145" s="320" t="str">
        <f>IF(ROW(A28)&lt;=Capacity!$M$16,'Capacity calculation (hide)'!BH139,"")</f>
        <v/>
      </c>
      <c r="H145" s="215" t="str">
        <f>IF(ROW(A28)&lt;=Capacity!$M$16,Capacity!T44,"")</f>
        <v/>
      </c>
      <c r="I145" s="217" t="str">
        <f>IF(ROW(A28)&lt;=Capacity!$M$16,'Capacity calculation (hide)'!DL138,"")</f>
        <v/>
      </c>
      <c r="J145" s="218" t="str">
        <f t="shared" si="2"/>
        <v/>
      </c>
    </row>
    <row r="146" spans="2:10" hidden="1" x14ac:dyDescent="0.2">
      <c r="B146" s="218" t="str">
        <f>IF(Capacity!N45=0,"",Capacity!N45)</f>
        <v/>
      </c>
      <c r="C146" s="132"/>
      <c r="D146" s="132"/>
      <c r="E146" s="132"/>
      <c r="F146" s="215" t="str">
        <f>IF(ROW(A29)&lt;=Capacity!$M$16,Capacity!Q45,"")</f>
        <v/>
      </c>
      <c r="G146" s="320" t="str">
        <f>IF(ROW(A29)&lt;=Capacity!$M$16,'Capacity calculation (hide)'!BH140,"")</f>
        <v/>
      </c>
      <c r="H146" s="215" t="str">
        <f>IF(ROW(A29)&lt;=Capacity!$M$16,Capacity!T45,"")</f>
        <v/>
      </c>
      <c r="I146" s="217" t="str">
        <f>IF(ROW(A29)&lt;=Capacity!$M$16,'Capacity calculation (hide)'!DL139,"")</f>
        <v/>
      </c>
      <c r="J146" s="218" t="str">
        <f t="shared" si="2"/>
        <v/>
      </c>
    </row>
    <row r="147" spans="2:10" hidden="1" x14ac:dyDescent="0.2">
      <c r="B147" s="218" t="str">
        <f>IF(Capacity!N46=0,"",Capacity!N46)</f>
        <v/>
      </c>
      <c r="C147" s="132"/>
      <c r="D147" s="132"/>
      <c r="E147" s="132"/>
      <c r="F147" s="215" t="str">
        <f>IF(ROW(A30)&lt;=Capacity!$M$16,Capacity!Q46,"")</f>
        <v/>
      </c>
      <c r="G147" s="320" t="str">
        <f>IF(ROW(A30)&lt;=Capacity!$M$16,'Capacity calculation (hide)'!BH141,"")</f>
        <v/>
      </c>
      <c r="H147" s="215" t="str">
        <f>IF(ROW(A30)&lt;=Capacity!$M$16,Capacity!T46,"")</f>
        <v/>
      </c>
      <c r="I147" s="217" t="str">
        <f>IF(ROW(A30)&lt;=Capacity!$M$16,'Capacity calculation (hide)'!DL140,"")</f>
        <v/>
      </c>
      <c r="J147" s="218" t="str">
        <f t="shared" si="2"/>
        <v/>
      </c>
    </row>
    <row r="148" spans="2:10" hidden="1" x14ac:dyDescent="0.2">
      <c r="B148" s="218" t="str">
        <f>IF(Capacity!N47=0,"",Capacity!N47)</f>
        <v/>
      </c>
      <c r="C148" s="132"/>
      <c r="D148" s="132"/>
      <c r="E148" s="132"/>
      <c r="F148" s="215" t="str">
        <f>IF(ROW(A31)&lt;=Capacity!$M$16,Capacity!Q47,"")</f>
        <v/>
      </c>
      <c r="G148" s="320" t="str">
        <f>IF(ROW(A31)&lt;=Capacity!$M$16,'Capacity calculation (hide)'!BH142,"")</f>
        <v/>
      </c>
      <c r="H148" s="215" t="str">
        <f>IF(ROW(A31)&lt;=Capacity!$M$16,Capacity!T47,"")</f>
        <v/>
      </c>
      <c r="I148" s="217" t="str">
        <f>IF(ROW(A31)&lt;=Capacity!$M$16,'Capacity calculation (hide)'!DL141,"")</f>
        <v/>
      </c>
      <c r="J148" s="218" t="str">
        <f t="shared" si="2"/>
        <v/>
      </c>
    </row>
    <row r="149" spans="2:10" hidden="1" x14ac:dyDescent="0.2">
      <c r="B149" s="218" t="str">
        <f>IF(Capacity!N48=0,"",Capacity!N48)</f>
        <v/>
      </c>
      <c r="C149" s="132"/>
      <c r="D149" s="132"/>
      <c r="E149" s="132"/>
      <c r="F149" s="215" t="str">
        <f>IF(ROW(A32)&lt;=Capacity!$M$16,Capacity!Q48,"")</f>
        <v/>
      </c>
      <c r="G149" s="320" t="str">
        <f>IF(ROW(A32)&lt;=Capacity!$M$16,'Capacity calculation (hide)'!BH143,"")</f>
        <v/>
      </c>
      <c r="H149" s="215" t="str">
        <f>IF(ROW(A32)&lt;=Capacity!$M$16,Capacity!T48,"")</f>
        <v/>
      </c>
      <c r="I149" s="217" t="str">
        <f>IF(ROW(A32)&lt;=Capacity!$M$16,'Capacity calculation (hide)'!DL142,"")</f>
        <v/>
      </c>
      <c r="J149" s="218" t="str">
        <f t="shared" si="2"/>
        <v/>
      </c>
    </row>
    <row r="150" spans="2:10" hidden="1" x14ac:dyDescent="0.2">
      <c r="B150" s="218" t="str">
        <f>IF(Capacity!N49=0,"",Capacity!N49)</f>
        <v/>
      </c>
      <c r="C150" s="132"/>
      <c r="D150" s="132"/>
      <c r="E150" s="132"/>
      <c r="F150" s="215" t="str">
        <f>IF(ROW(A33)&lt;=Capacity!$M$16,Capacity!Q49,"")</f>
        <v/>
      </c>
      <c r="G150" s="320" t="str">
        <f>IF(ROW(A33)&lt;=Capacity!$M$16,'Capacity calculation (hide)'!BH144,"")</f>
        <v/>
      </c>
      <c r="H150" s="215" t="str">
        <f>IF(ROW(A33)&lt;=Capacity!$M$16,Capacity!T49,"")</f>
        <v/>
      </c>
      <c r="I150" s="217" t="str">
        <f>IF(ROW(A33)&lt;=Capacity!$M$16,'Capacity calculation (hide)'!DL143,"")</f>
        <v/>
      </c>
      <c r="J150" s="218" t="str">
        <f t="shared" si="2"/>
        <v/>
      </c>
    </row>
    <row r="151" spans="2:10" hidden="1" x14ac:dyDescent="0.2">
      <c r="B151" s="218" t="str">
        <f>IF(Capacity!N50=0,"",Capacity!N50)</f>
        <v/>
      </c>
      <c r="C151" s="132"/>
      <c r="D151" s="132"/>
      <c r="E151" s="132"/>
      <c r="F151" s="215" t="str">
        <f>IF(ROW(A34)&lt;=Capacity!$M$16,Capacity!Q50,"")</f>
        <v/>
      </c>
      <c r="G151" s="320" t="str">
        <f>IF(ROW(A34)&lt;=Capacity!$M$16,'Capacity calculation (hide)'!BH145,"")</f>
        <v/>
      </c>
      <c r="H151" s="215" t="str">
        <f>IF(ROW(A34)&lt;=Capacity!$M$16,Capacity!T50,"")</f>
        <v/>
      </c>
      <c r="I151" s="217" t="str">
        <f>IF(ROW(A34)&lt;=Capacity!$M$16,'Capacity calculation (hide)'!DL144,"")</f>
        <v/>
      </c>
      <c r="J151" s="218" t="str">
        <f t="shared" si="2"/>
        <v/>
      </c>
    </row>
    <row r="152" spans="2:10" hidden="1" x14ac:dyDescent="0.2">
      <c r="B152" s="218" t="str">
        <f>IF(Capacity!N51=0,"",Capacity!N51)</f>
        <v/>
      </c>
      <c r="C152" s="132"/>
      <c r="D152" s="132"/>
      <c r="E152" s="132"/>
      <c r="F152" s="215" t="str">
        <f>IF(ROW(A35)&lt;=Capacity!$M$16,Capacity!Q51,"")</f>
        <v/>
      </c>
      <c r="G152" s="320" t="str">
        <f>IF(ROW(A35)&lt;=Capacity!$M$16,'Capacity calculation (hide)'!BH146,"")</f>
        <v/>
      </c>
      <c r="H152" s="215" t="str">
        <f>IF(ROW(A35)&lt;=Capacity!$M$16,Capacity!T51,"")</f>
        <v/>
      </c>
      <c r="I152" s="217" t="str">
        <f>IF(ROW(A35)&lt;=Capacity!$M$16,'Capacity calculation (hide)'!DL145,"")</f>
        <v/>
      </c>
      <c r="J152" s="218" t="str">
        <f t="shared" si="2"/>
        <v/>
      </c>
    </row>
    <row r="153" spans="2:10" hidden="1" x14ac:dyDescent="0.2">
      <c r="B153" s="218" t="str">
        <f>IF(Capacity!N52=0,"",Capacity!N52)</f>
        <v/>
      </c>
      <c r="C153" s="132"/>
      <c r="D153" s="132"/>
      <c r="E153" s="132"/>
      <c r="F153" s="215" t="str">
        <f>IF(ROW(A36)&lt;=Capacity!$M$16,Capacity!Q52,"")</f>
        <v/>
      </c>
      <c r="G153" s="320" t="str">
        <f>IF(ROW(A36)&lt;=Capacity!$M$16,'Capacity calculation (hide)'!BH147,"")</f>
        <v/>
      </c>
      <c r="H153" s="215" t="str">
        <f>IF(ROW(A36)&lt;=Capacity!$M$16,Capacity!T52,"")</f>
        <v/>
      </c>
      <c r="I153" s="217" t="str">
        <f>IF(ROW(A36)&lt;=Capacity!$M$16,'Capacity calculation (hide)'!DL146,"")</f>
        <v/>
      </c>
      <c r="J153" s="218" t="str">
        <f t="shared" si="2"/>
        <v/>
      </c>
    </row>
    <row r="154" spans="2:10" hidden="1" x14ac:dyDescent="0.2">
      <c r="B154" s="218" t="str">
        <f>IF(Capacity!N53=0,"",Capacity!N53)</f>
        <v/>
      </c>
      <c r="C154" s="132"/>
      <c r="D154" s="132"/>
      <c r="E154" s="132"/>
      <c r="F154" s="215" t="str">
        <f>IF(ROW(A37)&lt;=Capacity!$M$16,Capacity!Q53,"")</f>
        <v/>
      </c>
      <c r="G154" s="320" t="str">
        <f>IF(ROW(A37)&lt;=Capacity!$M$16,'Capacity calculation (hide)'!BH148,"")</f>
        <v/>
      </c>
      <c r="H154" s="215" t="str">
        <f>IF(ROW(A37)&lt;=Capacity!$M$16,Capacity!T53,"")</f>
        <v/>
      </c>
      <c r="I154" s="217" t="str">
        <f>IF(ROW(A37)&lt;=Capacity!$M$16,'Capacity calculation (hide)'!DL147,"")</f>
        <v/>
      </c>
      <c r="J154" s="218" t="str">
        <f t="shared" si="2"/>
        <v/>
      </c>
    </row>
    <row r="155" spans="2:10" hidden="1" x14ac:dyDescent="0.2">
      <c r="B155" s="218" t="str">
        <f>IF(Capacity!N54=0,"",Capacity!N54)</f>
        <v/>
      </c>
      <c r="C155" s="132"/>
      <c r="D155" s="132"/>
      <c r="E155" s="132"/>
      <c r="F155" s="215" t="str">
        <f>IF(ROW(A38)&lt;=Capacity!$M$16,Capacity!Q54,"")</f>
        <v/>
      </c>
      <c r="G155" s="320" t="str">
        <f>IF(ROW(A38)&lt;=Capacity!$M$16,'Capacity calculation (hide)'!BH149,"")</f>
        <v/>
      </c>
      <c r="H155" s="215" t="str">
        <f>IF(ROW(A38)&lt;=Capacity!$M$16,Capacity!T54,"")</f>
        <v/>
      </c>
      <c r="I155" s="217" t="str">
        <f>IF(ROW(A38)&lt;=Capacity!$M$16,'Capacity calculation (hide)'!DL148,"")</f>
        <v/>
      </c>
      <c r="J155" s="218" t="str">
        <f t="shared" si="2"/>
        <v/>
      </c>
    </row>
    <row r="156" spans="2:10" hidden="1" x14ac:dyDescent="0.2">
      <c r="B156" s="218" t="str">
        <f>IF(Capacity!N55=0,"",Capacity!N55)</f>
        <v/>
      </c>
      <c r="C156" s="132"/>
      <c r="D156" s="132"/>
      <c r="E156" s="132"/>
      <c r="F156" s="215" t="str">
        <f>IF(ROW(A39)&lt;=Capacity!$M$16,Capacity!Q55,"")</f>
        <v/>
      </c>
      <c r="G156" s="320" t="str">
        <f>IF(ROW(A39)&lt;=Capacity!$M$16,'Capacity calculation (hide)'!BH150,"")</f>
        <v/>
      </c>
      <c r="H156" s="215" t="str">
        <f>IF(ROW(A39)&lt;=Capacity!$M$16,Capacity!T55,"")</f>
        <v/>
      </c>
      <c r="I156" s="217" t="str">
        <f>IF(ROW(A39)&lt;=Capacity!$M$16,'Capacity calculation (hide)'!DL149,"")</f>
        <v/>
      </c>
      <c r="J156" s="218" t="str">
        <f t="shared" si="2"/>
        <v/>
      </c>
    </row>
    <row r="157" spans="2:10" hidden="1" x14ac:dyDescent="0.2">
      <c r="B157" s="218" t="str">
        <f>IF(Capacity!N56=0,"",Capacity!N56)</f>
        <v/>
      </c>
      <c r="C157" s="132"/>
      <c r="D157" s="132"/>
      <c r="E157" s="132"/>
      <c r="F157" s="215" t="str">
        <f>IF(ROW(A40)&lt;=Capacity!$M$16,Capacity!Q56,"")</f>
        <v/>
      </c>
      <c r="G157" s="320" t="str">
        <f>IF(ROW(A40)&lt;=Capacity!$M$16,'Capacity calculation (hide)'!BH151,"")</f>
        <v/>
      </c>
      <c r="H157" s="215" t="str">
        <f>IF(ROW(A40)&lt;=Capacity!$M$16,Capacity!T56,"")</f>
        <v/>
      </c>
      <c r="I157" s="217" t="str">
        <f>IF(ROW(A40)&lt;=Capacity!$M$16,'Capacity calculation (hide)'!DL150,"")</f>
        <v/>
      </c>
      <c r="J157" s="218" t="str">
        <f t="shared" si="2"/>
        <v/>
      </c>
    </row>
    <row r="158" spans="2:10" hidden="1" x14ac:dyDescent="0.2">
      <c r="B158" s="218" t="str">
        <f>IF(Capacity!N57=0,"",Capacity!N57)</f>
        <v/>
      </c>
      <c r="C158" s="132"/>
      <c r="D158" s="132"/>
      <c r="E158" s="132"/>
      <c r="F158" s="215" t="str">
        <f>IF(ROW(A41)&lt;=Capacity!$M$16,Capacity!Q57,"")</f>
        <v/>
      </c>
      <c r="G158" s="320" t="str">
        <f>IF(ROW(A41)&lt;=Capacity!$M$16,'Capacity calculation (hide)'!BH152,"")</f>
        <v/>
      </c>
      <c r="H158" s="215" t="str">
        <f>IF(ROW(A41)&lt;=Capacity!$M$16,Capacity!T57,"")</f>
        <v/>
      </c>
      <c r="I158" s="217" t="str">
        <f>IF(ROW(A41)&lt;=Capacity!$M$16,'Capacity calculation (hide)'!DL151,"")</f>
        <v/>
      </c>
      <c r="J158" s="218" t="str">
        <f t="shared" si="2"/>
        <v/>
      </c>
    </row>
    <row r="159" spans="2:10" hidden="1" x14ac:dyDescent="0.2">
      <c r="B159" s="218" t="str">
        <f>IF(Capacity!N58=0,"",Capacity!N58)</f>
        <v/>
      </c>
      <c r="C159" s="132"/>
      <c r="D159" s="132"/>
      <c r="E159" s="132"/>
      <c r="F159" s="215" t="str">
        <f>IF(ROW(A42)&lt;=Capacity!$M$16,Capacity!Q58,"")</f>
        <v/>
      </c>
      <c r="G159" s="320" t="str">
        <f>IF(ROW(A42)&lt;=Capacity!$M$16,'Capacity calculation (hide)'!BH153,"")</f>
        <v/>
      </c>
      <c r="H159" s="215" t="str">
        <f>IF(ROW(A42)&lt;=Capacity!$M$16,Capacity!T58,"")</f>
        <v/>
      </c>
      <c r="I159" s="217" t="str">
        <f>IF(ROW(A42)&lt;=Capacity!$M$16,'Capacity calculation (hide)'!DL152,"")</f>
        <v/>
      </c>
      <c r="J159" s="218" t="str">
        <f t="shared" si="2"/>
        <v/>
      </c>
    </row>
    <row r="160" spans="2:10" hidden="1" x14ac:dyDescent="0.2">
      <c r="B160" s="218" t="str">
        <f>IF(Capacity!N59=0,"",Capacity!N59)</f>
        <v/>
      </c>
      <c r="C160" s="132"/>
      <c r="D160" s="132"/>
      <c r="E160" s="132"/>
      <c r="F160" s="215" t="str">
        <f>IF(ROW(A43)&lt;=Capacity!$M$16,Capacity!Q59,"")</f>
        <v/>
      </c>
      <c r="G160" s="320" t="str">
        <f>IF(ROW(A43)&lt;=Capacity!$M$16,'Capacity calculation (hide)'!BH154,"")</f>
        <v/>
      </c>
      <c r="H160" s="215" t="str">
        <f>IF(ROW(A43)&lt;=Capacity!$M$16,Capacity!T59,"")</f>
        <v/>
      </c>
      <c r="I160" s="217" t="str">
        <f>IF(ROW(A43)&lt;=Capacity!$M$16,'Capacity calculation (hide)'!DL153,"")</f>
        <v/>
      </c>
      <c r="J160" s="218" t="str">
        <f t="shared" si="2"/>
        <v/>
      </c>
    </row>
    <row r="161" spans="2:10" hidden="1" x14ac:dyDescent="0.2">
      <c r="B161" s="218" t="str">
        <f>IF(Capacity!N60=0,"",Capacity!N60)</f>
        <v/>
      </c>
      <c r="C161" s="132"/>
      <c r="D161" s="132"/>
      <c r="E161" s="132"/>
      <c r="F161" s="215" t="str">
        <f>IF(ROW(A44)&lt;=Capacity!$M$16,Capacity!Q60,"")</f>
        <v/>
      </c>
      <c r="G161" s="320" t="str">
        <f>IF(ROW(A44)&lt;=Capacity!$M$16,'Capacity calculation (hide)'!BH155,"")</f>
        <v/>
      </c>
      <c r="H161" s="215" t="str">
        <f>IF(ROW(A44)&lt;=Capacity!$M$16,Capacity!T60,"")</f>
        <v/>
      </c>
      <c r="I161" s="217" t="str">
        <f>IF(ROW(A44)&lt;=Capacity!$M$16,'Capacity calculation (hide)'!DL154,"")</f>
        <v/>
      </c>
      <c r="J161" s="218" t="str">
        <f t="shared" si="2"/>
        <v/>
      </c>
    </row>
    <row r="162" spans="2:10" hidden="1" x14ac:dyDescent="0.2">
      <c r="B162" s="218" t="str">
        <f>IF(Capacity!N61=0,"",Capacity!N61)</f>
        <v/>
      </c>
      <c r="C162" s="132"/>
      <c r="D162" s="132"/>
      <c r="E162" s="132"/>
      <c r="F162" s="215" t="str">
        <f>IF(ROW(A45)&lt;=Capacity!$M$16,Capacity!Q61,"")</f>
        <v/>
      </c>
      <c r="G162" s="320" t="str">
        <f>IF(ROW(A45)&lt;=Capacity!$M$16,'Capacity calculation (hide)'!BH156,"")</f>
        <v/>
      </c>
      <c r="H162" s="215" t="str">
        <f>IF(ROW(A45)&lt;=Capacity!$M$16,Capacity!T61,"")</f>
        <v/>
      </c>
      <c r="I162" s="217" t="str">
        <f>IF(ROW(A45)&lt;=Capacity!$M$16,'Capacity calculation (hide)'!DL155,"")</f>
        <v/>
      </c>
      <c r="J162" s="218" t="str">
        <f t="shared" si="2"/>
        <v/>
      </c>
    </row>
    <row r="163" spans="2:10" hidden="1" x14ac:dyDescent="0.2">
      <c r="B163" s="218" t="str">
        <f>IF(Capacity!N62=0,"",Capacity!N62)</f>
        <v/>
      </c>
      <c r="C163" s="132"/>
      <c r="D163" s="132"/>
      <c r="E163" s="132"/>
      <c r="F163" s="215" t="str">
        <f>IF(ROW(A46)&lt;=Capacity!$M$16,Capacity!Q62,"")</f>
        <v/>
      </c>
      <c r="G163" s="320" t="str">
        <f>IF(ROW(A46)&lt;=Capacity!$M$16,'Capacity calculation (hide)'!BH157,"")</f>
        <v/>
      </c>
      <c r="H163" s="215" t="str">
        <f>IF(ROW(A46)&lt;=Capacity!$M$16,Capacity!T62,"")</f>
        <v/>
      </c>
      <c r="I163" s="217" t="str">
        <f>IF(ROW(A46)&lt;=Capacity!$M$16,'Capacity calculation (hide)'!DL156,"")</f>
        <v/>
      </c>
      <c r="J163" s="218" t="str">
        <f t="shared" si="2"/>
        <v/>
      </c>
    </row>
    <row r="164" spans="2:10" hidden="1" x14ac:dyDescent="0.2">
      <c r="B164" s="218" t="str">
        <f>IF(Capacity!N63=0,"",Capacity!N63)</f>
        <v/>
      </c>
      <c r="C164" s="132"/>
      <c r="D164" s="132"/>
      <c r="E164" s="132"/>
      <c r="F164" s="215" t="str">
        <f>IF(ROW(A47)&lt;=Capacity!$M$16,Capacity!Q63,"")</f>
        <v/>
      </c>
      <c r="G164" s="320" t="str">
        <f>IF(ROW(A47)&lt;=Capacity!$M$16,'Capacity calculation (hide)'!BH158,"")</f>
        <v/>
      </c>
      <c r="H164" s="215" t="str">
        <f>IF(ROW(A47)&lt;=Capacity!$M$16,Capacity!T63,"")</f>
        <v/>
      </c>
      <c r="I164" s="217" t="str">
        <f>IF(ROW(A47)&lt;=Capacity!$M$16,'Capacity calculation (hide)'!DL157,"")</f>
        <v/>
      </c>
      <c r="J164" s="218" t="str">
        <f t="shared" si="2"/>
        <v/>
      </c>
    </row>
    <row r="165" spans="2:10" hidden="1" x14ac:dyDescent="0.2">
      <c r="B165" s="218" t="str">
        <f>IF(Capacity!N64=0,"",Capacity!N64)</f>
        <v/>
      </c>
      <c r="C165" s="132"/>
      <c r="D165" s="132"/>
      <c r="E165" s="132"/>
      <c r="F165" s="215" t="str">
        <f>IF(ROW(A48)&lt;=Capacity!$M$16,Capacity!Q64,"")</f>
        <v/>
      </c>
      <c r="G165" s="320" t="str">
        <f>IF(ROW(A48)&lt;=Capacity!$M$16,'Capacity calculation (hide)'!BH159,"")</f>
        <v/>
      </c>
      <c r="H165" s="215" t="str">
        <f>IF(ROW(A48)&lt;=Capacity!$M$16,Capacity!T64,"")</f>
        <v/>
      </c>
      <c r="I165" s="217" t="str">
        <f>IF(ROW(A48)&lt;=Capacity!$M$16,'Capacity calculation (hide)'!DL158,"")</f>
        <v/>
      </c>
      <c r="J165" s="218" t="str">
        <f t="shared" si="2"/>
        <v/>
      </c>
    </row>
    <row r="166" spans="2:10" hidden="1" x14ac:dyDescent="0.2">
      <c r="B166" s="218" t="str">
        <f>IF(Capacity!N65=0,"",Capacity!N65)</f>
        <v/>
      </c>
      <c r="C166" s="132"/>
      <c r="D166" s="132"/>
      <c r="E166" s="132"/>
      <c r="F166" s="215" t="str">
        <f>IF(ROW(A49)&lt;=Capacity!$M$16,Capacity!Q65,"")</f>
        <v/>
      </c>
      <c r="G166" s="320" t="str">
        <f>IF(ROW(A49)&lt;=Capacity!$M$16,'Capacity calculation (hide)'!BH160,"")</f>
        <v/>
      </c>
      <c r="H166" s="215" t="str">
        <f>IF(ROW(A49)&lt;=Capacity!$M$16,Capacity!T65,"")</f>
        <v/>
      </c>
      <c r="I166" s="217" t="str">
        <f>IF(ROW(A49)&lt;=Capacity!$M$16,'Capacity calculation (hide)'!DL159,"")</f>
        <v/>
      </c>
      <c r="J166" s="218" t="str">
        <f t="shared" si="2"/>
        <v/>
      </c>
    </row>
    <row r="167" spans="2:10" hidden="1" x14ac:dyDescent="0.2">
      <c r="B167" s="218" t="str">
        <f>IF(Capacity!N66=0,"",Capacity!N66)</f>
        <v/>
      </c>
      <c r="C167" s="132"/>
      <c r="D167" s="132"/>
      <c r="E167" s="132"/>
      <c r="F167" s="215" t="str">
        <f>IF(ROW(A50)&lt;=Capacity!$M$16,Capacity!Q66,"")</f>
        <v/>
      </c>
      <c r="G167" s="320" t="str">
        <f>IF(ROW(A50)&lt;=Capacity!$M$16,'Capacity calculation (hide)'!BH161,"")</f>
        <v/>
      </c>
      <c r="H167" s="215" t="str">
        <f>IF(ROW(A50)&lt;=Capacity!$M$16,Capacity!T66,"")</f>
        <v/>
      </c>
      <c r="I167" s="217" t="str">
        <f>IF(ROW(A50)&lt;=Capacity!$M$16,'Capacity calculation (hide)'!DL160,"")</f>
        <v/>
      </c>
      <c r="J167" s="218" t="str">
        <f t="shared" si="2"/>
        <v/>
      </c>
    </row>
    <row r="168" spans="2:10" hidden="1" x14ac:dyDescent="0.2">
      <c r="B168" s="218" t="str">
        <f>IF(Capacity!N67=0,"",Capacity!N67)</f>
        <v/>
      </c>
      <c r="C168" s="132"/>
      <c r="D168" s="132"/>
      <c r="E168" s="132"/>
      <c r="F168" s="215" t="str">
        <f>IF(ROW(A51)&lt;=Capacity!$M$16,Capacity!Q67,"")</f>
        <v/>
      </c>
      <c r="G168" s="320" t="str">
        <f>IF(ROW(A51)&lt;=Capacity!$M$16,'Capacity calculation (hide)'!BH162,"")</f>
        <v/>
      </c>
      <c r="H168" s="215" t="str">
        <f>IF(ROW(A51)&lt;=Capacity!$M$16,Capacity!T67,"")</f>
        <v/>
      </c>
      <c r="I168" s="217" t="str">
        <f>IF(ROW(A51)&lt;=Capacity!$M$16,'Capacity calculation (hide)'!DL161,"")</f>
        <v/>
      </c>
      <c r="J168" s="218" t="str">
        <f t="shared" si="2"/>
        <v/>
      </c>
    </row>
    <row r="169" spans="2:10" hidden="1" x14ac:dyDescent="0.2">
      <c r="B169" s="218" t="str">
        <f>IF(Capacity!N68=0,"",Capacity!N68)</f>
        <v/>
      </c>
      <c r="C169" s="132"/>
      <c r="D169" s="132"/>
      <c r="E169" s="132"/>
      <c r="F169" s="215" t="str">
        <f>IF(ROW(A52)&lt;=Capacity!$M$16,Capacity!Q68,"")</f>
        <v/>
      </c>
      <c r="G169" s="320" t="str">
        <f>IF(ROW(A52)&lt;=Capacity!$M$16,'Capacity calculation (hide)'!BH163,"")</f>
        <v/>
      </c>
      <c r="H169" s="215" t="str">
        <f>IF(ROW(A52)&lt;=Capacity!$M$16,Capacity!T68,"")</f>
        <v/>
      </c>
      <c r="I169" s="217" t="str">
        <f>IF(ROW(A52)&lt;=Capacity!$M$16,'Capacity calculation (hide)'!DL162,"")</f>
        <v/>
      </c>
      <c r="J169" s="218" t="str">
        <f t="shared" si="2"/>
        <v/>
      </c>
    </row>
    <row r="170" spans="2:10" hidden="1" x14ac:dyDescent="0.2">
      <c r="B170" s="218" t="str">
        <f>IF(Capacity!N69=0,"",Capacity!N69)</f>
        <v/>
      </c>
      <c r="C170" s="132"/>
      <c r="D170" s="132"/>
      <c r="E170" s="132"/>
      <c r="F170" s="215" t="str">
        <f>IF(ROW(A53)&lt;=Capacity!$M$16,Capacity!Q69,"")</f>
        <v/>
      </c>
      <c r="G170" s="320" t="str">
        <f>IF(ROW(A53)&lt;=Capacity!$M$16,'Capacity calculation (hide)'!BH164,"")</f>
        <v/>
      </c>
      <c r="H170" s="215" t="str">
        <f>IF(ROW(A53)&lt;=Capacity!$M$16,Capacity!T69,"")</f>
        <v/>
      </c>
      <c r="I170" s="217" t="str">
        <f>IF(ROW(A53)&lt;=Capacity!$M$16,'Capacity calculation (hide)'!DL163,"")</f>
        <v/>
      </c>
      <c r="J170" s="218" t="str">
        <f t="shared" si="2"/>
        <v/>
      </c>
    </row>
    <row r="171" spans="2:10" hidden="1" x14ac:dyDescent="0.2">
      <c r="B171" s="218" t="str">
        <f>IF(Capacity!N70=0,"",Capacity!N70)</f>
        <v/>
      </c>
      <c r="C171" s="132"/>
      <c r="D171" s="132"/>
      <c r="E171" s="132"/>
      <c r="F171" s="215" t="str">
        <f>IF(ROW(A54)&lt;=Capacity!$M$16,Capacity!Q70,"")</f>
        <v/>
      </c>
      <c r="G171" s="320" t="str">
        <f>IF(ROW(A54)&lt;=Capacity!$M$16,'Capacity calculation (hide)'!BH165,"")</f>
        <v/>
      </c>
      <c r="H171" s="215" t="str">
        <f>IF(ROW(A54)&lt;=Capacity!$M$16,Capacity!T70,"")</f>
        <v/>
      </c>
      <c r="I171" s="217" t="str">
        <f>IF(ROW(A54)&lt;=Capacity!$M$16,'Capacity calculation (hide)'!DL164,"")</f>
        <v/>
      </c>
      <c r="J171" s="218" t="str">
        <f t="shared" si="2"/>
        <v/>
      </c>
    </row>
    <row r="172" spans="2:10" hidden="1" x14ac:dyDescent="0.2">
      <c r="B172" s="218" t="str">
        <f>IF(Capacity!N71=0,"",Capacity!N71)</f>
        <v/>
      </c>
      <c r="C172" s="132"/>
      <c r="D172" s="132"/>
      <c r="E172" s="132"/>
      <c r="F172" s="215" t="str">
        <f>IF(ROW(A55)&lt;=Capacity!$M$16,Capacity!Q71,"")</f>
        <v/>
      </c>
      <c r="G172" s="320" t="str">
        <f>IF(ROW(A55)&lt;=Capacity!$M$16,'Capacity calculation (hide)'!BH166,"")</f>
        <v/>
      </c>
      <c r="H172" s="215" t="str">
        <f>IF(ROW(A55)&lt;=Capacity!$M$16,Capacity!T71,"")</f>
        <v/>
      </c>
      <c r="I172" s="217" t="str">
        <f>IF(ROW(A55)&lt;=Capacity!$M$16,'Capacity calculation (hide)'!DL165,"")</f>
        <v/>
      </c>
      <c r="J172" s="218" t="str">
        <f t="shared" si="2"/>
        <v/>
      </c>
    </row>
    <row r="173" spans="2:10" hidden="1" x14ac:dyDescent="0.2">
      <c r="B173" s="218" t="str">
        <f>IF(Capacity!N72=0,"",Capacity!N72)</f>
        <v/>
      </c>
      <c r="C173" s="132"/>
      <c r="D173" s="132"/>
      <c r="E173" s="132"/>
      <c r="F173" s="215" t="str">
        <f>IF(ROW(A56)&lt;=Capacity!$M$16,Capacity!Q72,"")</f>
        <v/>
      </c>
      <c r="G173" s="320" t="str">
        <f>IF(ROW(A56)&lt;=Capacity!$M$16,'Capacity calculation (hide)'!BH167,"")</f>
        <v/>
      </c>
      <c r="H173" s="215" t="str">
        <f>IF(ROW(A56)&lt;=Capacity!$M$16,Capacity!T72,"")</f>
        <v/>
      </c>
      <c r="I173" s="217" t="str">
        <f>IF(ROW(A56)&lt;=Capacity!$M$16,'Capacity calculation (hide)'!DL166,"")</f>
        <v/>
      </c>
      <c r="J173" s="218" t="str">
        <f t="shared" si="2"/>
        <v/>
      </c>
    </row>
    <row r="174" spans="2:10" hidden="1" x14ac:dyDescent="0.2">
      <c r="B174" s="218" t="str">
        <f>IF(Capacity!N73=0,"",Capacity!N73)</f>
        <v/>
      </c>
      <c r="C174" s="132"/>
      <c r="D174" s="132"/>
      <c r="E174" s="132"/>
      <c r="F174" s="215" t="str">
        <f>IF(ROW(A57)&lt;=Capacity!$M$16,Capacity!Q73,"")</f>
        <v/>
      </c>
      <c r="G174" s="320" t="str">
        <f>IF(ROW(A57)&lt;=Capacity!$M$16,'Capacity calculation (hide)'!BH168,"")</f>
        <v/>
      </c>
      <c r="H174" s="215" t="str">
        <f>IF(ROW(A57)&lt;=Capacity!$M$16,Capacity!T73,"")</f>
        <v/>
      </c>
      <c r="I174" s="217" t="str">
        <f>IF(ROW(A57)&lt;=Capacity!$M$16,'Capacity calculation (hide)'!DL167,"")</f>
        <v/>
      </c>
      <c r="J174" s="218" t="str">
        <f t="shared" si="2"/>
        <v/>
      </c>
    </row>
    <row r="175" spans="2:10" hidden="1" x14ac:dyDescent="0.2">
      <c r="B175" s="218" t="str">
        <f>IF(Capacity!N74=0,"",Capacity!N74)</f>
        <v/>
      </c>
      <c r="C175" s="132"/>
      <c r="D175" s="132"/>
      <c r="E175" s="132"/>
      <c r="F175" s="215" t="str">
        <f>IF(ROW(A58)&lt;=Capacity!$M$16,Capacity!Q74,"")</f>
        <v/>
      </c>
      <c r="G175" s="320" t="str">
        <f>IF(ROW(A58)&lt;=Capacity!$M$16,'Capacity calculation (hide)'!BH169,"")</f>
        <v/>
      </c>
      <c r="H175" s="215" t="str">
        <f>IF(ROW(A58)&lt;=Capacity!$M$16,Capacity!T74,"")</f>
        <v/>
      </c>
      <c r="I175" s="217" t="str">
        <f>IF(ROW(A58)&lt;=Capacity!$M$16,'Capacity calculation (hide)'!DL168,"")</f>
        <v/>
      </c>
      <c r="J175" s="218" t="str">
        <f t="shared" si="2"/>
        <v/>
      </c>
    </row>
    <row r="176" spans="2:10" hidden="1" x14ac:dyDescent="0.2">
      <c r="B176" s="218" t="str">
        <f>IF(Capacity!N75=0,"",Capacity!N75)</f>
        <v/>
      </c>
      <c r="C176" s="132"/>
      <c r="D176" s="132"/>
      <c r="E176" s="132"/>
      <c r="F176" s="215" t="str">
        <f>IF(ROW(A59)&lt;=Capacity!$M$16,Capacity!Q75,"")</f>
        <v/>
      </c>
      <c r="G176" s="320" t="str">
        <f>IF(ROW(A59)&lt;=Capacity!$M$16,'Capacity calculation (hide)'!BH170,"")</f>
        <v/>
      </c>
      <c r="H176" s="215" t="str">
        <f>IF(ROW(A59)&lt;=Capacity!$M$16,Capacity!T75,"")</f>
        <v/>
      </c>
      <c r="I176" s="217" t="str">
        <f>IF(ROW(A59)&lt;=Capacity!$M$16,'Capacity calculation (hide)'!DL169,"")</f>
        <v/>
      </c>
      <c r="J176" s="218" t="str">
        <f t="shared" si="2"/>
        <v/>
      </c>
    </row>
    <row r="177" spans="2:10" hidden="1" x14ac:dyDescent="0.2">
      <c r="B177" s="218" t="str">
        <f>IF(Capacity!N76=0,"",Capacity!N76)</f>
        <v/>
      </c>
      <c r="C177" s="132"/>
      <c r="D177" s="132"/>
      <c r="E177" s="132"/>
      <c r="F177" s="215" t="str">
        <f>IF(ROW(A60)&lt;=Capacity!$M$16,Capacity!Q76,"")</f>
        <v/>
      </c>
      <c r="G177" s="320" t="str">
        <f>IF(ROW(A60)&lt;=Capacity!$M$16,'Capacity calculation (hide)'!BH171,"")</f>
        <v/>
      </c>
      <c r="H177" s="215" t="str">
        <f>IF(ROW(A60)&lt;=Capacity!$M$16,Capacity!T76,"")</f>
        <v/>
      </c>
      <c r="I177" s="217" t="str">
        <f>IF(ROW(A60)&lt;=Capacity!$M$16,'Capacity calculation (hide)'!DL170,"")</f>
        <v/>
      </c>
      <c r="J177" s="218" t="str">
        <f t="shared" si="2"/>
        <v/>
      </c>
    </row>
    <row r="178" spans="2:10" hidden="1" x14ac:dyDescent="0.2">
      <c r="B178" s="218" t="str">
        <f>IF(Capacity!N77=0,"",Capacity!N77)</f>
        <v/>
      </c>
      <c r="C178" s="132"/>
      <c r="D178" s="132"/>
      <c r="E178" s="132"/>
      <c r="F178" s="215" t="str">
        <f>IF(ROW(A61)&lt;=Capacity!$M$16,Capacity!Q77,"")</f>
        <v/>
      </c>
      <c r="G178" s="320" t="str">
        <f>IF(ROW(A61)&lt;=Capacity!$M$16,'Capacity calculation (hide)'!BH172,"")</f>
        <v/>
      </c>
      <c r="H178" s="215" t="str">
        <f>IF(ROW(A61)&lt;=Capacity!$M$16,Capacity!T77,"")</f>
        <v/>
      </c>
      <c r="I178" s="217" t="str">
        <f>IF(ROW(A61)&lt;=Capacity!$M$16,'Capacity calculation (hide)'!DL171,"")</f>
        <v/>
      </c>
      <c r="J178" s="218" t="str">
        <f t="shared" si="2"/>
        <v/>
      </c>
    </row>
    <row r="179" spans="2:10" hidden="1" x14ac:dyDescent="0.2">
      <c r="B179" s="218" t="str">
        <f>IF(Capacity!N78=0,"",Capacity!N78)</f>
        <v/>
      </c>
      <c r="C179" s="132"/>
      <c r="D179" s="132"/>
      <c r="E179" s="132"/>
      <c r="F179" s="215" t="str">
        <f>IF(ROW(A62)&lt;=Capacity!$M$16,Capacity!Q78,"")</f>
        <v/>
      </c>
      <c r="G179" s="320" t="str">
        <f>IF(ROW(A62)&lt;=Capacity!$M$16,'Capacity calculation (hide)'!BH173,"")</f>
        <v/>
      </c>
      <c r="H179" s="215" t="str">
        <f>IF(ROW(A62)&lt;=Capacity!$M$16,Capacity!T78,"")</f>
        <v/>
      </c>
      <c r="I179" s="217" t="str">
        <f>IF(ROW(A62)&lt;=Capacity!$M$16,'Capacity calculation (hide)'!DL172,"")</f>
        <v/>
      </c>
      <c r="J179" s="218" t="str">
        <f t="shared" si="2"/>
        <v/>
      </c>
    </row>
    <row r="180" spans="2:10" hidden="1" x14ac:dyDescent="0.2">
      <c r="B180" s="218" t="str">
        <f>IF(Capacity!N79=0,"",Capacity!N79)</f>
        <v/>
      </c>
      <c r="C180" s="132"/>
      <c r="D180" s="132"/>
      <c r="E180" s="132"/>
      <c r="F180" s="215" t="str">
        <f>IF(ROW(A63)&lt;=Capacity!$M$16,Capacity!Q79,"")</f>
        <v/>
      </c>
      <c r="G180" s="320" t="str">
        <f>IF(ROW(A63)&lt;=Capacity!$M$16,'Capacity calculation (hide)'!BH174,"")</f>
        <v/>
      </c>
      <c r="H180" s="215" t="str">
        <f>IF(ROW(A63)&lt;=Capacity!$M$16,Capacity!T79,"")</f>
        <v/>
      </c>
      <c r="I180" s="217" t="str">
        <f>IF(ROW(A63)&lt;=Capacity!$M$16,'Capacity calculation (hide)'!DL173,"")</f>
        <v/>
      </c>
      <c r="J180" s="218" t="str">
        <f t="shared" si="2"/>
        <v/>
      </c>
    </row>
    <row r="181" spans="2:10" hidden="1" x14ac:dyDescent="0.2">
      <c r="B181" s="218" t="str">
        <f>IF(Capacity!N80=0,"",Capacity!N80)</f>
        <v/>
      </c>
      <c r="C181" s="132"/>
      <c r="D181" s="132"/>
      <c r="E181" s="132"/>
      <c r="F181" s="215" t="str">
        <f>IF(ROW(A64)&lt;=Capacity!$M$16,Capacity!Q80,"")</f>
        <v/>
      </c>
      <c r="G181" s="320" t="str">
        <f>IF(ROW(A64)&lt;=Capacity!$M$16,'Capacity calculation (hide)'!BH175,"")</f>
        <v/>
      </c>
      <c r="H181" s="215" t="str">
        <f>IF(ROW(A64)&lt;=Capacity!$M$16,Capacity!T80,"")</f>
        <v/>
      </c>
      <c r="I181" s="217" t="str">
        <f>IF(ROW(A64)&lt;=Capacity!$M$16,'Capacity calculation (hide)'!DL174,"")</f>
        <v/>
      </c>
      <c r="J181" s="218" t="str">
        <f t="shared" si="2"/>
        <v/>
      </c>
    </row>
    <row r="182" spans="2:10" hidden="1" x14ac:dyDescent="0.2">
      <c r="B182" s="218" t="str">
        <f>IF(Capacity!N81=0,"",Capacity!N81)</f>
        <v/>
      </c>
      <c r="C182" s="132"/>
      <c r="D182" s="132"/>
      <c r="E182" s="132"/>
      <c r="F182" s="215" t="str">
        <f>IF(ROW(A65)&lt;=Capacity!$M$16,Capacity!Q81,"")</f>
        <v/>
      </c>
      <c r="G182" s="320" t="str">
        <f>IF(ROW(A65)&lt;=Capacity!$M$16,'Capacity calculation (hide)'!BH176,"")</f>
        <v/>
      </c>
      <c r="H182" s="215" t="str">
        <f>IF(ROW(A65)&lt;=Capacity!$M$16,Capacity!T81,"")</f>
        <v/>
      </c>
      <c r="I182" s="217" t="str">
        <f>IF(ROW(A65)&lt;=Capacity!$M$16,'Capacity calculation (hide)'!DL175,"")</f>
        <v/>
      </c>
      <c r="J182" s="218" t="str">
        <f t="shared" si="2"/>
        <v/>
      </c>
    </row>
    <row r="183" spans="2:10" hidden="1" x14ac:dyDescent="0.2">
      <c r="B183" s="218" t="str">
        <f>IF(Capacity!N82=0,"",Capacity!N82)</f>
        <v/>
      </c>
      <c r="C183" s="132"/>
      <c r="D183" s="132"/>
      <c r="E183" s="132"/>
      <c r="F183" s="215" t="str">
        <f>IF(ROW(A66)&lt;=Capacity!$M$16,Capacity!Q82,"")</f>
        <v/>
      </c>
      <c r="G183" s="320" t="str">
        <f>IF(ROW(A66)&lt;=Capacity!$M$16,'Capacity calculation (hide)'!BH177,"")</f>
        <v/>
      </c>
      <c r="H183" s="215" t="str">
        <f>IF(ROW(A66)&lt;=Capacity!$M$16,Capacity!T82,"")</f>
        <v/>
      </c>
      <c r="I183" s="217" t="str">
        <f>IF(ROW(A66)&lt;=Capacity!$M$16,'Capacity calculation (hide)'!DL176,"")</f>
        <v/>
      </c>
      <c r="J183" s="218" t="str">
        <f t="shared" ref="J183:J217" si="3">IFERROR(IF(G183-F183 &lt;0, "Under","Over"),"")</f>
        <v/>
      </c>
    </row>
    <row r="184" spans="2:10" hidden="1" x14ac:dyDescent="0.2">
      <c r="B184" s="218" t="str">
        <f>IF(Capacity!N83=0,"",Capacity!N83)</f>
        <v/>
      </c>
      <c r="C184" s="132"/>
      <c r="D184" s="132"/>
      <c r="E184" s="132"/>
      <c r="F184" s="215" t="str">
        <f>IF(ROW(A67)&lt;=Capacity!$M$16,Capacity!Q83,"")</f>
        <v/>
      </c>
      <c r="G184" s="320" t="str">
        <f>IF(ROW(A67)&lt;=Capacity!$M$16,'Capacity calculation (hide)'!BH178,"")</f>
        <v/>
      </c>
      <c r="H184" s="215" t="str">
        <f>IF(ROW(A67)&lt;=Capacity!$M$16,Capacity!T83,"")</f>
        <v/>
      </c>
      <c r="I184" s="217" t="str">
        <f>IF(ROW(A67)&lt;=Capacity!$M$16,'Capacity calculation (hide)'!DL177,"")</f>
        <v/>
      </c>
      <c r="J184" s="218" t="str">
        <f t="shared" si="3"/>
        <v/>
      </c>
    </row>
    <row r="185" spans="2:10" hidden="1" x14ac:dyDescent="0.2">
      <c r="B185" s="218" t="str">
        <f>IF(Capacity!N84=0,"",Capacity!N84)</f>
        <v/>
      </c>
      <c r="C185" s="132"/>
      <c r="D185" s="132"/>
      <c r="E185" s="132"/>
      <c r="F185" s="215" t="str">
        <f>IF(ROW(A68)&lt;=Capacity!$M$16,Capacity!Q84,"")</f>
        <v/>
      </c>
      <c r="G185" s="320" t="str">
        <f>IF(ROW(A68)&lt;=Capacity!$M$16,'Capacity calculation (hide)'!BH179,"")</f>
        <v/>
      </c>
      <c r="H185" s="215" t="str">
        <f>IF(ROW(A68)&lt;=Capacity!$M$16,Capacity!T84,"")</f>
        <v/>
      </c>
      <c r="I185" s="217" t="str">
        <f>IF(ROW(A68)&lt;=Capacity!$M$16,'Capacity calculation (hide)'!DL178,"")</f>
        <v/>
      </c>
      <c r="J185" s="218" t="str">
        <f t="shared" si="3"/>
        <v/>
      </c>
    </row>
    <row r="186" spans="2:10" hidden="1" x14ac:dyDescent="0.2">
      <c r="B186" s="218" t="str">
        <f>IF(Capacity!N85=0,"",Capacity!N85)</f>
        <v/>
      </c>
      <c r="C186" s="132"/>
      <c r="D186" s="132"/>
      <c r="E186" s="132"/>
      <c r="F186" s="215" t="str">
        <f>IF(ROW(A69)&lt;=Capacity!$M$16,Capacity!Q85,"")</f>
        <v/>
      </c>
      <c r="G186" s="320" t="str">
        <f>IF(ROW(A69)&lt;=Capacity!$M$16,'Capacity calculation (hide)'!BH180,"")</f>
        <v/>
      </c>
      <c r="H186" s="215" t="str">
        <f>IF(ROW(A69)&lt;=Capacity!$M$16,Capacity!T85,"")</f>
        <v/>
      </c>
      <c r="I186" s="217" t="str">
        <f>IF(ROW(A69)&lt;=Capacity!$M$16,'Capacity calculation (hide)'!DL179,"")</f>
        <v/>
      </c>
      <c r="J186" s="218" t="str">
        <f t="shared" si="3"/>
        <v/>
      </c>
    </row>
    <row r="187" spans="2:10" hidden="1" x14ac:dyDescent="0.2">
      <c r="B187" s="218" t="str">
        <f>IF(Capacity!N86=0,"",Capacity!N86)</f>
        <v/>
      </c>
      <c r="C187" s="132"/>
      <c r="D187" s="132"/>
      <c r="E187" s="132"/>
      <c r="F187" s="215" t="str">
        <f>IF(ROW(A70)&lt;=Capacity!$M$16,Capacity!Q86,"")</f>
        <v/>
      </c>
      <c r="G187" s="320" t="str">
        <f>IF(ROW(A70)&lt;=Capacity!$M$16,'Capacity calculation (hide)'!BH181,"")</f>
        <v/>
      </c>
      <c r="H187" s="215" t="str">
        <f>IF(ROW(A70)&lt;=Capacity!$M$16,Capacity!T86,"")</f>
        <v/>
      </c>
      <c r="I187" s="217" t="str">
        <f>IF(ROW(A70)&lt;=Capacity!$M$16,'Capacity calculation (hide)'!DL180,"")</f>
        <v/>
      </c>
      <c r="J187" s="218" t="str">
        <f t="shared" si="3"/>
        <v/>
      </c>
    </row>
    <row r="188" spans="2:10" hidden="1" x14ac:dyDescent="0.2">
      <c r="B188" s="218" t="str">
        <f>IF(Capacity!N87=0,"",Capacity!N87)</f>
        <v/>
      </c>
      <c r="C188" s="132"/>
      <c r="D188" s="132"/>
      <c r="E188" s="132"/>
      <c r="F188" s="215" t="str">
        <f>IF(ROW(A71)&lt;=Capacity!$M$16,Capacity!Q87,"")</f>
        <v/>
      </c>
      <c r="G188" s="320" t="str">
        <f>IF(ROW(A71)&lt;=Capacity!$M$16,'Capacity calculation (hide)'!BH182,"")</f>
        <v/>
      </c>
      <c r="H188" s="215" t="str">
        <f>IF(ROW(A71)&lt;=Capacity!$M$16,Capacity!T87,"")</f>
        <v/>
      </c>
      <c r="I188" s="217" t="str">
        <f>IF(ROW(A71)&lt;=Capacity!$M$16,'Capacity calculation (hide)'!DL181,"")</f>
        <v/>
      </c>
      <c r="J188" s="218" t="str">
        <f t="shared" si="3"/>
        <v/>
      </c>
    </row>
    <row r="189" spans="2:10" hidden="1" x14ac:dyDescent="0.2">
      <c r="B189" s="218" t="str">
        <f>IF(Capacity!N88=0,"",Capacity!N88)</f>
        <v/>
      </c>
      <c r="C189" s="132"/>
      <c r="D189" s="132"/>
      <c r="E189" s="132"/>
      <c r="F189" s="215" t="str">
        <f>IF(ROW(A72)&lt;=Capacity!$M$16,Capacity!Q88,"")</f>
        <v/>
      </c>
      <c r="G189" s="320" t="str">
        <f>IF(ROW(A72)&lt;=Capacity!$M$16,'Capacity calculation (hide)'!BH183,"")</f>
        <v/>
      </c>
      <c r="H189" s="215" t="str">
        <f>IF(ROW(A72)&lt;=Capacity!$M$16,Capacity!T88,"")</f>
        <v/>
      </c>
      <c r="I189" s="217" t="str">
        <f>IF(ROW(A72)&lt;=Capacity!$M$16,'Capacity calculation (hide)'!DL182,"")</f>
        <v/>
      </c>
      <c r="J189" s="218" t="str">
        <f t="shared" si="3"/>
        <v/>
      </c>
    </row>
    <row r="190" spans="2:10" hidden="1" x14ac:dyDescent="0.2">
      <c r="B190" s="218" t="str">
        <f>IF(Capacity!N89=0,"",Capacity!N89)</f>
        <v/>
      </c>
      <c r="C190" s="132"/>
      <c r="D190" s="132"/>
      <c r="E190" s="132"/>
      <c r="F190" s="215" t="str">
        <f>IF(ROW(A73)&lt;=Capacity!$M$16,Capacity!Q89,"")</f>
        <v/>
      </c>
      <c r="G190" s="320" t="str">
        <f>IF(ROW(A73)&lt;=Capacity!$M$16,'Capacity calculation (hide)'!BH184,"")</f>
        <v/>
      </c>
      <c r="H190" s="215" t="str">
        <f>IF(ROW(A73)&lt;=Capacity!$M$16,Capacity!T89,"")</f>
        <v/>
      </c>
      <c r="I190" s="217" t="str">
        <f>IF(ROW(A73)&lt;=Capacity!$M$16,'Capacity calculation (hide)'!DL183,"")</f>
        <v/>
      </c>
      <c r="J190" s="218" t="str">
        <f t="shared" si="3"/>
        <v/>
      </c>
    </row>
    <row r="191" spans="2:10" hidden="1" x14ac:dyDescent="0.2">
      <c r="B191" s="218" t="str">
        <f>IF(Capacity!N90=0,"",Capacity!N90)</f>
        <v/>
      </c>
      <c r="C191" s="132"/>
      <c r="D191" s="132"/>
      <c r="E191" s="132"/>
      <c r="F191" s="215" t="str">
        <f>IF(ROW(A74)&lt;=Capacity!$M$16,Capacity!Q90,"")</f>
        <v/>
      </c>
      <c r="G191" s="320" t="str">
        <f>IF(ROW(A74)&lt;=Capacity!$M$16,'Capacity calculation (hide)'!BH185,"")</f>
        <v/>
      </c>
      <c r="H191" s="215" t="str">
        <f>IF(ROW(A74)&lt;=Capacity!$M$16,Capacity!T90,"")</f>
        <v/>
      </c>
      <c r="I191" s="217" t="str">
        <f>IF(ROW(A74)&lt;=Capacity!$M$16,'Capacity calculation (hide)'!DL184,"")</f>
        <v/>
      </c>
      <c r="J191" s="218" t="str">
        <f t="shared" si="3"/>
        <v/>
      </c>
    </row>
    <row r="192" spans="2:10" hidden="1" x14ac:dyDescent="0.2">
      <c r="B192" s="218" t="str">
        <f>IF(Capacity!N91=0,"",Capacity!N91)</f>
        <v/>
      </c>
      <c r="C192" s="132"/>
      <c r="D192" s="132"/>
      <c r="E192" s="132"/>
      <c r="F192" s="215" t="str">
        <f>IF(ROW(A75)&lt;=Capacity!$M$16,Capacity!Q91,"")</f>
        <v/>
      </c>
      <c r="G192" s="320" t="str">
        <f>IF(ROW(A75)&lt;=Capacity!$M$16,'Capacity calculation (hide)'!BH186,"")</f>
        <v/>
      </c>
      <c r="H192" s="215" t="str">
        <f>IF(ROW(A75)&lt;=Capacity!$M$16,Capacity!T91,"")</f>
        <v/>
      </c>
      <c r="I192" s="217" t="str">
        <f>IF(ROW(A75)&lt;=Capacity!$M$16,'Capacity calculation (hide)'!DL185,"")</f>
        <v/>
      </c>
      <c r="J192" s="218" t="str">
        <f t="shared" si="3"/>
        <v/>
      </c>
    </row>
    <row r="193" spans="2:10" hidden="1" x14ac:dyDescent="0.2">
      <c r="B193" s="218" t="str">
        <f>IF(Capacity!N92=0,"",Capacity!N92)</f>
        <v/>
      </c>
      <c r="C193" s="132"/>
      <c r="D193" s="132"/>
      <c r="E193" s="132"/>
      <c r="F193" s="215" t="str">
        <f>IF(ROW(A76)&lt;=Capacity!$M$16,Capacity!Q92,"")</f>
        <v/>
      </c>
      <c r="G193" s="320" t="str">
        <f>IF(ROW(A76)&lt;=Capacity!$M$16,'Capacity calculation (hide)'!BH187,"")</f>
        <v/>
      </c>
      <c r="H193" s="215" t="str">
        <f>IF(ROW(A76)&lt;=Capacity!$M$16,Capacity!T92,"")</f>
        <v/>
      </c>
      <c r="I193" s="217" t="str">
        <f>IF(ROW(A76)&lt;=Capacity!$M$16,'Capacity calculation (hide)'!DL186,"")</f>
        <v/>
      </c>
      <c r="J193" s="218" t="str">
        <f t="shared" si="3"/>
        <v/>
      </c>
    </row>
    <row r="194" spans="2:10" hidden="1" x14ac:dyDescent="0.2">
      <c r="B194" s="218" t="str">
        <f>IF(Capacity!N93=0,"",Capacity!N93)</f>
        <v/>
      </c>
      <c r="C194" s="132"/>
      <c r="D194" s="132"/>
      <c r="E194" s="132"/>
      <c r="F194" s="215" t="str">
        <f>IF(ROW(A77)&lt;=Capacity!$M$16,Capacity!Q93,"")</f>
        <v/>
      </c>
      <c r="G194" s="320" t="str">
        <f>IF(ROW(A77)&lt;=Capacity!$M$16,'Capacity calculation (hide)'!BH188,"")</f>
        <v/>
      </c>
      <c r="H194" s="215" t="str">
        <f>IF(ROW(A77)&lt;=Capacity!$M$16,Capacity!T93,"")</f>
        <v/>
      </c>
      <c r="I194" s="217" t="str">
        <f>IF(ROW(A77)&lt;=Capacity!$M$16,'Capacity calculation (hide)'!DL187,"")</f>
        <v/>
      </c>
      <c r="J194" s="218" t="str">
        <f t="shared" si="3"/>
        <v/>
      </c>
    </row>
    <row r="195" spans="2:10" hidden="1" x14ac:dyDescent="0.2">
      <c r="B195" s="218" t="str">
        <f>IF(Capacity!N94=0,"",Capacity!N94)</f>
        <v/>
      </c>
      <c r="C195" s="132"/>
      <c r="D195" s="132"/>
      <c r="E195" s="132"/>
      <c r="F195" s="215" t="str">
        <f>IF(ROW(A78)&lt;=Capacity!$M$16,Capacity!Q94,"")</f>
        <v/>
      </c>
      <c r="G195" s="320" t="str">
        <f>IF(ROW(A78)&lt;=Capacity!$M$16,'Capacity calculation (hide)'!BH189,"")</f>
        <v/>
      </c>
      <c r="H195" s="215" t="str">
        <f>IF(ROW(A78)&lt;=Capacity!$M$16,Capacity!T94,"")</f>
        <v/>
      </c>
      <c r="I195" s="217" t="str">
        <f>IF(ROW(A78)&lt;=Capacity!$M$16,'Capacity calculation (hide)'!DL188,"")</f>
        <v/>
      </c>
      <c r="J195" s="218" t="str">
        <f t="shared" si="3"/>
        <v/>
      </c>
    </row>
    <row r="196" spans="2:10" hidden="1" x14ac:dyDescent="0.2">
      <c r="B196" s="218" t="str">
        <f>IF(Capacity!N95=0,"",Capacity!N95)</f>
        <v/>
      </c>
      <c r="C196" s="132"/>
      <c r="D196" s="132"/>
      <c r="E196" s="132"/>
      <c r="F196" s="215" t="str">
        <f>IF(ROW(A79)&lt;=Capacity!$M$16,Capacity!Q95,"")</f>
        <v/>
      </c>
      <c r="G196" s="320" t="str">
        <f>IF(ROW(A79)&lt;=Capacity!$M$16,'Capacity calculation (hide)'!BH190,"")</f>
        <v/>
      </c>
      <c r="H196" s="215" t="str">
        <f>IF(ROW(A79)&lt;=Capacity!$M$16,Capacity!T95,"")</f>
        <v/>
      </c>
      <c r="I196" s="217" t="str">
        <f>IF(ROW(A79)&lt;=Capacity!$M$16,'Capacity calculation (hide)'!DL189,"")</f>
        <v/>
      </c>
      <c r="J196" s="218" t="str">
        <f t="shared" si="3"/>
        <v/>
      </c>
    </row>
    <row r="197" spans="2:10" hidden="1" x14ac:dyDescent="0.2">
      <c r="B197" s="218" t="str">
        <f>IF(Capacity!N96=0,"",Capacity!N96)</f>
        <v/>
      </c>
      <c r="C197" s="132"/>
      <c r="D197" s="132"/>
      <c r="E197" s="132"/>
      <c r="F197" s="215" t="str">
        <f>IF(ROW(A80)&lt;=Capacity!$M$16,Capacity!Q96,"")</f>
        <v/>
      </c>
      <c r="G197" s="320" t="str">
        <f>IF(ROW(A80)&lt;=Capacity!$M$16,'Capacity calculation (hide)'!BH191,"")</f>
        <v/>
      </c>
      <c r="H197" s="215" t="str">
        <f>IF(ROW(A80)&lt;=Capacity!$M$16,Capacity!T96,"")</f>
        <v/>
      </c>
      <c r="I197" s="217" t="str">
        <f>IF(ROW(A80)&lt;=Capacity!$M$16,'Capacity calculation (hide)'!DL190,"")</f>
        <v/>
      </c>
      <c r="J197" s="218" t="str">
        <f t="shared" si="3"/>
        <v/>
      </c>
    </row>
    <row r="198" spans="2:10" hidden="1" x14ac:dyDescent="0.2">
      <c r="B198" s="218" t="str">
        <f>IF(Capacity!N97=0,"",Capacity!N97)</f>
        <v/>
      </c>
      <c r="C198" s="132"/>
      <c r="D198" s="132"/>
      <c r="E198" s="132"/>
      <c r="F198" s="215" t="str">
        <f>IF(ROW(A81)&lt;=Capacity!$M$16,Capacity!Q97,"")</f>
        <v/>
      </c>
      <c r="G198" s="320" t="str">
        <f>IF(ROW(A81)&lt;=Capacity!$M$16,'Capacity calculation (hide)'!BH192,"")</f>
        <v/>
      </c>
      <c r="H198" s="215" t="str">
        <f>IF(ROW(A81)&lt;=Capacity!$M$16,Capacity!T97,"")</f>
        <v/>
      </c>
      <c r="I198" s="217" t="str">
        <f>IF(ROW(A81)&lt;=Capacity!$M$16,'Capacity calculation (hide)'!DL191,"")</f>
        <v/>
      </c>
      <c r="J198" s="218" t="str">
        <f t="shared" si="3"/>
        <v/>
      </c>
    </row>
    <row r="199" spans="2:10" hidden="1" x14ac:dyDescent="0.2">
      <c r="B199" s="218" t="str">
        <f>IF(Capacity!N98=0,"",Capacity!N98)</f>
        <v/>
      </c>
      <c r="C199" s="132"/>
      <c r="D199" s="132"/>
      <c r="E199" s="132"/>
      <c r="F199" s="215" t="str">
        <f>IF(ROW(A82)&lt;=Capacity!$M$16,Capacity!Q98,"")</f>
        <v/>
      </c>
      <c r="G199" s="320" t="str">
        <f>IF(ROW(A82)&lt;=Capacity!$M$16,'Capacity calculation (hide)'!BH193,"")</f>
        <v/>
      </c>
      <c r="H199" s="215" t="str">
        <f>IF(ROW(A82)&lt;=Capacity!$M$16,Capacity!T98,"")</f>
        <v/>
      </c>
      <c r="I199" s="217" t="str">
        <f>IF(ROW(A82)&lt;=Capacity!$M$16,'Capacity calculation (hide)'!DL192,"")</f>
        <v/>
      </c>
      <c r="J199" s="218" t="str">
        <f t="shared" si="3"/>
        <v/>
      </c>
    </row>
    <row r="200" spans="2:10" hidden="1" x14ac:dyDescent="0.2">
      <c r="B200" s="218" t="str">
        <f>IF(Capacity!N99=0,"",Capacity!N99)</f>
        <v/>
      </c>
      <c r="C200" s="132"/>
      <c r="D200" s="132"/>
      <c r="E200" s="132"/>
      <c r="F200" s="215" t="str">
        <f>IF(ROW(A83)&lt;=Capacity!$M$16,Capacity!Q99,"")</f>
        <v/>
      </c>
      <c r="G200" s="320" t="str">
        <f>IF(ROW(A83)&lt;=Capacity!$M$16,'Capacity calculation (hide)'!BH194,"")</f>
        <v/>
      </c>
      <c r="H200" s="215" t="str">
        <f>IF(ROW(A83)&lt;=Capacity!$M$16,Capacity!T99,"")</f>
        <v/>
      </c>
      <c r="I200" s="217" t="str">
        <f>IF(ROW(A83)&lt;=Capacity!$M$16,'Capacity calculation (hide)'!DL193,"")</f>
        <v/>
      </c>
      <c r="J200" s="218" t="str">
        <f t="shared" si="3"/>
        <v/>
      </c>
    </row>
    <row r="201" spans="2:10" hidden="1" x14ac:dyDescent="0.2">
      <c r="B201" s="218" t="str">
        <f>IF(Capacity!N100=0,"",Capacity!N100)</f>
        <v/>
      </c>
      <c r="C201" s="132"/>
      <c r="D201" s="132"/>
      <c r="E201" s="132"/>
      <c r="F201" s="215" t="str">
        <f>IF(ROW(A84)&lt;=Capacity!$M$16,Capacity!Q100,"")</f>
        <v/>
      </c>
      <c r="G201" s="320" t="str">
        <f>IF(ROW(A84)&lt;=Capacity!$M$16,'Capacity calculation (hide)'!BH195,"")</f>
        <v/>
      </c>
      <c r="H201" s="215" t="str">
        <f>IF(ROW(A84)&lt;=Capacity!$M$16,Capacity!T100,"")</f>
        <v/>
      </c>
      <c r="I201" s="217" t="str">
        <f>IF(ROW(A84)&lt;=Capacity!$M$16,'Capacity calculation (hide)'!DL194,"")</f>
        <v/>
      </c>
      <c r="J201" s="218" t="str">
        <f t="shared" si="3"/>
        <v/>
      </c>
    </row>
    <row r="202" spans="2:10" hidden="1" x14ac:dyDescent="0.2">
      <c r="B202" s="218" t="str">
        <f>IF(Capacity!N101=0,"",Capacity!N101)</f>
        <v/>
      </c>
      <c r="C202" s="132"/>
      <c r="D202" s="132"/>
      <c r="E202" s="132"/>
      <c r="F202" s="215" t="str">
        <f>IF(ROW(A85)&lt;=Capacity!$M$16,Capacity!Q101,"")</f>
        <v/>
      </c>
      <c r="G202" s="320" t="str">
        <f>IF(ROW(A85)&lt;=Capacity!$M$16,'Capacity calculation (hide)'!BH196,"")</f>
        <v/>
      </c>
      <c r="H202" s="215" t="str">
        <f>IF(ROW(A85)&lt;=Capacity!$M$16,Capacity!T101,"")</f>
        <v/>
      </c>
      <c r="I202" s="217" t="str">
        <f>IF(ROW(A85)&lt;=Capacity!$M$16,'Capacity calculation (hide)'!DL195,"")</f>
        <v/>
      </c>
      <c r="J202" s="218" t="str">
        <f t="shared" si="3"/>
        <v/>
      </c>
    </row>
    <row r="203" spans="2:10" hidden="1" x14ac:dyDescent="0.2">
      <c r="B203" s="218" t="str">
        <f>IF(Capacity!N102=0,"",Capacity!N102)</f>
        <v/>
      </c>
      <c r="C203" s="132"/>
      <c r="D203" s="132"/>
      <c r="E203" s="132"/>
      <c r="F203" s="215" t="str">
        <f>IF(ROW(A86)&lt;=Capacity!$M$16,Capacity!Q102,"")</f>
        <v/>
      </c>
      <c r="G203" s="320" t="str">
        <f>IF(ROW(A86)&lt;=Capacity!$M$16,'Capacity calculation (hide)'!BH197,"")</f>
        <v/>
      </c>
      <c r="H203" s="215" t="str">
        <f>IF(ROW(A86)&lt;=Capacity!$M$16,Capacity!T102,"")</f>
        <v/>
      </c>
      <c r="I203" s="217" t="str">
        <f>IF(ROW(A86)&lt;=Capacity!$M$16,'Capacity calculation (hide)'!DL196,"")</f>
        <v/>
      </c>
      <c r="J203" s="218" t="str">
        <f t="shared" si="3"/>
        <v/>
      </c>
    </row>
    <row r="204" spans="2:10" hidden="1" x14ac:dyDescent="0.2">
      <c r="B204" s="218" t="str">
        <f>IF(Capacity!N103=0,"",Capacity!N103)</f>
        <v/>
      </c>
      <c r="C204" s="132"/>
      <c r="D204" s="132"/>
      <c r="E204" s="132"/>
      <c r="F204" s="215" t="str">
        <f>IF(ROW(A87)&lt;=Capacity!$M$16,Capacity!Q103,"")</f>
        <v/>
      </c>
      <c r="G204" s="320" t="str">
        <f>IF(ROW(A87)&lt;=Capacity!$M$16,'Capacity calculation (hide)'!BH198,"")</f>
        <v/>
      </c>
      <c r="H204" s="215" t="str">
        <f>IF(ROW(A87)&lt;=Capacity!$M$16,Capacity!T103,"")</f>
        <v/>
      </c>
      <c r="I204" s="217" t="str">
        <f>IF(ROW(A87)&lt;=Capacity!$M$16,'Capacity calculation (hide)'!DL197,"")</f>
        <v/>
      </c>
      <c r="J204" s="218" t="str">
        <f t="shared" si="3"/>
        <v/>
      </c>
    </row>
    <row r="205" spans="2:10" hidden="1" x14ac:dyDescent="0.2">
      <c r="B205" s="218" t="str">
        <f>IF(Capacity!N104=0,"",Capacity!N104)</f>
        <v/>
      </c>
      <c r="C205" s="132"/>
      <c r="D205" s="132"/>
      <c r="E205" s="132"/>
      <c r="F205" s="215" t="str">
        <f>IF(ROW(A88)&lt;=Capacity!$M$16,Capacity!Q104,"")</f>
        <v/>
      </c>
      <c r="G205" s="320" t="str">
        <f>IF(ROW(A88)&lt;=Capacity!$M$16,'Capacity calculation (hide)'!BH199,"")</f>
        <v/>
      </c>
      <c r="H205" s="215" t="str">
        <f>IF(ROW(A88)&lt;=Capacity!$M$16,Capacity!T104,"")</f>
        <v/>
      </c>
      <c r="I205" s="217" t="str">
        <f>IF(ROW(A88)&lt;=Capacity!$M$16,'Capacity calculation (hide)'!DL198,"")</f>
        <v/>
      </c>
      <c r="J205" s="218" t="str">
        <f t="shared" si="3"/>
        <v/>
      </c>
    </row>
    <row r="206" spans="2:10" hidden="1" x14ac:dyDescent="0.2">
      <c r="B206" s="218" t="str">
        <f>IF(Capacity!N105=0,"",Capacity!N105)</f>
        <v/>
      </c>
      <c r="C206" s="132"/>
      <c r="D206" s="132"/>
      <c r="E206" s="132"/>
      <c r="F206" s="215" t="str">
        <f>IF(ROW(A89)&lt;=Capacity!$M$16,Capacity!Q105,"")</f>
        <v/>
      </c>
      <c r="G206" s="320" t="str">
        <f>IF(ROW(A89)&lt;=Capacity!$M$16,'Capacity calculation (hide)'!BH200,"")</f>
        <v/>
      </c>
      <c r="H206" s="215" t="str">
        <f>IF(ROW(A89)&lt;=Capacity!$M$16,Capacity!T105,"")</f>
        <v/>
      </c>
      <c r="I206" s="217" t="str">
        <f>IF(ROW(A89)&lt;=Capacity!$M$16,'Capacity calculation (hide)'!DL199,"")</f>
        <v/>
      </c>
      <c r="J206" s="218" t="str">
        <f t="shared" si="3"/>
        <v/>
      </c>
    </row>
    <row r="207" spans="2:10" hidden="1" x14ac:dyDescent="0.2">
      <c r="B207" s="218" t="str">
        <f>IF(Capacity!N106=0,"",Capacity!N106)</f>
        <v/>
      </c>
      <c r="C207" s="132"/>
      <c r="D207" s="132"/>
      <c r="E207" s="132"/>
      <c r="F207" s="215" t="str">
        <f>IF(ROW(A90)&lt;=Capacity!$M$16,Capacity!Q106,"")</f>
        <v/>
      </c>
      <c r="G207" s="320" t="str">
        <f>IF(ROW(A90)&lt;=Capacity!$M$16,'Capacity calculation (hide)'!BH201,"")</f>
        <v/>
      </c>
      <c r="H207" s="215" t="str">
        <f>IF(ROW(A90)&lt;=Capacity!$M$16,Capacity!T106,"")</f>
        <v/>
      </c>
      <c r="I207" s="217" t="str">
        <f>IF(ROW(A90)&lt;=Capacity!$M$16,'Capacity calculation (hide)'!DL200,"")</f>
        <v/>
      </c>
      <c r="J207" s="218" t="str">
        <f t="shared" si="3"/>
        <v/>
      </c>
    </row>
    <row r="208" spans="2:10" hidden="1" x14ac:dyDescent="0.2">
      <c r="B208" s="218" t="str">
        <f>IF(Capacity!N107=0,"",Capacity!N107)</f>
        <v/>
      </c>
      <c r="C208" s="132"/>
      <c r="D208" s="132"/>
      <c r="E208" s="132"/>
      <c r="F208" s="215" t="str">
        <f>IF(ROW(A91)&lt;=Capacity!$M$16,Capacity!Q107,"")</f>
        <v/>
      </c>
      <c r="G208" s="320" t="str">
        <f>IF(ROW(A91)&lt;=Capacity!$M$16,'Capacity calculation (hide)'!BH202,"")</f>
        <v/>
      </c>
      <c r="H208" s="215" t="str">
        <f>IF(ROW(A91)&lt;=Capacity!$M$16,Capacity!T107,"")</f>
        <v/>
      </c>
      <c r="I208" s="217" t="str">
        <f>IF(ROW(A91)&lt;=Capacity!$M$16,'Capacity calculation (hide)'!DL201,"")</f>
        <v/>
      </c>
      <c r="J208" s="218" t="str">
        <f t="shared" si="3"/>
        <v/>
      </c>
    </row>
    <row r="209" spans="2:10" hidden="1" x14ac:dyDescent="0.2">
      <c r="B209" s="218" t="str">
        <f>IF(Capacity!N108=0,"",Capacity!N108)</f>
        <v/>
      </c>
      <c r="C209" s="132"/>
      <c r="D209" s="132"/>
      <c r="E209" s="132"/>
      <c r="F209" s="215" t="str">
        <f>IF(ROW(A92)&lt;=Capacity!$M$16,Capacity!Q108,"")</f>
        <v/>
      </c>
      <c r="G209" s="320" t="str">
        <f>IF(ROW(A92)&lt;=Capacity!$M$16,'Capacity calculation (hide)'!BH203,"")</f>
        <v/>
      </c>
      <c r="H209" s="215" t="str">
        <f>IF(ROW(A92)&lt;=Capacity!$M$16,Capacity!T108,"")</f>
        <v/>
      </c>
      <c r="I209" s="217" t="str">
        <f>IF(ROW(A92)&lt;=Capacity!$M$16,'Capacity calculation (hide)'!DL202,"")</f>
        <v/>
      </c>
      <c r="J209" s="218" t="str">
        <f t="shared" si="3"/>
        <v/>
      </c>
    </row>
    <row r="210" spans="2:10" hidden="1" x14ac:dyDescent="0.2">
      <c r="B210" s="218" t="str">
        <f>IF(Capacity!N109=0,"",Capacity!N109)</f>
        <v/>
      </c>
      <c r="C210" s="132"/>
      <c r="D210" s="132"/>
      <c r="E210" s="132"/>
      <c r="F210" s="215" t="str">
        <f>IF(ROW(A93)&lt;=Capacity!$M$16,Capacity!Q109,"")</f>
        <v/>
      </c>
      <c r="G210" s="320" t="str">
        <f>IF(ROW(A93)&lt;=Capacity!$M$16,'Capacity calculation (hide)'!BH204,"")</f>
        <v/>
      </c>
      <c r="H210" s="215" t="str">
        <f>IF(ROW(A93)&lt;=Capacity!$M$16,Capacity!T109,"")</f>
        <v/>
      </c>
      <c r="I210" s="217" t="str">
        <f>IF(ROW(A93)&lt;=Capacity!$M$16,'Capacity calculation (hide)'!DL203,"")</f>
        <v/>
      </c>
      <c r="J210" s="218" t="str">
        <f t="shared" si="3"/>
        <v/>
      </c>
    </row>
    <row r="211" spans="2:10" hidden="1" x14ac:dyDescent="0.2">
      <c r="B211" s="218" t="str">
        <f>IF(Capacity!N110=0,"",Capacity!N110)</f>
        <v/>
      </c>
      <c r="C211" s="132"/>
      <c r="D211" s="132"/>
      <c r="E211" s="132"/>
      <c r="F211" s="215" t="str">
        <f>IF(ROW(A94)&lt;=Capacity!$M$16,Capacity!Q110,"")</f>
        <v/>
      </c>
      <c r="G211" s="320" t="str">
        <f>IF(ROW(A94)&lt;=Capacity!$M$16,'Capacity calculation (hide)'!BH205,"")</f>
        <v/>
      </c>
      <c r="H211" s="215" t="str">
        <f>IF(ROW(A94)&lt;=Capacity!$M$16,Capacity!T110,"")</f>
        <v/>
      </c>
      <c r="I211" s="217" t="str">
        <f>IF(ROW(A94)&lt;=Capacity!$M$16,'Capacity calculation (hide)'!DL204,"")</f>
        <v/>
      </c>
      <c r="J211" s="218" t="str">
        <f t="shared" si="3"/>
        <v/>
      </c>
    </row>
    <row r="212" spans="2:10" hidden="1" x14ac:dyDescent="0.2">
      <c r="B212" s="218" t="str">
        <f>IF(Capacity!N111=0,"",Capacity!N111)</f>
        <v/>
      </c>
      <c r="C212" s="132"/>
      <c r="D212" s="132"/>
      <c r="E212" s="132"/>
      <c r="F212" s="215" t="str">
        <f>IF(ROW(A95)&lt;=Capacity!$M$16,Capacity!Q111,"")</f>
        <v/>
      </c>
      <c r="G212" s="320" t="str">
        <f>IF(ROW(A95)&lt;=Capacity!$M$16,'Capacity calculation (hide)'!BH206,"")</f>
        <v/>
      </c>
      <c r="H212" s="215" t="str">
        <f>IF(ROW(A95)&lt;=Capacity!$M$16,Capacity!T111,"")</f>
        <v/>
      </c>
      <c r="I212" s="217" t="str">
        <f>IF(ROW(A95)&lt;=Capacity!$M$16,'Capacity calculation (hide)'!DL205,"")</f>
        <v/>
      </c>
      <c r="J212" s="218" t="str">
        <f t="shared" si="3"/>
        <v/>
      </c>
    </row>
    <row r="213" spans="2:10" hidden="1" x14ac:dyDescent="0.2">
      <c r="B213" s="218" t="str">
        <f>IF(Capacity!N112=0,"",Capacity!N112)</f>
        <v/>
      </c>
      <c r="C213" s="132"/>
      <c r="D213" s="132"/>
      <c r="E213" s="132"/>
      <c r="F213" s="215" t="str">
        <f>IF(ROW(A96)&lt;=Capacity!$M$16,Capacity!Q112,"")</f>
        <v/>
      </c>
      <c r="G213" s="320" t="str">
        <f>IF(ROW(A96)&lt;=Capacity!$M$16,'Capacity calculation (hide)'!BH207,"")</f>
        <v/>
      </c>
      <c r="H213" s="215" t="str">
        <f>IF(ROW(A96)&lt;=Capacity!$M$16,Capacity!T112,"")</f>
        <v/>
      </c>
      <c r="I213" s="217" t="str">
        <f>IF(ROW(A96)&lt;=Capacity!$M$16,'Capacity calculation (hide)'!DL206,"")</f>
        <v/>
      </c>
      <c r="J213" s="218" t="str">
        <f t="shared" si="3"/>
        <v/>
      </c>
    </row>
    <row r="214" spans="2:10" hidden="1" x14ac:dyDescent="0.2">
      <c r="B214" s="218" t="str">
        <f>IF(Capacity!N113=0,"",Capacity!N113)</f>
        <v/>
      </c>
      <c r="C214" s="132"/>
      <c r="D214" s="132"/>
      <c r="E214" s="132"/>
      <c r="F214" s="215" t="str">
        <f>IF(ROW(A97)&lt;=Capacity!$M$16,Capacity!Q113,"")</f>
        <v/>
      </c>
      <c r="G214" s="320" t="str">
        <f>IF(ROW(A97)&lt;=Capacity!$M$16,'Capacity calculation (hide)'!BH208,"")</f>
        <v/>
      </c>
      <c r="H214" s="215" t="str">
        <f>IF(ROW(A97)&lt;=Capacity!$M$16,Capacity!T113,"")</f>
        <v/>
      </c>
      <c r="I214" s="217" t="str">
        <f>IF(ROW(A97)&lt;=Capacity!$M$16,'Capacity calculation (hide)'!DL207,"")</f>
        <v/>
      </c>
      <c r="J214" s="218" t="str">
        <f t="shared" si="3"/>
        <v/>
      </c>
    </row>
    <row r="215" spans="2:10" hidden="1" x14ac:dyDescent="0.2">
      <c r="B215" s="218" t="str">
        <f>IF(Capacity!N114=0,"",Capacity!N114)</f>
        <v/>
      </c>
      <c r="C215" s="132"/>
      <c r="D215" s="132"/>
      <c r="E215" s="132"/>
      <c r="F215" s="215" t="str">
        <f>IF(ROW(A98)&lt;=Capacity!$M$16,Capacity!Q114,"")</f>
        <v/>
      </c>
      <c r="G215" s="320" t="str">
        <f>IF(ROW(A98)&lt;=Capacity!$M$16,'Capacity calculation (hide)'!BH209,"")</f>
        <v/>
      </c>
      <c r="H215" s="215" t="str">
        <f>IF(ROW(A98)&lt;=Capacity!$M$16,Capacity!T114,"")</f>
        <v/>
      </c>
      <c r="I215" s="217" t="str">
        <f>IF(ROW(A98)&lt;=Capacity!$M$16,'Capacity calculation (hide)'!DL208,"")</f>
        <v/>
      </c>
      <c r="J215" s="218" t="str">
        <f t="shared" si="3"/>
        <v/>
      </c>
    </row>
    <row r="216" spans="2:10" hidden="1" x14ac:dyDescent="0.2">
      <c r="B216" s="218" t="str">
        <f>IF(Capacity!N115=0,"",Capacity!N115)</f>
        <v/>
      </c>
      <c r="C216" s="132"/>
      <c r="D216" s="132"/>
      <c r="E216" s="132"/>
      <c r="F216" s="215" t="str">
        <f>IF(ROW(A99)&lt;=Capacity!$M$16,Capacity!Q115,"")</f>
        <v/>
      </c>
      <c r="G216" s="320" t="str">
        <f>IF(ROW(A99)&lt;=Capacity!$M$16,'Capacity calculation (hide)'!BH210,"")</f>
        <v/>
      </c>
      <c r="H216" s="215" t="str">
        <f>IF(ROW(A99)&lt;=Capacity!$M$16,Capacity!T115,"")</f>
        <v/>
      </c>
      <c r="I216" s="217" t="str">
        <f>IF(ROW(A99)&lt;=Capacity!$M$16,'Capacity calculation (hide)'!DL209,"")</f>
        <v/>
      </c>
      <c r="J216" s="218" t="str">
        <f t="shared" si="3"/>
        <v/>
      </c>
    </row>
    <row r="217" spans="2:10" hidden="1" x14ac:dyDescent="0.2">
      <c r="B217" s="218" t="str">
        <f>IF(Capacity!N116=0,"",Capacity!N116)</f>
        <v/>
      </c>
      <c r="C217" s="132"/>
      <c r="D217" s="132"/>
      <c r="E217" s="132"/>
      <c r="F217" s="215" t="str">
        <f>IF(ROW(A100)&lt;=Capacity!$M$16,Capacity!Q116,"")</f>
        <v/>
      </c>
      <c r="G217" s="320" t="str">
        <f>IF(ROW(A100)&lt;=Capacity!$M$16,'Capacity calculation (hide)'!BH211,"")</f>
        <v/>
      </c>
      <c r="H217" s="215" t="str">
        <f>IF(ROW(A100)&lt;=Capacity!$M$16,Capacity!T116,"")</f>
        <v/>
      </c>
      <c r="I217" s="217" t="str">
        <f>IF(ROW(A100)&lt;=Capacity!$M$16,'Capacity calculation (hide)'!DL210,"")</f>
        <v/>
      </c>
      <c r="J217" s="218" t="str">
        <f t="shared" si="3"/>
        <v/>
      </c>
    </row>
  </sheetData>
  <dataConsolidate/>
  <mergeCells count="1">
    <mergeCell ref="B1:D1"/>
  </mergeCells>
  <conditionalFormatting sqref="B12:J111">
    <cfRule type="expression" dxfId="32" priority="4">
      <formula>IF($B12="",FALSE,TRUE)</formula>
    </cfRule>
  </conditionalFormatting>
  <conditionalFormatting sqref="B12:B111 F12:I111">
    <cfRule type="expression" dxfId="31" priority="3">
      <formula>IF($B12="",FALSE, TRUE)</formula>
    </cfRule>
  </conditionalFormatting>
  <conditionalFormatting sqref="B118:J217">
    <cfRule type="expression" dxfId="30" priority="2">
      <formula>IF($B118="",FALSE,TRUE)</formula>
    </cfRule>
  </conditionalFormatting>
  <conditionalFormatting sqref="B118:B217 F118:I217">
    <cfRule type="expression" dxfId="29"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showRowColHeaders="0" zoomScaleNormal="100" workbookViewId="0">
      <selection activeCell="I124" sqref="I124"/>
    </sheetView>
  </sheetViews>
  <sheetFormatPr defaultColWidth="9" defaultRowHeight="14.25" x14ac:dyDescent="0.2"/>
  <cols>
    <col min="1" max="1" width="0.25" style="67" customWidth="1"/>
    <col min="2" max="2" width="19.625" style="67" customWidth="1"/>
    <col min="3" max="6" width="9.125" style="67" customWidth="1"/>
    <col min="7" max="7" width="6.125" style="67" customWidth="1"/>
    <col min="8" max="9" width="2.125" style="67" customWidth="1"/>
    <col min="10" max="10" width="2.25" style="67" customWidth="1"/>
    <col min="11" max="12" width="2.125" style="67" customWidth="1"/>
    <col min="13" max="13" width="2.5" style="67" customWidth="1"/>
    <col min="14" max="16" width="2.125" style="67" customWidth="1"/>
    <col min="17" max="17" width="2.25" style="67" customWidth="1"/>
    <col min="18" max="19" width="2.125" style="67" customWidth="1"/>
    <col min="20" max="20" width="2.25" style="67" customWidth="1"/>
    <col min="21" max="21" width="2.125" style="67" customWidth="1"/>
    <col min="22" max="22" width="2.25" style="67" customWidth="1"/>
    <col min="23" max="25" width="2.125" style="67" customWidth="1"/>
    <col min="26" max="27" width="2.25" style="67" customWidth="1"/>
    <col min="28" max="28" width="2.125" style="67" customWidth="1"/>
    <col min="29" max="29" width="2.25" style="67" customWidth="1"/>
    <col min="30" max="30" width="2.125" style="67" customWidth="1"/>
    <col min="31" max="32" width="2.25" style="67" customWidth="1"/>
    <col min="33" max="33" width="2.125" style="67" customWidth="1"/>
    <col min="34" max="34" width="2.25" style="67" customWidth="1"/>
    <col min="35" max="36" width="2.125" style="67" customWidth="1"/>
    <col min="37" max="37" width="2.5" style="67" customWidth="1"/>
    <col min="38" max="40" width="2.125" style="67" customWidth="1"/>
    <col min="41" max="41" width="2.25" style="67" customWidth="1"/>
    <col min="42" max="44" width="2.125" style="67" customWidth="1"/>
    <col min="45" max="46" width="2.25" style="67" customWidth="1"/>
    <col min="47" max="48" width="2.125" style="67" customWidth="1"/>
    <col min="49" max="49" width="2.25" style="67" customWidth="1"/>
    <col min="50" max="50" width="2.125" style="67" customWidth="1"/>
    <col min="51" max="51" width="2.25" style="67" customWidth="1"/>
    <col min="52" max="52" width="2.125" style="67" customWidth="1"/>
    <col min="53" max="53" width="2.5" style="67" customWidth="1"/>
    <col min="54" max="57" width="2.125" style="67" customWidth="1"/>
    <col min="58" max="58" width="2.25" style="67" customWidth="1"/>
    <col min="59" max="59" width="2.125" style="67" customWidth="1"/>
    <col min="60" max="60" width="2.75" style="67" customWidth="1"/>
    <col min="61" max="61" width="6.5" style="67" bestFit="1" customWidth="1"/>
    <col min="62" max="66" width="9" style="67" customWidth="1"/>
    <col min="67" max="16384" width="9" style="67"/>
  </cols>
  <sheetData>
    <row r="2" spans="2:64" ht="15" x14ac:dyDescent="0.25">
      <c r="B2" s="2" t="s">
        <v>477</v>
      </c>
    </row>
    <row r="3" spans="2:64" x14ac:dyDescent="0.2">
      <c r="C3" s="45" t="s">
        <v>480</v>
      </c>
      <c r="D3" s="45" t="s">
        <v>481</v>
      </c>
    </row>
    <row r="4" spans="2:64" ht="28.5" x14ac:dyDescent="0.2">
      <c r="B4" s="80" t="str">
        <f>"Total Capacity 
("&amp;$C$16&amp;" per year):"</f>
        <v>Total Capacity 
(Patients per year):</v>
      </c>
      <c r="C4" s="221">
        <f>'Capacity calculation (hide)'!DL4</f>
        <v>0</v>
      </c>
      <c r="D4" s="221">
        <f>'Capacity calculation (hide)'!DL111</f>
        <v>0</v>
      </c>
      <c r="E4" s="135"/>
      <c r="F4" s="135"/>
    </row>
    <row r="5" spans="2:64" x14ac:dyDescent="0.2">
      <c r="H5" s="79"/>
      <c r="I5" s="79"/>
      <c r="J5" s="79"/>
      <c r="K5" s="79"/>
      <c r="L5" s="79"/>
      <c r="M5" s="79"/>
      <c r="N5" s="79"/>
      <c r="O5" s="79"/>
      <c r="P5" s="79"/>
      <c r="Q5" s="79"/>
      <c r="R5" s="79"/>
      <c r="S5" s="79"/>
      <c r="T5" s="79"/>
      <c r="U5" s="79"/>
      <c r="V5" s="79"/>
      <c r="W5" s="79"/>
      <c r="X5" s="79"/>
      <c r="Y5" s="79"/>
    </row>
    <row r="6" spans="2:64" ht="14.25" customHeight="1" x14ac:dyDescent="0.2">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
      <c r="B10" s="133" t="s">
        <v>471</v>
      </c>
      <c r="C10" s="407" t="s">
        <v>57</v>
      </c>
      <c r="D10" s="408"/>
      <c r="E10" s="409"/>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
      <c r="B11" s="134" t="s">
        <v>472</v>
      </c>
      <c r="C11" s="407" t="s">
        <v>57</v>
      </c>
      <c r="D11" s="408"/>
      <c r="E11" s="409"/>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ht="15" x14ac:dyDescent="0.25">
      <c r="C13" s="304" t="s">
        <v>481</v>
      </c>
      <c r="D13" s="304"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
      <c r="B14" s="81" t="s">
        <v>1157</v>
      </c>
      <c r="C14" s="153" t="s">
        <v>22</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
      <c r="B18" s="335"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
      <c r="B19" s="336"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ht="15" x14ac:dyDescent="0.25">
      <c r="B20" s="314"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 customHeight="1" x14ac:dyDescent="0.2">
      <c r="B21" s="426" t="s">
        <v>1273</v>
      </c>
      <c r="C21" s="429" t="s">
        <v>486</v>
      </c>
      <c r="D21" s="430"/>
      <c r="E21" s="433" t="s">
        <v>483</v>
      </c>
      <c r="F21" s="434"/>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
      <c r="B22" s="427"/>
      <c r="C22" s="431"/>
      <c r="D22" s="432"/>
      <c r="E22" s="435"/>
      <c r="F22" s="436"/>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8.5" x14ac:dyDescent="0.2">
      <c r="B23" s="428"/>
      <c r="C23" s="303" t="s">
        <v>484</v>
      </c>
      <c r="D23" s="143" t="s">
        <v>485</v>
      </c>
      <c r="E23" s="143" t="s">
        <v>484</v>
      </c>
      <c r="F23" s="282" t="s">
        <v>485</v>
      </c>
      <c r="H23" s="341"/>
      <c r="I23" s="341"/>
      <c r="J23" s="341"/>
      <c r="K23" s="341"/>
      <c r="L23" s="341"/>
      <c r="M23" s="341"/>
      <c r="N23" s="341"/>
      <c r="O23" s="341"/>
      <c r="P23" s="341"/>
      <c r="Q23" s="341"/>
      <c r="R23" s="341"/>
      <c r="S23" s="341"/>
      <c r="T23" s="341"/>
      <c r="U23" s="341"/>
      <c r="V23" s="341"/>
      <c r="W23" s="341"/>
      <c r="X23" s="341"/>
      <c r="Y23" s="341"/>
      <c r="Z23" s="341"/>
      <c r="AA23" s="341"/>
      <c r="AB23" s="341"/>
      <c r="AC23" s="341"/>
      <c r="AD23" s="341"/>
      <c r="AE23" s="341"/>
      <c r="AF23" s="341"/>
      <c r="AG23" s="341"/>
      <c r="AH23" s="341"/>
      <c r="AI23" s="341"/>
      <c r="AJ23" s="341"/>
      <c r="AK23" s="341"/>
      <c r="AL23" s="341"/>
      <c r="AM23" s="341"/>
      <c r="AN23" s="341"/>
      <c r="AO23" s="341"/>
      <c r="AP23" s="341"/>
      <c r="AQ23" s="341"/>
      <c r="AR23" s="341"/>
      <c r="AS23" s="341"/>
      <c r="AT23" s="341"/>
      <c r="AU23" s="341"/>
      <c r="AV23" s="341"/>
      <c r="AW23" s="341"/>
      <c r="AX23" s="341"/>
      <c r="AY23" s="341"/>
      <c r="AZ23" s="341"/>
      <c r="BA23" s="341"/>
      <c r="BB23" s="341"/>
      <c r="BC23" s="341"/>
      <c r="BD23" s="341"/>
      <c r="BE23" s="341"/>
      <c r="BF23" s="341"/>
      <c r="BG23" s="341"/>
      <c r="BH23" s="125"/>
      <c r="BI23" s="282" t="s">
        <v>1243</v>
      </c>
      <c r="BJ23" s="125"/>
      <c r="BK23" s="125"/>
      <c r="BL23" s="125"/>
    </row>
    <row r="24" spans="2:64" hidden="1" x14ac:dyDescent="0.2">
      <c r="B24" s="219" t="str">
        <f>IF(Capacity!N17="","",Capacity!N17)</f>
        <v/>
      </c>
      <c r="C24" s="220" t="str">
        <f>IF(B24="","",Capacity!Q17)</f>
        <v/>
      </c>
      <c r="D24" s="309" t="str">
        <f>IF(B24="","",Capacity!R17)</f>
        <v/>
      </c>
      <c r="E24" s="220" t="str">
        <f>IF(B24="","",IF(COUNTBLANK(H24:BG24)=52,SUM('Capacity calculation (hide)'!H112:BG112),52-COUNTBLANK(H24:BG24)))</f>
        <v/>
      </c>
      <c r="F24" s="310" t="str">
        <f>'Capacity calculation (hide)'!BI112</f>
        <v/>
      </c>
      <c r="H24" s="364"/>
      <c r="I24" s="364"/>
      <c r="J24" s="364"/>
      <c r="K24" s="364"/>
      <c r="L24" s="364"/>
      <c r="M24" s="364"/>
      <c r="N24" s="364"/>
      <c r="O24" s="364"/>
      <c r="P24" s="364"/>
      <c r="Q24" s="364"/>
      <c r="R24" s="364"/>
      <c r="S24" s="364"/>
      <c r="T24" s="364"/>
      <c r="U24" s="364"/>
      <c r="V24" s="364"/>
      <c r="W24" s="364"/>
      <c r="X24" s="364"/>
      <c r="Y24" s="364"/>
      <c r="Z24" s="364"/>
      <c r="AA24" s="364"/>
      <c r="AB24" s="364"/>
      <c r="AC24" s="364"/>
      <c r="AD24" s="364"/>
      <c r="AE24" s="364"/>
      <c r="AF24" s="364"/>
      <c r="AG24" s="364"/>
      <c r="AH24" s="364"/>
      <c r="AI24" s="364"/>
      <c r="AJ24" s="364"/>
      <c r="AK24" s="364"/>
      <c r="AL24" s="364"/>
      <c r="AM24" s="364"/>
      <c r="AN24" s="364"/>
      <c r="AO24" s="364"/>
      <c r="AP24" s="364"/>
      <c r="AQ24" s="364"/>
      <c r="AR24" s="364"/>
      <c r="AS24" s="364"/>
      <c r="AT24" s="364"/>
      <c r="AU24" s="364"/>
      <c r="AV24" s="364"/>
      <c r="AW24" s="364"/>
      <c r="AX24" s="364"/>
      <c r="AY24" s="364"/>
      <c r="AZ24" s="364"/>
      <c r="BA24" s="364"/>
      <c r="BB24" s="364"/>
      <c r="BC24" s="364"/>
      <c r="BD24" s="364"/>
      <c r="BE24" s="364"/>
      <c r="BF24" s="364"/>
      <c r="BG24" s="364" t="s">
        <v>1238</v>
      </c>
      <c r="BH24" s="66"/>
      <c r="BI24" s="342" t="s">
        <v>1238</v>
      </c>
      <c r="BJ24" s="66"/>
      <c r="BK24" s="66"/>
      <c r="BL24" s="66"/>
    </row>
    <row r="25" spans="2:64" hidden="1" x14ac:dyDescent="0.2">
      <c r="B25" s="219" t="str">
        <f>IF(Capacity!N18="","",Capacity!N18)</f>
        <v/>
      </c>
      <c r="C25" s="220" t="str">
        <f>IF(B25="","",Capacity!Q18)</f>
        <v/>
      </c>
      <c r="D25" s="309" t="str">
        <f>IF(B25="","",Capacity!R18)</f>
        <v/>
      </c>
      <c r="E25" s="220" t="str">
        <f>IF(B25="","",IF(COUNTBLANK(H25:BG25)=52,SUM('Capacity calculation (hide)'!H113:BG113),52-COUNTBLANK(H25:BG25)))</f>
        <v/>
      </c>
      <c r="F25" s="310" t="str">
        <f>'Capacity calculation (hide)'!BI113</f>
        <v/>
      </c>
      <c r="H25" s="365"/>
      <c r="I25" s="364"/>
      <c r="J25" s="364"/>
      <c r="K25" s="364"/>
      <c r="L25" s="364"/>
      <c r="M25" s="364"/>
      <c r="N25" s="364"/>
      <c r="O25" s="364"/>
      <c r="P25" s="364"/>
      <c r="Q25" s="364"/>
      <c r="R25" s="364"/>
      <c r="S25" s="364"/>
      <c r="T25" s="364"/>
      <c r="U25" s="364"/>
      <c r="V25" s="364"/>
      <c r="W25" s="364"/>
      <c r="X25" s="364"/>
      <c r="Y25" s="364"/>
      <c r="Z25" s="364"/>
      <c r="AA25" s="364"/>
      <c r="AB25" s="364"/>
      <c r="AC25" s="364"/>
      <c r="AD25" s="364"/>
      <c r="AE25" s="364"/>
      <c r="AF25" s="364"/>
      <c r="AG25" s="364"/>
      <c r="AH25" s="364"/>
      <c r="AI25" s="364"/>
      <c r="AJ25" s="364"/>
      <c r="AK25" s="364"/>
      <c r="AL25" s="364"/>
      <c r="AM25" s="364"/>
      <c r="AN25" s="364"/>
      <c r="AO25" s="364"/>
      <c r="AP25" s="364"/>
      <c r="AQ25" s="364"/>
      <c r="AR25" s="364"/>
      <c r="AS25" s="364"/>
      <c r="AT25" s="364"/>
      <c r="AU25" s="364"/>
      <c r="AV25" s="364"/>
      <c r="AW25" s="364"/>
      <c r="AX25" s="364"/>
      <c r="AY25" s="364"/>
      <c r="AZ25" s="364"/>
      <c r="BA25" s="364"/>
      <c r="BB25" s="364"/>
      <c r="BC25" s="364"/>
      <c r="BD25" s="364"/>
      <c r="BE25" s="364"/>
      <c r="BF25" s="364"/>
      <c r="BG25" s="366"/>
      <c r="BH25" s="66"/>
      <c r="BI25" s="342" t="s">
        <v>1238</v>
      </c>
    </row>
    <row r="26" spans="2:64" hidden="1" x14ac:dyDescent="0.2">
      <c r="B26" s="219" t="str">
        <f>IF(Capacity!N19="","",Capacity!N19)</f>
        <v/>
      </c>
      <c r="C26" s="220" t="str">
        <f>IF(B26="","",Capacity!Q19)</f>
        <v/>
      </c>
      <c r="D26" s="309" t="str">
        <f>IF(B26="","",Capacity!R19)</f>
        <v/>
      </c>
      <c r="E26" s="220" t="str">
        <f>IF(B26="","",IF(COUNTBLANK(H26:BG26)=52,SUM('Capacity calculation (hide)'!H114:BG114),52-COUNTBLANK(H26:BG26)))</f>
        <v/>
      </c>
      <c r="F26" s="310" t="str">
        <f>'Capacity calculation (hide)'!BI114</f>
        <v/>
      </c>
      <c r="H26" s="364"/>
      <c r="I26" s="364"/>
      <c r="J26" s="364"/>
      <c r="K26" s="364"/>
      <c r="L26" s="364"/>
      <c r="M26" s="364"/>
      <c r="N26" s="364"/>
      <c r="O26" s="364"/>
      <c r="P26" s="364"/>
      <c r="Q26" s="364"/>
      <c r="R26" s="364"/>
      <c r="S26" s="364"/>
      <c r="T26" s="364"/>
      <c r="U26" s="364"/>
      <c r="V26" s="364"/>
      <c r="W26" s="364"/>
      <c r="X26" s="364"/>
      <c r="Y26" s="364"/>
      <c r="Z26" s="364"/>
      <c r="AA26" s="364"/>
      <c r="AB26" s="364"/>
      <c r="AC26" s="364"/>
      <c r="AD26" s="364"/>
      <c r="AE26" s="364"/>
      <c r="AF26" s="364"/>
      <c r="AG26" s="364"/>
      <c r="AH26" s="364"/>
      <c r="AI26" s="364"/>
      <c r="AJ26" s="364"/>
      <c r="AK26" s="364"/>
      <c r="AL26" s="364"/>
      <c r="AM26" s="364"/>
      <c r="AN26" s="364"/>
      <c r="AO26" s="364"/>
      <c r="AP26" s="364"/>
      <c r="AQ26" s="364"/>
      <c r="AR26" s="364"/>
      <c r="AS26" s="364"/>
      <c r="AT26" s="364"/>
      <c r="AU26" s="364"/>
      <c r="AV26" s="364"/>
      <c r="AW26" s="364"/>
      <c r="AX26" s="364"/>
      <c r="AY26" s="364"/>
      <c r="AZ26" s="364"/>
      <c r="BA26" s="364"/>
      <c r="BB26" s="364"/>
      <c r="BC26" s="364"/>
      <c r="BD26" s="364"/>
      <c r="BE26" s="364"/>
      <c r="BF26" s="364"/>
      <c r="BG26" s="364"/>
      <c r="BH26" s="129"/>
      <c r="BI26" s="342" t="s">
        <v>1238</v>
      </c>
    </row>
    <row r="27" spans="2:64" hidden="1" x14ac:dyDescent="0.2">
      <c r="B27" s="219" t="str">
        <f>IF(Capacity!N20="","",Capacity!N20)</f>
        <v/>
      </c>
      <c r="C27" s="220" t="str">
        <f>IF(B27="","",Capacity!Q20)</f>
        <v/>
      </c>
      <c r="D27" s="309" t="str">
        <f>IF(B27="","",Capacity!R20)</f>
        <v/>
      </c>
      <c r="E27" s="220" t="str">
        <f>IF(B27="","",IF(COUNTBLANK(H27:BG27)=52,SUM('Capacity calculation (hide)'!H115:BG115),52-COUNTBLANK(H27:BG27)))</f>
        <v/>
      </c>
      <c r="F27" s="310" t="str">
        <f>'Capacity calculation (hide)'!BI115</f>
        <v/>
      </c>
      <c r="H27" s="364"/>
      <c r="I27" s="364"/>
      <c r="J27" s="364"/>
      <c r="K27" s="364"/>
      <c r="L27" s="364"/>
      <c r="M27" s="364"/>
      <c r="N27" s="364"/>
      <c r="O27" s="364"/>
      <c r="P27" s="364"/>
      <c r="Q27" s="364"/>
      <c r="R27" s="364"/>
      <c r="S27" s="364"/>
      <c r="T27" s="364"/>
      <c r="U27" s="364"/>
      <c r="V27" s="364"/>
      <c r="W27" s="364"/>
      <c r="X27" s="364"/>
      <c r="Y27" s="364"/>
      <c r="Z27" s="364"/>
      <c r="AA27" s="364"/>
      <c r="AB27" s="364"/>
      <c r="AC27" s="364"/>
      <c r="AD27" s="363"/>
      <c r="AE27" s="363"/>
      <c r="AF27" s="363"/>
      <c r="AG27" s="363"/>
      <c r="AH27" s="363"/>
      <c r="AI27" s="363"/>
      <c r="AJ27" s="363"/>
      <c r="AK27" s="363"/>
      <c r="AL27" s="363"/>
      <c r="AM27" s="363"/>
      <c r="AN27" s="363"/>
      <c r="AO27" s="363"/>
      <c r="AP27" s="363"/>
      <c r="AQ27" s="363"/>
      <c r="AR27" s="363"/>
      <c r="AS27" s="363"/>
      <c r="AT27" s="363"/>
      <c r="AU27" s="363"/>
      <c r="AV27" s="363"/>
      <c r="AW27" s="363"/>
      <c r="AX27" s="363"/>
      <c r="AY27" s="363"/>
      <c r="AZ27" s="363"/>
      <c r="BA27" s="363"/>
      <c r="BB27" s="363"/>
      <c r="BC27" s="363"/>
      <c r="BD27" s="363"/>
      <c r="BE27" s="363"/>
      <c r="BF27" s="363"/>
      <c r="BG27" s="363"/>
      <c r="BI27" s="342" t="s">
        <v>1238</v>
      </c>
    </row>
    <row r="28" spans="2:64" hidden="1" x14ac:dyDescent="0.2">
      <c r="B28" s="219" t="str">
        <f>IF(Capacity!N21="","",Capacity!N21)</f>
        <v/>
      </c>
      <c r="C28" s="220" t="str">
        <f>IF(B28="","",Capacity!Q21)</f>
        <v/>
      </c>
      <c r="D28" s="309" t="str">
        <f>IF(B28="","",Capacity!R21)</f>
        <v/>
      </c>
      <c r="E28" s="220" t="str">
        <f>IF(B28="","",IF(COUNTBLANK(H28:BG28)=52,SUM('Capacity calculation (hide)'!H116:BG116),52-COUNTBLANK(H28:BG28)))</f>
        <v/>
      </c>
      <c r="F28" s="310" t="str">
        <f>'Capacity calculation (hide)'!BI116</f>
        <v/>
      </c>
      <c r="H28" s="364"/>
      <c r="I28" s="364"/>
      <c r="J28" s="364"/>
      <c r="K28" s="364"/>
      <c r="L28" s="364"/>
      <c r="M28" s="364"/>
      <c r="N28" s="364"/>
      <c r="O28" s="364"/>
      <c r="P28" s="364"/>
      <c r="Q28" s="364"/>
      <c r="R28" s="364"/>
      <c r="S28" s="364"/>
      <c r="T28" s="364"/>
      <c r="U28" s="364"/>
      <c r="V28" s="364"/>
      <c r="W28" s="364"/>
      <c r="X28" s="364"/>
      <c r="Y28" s="364"/>
      <c r="Z28" s="364"/>
      <c r="AA28" s="364"/>
      <c r="AB28" s="364"/>
      <c r="AC28" s="364"/>
      <c r="AD28" s="363"/>
      <c r="AE28" s="363"/>
      <c r="AF28" s="363"/>
      <c r="AG28" s="363"/>
      <c r="AH28" s="363"/>
      <c r="AI28" s="363"/>
      <c r="AJ28" s="363"/>
      <c r="AK28" s="363"/>
      <c r="AL28" s="363"/>
      <c r="AM28" s="363"/>
      <c r="AN28" s="363"/>
      <c r="AO28" s="363"/>
      <c r="AP28" s="363"/>
      <c r="AQ28" s="363"/>
      <c r="AR28" s="363"/>
      <c r="AS28" s="363"/>
      <c r="AT28" s="363"/>
      <c r="AU28" s="363"/>
      <c r="AV28" s="363"/>
      <c r="AW28" s="363"/>
      <c r="AX28" s="363"/>
      <c r="AY28" s="363"/>
      <c r="AZ28" s="363"/>
      <c r="BA28" s="363"/>
      <c r="BB28" s="363"/>
      <c r="BC28" s="363"/>
      <c r="BD28" s="363"/>
      <c r="BE28" s="363"/>
      <c r="BF28" s="363"/>
      <c r="BG28" s="363"/>
      <c r="BI28" s="342" t="s">
        <v>1238</v>
      </c>
    </row>
    <row r="29" spans="2:64" hidden="1" x14ac:dyDescent="0.2">
      <c r="B29" s="219" t="str">
        <f>IF(Capacity!N22="","",Capacity!N22)</f>
        <v/>
      </c>
      <c r="C29" s="220" t="str">
        <f>IF(B29="","",Capacity!Q22)</f>
        <v/>
      </c>
      <c r="D29" s="309" t="str">
        <f>IF(B29="","",Capacity!R22)</f>
        <v/>
      </c>
      <c r="E29" s="220" t="str">
        <f>IF(B29="","",IF(COUNTBLANK(H29:BG29)=52,SUM('Capacity calculation (hide)'!H117:BG117),52-COUNTBLANK(H29:BG29)))</f>
        <v/>
      </c>
      <c r="F29" s="310" t="str">
        <f>'Capacity calculation (hide)'!BI117</f>
        <v/>
      </c>
      <c r="H29" s="364"/>
      <c r="I29" s="364"/>
      <c r="J29" s="364"/>
      <c r="K29" s="364"/>
      <c r="L29" s="364"/>
      <c r="M29" s="364"/>
      <c r="N29" s="364"/>
      <c r="O29" s="364"/>
      <c r="P29" s="364"/>
      <c r="Q29" s="364"/>
      <c r="R29" s="364"/>
      <c r="S29" s="364"/>
      <c r="T29" s="364"/>
      <c r="U29" s="364"/>
      <c r="V29" s="364"/>
      <c r="W29" s="364"/>
      <c r="X29" s="364"/>
      <c r="Y29" s="364"/>
      <c r="Z29" s="364"/>
      <c r="AA29" s="364"/>
      <c r="AB29" s="364"/>
      <c r="AC29" s="364"/>
      <c r="AD29" s="363"/>
      <c r="AE29" s="363"/>
      <c r="AF29" s="363"/>
      <c r="AG29" s="363"/>
      <c r="AH29" s="363"/>
      <c r="AI29" s="363"/>
      <c r="AJ29" s="363"/>
      <c r="AK29" s="363"/>
      <c r="AL29" s="363"/>
      <c r="AM29" s="363"/>
      <c r="AN29" s="363"/>
      <c r="AO29" s="363"/>
      <c r="AP29" s="363"/>
      <c r="AQ29" s="363"/>
      <c r="AR29" s="363"/>
      <c r="AS29" s="363"/>
      <c r="AT29" s="363"/>
      <c r="AU29" s="363"/>
      <c r="AV29" s="363"/>
      <c r="AW29" s="363"/>
      <c r="AX29" s="363"/>
      <c r="AY29" s="363"/>
      <c r="AZ29" s="363"/>
      <c r="BA29" s="363"/>
      <c r="BB29" s="363"/>
      <c r="BC29" s="363"/>
      <c r="BD29" s="363"/>
      <c r="BE29" s="363"/>
      <c r="BF29" s="363"/>
      <c r="BG29" s="363"/>
      <c r="BI29" s="342" t="s">
        <v>1238</v>
      </c>
    </row>
    <row r="30" spans="2:64" hidden="1" x14ac:dyDescent="0.2">
      <c r="B30" s="219" t="str">
        <f>IF(Capacity!N23="","",Capacity!N23)</f>
        <v/>
      </c>
      <c r="C30" s="220" t="str">
        <f>IF(B30="","",Capacity!Q23)</f>
        <v/>
      </c>
      <c r="D30" s="309" t="str">
        <f>IF(B30="","",Capacity!R23)</f>
        <v/>
      </c>
      <c r="E30" s="220" t="str">
        <f>IF(B30="","",IF(COUNTBLANK(H30:BG30)=52,SUM('Capacity calculation (hide)'!H118:BG118),52-COUNTBLANK(H30:BG30)))</f>
        <v/>
      </c>
      <c r="F30" s="310" t="str">
        <f>'Capacity calculation (hide)'!BI118</f>
        <v/>
      </c>
      <c r="H30" s="364"/>
      <c r="I30" s="364"/>
      <c r="J30" s="364"/>
      <c r="K30" s="364"/>
      <c r="L30" s="364"/>
      <c r="M30" s="364"/>
      <c r="N30" s="364"/>
      <c r="O30" s="364"/>
      <c r="P30" s="364"/>
      <c r="Q30" s="364"/>
      <c r="R30" s="364"/>
      <c r="S30" s="364"/>
      <c r="T30" s="364"/>
      <c r="U30" s="364"/>
      <c r="V30" s="364"/>
      <c r="W30" s="364"/>
      <c r="X30" s="364"/>
      <c r="Y30" s="364"/>
      <c r="Z30" s="364"/>
      <c r="AA30" s="364"/>
      <c r="AB30" s="364"/>
      <c r="AC30" s="364"/>
      <c r="AD30" s="363"/>
      <c r="AE30" s="363"/>
      <c r="AF30" s="363"/>
      <c r="AG30" s="363"/>
      <c r="AH30" s="363"/>
      <c r="AI30" s="363"/>
      <c r="AJ30" s="363"/>
      <c r="AK30" s="363"/>
      <c r="AL30" s="363"/>
      <c r="AM30" s="363"/>
      <c r="AN30" s="363"/>
      <c r="AO30" s="363"/>
      <c r="AP30" s="363"/>
      <c r="AQ30" s="363"/>
      <c r="AR30" s="363"/>
      <c r="AS30" s="363"/>
      <c r="AT30" s="363"/>
      <c r="AU30" s="363"/>
      <c r="AV30" s="363"/>
      <c r="AW30" s="363"/>
      <c r="AX30" s="363"/>
      <c r="AY30" s="363"/>
      <c r="AZ30" s="363"/>
      <c r="BA30" s="363"/>
      <c r="BB30" s="363"/>
      <c r="BC30" s="363"/>
      <c r="BD30" s="363"/>
      <c r="BE30" s="363"/>
      <c r="BF30" s="363"/>
      <c r="BG30" s="363"/>
      <c r="BI30" s="342" t="s">
        <v>1238</v>
      </c>
    </row>
    <row r="31" spans="2:64" hidden="1" x14ac:dyDescent="0.2">
      <c r="B31" s="219" t="str">
        <f>IF(Capacity!N24="","",Capacity!N24)</f>
        <v/>
      </c>
      <c r="C31" s="220" t="str">
        <f>IF(B31="","",Capacity!Q24)</f>
        <v/>
      </c>
      <c r="D31" s="309" t="str">
        <f>IF(B31="","",Capacity!R24)</f>
        <v/>
      </c>
      <c r="E31" s="220" t="str">
        <f>IF(B31="","",IF(COUNTBLANK(H31:BG31)=52,SUM('Capacity calculation (hide)'!H119:BG119),52-COUNTBLANK(H31:BG31)))</f>
        <v/>
      </c>
      <c r="F31" s="310" t="str">
        <f>'Capacity calculation (hide)'!BI119</f>
        <v/>
      </c>
      <c r="H31" s="364"/>
      <c r="I31" s="364"/>
      <c r="J31" s="364"/>
      <c r="K31" s="364"/>
      <c r="L31" s="364"/>
      <c r="M31" s="364"/>
      <c r="N31" s="364"/>
      <c r="O31" s="364"/>
      <c r="P31" s="364"/>
      <c r="Q31" s="364"/>
      <c r="R31" s="364"/>
      <c r="S31" s="364"/>
      <c r="T31" s="364"/>
      <c r="U31" s="364"/>
      <c r="V31" s="364"/>
      <c r="W31" s="364"/>
      <c r="X31" s="364"/>
      <c r="Y31" s="364"/>
      <c r="Z31" s="364"/>
      <c r="AA31" s="364"/>
      <c r="AB31" s="364"/>
      <c r="AC31" s="364"/>
      <c r="AD31" s="363"/>
      <c r="AE31" s="363"/>
      <c r="AF31" s="363"/>
      <c r="AG31" s="363"/>
      <c r="AH31" s="363"/>
      <c r="AI31" s="363"/>
      <c r="AJ31" s="363"/>
      <c r="AK31" s="363"/>
      <c r="AL31" s="363"/>
      <c r="AM31" s="363"/>
      <c r="AN31" s="363"/>
      <c r="AO31" s="363"/>
      <c r="AP31" s="363"/>
      <c r="AQ31" s="363"/>
      <c r="AR31" s="363"/>
      <c r="AS31" s="363"/>
      <c r="AT31" s="363"/>
      <c r="AU31" s="363"/>
      <c r="AV31" s="363"/>
      <c r="AW31" s="363"/>
      <c r="AX31" s="363"/>
      <c r="AY31" s="363"/>
      <c r="AZ31" s="363"/>
      <c r="BA31" s="363"/>
      <c r="BB31" s="363"/>
      <c r="BC31" s="363"/>
      <c r="BD31" s="363"/>
      <c r="BE31" s="363"/>
      <c r="BF31" s="363"/>
      <c r="BG31" s="363"/>
      <c r="BI31" s="342" t="s">
        <v>1238</v>
      </c>
    </row>
    <row r="32" spans="2:64" hidden="1" x14ac:dyDescent="0.2">
      <c r="B32" s="219" t="str">
        <f>IF(Capacity!N25="","",Capacity!N25)</f>
        <v/>
      </c>
      <c r="C32" s="220" t="str">
        <f>IF(B32="","",Capacity!Q25)</f>
        <v/>
      </c>
      <c r="D32" s="309" t="str">
        <f>IF(B32="","",Capacity!R25)</f>
        <v/>
      </c>
      <c r="E32" s="220" t="str">
        <f>IF(B32="","",IF(COUNTBLANK(H32:BG32)=52,SUM('Capacity calculation (hide)'!H120:BG120),52-COUNTBLANK(H32:BG32)))</f>
        <v/>
      </c>
      <c r="F32" s="310" t="str">
        <f>'Capacity calculation (hide)'!BI120</f>
        <v/>
      </c>
      <c r="H32" s="364"/>
      <c r="I32" s="364"/>
      <c r="J32" s="364"/>
      <c r="K32" s="364"/>
      <c r="L32" s="364"/>
      <c r="M32" s="364"/>
      <c r="N32" s="364"/>
      <c r="O32" s="364"/>
      <c r="P32" s="364"/>
      <c r="Q32" s="364"/>
      <c r="R32" s="364"/>
      <c r="S32" s="364"/>
      <c r="T32" s="364"/>
      <c r="U32" s="364"/>
      <c r="V32" s="364"/>
      <c r="W32" s="364"/>
      <c r="X32" s="364"/>
      <c r="Y32" s="364"/>
      <c r="Z32" s="364"/>
      <c r="AA32" s="364"/>
      <c r="AB32" s="364"/>
      <c r="AC32" s="364"/>
      <c r="AD32" s="363"/>
      <c r="AE32" s="363"/>
      <c r="AF32" s="363"/>
      <c r="AG32" s="363"/>
      <c r="AH32" s="363"/>
      <c r="AI32" s="363"/>
      <c r="AJ32" s="363"/>
      <c r="AK32" s="363"/>
      <c r="AL32" s="363"/>
      <c r="AM32" s="363"/>
      <c r="AN32" s="363"/>
      <c r="AO32" s="363"/>
      <c r="AP32" s="363"/>
      <c r="AQ32" s="363"/>
      <c r="AR32" s="363"/>
      <c r="AS32" s="363"/>
      <c r="AT32" s="363"/>
      <c r="AU32" s="363"/>
      <c r="AV32" s="363"/>
      <c r="AW32" s="363"/>
      <c r="AX32" s="363"/>
      <c r="AY32" s="363"/>
      <c r="AZ32" s="363"/>
      <c r="BA32" s="363"/>
      <c r="BB32" s="363"/>
      <c r="BC32" s="363"/>
      <c r="BD32" s="363"/>
      <c r="BE32" s="363"/>
      <c r="BF32" s="363"/>
      <c r="BG32" s="363"/>
      <c r="BI32" s="342" t="s">
        <v>1238</v>
      </c>
    </row>
    <row r="33" spans="2:61" hidden="1" x14ac:dyDescent="0.2">
      <c r="B33" s="219" t="str">
        <f>IF(Capacity!N26="","",Capacity!N26)</f>
        <v/>
      </c>
      <c r="C33" s="220" t="str">
        <f>IF(B33="","",Capacity!Q26)</f>
        <v/>
      </c>
      <c r="D33" s="309" t="str">
        <f>IF(B33="","",Capacity!R26)</f>
        <v/>
      </c>
      <c r="E33" s="220" t="str">
        <f>IF(B33="","",IF(COUNTBLANK(H33:BG33)=52,SUM('Capacity calculation (hide)'!H121:BG121),52-COUNTBLANK(H33:BG33)))</f>
        <v/>
      </c>
      <c r="F33" s="310" t="str">
        <f>'Capacity calculation (hide)'!BI121</f>
        <v/>
      </c>
      <c r="H33" s="364"/>
      <c r="I33" s="364"/>
      <c r="J33" s="364"/>
      <c r="K33" s="364"/>
      <c r="L33" s="364"/>
      <c r="M33" s="364"/>
      <c r="N33" s="364"/>
      <c r="O33" s="364"/>
      <c r="P33" s="364"/>
      <c r="Q33" s="364"/>
      <c r="R33" s="364"/>
      <c r="S33" s="364"/>
      <c r="T33" s="364"/>
      <c r="U33" s="364"/>
      <c r="V33" s="364"/>
      <c r="W33" s="364"/>
      <c r="X33" s="364"/>
      <c r="Y33" s="364"/>
      <c r="Z33" s="364"/>
      <c r="AA33" s="364"/>
      <c r="AB33" s="364"/>
      <c r="AC33" s="364"/>
      <c r="AD33" s="363"/>
      <c r="AE33" s="363"/>
      <c r="AF33" s="363"/>
      <c r="AG33" s="363"/>
      <c r="AH33" s="363"/>
      <c r="AI33" s="363"/>
      <c r="AJ33" s="363"/>
      <c r="AK33" s="363"/>
      <c r="AL33" s="363"/>
      <c r="AM33" s="363"/>
      <c r="AN33" s="363"/>
      <c r="AO33" s="363"/>
      <c r="AP33" s="363"/>
      <c r="AQ33" s="363"/>
      <c r="AR33" s="363"/>
      <c r="AS33" s="363"/>
      <c r="AT33" s="363"/>
      <c r="AU33" s="363"/>
      <c r="AV33" s="363"/>
      <c r="AW33" s="363"/>
      <c r="AX33" s="363"/>
      <c r="AY33" s="363"/>
      <c r="AZ33" s="363"/>
      <c r="BA33" s="363"/>
      <c r="BB33" s="363"/>
      <c r="BC33" s="363"/>
      <c r="BD33" s="363"/>
      <c r="BE33" s="363"/>
      <c r="BF33" s="363"/>
      <c r="BG33" s="363"/>
      <c r="BI33" s="342" t="s">
        <v>1238</v>
      </c>
    </row>
    <row r="34" spans="2:61" hidden="1" x14ac:dyDescent="0.2">
      <c r="B34" s="219" t="str">
        <f>IF(Capacity!N27="","",Capacity!N27)</f>
        <v/>
      </c>
      <c r="C34" s="220" t="str">
        <f>IF(B34="","",Capacity!Q27)</f>
        <v/>
      </c>
      <c r="D34" s="309" t="str">
        <f>IF(B34="","",Capacity!R27)</f>
        <v/>
      </c>
      <c r="E34" s="220" t="str">
        <f>IF(B34="","",IF(COUNTBLANK(H34:BG34)=52,SUM('Capacity calculation (hide)'!H122:BG122),52-COUNTBLANK(H34:BG34)))</f>
        <v/>
      </c>
      <c r="F34" s="310" t="str">
        <f>'Capacity calculation (hide)'!BI122</f>
        <v/>
      </c>
      <c r="H34" s="363"/>
      <c r="I34" s="363"/>
      <c r="J34" s="367"/>
      <c r="K34" s="367"/>
      <c r="L34" s="367"/>
      <c r="M34" s="367"/>
      <c r="N34" s="367"/>
      <c r="O34" s="367"/>
      <c r="P34" s="367"/>
      <c r="Q34" s="367"/>
      <c r="R34" s="367"/>
      <c r="S34" s="367"/>
      <c r="T34" s="367"/>
      <c r="U34" s="367"/>
      <c r="V34" s="367"/>
      <c r="W34" s="367"/>
      <c r="X34" s="367"/>
      <c r="Y34" s="367"/>
      <c r="Z34" s="367"/>
      <c r="AA34" s="367"/>
      <c r="AB34" s="367"/>
      <c r="AC34" s="367"/>
      <c r="AD34" s="367"/>
      <c r="AE34" s="367"/>
      <c r="AF34" s="367"/>
      <c r="AG34" s="367"/>
      <c r="AH34" s="367"/>
      <c r="AI34" s="367"/>
      <c r="AJ34" s="367"/>
      <c r="AK34" s="367"/>
      <c r="AL34" s="367"/>
      <c r="AM34" s="367"/>
      <c r="AN34" s="367"/>
      <c r="AO34" s="367"/>
      <c r="AP34" s="367"/>
      <c r="AQ34" s="367"/>
      <c r="AR34" s="367"/>
      <c r="AS34" s="367"/>
      <c r="AT34" s="367"/>
      <c r="AU34" s="367"/>
      <c r="AV34" s="367"/>
      <c r="AW34" s="367"/>
      <c r="AX34" s="367"/>
      <c r="AY34" s="367"/>
      <c r="AZ34" s="367"/>
      <c r="BA34" s="367"/>
      <c r="BB34" s="367"/>
      <c r="BC34" s="367"/>
      <c r="BD34" s="367"/>
      <c r="BE34" s="367"/>
      <c r="BF34" s="367"/>
      <c r="BG34" s="363"/>
      <c r="BI34" s="342" t="s">
        <v>1238</v>
      </c>
    </row>
    <row r="35" spans="2:61" hidden="1" x14ac:dyDescent="0.2">
      <c r="B35" s="219" t="str">
        <f>IF(Capacity!N28="","",Capacity!N28)</f>
        <v/>
      </c>
      <c r="C35" s="220" t="str">
        <f>IF(B35="","",Capacity!Q28)</f>
        <v/>
      </c>
      <c r="D35" s="309" t="str">
        <f>IF(B35="","",Capacity!R28)</f>
        <v/>
      </c>
      <c r="E35" s="220" t="str">
        <f>IF(B35="","",IF(COUNTBLANK(H35:BG35)=52,SUM('Capacity calculation (hide)'!H123:BG123),52-COUNTBLANK(H35:BG35)))</f>
        <v/>
      </c>
      <c r="F35" s="310" t="str">
        <f>'Capacity calculation (hide)'!BI123</f>
        <v/>
      </c>
      <c r="H35" s="364"/>
      <c r="I35" s="364"/>
      <c r="J35" s="364"/>
      <c r="K35" s="364"/>
      <c r="L35" s="364"/>
      <c r="M35" s="364"/>
      <c r="N35" s="364"/>
      <c r="O35" s="364"/>
      <c r="P35" s="364"/>
      <c r="Q35" s="364"/>
      <c r="R35" s="364"/>
      <c r="S35" s="364"/>
      <c r="T35" s="364"/>
      <c r="U35" s="364"/>
      <c r="V35" s="364"/>
      <c r="W35" s="364"/>
      <c r="X35" s="364"/>
      <c r="Y35" s="364"/>
      <c r="Z35" s="364"/>
      <c r="AA35" s="364"/>
      <c r="AB35" s="364"/>
      <c r="AC35" s="364"/>
      <c r="AD35" s="364"/>
      <c r="AE35" s="364"/>
      <c r="AF35" s="364"/>
      <c r="AG35" s="364"/>
      <c r="AH35" s="364"/>
      <c r="AI35" s="364"/>
      <c r="AJ35" s="364"/>
      <c r="AK35" s="364"/>
      <c r="AL35" s="364"/>
      <c r="AM35" s="364"/>
      <c r="AN35" s="364"/>
      <c r="AO35" s="364"/>
      <c r="AP35" s="364"/>
      <c r="AQ35" s="364"/>
      <c r="AR35" s="364"/>
      <c r="AS35" s="364"/>
      <c r="AT35" s="364"/>
      <c r="AU35" s="364"/>
      <c r="AV35" s="364"/>
      <c r="AW35" s="364"/>
      <c r="AX35" s="364"/>
      <c r="AY35" s="364"/>
      <c r="AZ35" s="364"/>
      <c r="BA35" s="364"/>
      <c r="BB35" s="364"/>
      <c r="BC35" s="364"/>
      <c r="BD35" s="364"/>
      <c r="BE35" s="364"/>
      <c r="BF35" s="364"/>
      <c r="BG35" s="364"/>
      <c r="BI35" s="342" t="s">
        <v>1238</v>
      </c>
    </row>
    <row r="36" spans="2:61" hidden="1" x14ac:dyDescent="0.2">
      <c r="B36" s="219" t="str">
        <f>IF(Capacity!N29="","",Capacity!N29)</f>
        <v/>
      </c>
      <c r="C36" s="220" t="str">
        <f>IF(B36="","",Capacity!Q29)</f>
        <v/>
      </c>
      <c r="D36" s="309" t="str">
        <f>IF(B36="","",Capacity!R29)</f>
        <v/>
      </c>
      <c r="E36" s="220" t="str">
        <f>IF(B36="","",IF(COUNTBLANK(H36:BG36)=52,SUM('Capacity calculation (hide)'!H124:BG124),52-COUNTBLANK(H36:BG36)))</f>
        <v/>
      </c>
      <c r="F36" s="310" t="str">
        <f>'Capacity calculation (hide)'!BI124</f>
        <v/>
      </c>
      <c r="H36" s="364"/>
      <c r="I36" s="364"/>
      <c r="J36" s="364"/>
      <c r="K36" s="364"/>
      <c r="L36" s="364"/>
      <c r="M36" s="364"/>
      <c r="N36" s="364"/>
      <c r="O36" s="364"/>
      <c r="P36" s="364"/>
      <c r="Q36" s="364"/>
      <c r="R36" s="364"/>
      <c r="S36" s="364"/>
      <c r="T36" s="364"/>
      <c r="U36" s="364"/>
      <c r="V36" s="364"/>
      <c r="W36" s="364"/>
      <c r="X36" s="364"/>
      <c r="Y36" s="364"/>
      <c r="Z36" s="364"/>
      <c r="AA36" s="364"/>
      <c r="AB36" s="364"/>
      <c r="AC36" s="364"/>
      <c r="AD36" s="364"/>
      <c r="AE36" s="364"/>
      <c r="AF36" s="364"/>
      <c r="AG36" s="364"/>
      <c r="AH36" s="364"/>
      <c r="AI36" s="364"/>
      <c r="AJ36" s="364"/>
      <c r="AK36" s="364"/>
      <c r="AL36" s="364"/>
      <c r="AM36" s="364"/>
      <c r="AN36" s="364"/>
      <c r="AO36" s="364"/>
      <c r="AP36" s="364"/>
      <c r="AQ36" s="364"/>
      <c r="AR36" s="364"/>
      <c r="AS36" s="364"/>
      <c r="AT36" s="364"/>
      <c r="AU36" s="364"/>
      <c r="AV36" s="364"/>
      <c r="AW36" s="364"/>
      <c r="AX36" s="364"/>
      <c r="AY36" s="364"/>
      <c r="AZ36" s="364"/>
      <c r="BA36" s="364"/>
      <c r="BB36" s="364"/>
      <c r="BC36" s="364"/>
      <c r="BD36" s="364"/>
      <c r="BE36" s="364"/>
      <c r="BF36" s="364"/>
      <c r="BG36" s="364"/>
      <c r="BI36" s="342" t="s">
        <v>1238</v>
      </c>
    </row>
    <row r="37" spans="2:61" hidden="1" x14ac:dyDescent="0.2">
      <c r="B37" s="219" t="str">
        <f>IF(Capacity!N30="","",Capacity!N30)</f>
        <v/>
      </c>
      <c r="C37" s="220" t="str">
        <f>IF(B37="","",Capacity!Q30)</f>
        <v/>
      </c>
      <c r="D37" s="309" t="str">
        <f>IF(B37="","",Capacity!R30)</f>
        <v/>
      </c>
      <c r="E37" s="220" t="str">
        <f>IF(B37="","",IF(COUNTBLANK(H37:BG37)=52,SUM('Capacity calculation (hide)'!H125:BG125),52-COUNTBLANK(H37:BG37)))</f>
        <v/>
      </c>
      <c r="F37" s="310" t="str">
        <f>'Capacity calculation (hide)'!BI125</f>
        <v/>
      </c>
      <c r="H37" s="363"/>
      <c r="I37" s="363"/>
      <c r="J37" s="363"/>
      <c r="K37" s="363"/>
      <c r="L37" s="363"/>
      <c r="M37" s="363"/>
      <c r="N37" s="363"/>
      <c r="O37" s="363"/>
      <c r="P37" s="363"/>
      <c r="Q37" s="363"/>
      <c r="R37" s="363"/>
      <c r="S37" s="363"/>
      <c r="T37" s="363"/>
      <c r="U37" s="363"/>
      <c r="V37" s="363"/>
      <c r="W37" s="363"/>
      <c r="X37" s="363"/>
      <c r="Y37" s="363"/>
      <c r="Z37" s="363"/>
      <c r="AA37" s="363"/>
      <c r="AB37" s="363"/>
      <c r="AC37" s="363"/>
      <c r="AD37" s="363"/>
      <c r="AE37" s="363"/>
      <c r="AF37" s="363"/>
      <c r="AG37" s="363"/>
      <c r="AH37" s="363"/>
      <c r="AI37" s="363"/>
      <c r="AJ37" s="363"/>
      <c r="AK37" s="363"/>
      <c r="AL37" s="363"/>
      <c r="AM37" s="363"/>
      <c r="AN37" s="363"/>
      <c r="AO37" s="363"/>
      <c r="AP37" s="363"/>
      <c r="AQ37" s="363"/>
      <c r="AR37" s="363"/>
      <c r="AS37" s="363"/>
      <c r="AT37" s="363"/>
      <c r="AU37" s="363"/>
      <c r="AV37" s="363"/>
      <c r="AW37" s="363"/>
      <c r="AX37" s="363"/>
      <c r="AY37" s="363"/>
      <c r="AZ37" s="363"/>
      <c r="BA37" s="363"/>
      <c r="BB37" s="363"/>
      <c r="BC37" s="363"/>
      <c r="BD37" s="363"/>
      <c r="BE37" s="363"/>
      <c r="BF37" s="363"/>
      <c r="BG37" s="363"/>
      <c r="BI37" s="342" t="s">
        <v>1238</v>
      </c>
    </row>
    <row r="38" spans="2:61" hidden="1" x14ac:dyDescent="0.2">
      <c r="B38" s="219" t="str">
        <f>IF(Capacity!N31="","",Capacity!N31)</f>
        <v/>
      </c>
      <c r="C38" s="220" t="str">
        <f>IF(B38="","",Capacity!Q31)</f>
        <v/>
      </c>
      <c r="D38" s="309" t="str">
        <f>IF(B38="","",Capacity!R31)</f>
        <v/>
      </c>
      <c r="E38" s="220" t="str">
        <f>IF(B38="","",IF(COUNTBLANK(H38:BG38)=52,SUM('Capacity calculation (hide)'!H126:BG126),52-COUNTBLANK(H38:BG38)))</f>
        <v/>
      </c>
      <c r="F38" s="310" t="str">
        <f>'Capacity calculation (hide)'!BI126</f>
        <v/>
      </c>
      <c r="H38" s="363"/>
      <c r="I38" s="363"/>
      <c r="J38" s="363"/>
      <c r="K38" s="363"/>
      <c r="L38" s="363"/>
      <c r="M38" s="363"/>
      <c r="N38" s="363"/>
      <c r="O38" s="363"/>
      <c r="P38" s="363"/>
      <c r="Q38" s="363"/>
      <c r="R38" s="363"/>
      <c r="S38" s="363"/>
      <c r="T38" s="363"/>
      <c r="U38" s="363"/>
      <c r="V38" s="363"/>
      <c r="W38" s="363"/>
      <c r="X38" s="363"/>
      <c r="Y38" s="363"/>
      <c r="Z38" s="363"/>
      <c r="AA38" s="363"/>
      <c r="AB38" s="363"/>
      <c r="AC38" s="363"/>
      <c r="AD38" s="363"/>
      <c r="AE38" s="363"/>
      <c r="AF38" s="363"/>
      <c r="AG38" s="363"/>
      <c r="AH38" s="363"/>
      <c r="AI38" s="363"/>
      <c r="AJ38" s="363"/>
      <c r="AK38" s="363"/>
      <c r="AL38" s="363"/>
      <c r="AM38" s="363"/>
      <c r="AN38" s="363"/>
      <c r="AO38" s="363"/>
      <c r="AP38" s="363"/>
      <c r="AQ38" s="363"/>
      <c r="AR38" s="363"/>
      <c r="AS38" s="363"/>
      <c r="AT38" s="363"/>
      <c r="AU38" s="363"/>
      <c r="AV38" s="363"/>
      <c r="AW38" s="363"/>
      <c r="AX38" s="363"/>
      <c r="AY38" s="363"/>
      <c r="AZ38" s="363"/>
      <c r="BA38" s="363"/>
      <c r="BB38" s="363"/>
      <c r="BC38" s="363"/>
      <c r="BD38" s="363"/>
      <c r="BE38" s="363"/>
      <c r="BF38" s="363"/>
      <c r="BG38" s="363"/>
      <c r="BI38" s="342" t="s">
        <v>1238</v>
      </c>
    </row>
    <row r="39" spans="2:61" hidden="1" x14ac:dyDescent="0.2">
      <c r="B39" s="219" t="str">
        <f>IF(Capacity!N32="","",Capacity!N32)</f>
        <v/>
      </c>
      <c r="C39" s="220" t="str">
        <f>IF(B39="","",Capacity!Q32)</f>
        <v/>
      </c>
      <c r="D39" s="309" t="str">
        <f>IF(B39="","",Capacity!R32)</f>
        <v/>
      </c>
      <c r="E39" s="220" t="str">
        <f>IF(B39="","",IF(COUNTBLANK(H39:BG39)=52,SUM('Capacity calculation (hide)'!H127:BG127),52-COUNTBLANK(H39:BG39)))</f>
        <v/>
      </c>
      <c r="F39" s="310" t="str">
        <f>'Capacity calculation (hide)'!BI127</f>
        <v/>
      </c>
      <c r="H39" s="363"/>
      <c r="I39" s="363"/>
      <c r="J39" s="363"/>
      <c r="K39" s="363"/>
      <c r="L39" s="363"/>
      <c r="M39" s="363"/>
      <c r="N39" s="363"/>
      <c r="O39" s="363"/>
      <c r="P39" s="363"/>
      <c r="Q39" s="363"/>
      <c r="R39" s="363"/>
      <c r="S39" s="363"/>
      <c r="T39" s="363"/>
      <c r="U39" s="363"/>
      <c r="V39" s="363"/>
      <c r="W39" s="363"/>
      <c r="X39" s="363"/>
      <c r="Y39" s="363"/>
      <c r="Z39" s="363"/>
      <c r="AA39" s="363"/>
      <c r="AB39" s="363"/>
      <c r="AC39" s="363"/>
      <c r="AD39" s="363"/>
      <c r="AE39" s="363"/>
      <c r="AF39" s="363"/>
      <c r="AG39" s="363"/>
      <c r="AH39" s="363"/>
      <c r="AI39" s="363"/>
      <c r="AJ39" s="363"/>
      <c r="AK39" s="363"/>
      <c r="AL39" s="363"/>
      <c r="AM39" s="363"/>
      <c r="AN39" s="363"/>
      <c r="AO39" s="363"/>
      <c r="AP39" s="363"/>
      <c r="AQ39" s="363"/>
      <c r="AR39" s="363"/>
      <c r="AS39" s="363"/>
      <c r="AT39" s="363"/>
      <c r="AU39" s="363"/>
      <c r="AV39" s="363"/>
      <c r="AW39" s="363"/>
      <c r="AX39" s="363"/>
      <c r="AY39" s="363"/>
      <c r="AZ39" s="363"/>
      <c r="BA39" s="363"/>
      <c r="BB39" s="363"/>
      <c r="BC39" s="363"/>
      <c r="BD39" s="363"/>
      <c r="BE39" s="363"/>
      <c r="BF39" s="363"/>
      <c r="BG39" s="363"/>
      <c r="BI39" s="342" t="s">
        <v>1238</v>
      </c>
    </row>
    <row r="40" spans="2:61" hidden="1" x14ac:dyDescent="0.2">
      <c r="B40" s="219" t="str">
        <f>IF(Capacity!N33="","",Capacity!N33)</f>
        <v/>
      </c>
      <c r="C40" s="220" t="str">
        <f>IF(B40="","",Capacity!Q33)</f>
        <v/>
      </c>
      <c r="D40" s="309" t="str">
        <f>IF(B40="","",Capacity!R33)</f>
        <v/>
      </c>
      <c r="E40" s="220" t="str">
        <f>IF(B40="","",IF(COUNTBLANK(H40:BG40)=52,SUM('Capacity calculation (hide)'!H128:BG128),52-COUNTBLANK(H40:BG40)))</f>
        <v/>
      </c>
      <c r="F40" s="310" t="str">
        <f>'Capacity calculation (hide)'!BI128</f>
        <v/>
      </c>
      <c r="H40" s="363"/>
      <c r="I40" s="363"/>
      <c r="J40" s="363"/>
      <c r="K40" s="363"/>
      <c r="L40" s="363"/>
      <c r="M40" s="363"/>
      <c r="N40" s="363"/>
      <c r="O40" s="363"/>
      <c r="P40" s="363"/>
      <c r="Q40" s="363"/>
      <c r="R40" s="363"/>
      <c r="S40" s="363"/>
      <c r="T40" s="363"/>
      <c r="U40" s="363"/>
      <c r="V40" s="363"/>
      <c r="W40" s="363"/>
      <c r="X40" s="363"/>
      <c r="Y40" s="363"/>
      <c r="Z40" s="363"/>
      <c r="AA40" s="363"/>
      <c r="AB40" s="363"/>
      <c r="AC40" s="363"/>
      <c r="AD40" s="363"/>
      <c r="AE40" s="363"/>
      <c r="AF40" s="363"/>
      <c r="AG40" s="363"/>
      <c r="AH40" s="363"/>
      <c r="AI40" s="363"/>
      <c r="AJ40" s="363"/>
      <c r="AK40" s="363"/>
      <c r="AL40" s="363"/>
      <c r="AM40" s="363"/>
      <c r="AN40" s="363"/>
      <c r="AO40" s="363"/>
      <c r="AP40" s="363"/>
      <c r="AQ40" s="363"/>
      <c r="AR40" s="363"/>
      <c r="AS40" s="363"/>
      <c r="AT40" s="363"/>
      <c r="AU40" s="363"/>
      <c r="AV40" s="363"/>
      <c r="AW40" s="363"/>
      <c r="AX40" s="363"/>
      <c r="AY40" s="363"/>
      <c r="AZ40" s="363"/>
      <c r="BA40" s="363"/>
      <c r="BB40" s="363"/>
      <c r="BC40" s="363"/>
      <c r="BD40" s="363"/>
      <c r="BE40" s="363"/>
      <c r="BF40" s="363"/>
      <c r="BG40" s="363"/>
      <c r="BI40" s="342" t="s">
        <v>1238</v>
      </c>
    </row>
    <row r="41" spans="2:61" hidden="1" x14ac:dyDescent="0.2">
      <c r="B41" s="219" t="str">
        <f>IF(Capacity!N34="","",Capacity!N34)</f>
        <v/>
      </c>
      <c r="C41" s="220" t="str">
        <f>IF(B41="","",Capacity!Q34)</f>
        <v/>
      </c>
      <c r="D41" s="309" t="str">
        <f>IF(B41="","",Capacity!R34)</f>
        <v/>
      </c>
      <c r="E41" s="220" t="str">
        <f>IF(B41="","",IF(COUNTBLANK(H41:BG41)=52,SUM('Capacity calculation (hide)'!H129:BG129),52-COUNTBLANK(H41:BG41)))</f>
        <v/>
      </c>
      <c r="F41" s="310" t="str">
        <f>'Capacity calculation (hide)'!BI129</f>
        <v/>
      </c>
      <c r="H41" s="363"/>
      <c r="I41" s="363"/>
      <c r="J41" s="363"/>
      <c r="K41" s="363"/>
      <c r="L41" s="363"/>
      <c r="M41" s="363"/>
      <c r="N41" s="363"/>
      <c r="O41" s="363"/>
      <c r="P41" s="363"/>
      <c r="Q41" s="363"/>
      <c r="R41" s="363"/>
      <c r="S41" s="363"/>
      <c r="T41" s="363"/>
      <c r="U41" s="363"/>
      <c r="V41" s="363"/>
      <c r="W41" s="363"/>
      <c r="X41" s="363"/>
      <c r="Y41" s="363"/>
      <c r="Z41" s="363"/>
      <c r="AA41" s="363"/>
      <c r="AB41" s="363"/>
      <c r="AC41" s="363"/>
      <c r="AD41" s="363"/>
      <c r="AE41" s="363"/>
      <c r="AF41" s="363"/>
      <c r="AG41" s="363"/>
      <c r="AH41" s="363"/>
      <c r="AI41" s="363"/>
      <c r="AJ41" s="363"/>
      <c r="AK41" s="363"/>
      <c r="AL41" s="363"/>
      <c r="AM41" s="363"/>
      <c r="AN41" s="363"/>
      <c r="AO41" s="363"/>
      <c r="AP41" s="363"/>
      <c r="AQ41" s="363"/>
      <c r="AR41" s="363"/>
      <c r="AS41" s="363"/>
      <c r="AT41" s="363"/>
      <c r="AU41" s="363"/>
      <c r="AV41" s="363"/>
      <c r="AW41" s="363"/>
      <c r="AX41" s="363"/>
      <c r="AY41" s="363"/>
      <c r="AZ41" s="363"/>
      <c r="BA41" s="363"/>
      <c r="BB41" s="363"/>
      <c r="BC41" s="363"/>
      <c r="BD41" s="363"/>
      <c r="BE41" s="363"/>
      <c r="BF41" s="363"/>
      <c r="BG41" s="363"/>
      <c r="BI41" s="342" t="s">
        <v>1238</v>
      </c>
    </row>
    <row r="42" spans="2:61" hidden="1" x14ac:dyDescent="0.2">
      <c r="B42" s="219" t="str">
        <f>IF(Capacity!N35="","",Capacity!N35)</f>
        <v/>
      </c>
      <c r="C42" s="220" t="str">
        <f>IF(B42="","",Capacity!Q35)</f>
        <v/>
      </c>
      <c r="D42" s="309" t="str">
        <f>IF(B42="","",Capacity!R35)</f>
        <v/>
      </c>
      <c r="E42" s="220" t="str">
        <f>IF(B42="","",IF(COUNTBLANK(H42:BG42)=52,SUM('Capacity calculation (hide)'!H130:BG130),52-COUNTBLANK(H42:BG42)))</f>
        <v/>
      </c>
      <c r="F42" s="310" t="str">
        <f>'Capacity calculation (hide)'!BI130</f>
        <v/>
      </c>
      <c r="H42" s="363"/>
      <c r="I42" s="363"/>
      <c r="J42" s="363"/>
      <c r="K42" s="363"/>
      <c r="L42" s="363"/>
      <c r="M42" s="363"/>
      <c r="N42" s="363"/>
      <c r="O42" s="363"/>
      <c r="P42" s="363"/>
      <c r="Q42" s="363"/>
      <c r="R42" s="363"/>
      <c r="S42" s="363"/>
      <c r="T42" s="363"/>
      <c r="U42" s="363"/>
      <c r="V42" s="363"/>
      <c r="W42" s="363"/>
      <c r="X42" s="363"/>
      <c r="Y42" s="363"/>
      <c r="Z42" s="363"/>
      <c r="AA42" s="363"/>
      <c r="AB42" s="363"/>
      <c r="AC42" s="363"/>
      <c r="AD42" s="363"/>
      <c r="AE42" s="363"/>
      <c r="AF42" s="363"/>
      <c r="AG42" s="363"/>
      <c r="AH42" s="363"/>
      <c r="AI42" s="363"/>
      <c r="AJ42" s="363"/>
      <c r="AK42" s="363"/>
      <c r="AL42" s="363"/>
      <c r="AM42" s="363"/>
      <c r="AN42" s="363"/>
      <c r="AO42" s="363"/>
      <c r="AP42" s="363"/>
      <c r="AQ42" s="363"/>
      <c r="AR42" s="363"/>
      <c r="AS42" s="363"/>
      <c r="AT42" s="363"/>
      <c r="AU42" s="363"/>
      <c r="AV42" s="363"/>
      <c r="AW42" s="363"/>
      <c r="AX42" s="363"/>
      <c r="AY42" s="363"/>
      <c r="AZ42" s="363"/>
      <c r="BA42" s="363"/>
      <c r="BB42" s="363"/>
      <c r="BC42" s="363"/>
      <c r="BD42" s="363"/>
      <c r="BE42" s="363"/>
      <c r="BF42" s="363"/>
      <c r="BG42" s="363"/>
      <c r="BI42" s="342" t="s">
        <v>1238</v>
      </c>
    </row>
    <row r="43" spans="2:61" hidden="1" x14ac:dyDescent="0.2">
      <c r="B43" s="219" t="str">
        <f>IF(Capacity!N36="","",Capacity!N36)</f>
        <v/>
      </c>
      <c r="C43" s="220" t="str">
        <f>IF(B43="","",Capacity!Q36)</f>
        <v/>
      </c>
      <c r="D43" s="309" t="str">
        <f>IF(B43="","",Capacity!R36)</f>
        <v/>
      </c>
      <c r="E43" s="220" t="str">
        <f>IF(B43="","",IF(COUNTBLANK(H43:BG43)=52,SUM('Capacity calculation (hide)'!H131:BG131),52-COUNTBLANK(H43:BG43)))</f>
        <v/>
      </c>
      <c r="F43" s="310" t="str">
        <f>'Capacity calculation (hide)'!BI131</f>
        <v/>
      </c>
      <c r="H43" s="363"/>
      <c r="I43" s="363"/>
      <c r="J43" s="363"/>
      <c r="K43" s="363"/>
      <c r="L43" s="363"/>
      <c r="M43" s="363"/>
      <c r="N43" s="363"/>
      <c r="O43" s="363"/>
      <c r="P43" s="363"/>
      <c r="Q43" s="363"/>
      <c r="R43" s="363"/>
      <c r="S43" s="363"/>
      <c r="T43" s="363"/>
      <c r="U43" s="363"/>
      <c r="V43" s="363"/>
      <c r="W43" s="363"/>
      <c r="X43" s="363"/>
      <c r="Y43" s="363"/>
      <c r="Z43" s="363"/>
      <c r="AA43" s="363"/>
      <c r="AB43" s="363"/>
      <c r="AC43" s="363"/>
      <c r="AD43" s="363"/>
      <c r="AE43" s="363"/>
      <c r="AF43" s="363"/>
      <c r="AG43" s="363"/>
      <c r="AH43" s="363"/>
      <c r="AI43" s="363"/>
      <c r="AJ43" s="363"/>
      <c r="AK43" s="363"/>
      <c r="AL43" s="363"/>
      <c r="AM43" s="363"/>
      <c r="AN43" s="363"/>
      <c r="AO43" s="363"/>
      <c r="AP43" s="363"/>
      <c r="AQ43" s="363"/>
      <c r="AR43" s="363"/>
      <c r="AS43" s="363"/>
      <c r="AT43" s="363"/>
      <c r="AU43" s="363"/>
      <c r="AV43" s="363"/>
      <c r="AW43" s="363"/>
      <c r="AX43" s="363"/>
      <c r="AY43" s="363"/>
      <c r="AZ43" s="363"/>
      <c r="BA43" s="363"/>
      <c r="BB43" s="363"/>
      <c r="BC43" s="363"/>
      <c r="BD43" s="363"/>
      <c r="BE43" s="363"/>
      <c r="BF43" s="363"/>
      <c r="BG43" s="363"/>
      <c r="BI43" s="342" t="s">
        <v>1238</v>
      </c>
    </row>
    <row r="44" spans="2:61" hidden="1" x14ac:dyDescent="0.2">
      <c r="B44" s="219" t="str">
        <f>IF(Capacity!N37="","",Capacity!N37)</f>
        <v/>
      </c>
      <c r="C44" s="220" t="str">
        <f>IF(B44="","",Capacity!Q37)</f>
        <v/>
      </c>
      <c r="D44" s="309" t="str">
        <f>IF(B44="","",Capacity!R37)</f>
        <v/>
      </c>
      <c r="E44" s="220" t="str">
        <f>IF(B44="","",IF(COUNTBLANK(H44:BG44)=52,SUM('Capacity calculation (hide)'!H132:BG132),52-COUNTBLANK(H44:BG44)))</f>
        <v/>
      </c>
      <c r="F44" s="310" t="str">
        <f>'Capacity calculation (hide)'!BI132</f>
        <v/>
      </c>
      <c r="H44" s="363"/>
      <c r="I44" s="363"/>
      <c r="J44" s="363"/>
      <c r="K44" s="363"/>
      <c r="L44" s="363"/>
      <c r="M44" s="363"/>
      <c r="N44" s="363"/>
      <c r="O44" s="363"/>
      <c r="P44" s="363"/>
      <c r="Q44" s="363"/>
      <c r="R44" s="363"/>
      <c r="S44" s="363"/>
      <c r="T44" s="363"/>
      <c r="U44" s="363"/>
      <c r="V44" s="363"/>
      <c r="W44" s="363"/>
      <c r="X44" s="363"/>
      <c r="Y44" s="363"/>
      <c r="Z44" s="363"/>
      <c r="AA44" s="363"/>
      <c r="AB44" s="363"/>
      <c r="AC44" s="363"/>
      <c r="AD44" s="363"/>
      <c r="AE44" s="363"/>
      <c r="AF44" s="363"/>
      <c r="AG44" s="363"/>
      <c r="AH44" s="363"/>
      <c r="AI44" s="363"/>
      <c r="AJ44" s="363"/>
      <c r="AK44" s="363"/>
      <c r="AL44" s="363"/>
      <c r="AM44" s="363"/>
      <c r="AN44" s="363"/>
      <c r="AO44" s="363"/>
      <c r="AP44" s="363"/>
      <c r="AQ44" s="363"/>
      <c r="AR44" s="363"/>
      <c r="AS44" s="363"/>
      <c r="AT44" s="363"/>
      <c r="AU44" s="363"/>
      <c r="AV44" s="363"/>
      <c r="AW44" s="363"/>
      <c r="AX44" s="363"/>
      <c r="AY44" s="363"/>
      <c r="AZ44" s="363"/>
      <c r="BA44" s="363"/>
      <c r="BB44" s="363"/>
      <c r="BC44" s="363"/>
      <c r="BD44" s="363"/>
      <c r="BE44" s="363"/>
      <c r="BF44" s="363"/>
      <c r="BG44" s="363"/>
      <c r="BI44" s="342" t="s">
        <v>1238</v>
      </c>
    </row>
    <row r="45" spans="2:61" hidden="1" x14ac:dyDescent="0.2">
      <c r="B45" s="219" t="str">
        <f>IF(Capacity!N38="","",Capacity!N38)</f>
        <v/>
      </c>
      <c r="C45" s="220" t="str">
        <f>IF(B45="","",Capacity!Q38)</f>
        <v/>
      </c>
      <c r="D45" s="309" t="str">
        <f>IF(B45="","",Capacity!R38)</f>
        <v/>
      </c>
      <c r="E45" s="220" t="str">
        <f>IF(B45="","",IF(COUNTBLANK(H45:BG45)=52,SUM('Capacity calculation (hide)'!H133:BG133),52-COUNTBLANK(H45:BG45)))</f>
        <v/>
      </c>
      <c r="F45" s="310" t="str">
        <f>'Capacity calculation (hide)'!BI133</f>
        <v/>
      </c>
      <c r="H45" s="363"/>
      <c r="I45" s="363"/>
      <c r="J45" s="363"/>
      <c r="K45" s="363"/>
      <c r="L45" s="363"/>
      <c r="M45" s="363"/>
      <c r="N45" s="363"/>
      <c r="O45" s="363"/>
      <c r="P45" s="363"/>
      <c r="Q45" s="363"/>
      <c r="R45" s="363"/>
      <c r="S45" s="363"/>
      <c r="T45" s="363"/>
      <c r="U45" s="363"/>
      <c r="V45" s="363"/>
      <c r="W45" s="363"/>
      <c r="X45" s="363"/>
      <c r="Y45" s="363"/>
      <c r="Z45" s="363"/>
      <c r="AA45" s="363"/>
      <c r="AB45" s="363"/>
      <c r="AC45" s="363"/>
      <c r="AD45" s="363"/>
      <c r="AE45" s="363"/>
      <c r="AF45" s="363"/>
      <c r="AG45" s="363"/>
      <c r="AH45" s="363"/>
      <c r="AI45" s="363"/>
      <c r="AJ45" s="363"/>
      <c r="AK45" s="363"/>
      <c r="AL45" s="363"/>
      <c r="AM45" s="363"/>
      <c r="AN45" s="363"/>
      <c r="AO45" s="363"/>
      <c r="AP45" s="363"/>
      <c r="AQ45" s="363"/>
      <c r="AR45" s="363"/>
      <c r="AS45" s="363"/>
      <c r="AT45" s="363"/>
      <c r="AU45" s="363"/>
      <c r="AV45" s="363"/>
      <c r="AW45" s="363"/>
      <c r="AX45" s="363"/>
      <c r="AY45" s="363"/>
      <c r="AZ45" s="363"/>
      <c r="BA45" s="363"/>
      <c r="BB45" s="363"/>
      <c r="BC45" s="363"/>
      <c r="BD45" s="363"/>
      <c r="BE45" s="363"/>
      <c r="BF45" s="363"/>
      <c r="BG45" s="363"/>
      <c r="BI45" s="342" t="s">
        <v>1238</v>
      </c>
    </row>
    <row r="46" spans="2:61" hidden="1" x14ac:dyDescent="0.2">
      <c r="B46" s="219" t="str">
        <f>IF(Capacity!N39="","",Capacity!N39)</f>
        <v/>
      </c>
      <c r="C46" s="220" t="str">
        <f>IF(B46="","",Capacity!Q39)</f>
        <v/>
      </c>
      <c r="D46" s="309" t="str">
        <f>IF(B46="","",Capacity!R39)</f>
        <v/>
      </c>
      <c r="E46" s="220" t="str">
        <f>IF(B46="","",IF(COUNTBLANK(H46:BG46)=52,SUM('Capacity calculation (hide)'!H134:BG134),52-COUNTBLANK(H46:BG46)))</f>
        <v/>
      </c>
      <c r="F46" s="310" t="str">
        <f>'Capacity calculation (hide)'!BI134</f>
        <v/>
      </c>
      <c r="H46" s="363"/>
      <c r="I46" s="363"/>
      <c r="J46" s="363"/>
      <c r="K46" s="363"/>
      <c r="L46" s="363"/>
      <c r="M46" s="363"/>
      <c r="N46" s="363"/>
      <c r="O46" s="363"/>
      <c r="P46" s="363"/>
      <c r="Q46" s="363"/>
      <c r="R46" s="363"/>
      <c r="S46" s="363"/>
      <c r="T46" s="363"/>
      <c r="U46" s="363"/>
      <c r="V46" s="363"/>
      <c r="W46" s="363"/>
      <c r="X46" s="363"/>
      <c r="Y46" s="363"/>
      <c r="Z46" s="363"/>
      <c r="AA46" s="363"/>
      <c r="AB46" s="363"/>
      <c r="AC46" s="363"/>
      <c r="AD46" s="363"/>
      <c r="AE46" s="363"/>
      <c r="AF46" s="363"/>
      <c r="AG46" s="363"/>
      <c r="AH46" s="363"/>
      <c r="AI46" s="363"/>
      <c r="AJ46" s="363"/>
      <c r="AK46" s="363"/>
      <c r="AL46" s="363"/>
      <c r="AM46" s="363"/>
      <c r="AN46" s="363"/>
      <c r="AO46" s="363"/>
      <c r="AP46" s="363"/>
      <c r="AQ46" s="363"/>
      <c r="AR46" s="363"/>
      <c r="AS46" s="363"/>
      <c r="AT46" s="363"/>
      <c r="AU46" s="363"/>
      <c r="AV46" s="363"/>
      <c r="AW46" s="363"/>
      <c r="AX46" s="363"/>
      <c r="AY46" s="363"/>
      <c r="AZ46" s="363"/>
      <c r="BA46" s="363"/>
      <c r="BB46" s="363"/>
      <c r="BC46" s="363"/>
      <c r="BD46" s="363"/>
      <c r="BE46" s="363"/>
      <c r="BF46" s="363"/>
      <c r="BG46" s="363"/>
      <c r="BI46" s="342" t="s">
        <v>1238</v>
      </c>
    </row>
    <row r="47" spans="2:61" hidden="1" x14ac:dyDescent="0.2">
      <c r="B47" s="219" t="str">
        <f>IF(Capacity!N40="","",Capacity!N40)</f>
        <v/>
      </c>
      <c r="C47" s="220" t="str">
        <f>IF(B47="","",Capacity!Q40)</f>
        <v/>
      </c>
      <c r="D47" s="309" t="str">
        <f>IF(B47="","",Capacity!R40)</f>
        <v/>
      </c>
      <c r="E47" s="220" t="str">
        <f>IF(B47="","",IF(COUNTBLANK(H47:BG47)=52,SUM('Capacity calculation (hide)'!H135:BG135),52-COUNTBLANK(H47:BG47)))</f>
        <v/>
      </c>
      <c r="F47" s="310" t="str">
        <f>'Capacity calculation (hide)'!BI135</f>
        <v/>
      </c>
      <c r="H47" s="363"/>
      <c r="I47" s="363"/>
      <c r="J47" s="363"/>
      <c r="K47" s="363"/>
      <c r="L47" s="363"/>
      <c r="M47" s="363"/>
      <c r="N47" s="363"/>
      <c r="O47" s="363"/>
      <c r="P47" s="363"/>
      <c r="Q47" s="363"/>
      <c r="R47" s="363"/>
      <c r="S47" s="363"/>
      <c r="T47" s="363"/>
      <c r="U47" s="363"/>
      <c r="V47" s="363"/>
      <c r="W47" s="363"/>
      <c r="X47" s="363"/>
      <c r="Y47" s="363"/>
      <c r="Z47" s="363"/>
      <c r="AA47" s="363"/>
      <c r="AB47" s="363"/>
      <c r="AC47" s="363"/>
      <c r="AD47" s="363"/>
      <c r="AE47" s="363"/>
      <c r="AF47" s="363"/>
      <c r="AG47" s="363"/>
      <c r="AH47" s="363"/>
      <c r="AI47" s="363"/>
      <c r="AJ47" s="363"/>
      <c r="AK47" s="363"/>
      <c r="AL47" s="363"/>
      <c r="AM47" s="363"/>
      <c r="AN47" s="363"/>
      <c r="AO47" s="363"/>
      <c r="AP47" s="363"/>
      <c r="AQ47" s="363"/>
      <c r="AR47" s="363"/>
      <c r="AS47" s="363"/>
      <c r="AT47" s="363"/>
      <c r="AU47" s="363"/>
      <c r="AV47" s="363"/>
      <c r="AW47" s="363"/>
      <c r="AX47" s="363"/>
      <c r="AY47" s="363"/>
      <c r="AZ47" s="363"/>
      <c r="BA47" s="363"/>
      <c r="BB47" s="363"/>
      <c r="BC47" s="363"/>
      <c r="BD47" s="363"/>
      <c r="BE47" s="363"/>
      <c r="BF47" s="363"/>
      <c r="BG47" s="363"/>
      <c r="BI47" s="342" t="s">
        <v>1238</v>
      </c>
    </row>
    <row r="48" spans="2:61" hidden="1" x14ac:dyDescent="0.2">
      <c r="B48" s="219" t="str">
        <f>IF(Capacity!N41="","",Capacity!N41)</f>
        <v/>
      </c>
      <c r="C48" s="220" t="str">
        <f>IF(B48="","",Capacity!Q41)</f>
        <v/>
      </c>
      <c r="D48" s="309" t="str">
        <f>IF(B48="","",Capacity!R41)</f>
        <v/>
      </c>
      <c r="E48" s="220" t="str">
        <f>IF(B48="","",IF(COUNTBLANK(H48:BG48)=52,SUM('Capacity calculation (hide)'!H136:BG136),52-COUNTBLANK(H48:BG48)))</f>
        <v/>
      </c>
      <c r="F48" s="310" t="str">
        <f>'Capacity calculation (hide)'!BI136</f>
        <v/>
      </c>
      <c r="H48" s="363"/>
      <c r="I48" s="363"/>
      <c r="J48" s="363"/>
      <c r="K48" s="363"/>
      <c r="L48" s="363"/>
      <c r="M48" s="363"/>
      <c r="N48" s="363"/>
      <c r="O48" s="363"/>
      <c r="P48" s="363"/>
      <c r="Q48" s="363"/>
      <c r="R48" s="363"/>
      <c r="S48" s="363"/>
      <c r="T48" s="363"/>
      <c r="U48" s="363"/>
      <c r="V48" s="363"/>
      <c r="W48" s="363"/>
      <c r="X48" s="363"/>
      <c r="Y48" s="363"/>
      <c r="Z48" s="363"/>
      <c r="AA48" s="363"/>
      <c r="AB48" s="363"/>
      <c r="AC48" s="363"/>
      <c r="AD48" s="363"/>
      <c r="AE48" s="363"/>
      <c r="AF48" s="363"/>
      <c r="AG48" s="363"/>
      <c r="AH48" s="363"/>
      <c r="AI48" s="363"/>
      <c r="AJ48" s="363"/>
      <c r="AK48" s="363"/>
      <c r="AL48" s="363"/>
      <c r="AM48" s="363"/>
      <c r="AN48" s="363"/>
      <c r="AO48" s="363"/>
      <c r="AP48" s="363"/>
      <c r="AQ48" s="363"/>
      <c r="AR48" s="363"/>
      <c r="AS48" s="363"/>
      <c r="AT48" s="363"/>
      <c r="AU48" s="363"/>
      <c r="AV48" s="363"/>
      <c r="AW48" s="363"/>
      <c r="AX48" s="363"/>
      <c r="AY48" s="363"/>
      <c r="AZ48" s="363"/>
      <c r="BA48" s="363"/>
      <c r="BB48" s="363"/>
      <c r="BC48" s="363"/>
      <c r="BD48" s="363"/>
      <c r="BE48" s="363"/>
      <c r="BF48" s="363"/>
      <c r="BG48" s="363"/>
      <c r="BI48" s="342" t="s">
        <v>1238</v>
      </c>
    </row>
    <row r="49" spans="2:61" hidden="1" x14ac:dyDescent="0.2">
      <c r="B49" s="219" t="str">
        <f>IF(Capacity!N42="","",Capacity!N42)</f>
        <v/>
      </c>
      <c r="C49" s="220" t="str">
        <f>IF(B49="","",Capacity!Q42)</f>
        <v/>
      </c>
      <c r="D49" s="309" t="str">
        <f>IF(B49="","",Capacity!R42)</f>
        <v/>
      </c>
      <c r="E49" s="220" t="str">
        <f>IF(B49="","",IF(COUNTBLANK(H49:BG49)=52,SUM('Capacity calculation (hide)'!H137:BG137),52-COUNTBLANK(H49:BG49)))</f>
        <v/>
      </c>
      <c r="F49" s="310" t="str">
        <f>'Capacity calculation (hide)'!BI137</f>
        <v/>
      </c>
      <c r="H49" s="363"/>
      <c r="I49" s="363"/>
      <c r="J49" s="363"/>
      <c r="K49" s="363"/>
      <c r="L49" s="363"/>
      <c r="M49" s="363"/>
      <c r="N49" s="363"/>
      <c r="O49" s="363"/>
      <c r="P49" s="363"/>
      <c r="Q49" s="363"/>
      <c r="R49" s="363"/>
      <c r="S49" s="363"/>
      <c r="T49" s="363"/>
      <c r="U49" s="363"/>
      <c r="V49" s="363"/>
      <c r="W49" s="363"/>
      <c r="X49" s="363"/>
      <c r="Y49" s="363"/>
      <c r="Z49" s="363"/>
      <c r="AA49" s="363"/>
      <c r="AB49" s="363"/>
      <c r="AC49" s="363"/>
      <c r="AD49" s="363"/>
      <c r="AE49" s="363"/>
      <c r="AF49" s="363"/>
      <c r="AG49" s="363"/>
      <c r="AH49" s="363"/>
      <c r="AI49" s="363"/>
      <c r="AJ49" s="363"/>
      <c r="AK49" s="363"/>
      <c r="AL49" s="363"/>
      <c r="AM49" s="363"/>
      <c r="AN49" s="363"/>
      <c r="AO49" s="363"/>
      <c r="AP49" s="363"/>
      <c r="AQ49" s="363"/>
      <c r="AR49" s="363"/>
      <c r="AS49" s="363"/>
      <c r="AT49" s="363"/>
      <c r="AU49" s="363"/>
      <c r="AV49" s="363"/>
      <c r="AW49" s="363"/>
      <c r="AX49" s="363"/>
      <c r="AY49" s="363"/>
      <c r="AZ49" s="363"/>
      <c r="BA49" s="363"/>
      <c r="BB49" s="363"/>
      <c r="BC49" s="363"/>
      <c r="BD49" s="363"/>
      <c r="BE49" s="363"/>
      <c r="BF49" s="363"/>
      <c r="BG49" s="363"/>
      <c r="BI49" s="342" t="s">
        <v>1238</v>
      </c>
    </row>
    <row r="50" spans="2:61" hidden="1" x14ac:dyDescent="0.2">
      <c r="B50" s="219" t="str">
        <f>IF(Capacity!N43="","",Capacity!N43)</f>
        <v/>
      </c>
      <c r="C50" s="220" t="str">
        <f>IF(B50="","",Capacity!Q43)</f>
        <v/>
      </c>
      <c r="D50" s="309" t="str">
        <f>IF(B50="","",Capacity!R43)</f>
        <v/>
      </c>
      <c r="E50" s="220" t="str">
        <f>IF(B50="","",IF(COUNTBLANK(H50:BG50)=52,SUM('Capacity calculation (hide)'!H138:BG138),52-COUNTBLANK(H50:BG50)))</f>
        <v/>
      </c>
      <c r="F50" s="310" t="str">
        <f>'Capacity calculation (hide)'!BI138</f>
        <v/>
      </c>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O50" s="363"/>
      <c r="AP50" s="363"/>
      <c r="AQ50" s="363"/>
      <c r="AR50" s="363"/>
      <c r="AS50" s="363"/>
      <c r="AT50" s="363"/>
      <c r="AU50" s="363"/>
      <c r="AV50" s="363"/>
      <c r="AW50" s="363"/>
      <c r="AX50" s="363"/>
      <c r="AY50" s="363"/>
      <c r="AZ50" s="363"/>
      <c r="BA50" s="363"/>
      <c r="BB50" s="363"/>
      <c r="BC50" s="363"/>
      <c r="BD50" s="363"/>
      <c r="BE50" s="363"/>
      <c r="BF50" s="363"/>
      <c r="BG50" s="363"/>
      <c r="BI50" s="342" t="s">
        <v>1238</v>
      </c>
    </row>
    <row r="51" spans="2:61" hidden="1" x14ac:dyDescent="0.2">
      <c r="B51" s="219" t="str">
        <f>IF(Capacity!N44="","",Capacity!N44)</f>
        <v/>
      </c>
      <c r="C51" s="220" t="str">
        <f>IF(B51="","",Capacity!Q44)</f>
        <v/>
      </c>
      <c r="D51" s="309" t="str">
        <f>IF(B51="","",Capacity!R44)</f>
        <v/>
      </c>
      <c r="E51" s="220" t="str">
        <f>IF(B51="","",IF(COUNTBLANK(H51:BG51)=52,SUM('Capacity calculation (hide)'!H139:BG139),52-COUNTBLANK(H51:BG51)))</f>
        <v/>
      </c>
      <c r="F51" s="310" t="str">
        <f>'Capacity calculation (hide)'!BI139</f>
        <v/>
      </c>
      <c r="H51" s="363"/>
      <c r="I51" s="363"/>
      <c r="J51" s="363"/>
      <c r="K51" s="363"/>
      <c r="L51" s="363"/>
      <c r="M51" s="363"/>
      <c r="N51" s="363"/>
      <c r="O51" s="363"/>
      <c r="P51" s="363"/>
      <c r="Q51" s="363"/>
      <c r="R51" s="363"/>
      <c r="S51" s="363"/>
      <c r="T51" s="363"/>
      <c r="U51" s="363"/>
      <c r="V51" s="363"/>
      <c r="W51" s="363"/>
      <c r="X51" s="363"/>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3"/>
      <c r="BC51" s="363"/>
      <c r="BD51" s="363"/>
      <c r="BE51" s="363"/>
      <c r="BF51" s="363"/>
      <c r="BG51" s="363"/>
      <c r="BI51" s="342" t="s">
        <v>1238</v>
      </c>
    </row>
    <row r="52" spans="2:61" hidden="1" x14ac:dyDescent="0.2">
      <c r="B52" s="219" t="str">
        <f>IF(Capacity!N45="","",Capacity!N45)</f>
        <v/>
      </c>
      <c r="C52" s="220" t="str">
        <f>IF(B52="","",Capacity!Q45)</f>
        <v/>
      </c>
      <c r="D52" s="309" t="str">
        <f>IF(B52="","",Capacity!R45)</f>
        <v/>
      </c>
      <c r="E52" s="220" t="str">
        <f>IF(B52="","",IF(COUNTBLANK(H52:BG52)=52,SUM('Capacity calculation (hide)'!H140:BG140),52-COUNTBLANK(H52:BG52)))</f>
        <v/>
      </c>
      <c r="F52" s="310" t="str">
        <f>'Capacity calculation (hide)'!BI140</f>
        <v/>
      </c>
      <c r="H52" s="363"/>
      <c r="I52" s="363"/>
      <c r="J52" s="363"/>
      <c r="K52" s="363"/>
      <c r="L52" s="363"/>
      <c r="M52" s="363"/>
      <c r="N52" s="363"/>
      <c r="O52" s="363"/>
      <c r="P52" s="363"/>
      <c r="Q52" s="363"/>
      <c r="R52" s="363"/>
      <c r="S52" s="363"/>
      <c r="T52" s="363"/>
      <c r="U52" s="363"/>
      <c r="V52" s="363"/>
      <c r="W52" s="363"/>
      <c r="X52" s="363"/>
      <c r="Y52" s="363"/>
      <c r="Z52" s="363"/>
      <c r="AA52" s="363"/>
      <c r="AB52" s="363"/>
      <c r="AC52" s="363"/>
      <c r="AD52" s="363"/>
      <c r="AE52" s="363"/>
      <c r="AF52" s="363"/>
      <c r="AG52" s="363"/>
      <c r="AH52" s="363"/>
      <c r="AI52" s="363"/>
      <c r="AJ52" s="363"/>
      <c r="AK52" s="363"/>
      <c r="AL52" s="363"/>
      <c r="AM52" s="363"/>
      <c r="AN52" s="363"/>
      <c r="AO52" s="363"/>
      <c r="AP52" s="363"/>
      <c r="AQ52" s="363"/>
      <c r="AR52" s="363"/>
      <c r="AS52" s="363"/>
      <c r="AT52" s="363"/>
      <c r="AU52" s="363"/>
      <c r="AV52" s="363"/>
      <c r="AW52" s="363"/>
      <c r="AX52" s="363"/>
      <c r="AY52" s="363"/>
      <c r="AZ52" s="363"/>
      <c r="BA52" s="363"/>
      <c r="BB52" s="363"/>
      <c r="BC52" s="363"/>
      <c r="BD52" s="363"/>
      <c r="BE52" s="363"/>
      <c r="BF52" s="363"/>
      <c r="BG52" s="363"/>
      <c r="BI52" s="342" t="s">
        <v>1238</v>
      </c>
    </row>
    <row r="53" spans="2:61" hidden="1" x14ac:dyDescent="0.2">
      <c r="B53" s="219" t="str">
        <f>IF(Capacity!N46="","",Capacity!N46)</f>
        <v/>
      </c>
      <c r="C53" s="220" t="str">
        <f>IF(B53="","",Capacity!Q46)</f>
        <v/>
      </c>
      <c r="D53" s="309" t="str">
        <f>IF(B53="","",Capacity!R46)</f>
        <v/>
      </c>
      <c r="E53" s="220" t="str">
        <f>IF(B53="","",IF(COUNTBLANK(H53:BG53)=52,SUM('Capacity calculation (hide)'!H141:BG141),52-COUNTBLANK(H53:BG53)))</f>
        <v/>
      </c>
      <c r="F53" s="310" t="str">
        <f>'Capacity calculation (hide)'!BI141</f>
        <v/>
      </c>
      <c r="H53" s="363"/>
      <c r="I53" s="363"/>
      <c r="J53" s="363"/>
      <c r="K53" s="363"/>
      <c r="L53" s="363"/>
      <c r="M53" s="363"/>
      <c r="N53" s="363"/>
      <c r="O53" s="363"/>
      <c r="P53" s="363"/>
      <c r="Q53" s="363"/>
      <c r="R53" s="363"/>
      <c r="S53" s="363"/>
      <c r="T53" s="363"/>
      <c r="U53" s="363"/>
      <c r="V53" s="363"/>
      <c r="W53" s="363"/>
      <c r="X53" s="363"/>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3"/>
      <c r="BC53" s="363"/>
      <c r="BD53" s="363"/>
      <c r="BE53" s="363"/>
      <c r="BF53" s="363"/>
      <c r="BG53" s="363"/>
      <c r="BI53" s="342" t="s">
        <v>1238</v>
      </c>
    </row>
    <row r="54" spans="2:61" hidden="1" x14ac:dyDescent="0.2">
      <c r="B54" s="219" t="str">
        <f>IF(Capacity!N47="","",Capacity!N47)</f>
        <v/>
      </c>
      <c r="C54" s="220" t="str">
        <f>IF(B54="","",Capacity!Q47)</f>
        <v/>
      </c>
      <c r="D54" s="309" t="str">
        <f>IF(B54="","",Capacity!R47)</f>
        <v/>
      </c>
      <c r="E54" s="220" t="str">
        <f>IF(B54="","",IF(COUNTBLANK(H54:BG54)=52,SUM('Capacity calculation (hide)'!H142:BG142),52-COUNTBLANK(H54:BG54)))</f>
        <v/>
      </c>
      <c r="F54" s="310" t="str">
        <f>'Capacity calculation (hide)'!BI142</f>
        <v/>
      </c>
      <c r="H54" s="363"/>
      <c r="I54" s="363"/>
      <c r="J54" s="363"/>
      <c r="K54" s="363"/>
      <c r="L54" s="363"/>
      <c r="M54" s="363"/>
      <c r="N54" s="363"/>
      <c r="O54" s="363"/>
      <c r="P54" s="363"/>
      <c r="Q54" s="363"/>
      <c r="R54" s="363"/>
      <c r="S54" s="363"/>
      <c r="T54" s="363"/>
      <c r="U54" s="363"/>
      <c r="V54" s="363"/>
      <c r="W54" s="363"/>
      <c r="X54" s="363"/>
      <c r="Y54" s="363"/>
      <c r="Z54" s="363"/>
      <c r="AA54" s="363"/>
      <c r="AB54" s="363"/>
      <c r="AC54" s="363"/>
      <c r="AD54" s="363"/>
      <c r="AE54" s="363"/>
      <c r="AF54" s="363"/>
      <c r="AG54" s="363"/>
      <c r="AH54" s="363"/>
      <c r="AI54" s="363"/>
      <c r="AJ54" s="363"/>
      <c r="AK54" s="363"/>
      <c r="AL54" s="363"/>
      <c r="AM54" s="363"/>
      <c r="AN54" s="363"/>
      <c r="AO54" s="363"/>
      <c r="AP54" s="363"/>
      <c r="AQ54" s="363"/>
      <c r="AR54" s="363"/>
      <c r="AS54" s="363"/>
      <c r="AT54" s="363"/>
      <c r="AU54" s="363"/>
      <c r="AV54" s="363"/>
      <c r="AW54" s="363"/>
      <c r="AX54" s="363"/>
      <c r="AY54" s="363"/>
      <c r="AZ54" s="363"/>
      <c r="BA54" s="363"/>
      <c r="BB54" s="363"/>
      <c r="BC54" s="363"/>
      <c r="BD54" s="363"/>
      <c r="BE54" s="363"/>
      <c r="BF54" s="363"/>
      <c r="BG54" s="363"/>
      <c r="BI54" s="342" t="s">
        <v>1238</v>
      </c>
    </row>
    <row r="55" spans="2:61" hidden="1" x14ac:dyDescent="0.2">
      <c r="B55" s="219" t="str">
        <f>IF(Capacity!N48="","",Capacity!N48)</f>
        <v/>
      </c>
      <c r="C55" s="220" t="str">
        <f>IF(B55="","",Capacity!Q48)</f>
        <v/>
      </c>
      <c r="D55" s="309" t="str">
        <f>IF(B55="","",Capacity!R48)</f>
        <v/>
      </c>
      <c r="E55" s="220" t="str">
        <f>IF(B55="","",IF(COUNTBLANK(H55:BG55)=52,SUM('Capacity calculation (hide)'!H143:BG143),52-COUNTBLANK(H55:BG55)))</f>
        <v/>
      </c>
      <c r="F55" s="310" t="str">
        <f>'Capacity calculation (hide)'!BI143</f>
        <v/>
      </c>
      <c r="H55" s="363"/>
      <c r="I55" s="363"/>
      <c r="J55" s="363"/>
      <c r="K55" s="363"/>
      <c r="L55" s="363"/>
      <c r="M55" s="363"/>
      <c r="N55" s="363"/>
      <c r="O55" s="363"/>
      <c r="P55" s="363"/>
      <c r="Q55" s="363"/>
      <c r="R55" s="363"/>
      <c r="S55" s="363"/>
      <c r="T55" s="363"/>
      <c r="U55" s="363"/>
      <c r="V55" s="363"/>
      <c r="W55" s="363"/>
      <c r="X55" s="363"/>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3"/>
      <c r="BC55" s="363"/>
      <c r="BD55" s="363"/>
      <c r="BE55" s="363"/>
      <c r="BF55" s="363"/>
      <c r="BG55" s="363"/>
      <c r="BI55" s="342" t="s">
        <v>1238</v>
      </c>
    </row>
    <row r="56" spans="2:61" hidden="1" x14ac:dyDescent="0.2">
      <c r="B56" s="219" t="str">
        <f>IF(Capacity!N49="","",Capacity!N49)</f>
        <v/>
      </c>
      <c r="C56" s="220" t="str">
        <f>IF(B56="","",Capacity!Q49)</f>
        <v/>
      </c>
      <c r="D56" s="309" t="str">
        <f>IF(B56="","",Capacity!R49)</f>
        <v/>
      </c>
      <c r="E56" s="220" t="str">
        <f>IF(B56="","",IF(COUNTBLANK(H56:BG56)=52,SUM('Capacity calculation (hide)'!H144:BG144),52-COUNTBLANK(H56:BG56)))</f>
        <v/>
      </c>
      <c r="F56" s="310" t="str">
        <f>'Capacity calculation (hide)'!BI144</f>
        <v/>
      </c>
      <c r="H56" s="363"/>
      <c r="I56" s="363"/>
      <c r="J56" s="363"/>
      <c r="K56" s="363"/>
      <c r="L56" s="363"/>
      <c r="M56" s="363"/>
      <c r="N56" s="363"/>
      <c r="O56" s="363"/>
      <c r="P56" s="363"/>
      <c r="Q56" s="363"/>
      <c r="R56" s="363"/>
      <c r="S56" s="363"/>
      <c r="T56" s="363"/>
      <c r="U56" s="363"/>
      <c r="V56" s="363"/>
      <c r="W56" s="363"/>
      <c r="X56" s="363"/>
      <c r="Y56" s="363"/>
      <c r="Z56" s="363"/>
      <c r="AA56" s="363"/>
      <c r="AB56" s="363"/>
      <c r="AC56" s="363"/>
      <c r="AD56" s="363"/>
      <c r="AE56" s="363"/>
      <c r="AF56" s="363"/>
      <c r="AG56" s="363"/>
      <c r="AH56" s="363"/>
      <c r="AI56" s="363"/>
      <c r="AJ56" s="363"/>
      <c r="AK56" s="363"/>
      <c r="AL56" s="363"/>
      <c r="AM56" s="363"/>
      <c r="AN56" s="363"/>
      <c r="AO56" s="363"/>
      <c r="AP56" s="363"/>
      <c r="AQ56" s="363"/>
      <c r="AR56" s="363"/>
      <c r="AS56" s="363"/>
      <c r="AT56" s="363"/>
      <c r="AU56" s="363"/>
      <c r="AV56" s="363"/>
      <c r="AW56" s="363"/>
      <c r="AX56" s="363"/>
      <c r="AY56" s="363"/>
      <c r="AZ56" s="363"/>
      <c r="BA56" s="363"/>
      <c r="BB56" s="363"/>
      <c r="BC56" s="363"/>
      <c r="BD56" s="363"/>
      <c r="BE56" s="363"/>
      <c r="BF56" s="363"/>
      <c r="BG56" s="363"/>
      <c r="BI56" s="342" t="s">
        <v>1238</v>
      </c>
    </row>
    <row r="57" spans="2:61" hidden="1" x14ac:dyDescent="0.2">
      <c r="B57" s="219" t="str">
        <f>IF(Capacity!N50="","",Capacity!N50)</f>
        <v/>
      </c>
      <c r="C57" s="220" t="str">
        <f>IF(B57="","",Capacity!Q50)</f>
        <v/>
      </c>
      <c r="D57" s="309" t="str">
        <f>IF(B57="","",Capacity!R50)</f>
        <v/>
      </c>
      <c r="E57" s="220" t="str">
        <f>IF(B57="","",IF(COUNTBLANK(H57:BG57)=52,SUM('Capacity calculation (hide)'!H145:BG145),52-COUNTBLANK(H57:BG57)))</f>
        <v/>
      </c>
      <c r="F57" s="310" t="str">
        <f>'Capacity calculation (hide)'!BI145</f>
        <v/>
      </c>
      <c r="H57" s="363"/>
      <c r="I57" s="363"/>
      <c r="J57" s="363"/>
      <c r="K57" s="363"/>
      <c r="L57" s="363"/>
      <c r="M57" s="363"/>
      <c r="N57" s="363"/>
      <c r="O57" s="363"/>
      <c r="P57" s="363"/>
      <c r="Q57" s="363"/>
      <c r="R57" s="363"/>
      <c r="S57" s="363"/>
      <c r="T57" s="363"/>
      <c r="U57" s="363"/>
      <c r="V57" s="363"/>
      <c r="W57" s="363"/>
      <c r="X57" s="363"/>
      <c r="Y57" s="363"/>
      <c r="Z57" s="363"/>
      <c r="AA57" s="363"/>
      <c r="AB57" s="363"/>
      <c r="AC57" s="363"/>
      <c r="AD57" s="363"/>
      <c r="AE57" s="363"/>
      <c r="AF57" s="363"/>
      <c r="AG57" s="363"/>
      <c r="AH57" s="363"/>
      <c r="AI57" s="363"/>
      <c r="AJ57" s="363"/>
      <c r="AK57" s="363"/>
      <c r="AL57" s="363"/>
      <c r="AM57" s="363"/>
      <c r="AN57" s="363"/>
      <c r="AO57" s="363"/>
      <c r="AP57" s="363"/>
      <c r="AQ57" s="363"/>
      <c r="AR57" s="363"/>
      <c r="AS57" s="363"/>
      <c r="AT57" s="363"/>
      <c r="AU57" s="363"/>
      <c r="AV57" s="363"/>
      <c r="AW57" s="363"/>
      <c r="AX57" s="363"/>
      <c r="AY57" s="363"/>
      <c r="AZ57" s="363"/>
      <c r="BA57" s="363"/>
      <c r="BB57" s="363"/>
      <c r="BC57" s="363"/>
      <c r="BD57" s="363"/>
      <c r="BE57" s="363"/>
      <c r="BF57" s="363"/>
      <c r="BG57" s="363"/>
      <c r="BI57" s="342" t="s">
        <v>1238</v>
      </c>
    </row>
    <row r="58" spans="2:61" hidden="1" x14ac:dyDescent="0.2">
      <c r="B58" s="219" t="str">
        <f>IF(Capacity!N51="","",Capacity!N51)</f>
        <v/>
      </c>
      <c r="C58" s="220" t="str">
        <f>IF(B58="","",Capacity!Q51)</f>
        <v/>
      </c>
      <c r="D58" s="309" t="str">
        <f>IF(B58="","",Capacity!R51)</f>
        <v/>
      </c>
      <c r="E58" s="220" t="str">
        <f>IF(B58="","",IF(COUNTBLANK(H58:BG58)=52,SUM('Capacity calculation (hide)'!H146:BG146),52-COUNTBLANK(H58:BG58)))</f>
        <v/>
      </c>
      <c r="F58" s="310" t="str">
        <f>'Capacity calculation (hide)'!BI146</f>
        <v/>
      </c>
      <c r="H58" s="363"/>
      <c r="I58" s="363"/>
      <c r="J58" s="363"/>
      <c r="K58" s="363"/>
      <c r="L58" s="363"/>
      <c r="M58" s="363"/>
      <c r="N58" s="363"/>
      <c r="O58" s="363"/>
      <c r="P58" s="363"/>
      <c r="Q58" s="363"/>
      <c r="R58" s="363"/>
      <c r="S58" s="363"/>
      <c r="T58" s="363"/>
      <c r="U58" s="363"/>
      <c r="V58" s="363"/>
      <c r="W58" s="363"/>
      <c r="X58" s="363"/>
      <c r="Y58" s="363"/>
      <c r="Z58" s="363"/>
      <c r="AA58" s="363"/>
      <c r="AB58" s="363"/>
      <c r="AC58" s="363"/>
      <c r="AD58" s="363"/>
      <c r="AE58" s="363"/>
      <c r="AF58" s="363"/>
      <c r="AG58" s="363"/>
      <c r="AH58" s="363"/>
      <c r="AI58" s="363"/>
      <c r="AJ58" s="363"/>
      <c r="AK58" s="363"/>
      <c r="AL58" s="363"/>
      <c r="AM58" s="363"/>
      <c r="AN58" s="363"/>
      <c r="AO58" s="363"/>
      <c r="AP58" s="363"/>
      <c r="AQ58" s="363"/>
      <c r="AR58" s="363"/>
      <c r="AS58" s="363"/>
      <c r="AT58" s="363"/>
      <c r="AU58" s="363"/>
      <c r="AV58" s="363"/>
      <c r="AW58" s="363"/>
      <c r="AX58" s="363"/>
      <c r="AY58" s="363"/>
      <c r="AZ58" s="363"/>
      <c r="BA58" s="363"/>
      <c r="BB58" s="363"/>
      <c r="BC58" s="363"/>
      <c r="BD58" s="363"/>
      <c r="BE58" s="363"/>
      <c r="BF58" s="363"/>
      <c r="BG58" s="363"/>
      <c r="BI58" s="342" t="s">
        <v>1238</v>
      </c>
    </row>
    <row r="59" spans="2:61" hidden="1" x14ac:dyDescent="0.2">
      <c r="B59" s="219" t="str">
        <f>IF(Capacity!N52="","",Capacity!N52)</f>
        <v/>
      </c>
      <c r="C59" s="220" t="str">
        <f>IF(B59="","",Capacity!Q52)</f>
        <v/>
      </c>
      <c r="D59" s="309" t="str">
        <f>IF(B59="","",Capacity!R52)</f>
        <v/>
      </c>
      <c r="E59" s="220" t="str">
        <f>IF(B59="","",IF(COUNTBLANK(H59:BG59)=52,SUM('Capacity calculation (hide)'!H147:BG147),52-COUNTBLANK(H59:BG59)))</f>
        <v/>
      </c>
      <c r="F59" s="310" t="str">
        <f>'Capacity calculation (hide)'!BI147</f>
        <v/>
      </c>
      <c r="H59" s="363"/>
      <c r="I59" s="363"/>
      <c r="J59" s="363"/>
      <c r="K59" s="363"/>
      <c r="L59" s="363"/>
      <c r="M59" s="363"/>
      <c r="N59" s="363"/>
      <c r="O59" s="363"/>
      <c r="P59" s="363"/>
      <c r="Q59" s="363"/>
      <c r="R59" s="363"/>
      <c r="S59" s="363"/>
      <c r="T59" s="363"/>
      <c r="U59" s="363"/>
      <c r="V59" s="363"/>
      <c r="W59" s="363"/>
      <c r="X59" s="363"/>
      <c r="Y59" s="363"/>
      <c r="Z59" s="363"/>
      <c r="AA59" s="363"/>
      <c r="AB59" s="363"/>
      <c r="AC59" s="363"/>
      <c r="AD59" s="363"/>
      <c r="AE59" s="363"/>
      <c r="AF59" s="363"/>
      <c r="AG59" s="363"/>
      <c r="AH59" s="363"/>
      <c r="AI59" s="363"/>
      <c r="AJ59" s="363"/>
      <c r="AK59" s="363"/>
      <c r="AL59" s="363"/>
      <c r="AM59" s="363"/>
      <c r="AN59" s="363"/>
      <c r="AO59" s="363"/>
      <c r="AP59" s="363"/>
      <c r="AQ59" s="363"/>
      <c r="AR59" s="363"/>
      <c r="AS59" s="363"/>
      <c r="AT59" s="363"/>
      <c r="AU59" s="363"/>
      <c r="AV59" s="363"/>
      <c r="AW59" s="363"/>
      <c r="AX59" s="363"/>
      <c r="AY59" s="363"/>
      <c r="AZ59" s="363"/>
      <c r="BA59" s="363"/>
      <c r="BB59" s="363"/>
      <c r="BC59" s="363"/>
      <c r="BD59" s="363"/>
      <c r="BE59" s="363"/>
      <c r="BF59" s="363"/>
      <c r="BG59" s="363"/>
      <c r="BI59" s="342" t="s">
        <v>1238</v>
      </c>
    </row>
    <row r="60" spans="2:61" hidden="1" x14ac:dyDescent="0.2">
      <c r="B60" s="219" t="str">
        <f>IF(Capacity!N53="","",Capacity!N53)</f>
        <v/>
      </c>
      <c r="C60" s="220" t="str">
        <f>IF(B60="","",Capacity!Q53)</f>
        <v/>
      </c>
      <c r="D60" s="309" t="str">
        <f>IF(B60="","",Capacity!R53)</f>
        <v/>
      </c>
      <c r="E60" s="220" t="str">
        <f>IF(B60="","",IF(COUNTBLANK(H60:BG60)=52,SUM('Capacity calculation (hide)'!H148:BG148),52-COUNTBLANK(H60:BG60)))</f>
        <v/>
      </c>
      <c r="F60" s="310" t="str">
        <f>'Capacity calculation (hide)'!BI148</f>
        <v/>
      </c>
      <c r="H60" s="363"/>
      <c r="I60" s="363"/>
      <c r="J60" s="363"/>
      <c r="K60" s="363"/>
      <c r="L60" s="363"/>
      <c r="M60" s="363"/>
      <c r="N60" s="363"/>
      <c r="O60" s="363"/>
      <c r="P60" s="363"/>
      <c r="Q60" s="363"/>
      <c r="R60" s="363"/>
      <c r="S60" s="363"/>
      <c r="T60" s="363"/>
      <c r="U60" s="363"/>
      <c r="V60" s="363"/>
      <c r="W60" s="363"/>
      <c r="X60" s="363"/>
      <c r="Y60" s="363"/>
      <c r="Z60" s="363"/>
      <c r="AA60" s="363"/>
      <c r="AB60" s="363"/>
      <c r="AC60" s="363"/>
      <c r="AD60" s="363"/>
      <c r="AE60" s="363"/>
      <c r="AF60" s="363"/>
      <c r="AG60" s="363"/>
      <c r="AH60" s="363"/>
      <c r="AI60" s="363"/>
      <c r="AJ60" s="363"/>
      <c r="AK60" s="363"/>
      <c r="AL60" s="363"/>
      <c r="AM60" s="363"/>
      <c r="AN60" s="363"/>
      <c r="AO60" s="363"/>
      <c r="AP60" s="363"/>
      <c r="AQ60" s="363"/>
      <c r="AR60" s="363"/>
      <c r="AS60" s="363"/>
      <c r="AT60" s="363"/>
      <c r="AU60" s="363"/>
      <c r="AV60" s="363"/>
      <c r="AW60" s="363"/>
      <c r="AX60" s="363"/>
      <c r="AY60" s="363"/>
      <c r="AZ60" s="363"/>
      <c r="BA60" s="363"/>
      <c r="BB60" s="363"/>
      <c r="BC60" s="363"/>
      <c r="BD60" s="363"/>
      <c r="BE60" s="363"/>
      <c r="BF60" s="363"/>
      <c r="BG60" s="363"/>
      <c r="BI60" s="342" t="s">
        <v>1238</v>
      </c>
    </row>
    <row r="61" spans="2:61" hidden="1" x14ac:dyDescent="0.2">
      <c r="B61" s="219" t="str">
        <f>IF(Capacity!N54="","",Capacity!N54)</f>
        <v/>
      </c>
      <c r="C61" s="220" t="str">
        <f>IF(B61="","",Capacity!Q54)</f>
        <v/>
      </c>
      <c r="D61" s="309" t="str">
        <f>IF(B61="","",Capacity!R54)</f>
        <v/>
      </c>
      <c r="E61" s="220" t="str">
        <f>IF(B61="","",IF(COUNTBLANK(H61:BG61)=52,SUM('Capacity calculation (hide)'!H149:BG149),52-COUNTBLANK(H61:BG61)))</f>
        <v/>
      </c>
      <c r="F61" s="310" t="str">
        <f>'Capacity calculation (hide)'!BI149</f>
        <v/>
      </c>
      <c r="H61" s="363"/>
      <c r="I61" s="363"/>
      <c r="J61" s="363"/>
      <c r="K61" s="363"/>
      <c r="L61" s="363"/>
      <c r="M61" s="363"/>
      <c r="N61" s="363"/>
      <c r="O61" s="363"/>
      <c r="P61" s="363"/>
      <c r="Q61" s="363"/>
      <c r="R61" s="363"/>
      <c r="S61" s="363"/>
      <c r="T61" s="363"/>
      <c r="U61" s="363"/>
      <c r="V61" s="363"/>
      <c r="W61" s="363"/>
      <c r="X61" s="363"/>
      <c r="Y61" s="363"/>
      <c r="Z61" s="363"/>
      <c r="AA61" s="363"/>
      <c r="AB61" s="363"/>
      <c r="AC61" s="363"/>
      <c r="AD61" s="363"/>
      <c r="AE61" s="363"/>
      <c r="AF61" s="363"/>
      <c r="AG61" s="363"/>
      <c r="AH61" s="363"/>
      <c r="AI61" s="363"/>
      <c r="AJ61" s="363"/>
      <c r="AK61" s="363"/>
      <c r="AL61" s="363"/>
      <c r="AM61" s="363"/>
      <c r="AN61" s="363"/>
      <c r="AO61" s="363"/>
      <c r="AP61" s="363"/>
      <c r="AQ61" s="363"/>
      <c r="AR61" s="363"/>
      <c r="AS61" s="363"/>
      <c r="AT61" s="363"/>
      <c r="AU61" s="363"/>
      <c r="AV61" s="363"/>
      <c r="AW61" s="363"/>
      <c r="AX61" s="363"/>
      <c r="AY61" s="363"/>
      <c r="AZ61" s="363"/>
      <c r="BA61" s="363"/>
      <c r="BB61" s="363"/>
      <c r="BC61" s="363"/>
      <c r="BD61" s="363"/>
      <c r="BE61" s="363"/>
      <c r="BF61" s="363"/>
      <c r="BG61" s="363"/>
      <c r="BI61" s="342" t="s">
        <v>1238</v>
      </c>
    </row>
    <row r="62" spans="2:61" hidden="1" x14ac:dyDescent="0.2">
      <c r="B62" s="219" t="str">
        <f>IF(Capacity!N55="","",Capacity!N55)</f>
        <v/>
      </c>
      <c r="C62" s="220" t="str">
        <f>IF(B62="","",Capacity!Q55)</f>
        <v/>
      </c>
      <c r="D62" s="309" t="str">
        <f>IF(B62="","",Capacity!R55)</f>
        <v/>
      </c>
      <c r="E62" s="220" t="str">
        <f>IF(B62="","",IF(COUNTBLANK(H62:BG62)=52,SUM('Capacity calculation (hide)'!H150:BG150),52-COUNTBLANK(H62:BG62)))</f>
        <v/>
      </c>
      <c r="F62" s="310" t="str">
        <f>'Capacity calculation (hide)'!BI150</f>
        <v/>
      </c>
      <c r="H62" s="363"/>
      <c r="I62" s="363"/>
      <c r="J62" s="363"/>
      <c r="K62" s="363"/>
      <c r="L62" s="363"/>
      <c r="M62" s="363"/>
      <c r="N62" s="363"/>
      <c r="O62" s="363"/>
      <c r="P62" s="363"/>
      <c r="Q62" s="363"/>
      <c r="R62" s="363"/>
      <c r="S62" s="363"/>
      <c r="T62" s="363"/>
      <c r="U62" s="363"/>
      <c r="V62" s="363"/>
      <c r="W62" s="363"/>
      <c r="X62" s="363"/>
      <c r="Y62" s="363"/>
      <c r="Z62" s="363"/>
      <c r="AA62" s="363"/>
      <c r="AB62" s="363"/>
      <c r="AC62" s="363"/>
      <c r="AD62" s="363"/>
      <c r="AE62" s="363"/>
      <c r="AF62" s="363"/>
      <c r="AG62" s="363"/>
      <c r="AH62" s="363"/>
      <c r="AI62" s="363"/>
      <c r="AJ62" s="363"/>
      <c r="AK62" s="363"/>
      <c r="AL62" s="363"/>
      <c r="AM62" s="363"/>
      <c r="AN62" s="363"/>
      <c r="AO62" s="363"/>
      <c r="AP62" s="363"/>
      <c r="AQ62" s="363"/>
      <c r="AR62" s="363"/>
      <c r="AS62" s="363"/>
      <c r="AT62" s="363"/>
      <c r="AU62" s="363"/>
      <c r="AV62" s="363"/>
      <c r="AW62" s="363"/>
      <c r="AX62" s="363"/>
      <c r="AY62" s="363"/>
      <c r="AZ62" s="363"/>
      <c r="BA62" s="363"/>
      <c r="BB62" s="363"/>
      <c r="BC62" s="363"/>
      <c r="BD62" s="363"/>
      <c r="BE62" s="363"/>
      <c r="BF62" s="363"/>
      <c r="BG62" s="363"/>
      <c r="BI62" s="342" t="s">
        <v>1238</v>
      </c>
    </row>
    <row r="63" spans="2:61" hidden="1" x14ac:dyDescent="0.2">
      <c r="B63" s="219" t="str">
        <f>IF(Capacity!N56="","",Capacity!N56)</f>
        <v/>
      </c>
      <c r="C63" s="220" t="str">
        <f>IF(B63="","",Capacity!Q56)</f>
        <v/>
      </c>
      <c r="D63" s="309" t="str">
        <f>IF(B63="","",Capacity!R56)</f>
        <v/>
      </c>
      <c r="E63" s="220" t="str">
        <f>IF(B63="","",IF(COUNTBLANK(H63:BG63)=52,SUM('Capacity calculation (hide)'!H151:BG151),52-COUNTBLANK(H63:BG63)))</f>
        <v/>
      </c>
      <c r="F63" s="310" t="str">
        <f>'Capacity calculation (hide)'!BI151</f>
        <v/>
      </c>
      <c r="H63" s="363"/>
      <c r="I63" s="363"/>
      <c r="J63" s="363"/>
      <c r="K63" s="363"/>
      <c r="L63" s="363"/>
      <c r="M63" s="363"/>
      <c r="N63" s="363"/>
      <c r="O63" s="363"/>
      <c r="P63" s="363"/>
      <c r="Q63" s="363"/>
      <c r="R63" s="363"/>
      <c r="S63" s="363"/>
      <c r="T63" s="363"/>
      <c r="U63" s="363"/>
      <c r="V63" s="363"/>
      <c r="W63" s="363"/>
      <c r="X63" s="363"/>
      <c r="Y63" s="363"/>
      <c r="Z63" s="363"/>
      <c r="AA63" s="363"/>
      <c r="AB63" s="363"/>
      <c r="AC63" s="363"/>
      <c r="AD63" s="363"/>
      <c r="AE63" s="363"/>
      <c r="AF63" s="363"/>
      <c r="AG63" s="363"/>
      <c r="AH63" s="363"/>
      <c r="AI63" s="363"/>
      <c r="AJ63" s="363"/>
      <c r="AK63" s="363"/>
      <c r="AL63" s="363"/>
      <c r="AM63" s="363"/>
      <c r="AN63" s="363"/>
      <c r="AO63" s="363"/>
      <c r="AP63" s="363"/>
      <c r="AQ63" s="363"/>
      <c r="AR63" s="363"/>
      <c r="AS63" s="363"/>
      <c r="AT63" s="363"/>
      <c r="AU63" s="363"/>
      <c r="AV63" s="363"/>
      <c r="AW63" s="363"/>
      <c r="AX63" s="363"/>
      <c r="AY63" s="363"/>
      <c r="AZ63" s="363"/>
      <c r="BA63" s="363"/>
      <c r="BB63" s="363"/>
      <c r="BC63" s="363"/>
      <c r="BD63" s="363"/>
      <c r="BE63" s="363"/>
      <c r="BF63" s="363"/>
      <c r="BG63" s="363"/>
      <c r="BI63" s="342" t="s">
        <v>1238</v>
      </c>
    </row>
    <row r="64" spans="2:61" hidden="1" x14ac:dyDescent="0.2">
      <c r="B64" s="219" t="str">
        <f>IF(Capacity!N57="","",Capacity!N57)</f>
        <v/>
      </c>
      <c r="C64" s="220" t="str">
        <f>IF(B64="","",Capacity!Q57)</f>
        <v/>
      </c>
      <c r="D64" s="309" t="str">
        <f>IF(B64="","",Capacity!R57)</f>
        <v/>
      </c>
      <c r="E64" s="220" t="str">
        <f>IF(B64="","",IF(COUNTBLANK(H64:BG64)=52,SUM('Capacity calculation (hide)'!H152:BG152),52-COUNTBLANK(H64:BG64)))</f>
        <v/>
      </c>
      <c r="F64" s="310" t="str">
        <f>'Capacity calculation (hide)'!BI152</f>
        <v/>
      </c>
      <c r="H64" s="363"/>
      <c r="I64" s="363"/>
      <c r="J64" s="363"/>
      <c r="K64" s="363"/>
      <c r="L64" s="363"/>
      <c r="M64" s="363"/>
      <c r="N64" s="363"/>
      <c r="O64" s="363"/>
      <c r="P64" s="363"/>
      <c r="Q64" s="363"/>
      <c r="R64" s="363"/>
      <c r="S64" s="363"/>
      <c r="T64" s="363"/>
      <c r="U64" s="363"/>
      <c r="V64" s="363"/>
      <c r="W64" s="363"/>
      <c r="X64" s="363"/>
      <c r="Y64" s="363"/>
      <c r="Z64" s="363"/>
      <c r="AA64" s="363"/>
      <c r="AB64" s="363"/>
      <c r="AC64" s="363"/>
      <c r="AD64" s="363"/>
      <c r="AE64" s="363"/>
      <c r="AF64" s="363"/>
      <c r="AG64" s="363"/>
      <c r="AH64" s="363"/>
      <c r="AI64" s="363"/>
      <c r="AJ64" s="363"/>
      <c r="AK64" s="363"/>
      <c r="AL64" s="363"/>
      <c r="AM64" s="363"/>
      <c r="AN64" s="363"/>
      <c r="AO64" s="363"/>
      <c r="AP64" s="363"/>
      <c r="AQ64" s="363"/>
      <c r="AR64" s="363"/>
      <c r="AS64" s="363"/>
      <c r="AT64" s="363"/>
      <c r="AU64" s="363"/>
      <c r="AV64" s="363"/>
      <c r="AW64" s="363"/>
      <c r="AX64" s="363"/>
      <c r="AY64" s="363"/>
      <c r="AZ64" s="363"/>
      <c r="BA64" s="363"/>
      <c r="BB64" s="363"/>
      <c r="BC64" s="363"/>
      <c r="BD64" s="363"/>
      <c r="BE64" s="363"/>
      <c r="BF64" s="363"/>
      <c r="BG64" s="363"/>
      <c r="BI64" s="342" t="s">
        <v>1238</v>
      </c>
    </row>
    <row r="65" spans="2:61" hidden="1" x14ac:dyDescent="0.2">
      <c r="B65" s="219" t="str">
        <f>IF(Capacity!N58="","",Capacity!N58)</f>
        <v/>
      </c>
      <c r="C65" s="220" t="str">
        <f>IF(B65="","",Capacity!Q58)</f>
        <v/>
      </c>
      <c r="D65" s="309" t="str">
        <f>IF(B65="","",Capacity!R58)</f>
        <v/>
      </c>
      <c r="E65" s="220" t="str">
        <f>IF(B65="","",IF(COUNTBLANK(H65:BG65)=52,SUM('Capacity calculation (hide)'!H153:BG153),52-COUNTBLANK(H65:BG65)))</f>
        <v/>
      </c>
      <c r="F65" s="310" t="str">
        <f>'Capacity calculation (hide)'!BI153</f>
        <v/>
      </c>
      <c r="H65" s="363"/>
      <c r="I65" s="363"/>
      <c r="J65" s="363"/>
      <c r="K65" s="363"/>
      <c r="L65" s="363"/>
      <c r="M65" s="363"/>
      <c r="N65" s="363"/>
      <c r="O65" s="363"/>
      <c r="P65" s="363"/>
      <c r="Q65" s="363"/>
      <c r="R65" s="363"/>
      <c r="S65" s="363"/>
      <c r="T65" s="363"/>
      <c r="U65" s="363"/>
      <c r="V65" s="363"/>
      <c r="W65" s="363"/>
      <c r="X65" s="363"/>
      <c r="Y65" s="363"/>
      <c r="Z65" s="363"/>
      <c r="AA65" s="363"/>
      <c r="AB65" s="363"/>
      <c r="AC65" s="363"/>
      <c r="AD65" s="363"/>
      <c r="AE65" s="363"/>
      <c r="AF65" s="363"/>
      <c r="AG65" s="363"/>
      <c r="AH65" s="363"/>
      <c r="AI65" s="363"/>
      <c r="AJ65" s="363"/>
      <c r="AK65" s="363"/>
      <c r="AL65" s="363"/>
      <c r="AM65" s="363"/>
      <c r="AN65" s="363"/>
      <c r="AO65" s="363"/>
      <c r="AP65" s="363"/>
      <c r="AQ65" s="363"/>
      <c r="AR65" s="363"/>
      <c r="AS65" s="363"/>
      <c r="AT65" s="363"/>
      <c r="AU65" s="363"/>
      <c r="AV65" s="363"/>
      <c r="AW65" s="363"/>
      <c r="AX65" s="363"/>
      <c r="AY65" s="363"/>
      <c r="AZ65" s="363"/>
      <c r="BA65" s="363"/>
      <c r="BB65" s="363"/>
      <c r="BC65" s="363"/>
      <c r="BD65" s="363"/>
      <c r="BE65" s="363"/>
      <c r="BF65" s="363"/>
      <c r="BG65" s="363"/>
      <c r="BI65" s="342" t="s">
        <v>1238</v>
      </c>
    </row>
    <row r="66" spans="2:61" hidden="1" x14ac:dyDescent="0.2">
      <c r="B66" s="219" t="str">
        <f>IF(Capacity!N59="","",Capacity!N59)</f>
        <v/>
      </c>
      <c r="C66" s="220" t="str">
        <f>IF(B66="","",Capacity!Q59)</f>
        <v/>
      </c>
      <c r="D66" s="309" t="str">
        <f>IF(B66="","",Capacity!R59)</f>
        <v/>
      </c>
      <c r="E66" s="220" t="str">
        <f>IF(B66="","",IF(COUNTBLANK(H66:BG66)=52,SUM('Capacity calculation (hide)'!H154:BG154),52-COUNTBLANK(H66:BG66)))</f>
        <v/>
      </c>
      <c r="F66" s="310" t="str">
        <f>'Capacity calculation (hide)'!BI154</f>
        <v/>
      </c>
      <c r="H66" s="363"/>
      <c r="I66" s="363"/>
      <c r="J66" s="363"/>
      <c r="K66" s="363"/>
      <c r="L66" s="363"/>
      <c r="M66" s="363"/>
      <c r="N66" s="363"/>
      <c r="O66" s="363"/>
      <c r="P66" s="363"/>
      <c r="Q66" s="363"/>
      <c r="R66" s="363"/>
      <c r="S66" s="363"/>
      <c r="T66" s="363"/>
      <c r="U66" s="363"/>
      <c r="V66" s="363"/>
      <c r="W66" s="363"/>
      <c r="X66" s="363"/>
      <c r="Y66" s="363"/>
      <c r="Z66" s="363"/>
      <c r="AA66" s="363"/>
      <c r="AB66" s="363"/>
      <c r="AC66" s="363"/>
      <c r="AD66" s="363"/>
      <c r="AE66" s="363"/>
      <c r="AF66" s="363"/>
      <c r="AG66" s="363"/>
      <c r="AH66" s="363"/>
      <c r="AI66" s="363"/>
      <c r="AJ66" s="363"/>
      <c r="AK66" s="363"/>
      <c r="AL66" s="363"/>
      <c r="AM66" s="363"/>
      <c r="AN66" s="363"/>
      <c r="AO66" s="363"/>
      <c r="AP66" s="363"/>
      <c r="AQ66" s="363"/>
      <c r="AR66" s="363"/>
      <c r="AS66" s="363"/>
      <c r="AT66" s="363"/>
      <c r="AU66" s="363"/>
      <c r="AV66" s="363"/>
      <c r="AW66" s="363"/>
      <c r="AX66" s="363"/>
      <c r="AY66" s="363"/>
      <c r="AZ66" s="363"/>
      <c r="BA66" s="363"/>
      <c r="BB66" s="363"/>
      <c r="BC66" s="363"/>
      <c r="BD66" s="363"/>
      <c r="BE66" s="363"/>
      <c r="BF66" s="363"/>
      <c r="BG66" s="363"/>
      <c r="BI66" s="342" t="s">
        <v>1238</v>
      </c>
    </row>
    <row r="67" spans="2:61" hidden="1" x14ac:dyDescent="0.2">
      <c r="B67" s="219" t="str">
        <f>IF(Capacity!N60="","",Capacity!N60)</f>
        <v/>
      </c>
      <c r="C67" s="220" t="str">
        <f>IF(B67="","",Capacity!Q60)</f>
        <v/>
      </c>
      <c r="D67" s="309" t="str">
        <f>IF(B67="","",Capacity!R60)</f>
        <v/>
      </c>
      <c r="E67" s="220" t="str">
        <f>IF(B67="","",IF(COUNTBLANK(H67:BG67)=52,SUM('Capacity calculation (hide)'!H155:BG155),52-COUNTBLANK(H67:BG67)))</f>
        <v/>
      </c>
      <c r="F67" s="310" t="str">
        <f>'Capacity calculation (hide)'!BI155</f>
        <v/>
      </c>
      <c r="H67" s="363"/>
      <c r="I67" s="363"/>
      <c r="J67" s="363"/>
      <c r="K67" s="363"/>
      <c r="L67" s="363"/>
      <c r="M67" s="363"/>
      <c r="N67" s="363"/>
      <c r="O67" s="363"/>
      <c r="P67" s="363"/>
      <c r="Q67" s="363"/>
      <c r="R67" s="363"/>
      <c r="S67" s="363"/>
      <c r="T67" s="363"/>
      <c r="U67" s="363"/>
      <c r="V67" s="363"/>
      <c r="W67" s="363"/>
      <c r="X67" s="363"/>
      <c r="Y67" s="363"/>
      <c r="Z67" s="363"/>
      <c r="AA67" s="363"/>
      <c r="AB67" s="363"/>
      <c r="AC67" s="363"/>
      <c r="AD67" s="363"/>
      <c r="AE67" s="363"/>
      <c r="AF67" s="363"/>
      <c r="AG67" s="363"/>
      <c r="AH67" s="363"/>
      <c r="AI67" s="363"/>
      <c r="AJ67" s="363"/>
      <c r="AK67" s="363"/>
      <c r="AL67" s="363"/>
      <c r="AM67" s="363"/>
      <c r="AN67" s="363"/>
      <c r="AO67" s="363"/>
      <c r="AP67" s="363"/>
      <c r="AQ67" s="363"/>
      <c r="AR67" s="363"/>
      <c r="AS67" s="363"/>
      <c r="AT67" s="363"/>
      <c r="AU67" s="363"/>
      <c r="AV67" s="363"/>
      <c r="AW67" s="363"/>
      <c r="AX67" s="363"/>
      <c r="AY67" s="363"/>
      <c r="AZ67" s="363"/>
      <c r="BA67" s="363"/>
      <c r="BB67" s="363"/>
      <c r="BC67" s="363"/>
      <c r="BD67" s="363"/>
      <c r="BE67" s="363"/>
      <c r="BF67" s="363"/>
      <c r="BG67" s="363"/>
      <c r="BI67" s="342" t="s">
        <v>1238</v>
      </c>
    </row>
    <row r="68" spans="2:61" hidden="1" x14ac:dyDescent="0.2">
      <c r="B68" s="219" t="str">
        <f>IF(Capacity!N61="","",Capacity!N61)</f>
        <v/>
      </c>
      <c r="C68" s="220" t="str">
        <f>IF(B68="","",Capacity!Q61)</f>
        <v/>
      </c>
      <c r="D68" s="309" t="str">
        <f>IF(B68="","",Capacity!R61)</f>
        <v/>
      </c>
      <c r="E68" s="220" t="str">
        <f>IF(B68="","",IF(COUNTBLANK(H68:BG68)=52,SUM('Capacity calculation (hide)'!H156:BG156),52-COUNTBLANK(H68:BG68)))</f>
        <v/>
      </c>
      <c r="F68" s="310" t="str">
        <f>'Capacity calculation (hide)'!BI156</f>
        <v/>
      </c>
      <c r="H68" s="363"/>
      <c r="I68" s="363"/>
      <c r="J68" s="363"/>
      <c r="K68" s="363"/>
      <c r="L68" s="363"/>
      <c r="M68" s="363"/>
      <c r="N68" s="363"/>
      <c r="O68" s="363"/>
      <c r="P68" s="363"/>
      <c r="Q68" s="363"/>
      <c r="R68" s="363"/>
      <c r="S68" s="363"/>
      <c r="T68" s="363"/>
      <c r="U68" s="363"/>
      <c r="V68" s="363"/>
      <c r="W68" s="363"/>
      <c r="X68" s="363"/>
      <c r="Y68" s="363"/>
      <c r="Z68" s="363"/>
      <c r="AA68" s="363"/>
      <c r="AB68" s="363"/>
      <c r="AC68" s="363"/>
      <c r="AD68" s="363"/>
      <c r="AE68" s="363"/>
      <c r="AF68" s="363"/>
      <c r="AG68" s="363"/>
      <c r="AH68" s="363"/>
      <c r="AI68" s="363"/>
      <c r="AJ68" s="363"/>
      <c r="AK68" s="363"/>
      <c r="AL68" s="363"/>
      <c r="AM68" s="363"/>
      <c r="AN68" s="363"/>
      <c r="AO68" s="363"/>
      <c r="AP68" s="363"/>
      <c r="AQ68" s="363"/>
      <c r="AR68" s="363"/>
      <c r="AS68" s="363"/>
      <c r="AT68" s="363"/>
      <c r="AU68" s="363"/>
      <c r="AV68" s="363"/>
      <c r="AW68" s="363"/>
      <c r="AX68" s="363"/>
      <c r="AY68" s="363"/>
      <c r="AZ68" s="363"/>
      <c r="BA68" s="363"/>
      <c r="BB68" s="363"/>
      <c r="BC68" s="363"/>
      <c r="BD68" s="363"/>
      <c r="BE68" s="363"/>
      <c r="BF68" s="363"/>
      <c r="BG68" s="363"/>
      <c r="BI68" s="342" t="s">
        <v>1238</v>
      </c>
    </row>
    <row r="69" spans="2:61" hidden="1" x14ac:dyDescent="0.2">
      <c r="B69" s="219" t="str">
        <f>IF(Capacity!N62="","",Capacity!N62)</f>
        <v/>
      </c>
      <c r="C69" s="220" t="str">
        <f>IF(B69="","",Capacity!Q62)</f>
        <v/>
      </c>
      <c r="D69" s="309" t="str">
        <f>IF(B69="","",Capacity!R62)</f>
        <v/>
      </c>
      <c r="E69" s="220" t="str">
        <f>IF(B69="","",IF(COUNTBLANK(H69:BG69)=52,SUM('Capacity calculation (hide)'!H157:BG157),52-COUNTBLANK(H69:BG69)))</f>
        <v/>
      </c>
      <c r="F69" s="310" t="str">
        <f>'Capacity calculation (hide)'!BI157</f>
        <v/>
      </c>
      <c r="H69" s="363"/>
      <c r="I69" s="363"/>
      <c r="J69" s="363"/>
      <c r="K69" s="363"/>
      <c r="L69" s="363"/>
      <c r="M69" s="363"/>
      <c r="N69" s="363"/>
      <c r="O69" s="363"/>
      <c r="P69" s="363"/>
      <c r="Q69" s="363"/>
      <c r="R69" s="363"/>
      <c r="S69" s="363"/>
      <c r="T69" s="363"/>
      <c r="U69" s="363"/>
      <c r="V69" s="363"/>
      <c r="W69" s="363"/>
      <c r="X69" s="363"/>
      <c r="Y69" s="363"/>
      <c r="Z69" s="363"/>
      <c r="AA69" s="363"/>
      <c r="AB69" s="363"/>
      <c r="AC69" s="363"/>
      <c r="AD69" s="363"/>
      <c r="AE69" s="363"/>
      <c r="AF69" s="363"/>
      <c r="AG69" s="363"/>
      <c r="AH69" s="363"/>
      <c r="AI69" s="363"/>
      <c r="AJ69" s="363"/>
      <c r="AK69" s="363"/>
      <c r="AL69" s="363"/>
      <c r="AM69" s="363"/>
      <c r="AN69" s="363"/>
      <c r="AO69" s="363"/>
      <c r="AP69" s="363"/>
      <c r="AQ69" s="363"/>
      <c r="AR69" s="363"/>
      <c r="AS69" s="363"/>
      <c r="AT69" s="363"/>
      <c r="AU69" s="363"/>
      <c r="AV69" s="363"/>
      <c r="AW69" s="363"/>
      <c r="AX69" s="363"/>
      <c r="AY69" s="363"/>
      <c r="AZ69" s="363"/>
      <c r="BA69" s="363"/>
      <c r="BB69" s="363"/>
      <c r="BC69" s="363"/>
      <c r="BD69" s="363"/>
      <c r="BE69" s="363"/>
      <c r="BF69" s="363"/>
      <c r="BG69" s="363"/>
      <c r="BI69" s="342" t="s">
        <v>1238</v>
      </c>
    </row>
    <row r="70" spans="2:61" hidden="1" x14ac:dyDescent="0.2">
      <c r="B70" s="219" t="str">
        <f>IF(Capacity!N63="","",Capacity!N63)</f>
        <v/>
      </c>
      <c r="C70" s="220" t="str">
        <f>IF(B70="","",Capacity!Q63)</f>
        <v/>
      </c>
      <c r="D70" s="309" t="str">
        <f>IF(B70="","",Capacity!R63)</f>
        <v/>
      </c>
      <c r="E70" s="220" t="str">
        <f>IF(B70="","",IF(COUNTBLANK(H70:BG70)=52,SUM('Capacity calculation (hide)'!H158:BG158),52-COUNTBLANK(H70:BG70)))</f>
        <v/>
      </c>
      <c r="F70" s="310" t="str">
        <f>'Capacity calculation (hide)'!BI158</f>
        <v/>
      </c>
      <c r="H70" s="363"/>
      <c r="I70" s="363"/>
      <c r="J70" s="363"/>
      <c r="K70" s="363"/>
      <c r="L70" s="363"/>
      <c r="M70" s="363"/>
      <c r="N70" s="363"/>
      <c r="O70" s="363"/>
      <c r="P70" s="363"/>
      <c r="Q70" s="363"/>
      <c r="R70" s="363"/>
      <c r="S70" s="363"/>
      <c r="T70" s="363"/>
      <c r="U70" s="363"/>
      <c r="V70" s="363"/>
      <c r="W70" s="363"/>
      <c r="X70" s="363"/>
      <c r="Y70" s="363"/>
      <c r="Z70" s="363"/>
      <c r="AA70" s="363"/>
      <c r="AB70" s="363"/>
      <c r="AC70" s="363"/>
      <c r="AD70" s="363"/>
      <c r="AE70" s="363"/>
      <c r="AF70" s="363"/>
      <c r="AG70" s="363"/>
      <c r="AH70" s="363"/>
      <c r="AI70" s="363"/>
      <c r="AJ70" s="363"/>
      <c r="AK70" s="363"/>
      <c r="AL70" s="363"/>
      <c r="AM70" s="363"/>
      <c r="AN70" s="363"/>
      <c r="AO70" s="363"/>
      <c r="AP70" s="363"/>
      <c r="AQ70" s="363"/>
      <c r="AR70" s="363"/>
      <c r="AS70" s="363"/>
      <c r="AT70" s="363"/>
      <c r="AU70" s="363"/>
      <c r="AV70" s="363"/>
      <c r="AW70" s="363"/>
      <c r="AX70" s="363"/>
      <c r="AY70" s="363"/>
      <c r="AZ70" s="363"/>
      <c r="BA70" s="363"/>
      <c r="BB70" s="363"/>
      <c r="BC70" s="363"/>
      <c r="BD70" s="363"/>
      <c r="BE70" s="363"/>
      <c r="BF70" s="363"/>
      <c r="BG70" s="363"/>
      <c r="BI70" s="342" t="s">
        <v>1238</v>
      </c>
    </row>
    <row r="71" spans="2:61" hidden="1" x14ac:dyDescent="0.2">
      <c r="B71" s="219" t="str">
        <f>IF(Capacity!N64="","",Capacity!N64)</f>
        <v/>
      </c>
      <c r="C71" s="220" t="str">
        <f>IF(B71="","",Capacity!Q64)</f>
        <v/>
      </c>
      <c r="D71" s="309" t="str">
        <f>IF(B71="","",Capacity!R64)</f>
        <v/>
      </c>
      <c r="E71" s="220" t="str">
        <f>IF(B71="","",IF(COUNTBLANK(H71:BG71)=52,SUM('Capacity calculation (hide)'!H159:BG159),52-COUNTBLANK(H71:BG71)))</f>
        <v/>
      </c>
      <c r="F71" s="310" t="str">
        <f>'Capacity calculation (hide)'!BI159</f>
        <v/>
      </c>
      <c r="H71" s="363"/>
      <c r="I71" s="363"/>
      <c r="J71" s="363"/>
      <c r="K71" s="363"/>
      <c r="L71" s="363"/>
      <c r="M71" s="363"/>
      <c r="N71" s="363"/>
      <c r="O71" s="363"/>
      <c r="P71" s="363"/>
      <c r="Q71" s="363"/>
      <c r="R71" s="363"/>
      <c r="S71" s="363"/>
      <c r="T71" s="363"/>
      <c r="U71" s="363"/>
      <c r="V71" s="363"/>
      <c r="W71" s="363"/>
      <c r="X71" s="363"/>
      <c r="Y71" s="363"/>
      <c r="Z71" s="363"/>
      <c r="AA71" s="363"/>
      <c r="AB71" s="363"/>
      <c r="AC71" s="363"/>
      <c r="AD71" s="363"/>
      <c r="AE71" s="363"/>
      <c r="AF71" s="363"/>
      <c r="AG71" s="363"/>
      <c r="AH71" s="363"/>
      <c r="AI71" s="363"/>
      <c r="AJ71" s="363"/>
      <c r="AK71" s="363"/>
      <c r="AL71" s="363"/>
      <c r="AM71" s="363"/>
      <c r="AN71" s="363"/>
      <c r="AO71" s="363"/>
      <c r="AP71" s="363"/>
      <c r="AQ71" s="363"/>
      <c r="AR71" s="363"/>
      <c r="AS71" s="363"/>
      <c r="AT71" s="363"/>
      <c r="AU71" s="363"/>
      <c r="AV71" s="363"/>
      <c r="AW71" s="363"/>
      <c r="AX71" s="363"/>
      <c r="AY71" s="363"/>
      <c r="AZ71" s="363"/>
      <c r="BA71" s="363"/>
      <c r="BB71" s="363"/>
      <c r="BC71" s="363"/>
      <c r="BD71" s="363"/>
      <c r="BE71" s="363"/>
      <c r="BF71" s="363"/>
      <c r="BG71" s="363"/>
      <c r="BI71" s="342" t="s">
        <v>1238</v>
      </c>
    </row>
    <row r="72" spans="2:61" hidden="1" x14ac:dyDescent="0.2">
      <c r="B72" s="219" t="str">
        <f>IF(Capacity!N65="","",Capacity!N65)</f>
        <v/>
      </c>
      <c r="C72" s="220" t="str">
        <f>IF(B72="","",Capacity!Q65)</f>
        <v/>
      </c>
      <c r="D72" s="309" t="str">
        <f>IF(B72="","",Capacity!R65)</f>
        <v/>
      </c>
      <c r="E72" s="220" t="str">
        <f>IF(B72="","",IF(COUNTBLANK(H72:BG72)=52,SUM('Capacity calculation (hide)'!H160:BG160),52-COUNTBLANK(H72:BG72)))</f>
        <v/>
      </c>
      <c r="F72" s="310" t="str">
        <f>'Capacity calculation (hide)'!BI160</f>
        <v/>
      </c>
      <c r="H72" s="363"/>
      <c r="I72" s="363"/>
      <c r="J72" s="363"/>
      <c r="K72" s="363"/>
      <c r="L72" s="363"/>
      <c r="M72" s="363"/>
      <c r="N72" s="363"/>
      <c r="O72" s="363"/>
      <c r="P72" s="363"/>
      <c r="Q72" s="363"/>
      <c r="R72" s="363"/>
      <c r="S72" s="363"/>
      <c r="T72" s="363"/>
      <c r="U72" s="363"/>
      <c r="V72" s="363"/>
      <c r="W72" s="363"/>
      <c r="X72" s="363"/>
      <c r="Y72" s="363"/>
      <c r="Z72" s="363"/>
      <c r="AA72" s="363"/>
      <c r="AB72" s="363"/>
      <c r="AC72" s="363"/>
      <c r="AD72" s="363"/>
      <c r="AE72" s="363"/>
      <c r="AF72" s="363"/>
      <c r="AG72" s="363"/>
      <c r="AH72" s="363"/>
      <c r="AI72" s="363"/>
      <c r="AJ72" s="363"/>
      <c r="AK72" s="363"/>
      <c r="AL72" s="363"/>
      <c r="AM72" s="363"/>
      <c r="AN72" s="363"/>
      <c r="AO72" s="363"/>
      <c r="AP72" s="363"/>
      <c r="AQ72" s="363"/>
      <c r="AR72" s="363"/>
      <c r="AS72" s="363"/>
      <c r="AT72" s="363"/>
      <c r="AU72" s="363"/>
      <c r="AV72" s="363"/>
      <c r="AW72" s="363"/>
      <c r="AX72" s="363"/>
      <c r="AY72" s="363"/>
      <c r="AZ72" s="363"/>
      <c r="BA72" s="363"/>
      <c r="BB72" s="363"/>
      <c r="BC72" s="363"/>
      <c r="BD72" s="363"/>
      <c r="BE72" s="363"/>
      <c r="BF72" s="363"/>
      <c r="BG72" s="363"/>
      <c r="BI72" s="342" t="s">
        <v>1238</v>
      </c>
    </row>
    <row r="73" spans="2:61" hidden="1" x14ac:dyDescent="0.2">
      <c r="B73" s="219" t="str">
        <f>IF(Capacity!N66="","",Capacity!N66)</f>
        <v/>
      </c>
      <c r="C73" s="220" t="str">
        <f>IF(B73="","",Capacity!Q66)</f>
        <v/>
      </c>
      <c r="D73" s="309" t="str">
        <f>IF(B73="","",Capacity!R66)</f>
        <v/>
      </c>
      <c r="E73" s="220" t="str">
        <f>IF(B73="","",IF(COUNTBLANK(H73:BG73)=52,SUM('Capacity calculation (hide)'!H161:BG161),52-COUNTBLANK(H73:BG73)))</f>
        <v/>
      </c>
      <c r="F73" s="310" t="str">
        <f>'Capacity calculation (hide)'!BI161</f>
        <v/>
      </c>
      <c r="H73" s="363"/>
      <c r="I73" s="363"/>
      <c r="J73" s="363"/>
      <c r="K73" s="363"/>
      <c r="L73" s="363"/>
      <c r="M73" s="363"/>
      <c r="N73" s="363"/>
      <c r="O73" s="363"/>
      <c r="P73" s="363"/>
      <c r="Q73" s="363"/>
      <c r="R73" s="363"/>
      <c r="S73" s="363"/>
      <c r="T73" s="363"/>
      <c r="U73" s="363"/>
      <c r="V73" s="363"/>
      <c r="W73" s="363"/>
      <c r="X73" s="363"/>
      <c r="Y73" s="363"/>
      <c r="Z73" s="363"/>
      <c r="AA73" s="363"/>
      <c r="AB73" s="363"/>
      <c r="AC73" s="363"/>
      <c r="AD73" s="363"/>
      <c r="AE73" s="363"/>
      <c r="AF73" s="363"/>
      <c r="AG73" s="363"/>
      <c r="AH73" s="363"/>
      <c r="AI73" s="363"/>
      <c r="AJ73" s="363"/>
      <c r="AK73" s="363"/>
      <c r="AL73" s="363"/>
      <c r="AM73" s="363"/>
      <c r="AN73" s="363"/>
      <c r="AO73" s="363"/>
      <c r="AP73" s="363"/>
      <c r="AQ73" s="363"/>
      <c r="AR73" s="363"/>
      <c r="AS73" s="363"/>
      <c r="AT73" s="363"/>
      <c r="AU73" s="363"/>
      <c r="AV73" s="363"/>
      <c r="AW73" s="363"/>
      <c r="AX73" s="363"/>
      <c r="AY73" s="363"/>
      <c r="AZ73" s="363"/>
      <c r="BA73" s="363"/>
      <c r="BB73" s="363"/>
      <c r="BC73" s="363"/>
      <c r="BD73" s="363"/>
      <c r="BE73" s="363"/>
      <c r="BF73" s="363"/>
      <c r="BG73" s="363"/>
      <c r="BI73" s="342" t="s">
        <v>1238</v>
      </c>
    </row>
    <row r="74" spans="2:61" hidden="1" x14ac:dyDescent="0.2">
      <c r="B74" s="219" t="str">
        <f>IF(Capacity!N67="","",Capacity!N67)</f>
        <v/>
      </c>
      <c r="C74" s="220" t="str">
        <f>IF(B74="","",Capacity!Q67)</f>
        <v/>
      </c>
      <c r="D74" s="309" t="str">
        <f>IF(B74="","",Capacity!R67)</f>
        <v/>
      </c>
      <c r="E74" s="220" t="str">
        <f>IF(B74="","",IF(COUNTBLANK(H74:BG74)=52,SUM('Capacity calculation (hide)'!H162:BG162),52-COUNTBLANK(H74:BG74)))</f>
        <v/>
      </c>
      <c r="F74" s="310" t="str">
        <f>'Capacity calculation (hide)'!BI162</f>
        <v/>
      </c>
      <c r="H74" s="363"/>
      <c r="I74" s="363"/>
      <c r="J74" s="363"/>
      <c r="K74" s="363"/>
      <c r="L74" s="363"/>
      <c r="M74" s="363"/>
      <c r="N74" s="363"/>
      <c r="O74" s="363"/>
      <c r="P74" s="363"/>
      <c r="Q74" s="363"/>
      <c r="R74" s="363"/>
      <c r="S74" s="363"/>
      <c r="T74" s="363"/>
      <c r="U74" s="363"/>
      <c r="V74" s="363"/>
      <c r="W74" s="363"/>
      <c r="X74" s="363"/>
      <c r="Y74" s="363"/>
      <c r="Z74" s="363"/>
      <c r="AA74" s="363"/>
      <c r="AB74" s="363"/>
      <c r="AC74" s="363"/>
      <c r="AD74" s="363"/>
      <c r="AE74" s="363"/>
      <c r="AF74" s="363"/>
      <c r="AG74" s="363"/>
      <c r="AH74" s="363"/>
      <c r="AI74" s="363"/>
      <c r="AJ74" s="363"/>
      <c r="AK74" s="363"/>
      <c r="AL74" s="363"/>
      <c r="AM74" s="363"/>
      <c r="AN74" s="363"/>
      <c r="AO74" s="363"/>
      <c r="AP74" s="363"/>
      <c r="AQ74" s="363"/>
      <c r="AR74" s="363"/>
      <c r="AS74" s="363"/>
      <c r="AT74" s="363"/>
      <c r="AU74" s="363"/>
      <c r="AV74" s="363"/>
      <c r="AW74" s="363"/>
      <c r="AX74" s="363"/>
      <c r="AY74" s="363"/>
      <c r="AZ74" s="363"/>
      <c r="BA74" s="363"/>
      <c r="BB74" s="363"/>
      <c r="BC74" s="363"/>
      <c r="BD74" s="363"/>
      <c r="BE74" s="363"/>
      <c r="BF74" s="363"/>
      <c r="BG74" s="363"/>
      <c r="BI74" s="342" t="s">
        <v>1238</v>
      </c>
    </row>
    <row r="75" spans="2:61" hidden="1" x14ac:dyDescent="0.2">
      <c r="B75" s="219" t="str">
        <f>IF(Capacity!N68="","",Capacity!N68)</f>
        <v/>
      </c>
      <c r="C75" s="220" t="str">
        <f>IF(B75="","",Capacity!Q68)</f>
        <v/>
      </c>
      <c r="D75" s="309" t="str">
        <f>IF(B75="","",Capacity!R68)</f>
        <v/>
      </c>
      <c r="E75" s="220" t="str">
        <f>IF(B75="","",IF(COUNTBLANK(H75:BG75)=52,SUM('Capacity calculation (hide)'!H163:BG163),52-COUNTBLANK(H75:BG75)))</f>
        <v/>
      </c>
      <c r="F75" s="310" t="str">
        <f>'Capacity calculation (hide)'!BI163</f>
        <v/>
      </c>
      <c r="H75" s="363"/>
      <c r="I75" s="363"/>
      <c r="J75" s="363"/>
      <c r="K75" s="363"/>
      <c r="L75" s="363"/>
      <c r="M75" s="363"/>
      <c r="N75" s="363"/>
      <c r="O75" s="363"/>
      <c r="P75" s="363"/>
      <c r="Q75" s="363"/>
      <c r="R75" s="363"/>
      <c r="S75" s="363"/>
      <c r="T75" s="363"/>
      <c r="U75" s="363"/>
      <c r="V75" s="363"/>
      <c r="W75" s="363"/>
      <c r="X75" s="363"/>
      <c r="Y75" s="363"/>
      <c r="Z75" s="363"/>
      <c r="AA75" s="363"/>
      <c r="AB75" s="363"/>
      <c r="AC75" s="363"/>
      <c r="AD75" s="363"/>
      <c r="AE75" s="363"/>
      <c r="AF75" s="363"/>
      <c r="AG75" s="363"/>
      <c r="AH75" s="363"/>
      <c r="AI75" s="363"/>
      <c r="AJ75" s="363"/>
      <c r="AK75" s="363"/>
      <c r="AL75" s="363"/>
      <c r="AM75" s="363"/>
      <c r="AN75" s="363"/>
      <c r="AO75" s="363"/>
      <c r="AP75" s="363"/>
      <c r="AQ75" s="363"/>
      <c r="AR75" s="363"/>
      <c r="AS75" s="363"/>
      <c r="AT75" s="363"/>
      <c r="AU75" s="363"/>
      <c r="AV75" s="363"/>
      <c r="AW75" s="363"/>
      <c r="AX75" s="363"/>
      <c r="AY75" s="363"/>
      <c r="AZ75" s="363"/>
      <c r="BA75" s="363"/>
      <c r="BB75" s="363"/>
      <c r="BC75" s="363"/>
      <c r="BD75" s="363"/>
      <c r="BE75" s="363"/>
      <c r="BF75" s="363"/>
      <c r="BG75" s="363"/>
      <c r="BI75" s="342" t="s">
        <v>1238</v>
      </c>
    </row>
    <row r="76" spans="2:61" hidden="1" x14ac:dyDescent="0.2">
      <c r="B76" s="219" t="str">
        <f>IF(Capacity!N69="","",Capacity!N69)</f>
        <v/>
      </c>
      <c r="C76" s="220" t="str">
        <f>IF(B76="","",Capacity!Q69)</f>
        <v/>
      </c>
      <c r="D76" s="309" t="str">
        <f>IF(B76="","",Capacity!R69)</f>
        <v/>
      </c>
      <c r="E76" s="220" t="str">
        <f>IF(B76="","",IF(COUNTBLANK(H76:BG76)=52,SUM('Capacity calculation (hide)'!H164:BG164),52-COUNTBLANK(H76:BG76)))</f>
        <v/>
      </c>
      <c r="F76" s="310" t="str">
        <f>'Capacity calculation (hide)'!BI164</f>
        <v/>
      </c>
      <c r="H76" s="363"/>
      <c r="I76" s="363"/>
      <c r="J76" s="363"/>
      <c r="K76" s="363"/>
      <c r="L76" s="363"/>
      <c r="M76" s="363"/>
      <c r="N76" s="363"/>
      <c r="O76" s="363"/>
      <c r="P76" s="363"/>
      <c r="Q76" s="363"/>
      <c r="R76" s="363"/>
      <c r="S76" s="363"/>
      <c r="T76" s="363"/>
      <c r="U76" s="363"/>
      <c r="V76" s="363"/>
      <c r="W76" s="363"/>
      <c r="X76" s="363"/>
      <c r="Y76" s="363"/>
      <c r="Z76" s="363"/>
      <c r="AA76" s="363"/>
      <c r="AB76" s="363"/>
      <c r="AC76" s="363"/>
      <c r="AD76" s="363"/>
      <c r="AE76" s="363"/>
      <c r="AF76" s="363"/>
      <c r="AG76" s="363"/>
      <c r="AH76" s="363"/>
      <c r="AI76" s="363"/>
      <c r="AJ76" s="363"/>
      <c r="AK76" s="363"/>
      <c r="AL76" s="363"/>
      <c r="AM76" s="363"/>
      <c r="AN76" s="363"/>
      <c r="AO76" s="363"/>
      <c r="AP76" s="363"/>
      <c r="AQ76" s="363"/>
      <c r="AR76" s="363"/>
      <c r="AS76" s="363"/>
      <c r="AT76" s="363"/>
      <c r="AU76" s="363"/>
      <c r="AV76" s="363"/>
      <c r="AW76" s="363"/>
      <c r="AX76" s="363"/>
      <c r="AY76" s="363"/>
      <c r="AZ76" s="363"/>
      <c r="BA76" s="363"/>
      <c r="BB76" s="363"/>
      <c r="BC76" s="363"/>
      <c r="BD76" s="363"/>
      <c r="BE76" s="363"/>
      <c r="BF76" s="363"/>
      <c r="BG76" s="363"/>
      <c r="BI76" s="342" t="s">
        <v>1238</v>
      </c>
    </row>
    <row r="77" spans="2:61" hidden="1" x14ac:dyDescent="0.2">
      <c r="B77" s="219" t="str">
        <f>IF(Capacity!N70="","",Capacity!N70)</f>
        <v/>
      </c>
      <c r="C77" s="220" t="str">
        <f>IF(B77="","",Capacity!Q70)</f>
        <v/>
      </c>
      <c r="D77" s="309" t="str">
        <f>IF(B77="","",Capacity!R70)</f>
        <v/>
      </c>
      <c r="E77" s="220" t="str">
        <f>IF(B77="","",IF(COUNTBLANK(H77:BG77)=52,SUM('Capacity calculation (hide)'!H165:BG165),52-COUNTBLANK(H77:BG77)))</f>
        <v/>
      </c>
      <c r="F77" s="310" t="str">
        <f>'Capacity calculation (hide)'!BI165</f>
        <v/>
      </c>
      <c r="H77" s="363"/>
      <c r="I77" s="363"/>
      <c r="J77" s="363"/>
      <c r="K77" s="363"/>
      <c r="L77" s="363"/>
      <c r="M77" s="363"/>
      <c r="N77" s="363"/>
      <c r="O77" s="363"/>
      <c r="P77" s="363"/>
      <c r="Q77" s="363"/>
      <c r="R77" s="363"/>
      <c r="S77" s="363"/>
      <c r="T77" s="363"/>
      <c r="U77" s="363"/>
      <c r="V77" s="363"/>
      <c r="W77" s="363"/>
      <c r="X77" s="363"/>
      <c r="Y77" s="363"/>
      <c r="Z77" s="363"/>
      <c r="AA77" s="363"/>
      <c r="AB77" s="363"/>
      <c r="AC77" s="363"/>
      <c r="AD77" s="363"/>
      <c r="AE77" s="363"/>
      <c r="AF77" s="363"/>
      <c r="AG77" s="363"/>
      <c r="AH77" s="363"/>
      <c r="AI77" s="363"/>
      <c r="AJ77" s="363"/>
      <c r="AK77" s="363"/>
      <c r="AL77" s="363"/>
      <c r="AM77" s="363"/>
      <c r="AN77" s="363"/>
      <c r="AO77" s="363"/>
      <c r="AP77" s="363"/>
      <c r="AQ77" s="363"/>
      <c r="AR77" s="363"/>
      <c r="AS77" s="363"/>
      <c r="AT77" s="363"/>
      <c r="AU77" s="363"/>
      <c r="AV77" s="363"/>
      <c r="AW77" s="363"/>
      <c r="AX77" s="363"/>
      <c r="AY77" s="363"/>
      <c r="AZ77" s="363"/>
      <c r="BA77" s="363"/>
      <c r="BB77" s="363"/>
      <c r="BC77" s="363"/>
      <c r="BD77" s="363"/>
      <c r="BE77" s="363"/>
      <c r="BF77" s="363"/>
      <c r="BG77" s="363"/>
      <c r="BI77" s="342" t="s">
        <v>1238</v>
      </c>
    </row>
    <row r="78" spans="2:61" hidden="1" x14ac:dyDescent="0.2">
      <c r="B78" s="219" t="str">
        <f>IF(Capacity!N71="","",Capacity!N71)</f>
        <v/>
      </c>
      <c r="C78" s="220" t="str">
        <f>IF(B78="","",Capacity!Q71)</f>
        <v/>
      </c>
      <c r="D78" s="309" t="str">
        <f>IF(B78="","",Capacity!R71)</f>
        <v/>
      </c>
      <c r="E78" s="220" t="str">
        <f>IF(B78="","",IF(COUNTBLANK(H78:BG78)=52,SUM('Capacity calculation (hide)'!H166:BG166),52-COUNTBLANK(H78:BG78)))</f>
        <v/>
      </c>
      <c r="F78" s="310" t="str">
        <f>'Capacity calculation (hide)'!BI166</f>
        <v/>
      </c>
      <c r="H78" s="363"/>
      <c r="I78" s="363"/>
      <c r="J78" s="363"/>
      <c r="K78" s="363"/>
      <c r="L78" s="363"/>
      <c r="M78" s="363"/>
      <c r="N78" s="363"/>
      <c r="O78" s="363"/>
      <c r="P78" s="363"/>
      <c r="Q78" s="363"/>
      <c r="R78" s="363"/>
      <c r="S78" s="363"/>
      <c r="T78" s="363"/>
      <c r="U78" s="363"/>
      <c r="V78" s="363"/>
      <c r="W78" s="363"/>
      <c r="X78" s="363"/>
      <c r="Y78" s="363"/>
      <c r="Z78" s="363"/>
      <c r="AA78" s="363"/>
      <c r="AB78" s="363"/>
      <c r="AC78" s="363"/>
      <c r="AD78" s="363"/>
      <c r="AE78" s="363"/>
      <c r="AF78" s="363"/>
      <c r="AG78" s="363"/>
      <c r="AH78" s="363"/>
      <c r="AI78" s="363"/>
      <c r="AJ78" s="363"/>
      <c r="AK78" s="363"/>
      <c r="AL78" s="363"/>
      <c r="AM78" s="363"/>
      <c r="AN78" s="363"/>
      <c r="AO78" s="363"/>
      <c r="AP78" s="363"/>
      <c r="AQ78" s="363"/>
      <c r="AR78" s="363"/>
      <c r="AS78" s="363"/>
      <c r="AT78" s="363"/>
      <c r="AU78" s="363"/>
      <c r="AV78" s="363"/>
      <c r="AW78" s="363"/>
      <c r="AX78" s="363"/>
      <c r="AY78" s="363"/>
      <c r="AZ78" s="363"/>
      <c r="BA78" s="363"/>
      <c r="BB78" s="363"/>
      <c r="BC78" s="363"/>
      <c r="BD78" s="363"/>
      <c r="BE78" s="363"/>
      <c r="BF78" s="363"/>
      <c r="BG78" s="363"/>
      <c r="BI78" s="342" t="s">
        <v>1238</v>
      </c>
    </row>
    <row r="79" spans="2:61" hidden="1" x14ac:dyDescent="0.2">
      <c r="B79" s="219" t="str">
        <f>IF(Capacity!N72="","",Capacity!N72)</f>
        <v/>
      </c>
      <c r="C79" s="220" t="str">
        <f>IF(B79="","",Capacity!Q72)</f>
        <v/>
      </c>
      <c r="D79" s="309" t="str">
        <f>IF(B79="","",Capacity!R72)</f>
        <v/>
      </c>
      <c r="E79" s="220" t="str">
        <f>IF(B79="","",IF(COUNTBLANK(H79:BG79)=52,SUM('Capacity calculation (hide)'!H167:BG167),52-COUNTBLANK(H79:BG79)))</f>
        <v/>
      </c>
      <c r="F79" s="310" t="str">
        <f>'Capacity calculation (hide)'!BI167</f>
        <v/>
      </c>
      <c r="H79" s="363"/>
      <c r="I79" s="363"/>
      <c r="J79" s="363"/>
      <c r="K79" s="363"/>
      <c r="L79" s="363"/>
      <c r="M79" s="363"/>
      <c r="N79" s="363"/>
      <c r="O79" s="363"/>
      <c r="P79" s="363"/>
      <c r="Q79" s="363"/>
      <c r="R79" s="363"/>
      <c r="S79" s="363"/>
      <c r="T79" s="363"/>
      <c r="U79" s="363"/>
      <c r="V79" s="363"/>
      <c r="W79" s="363"/>
      <c r="X79" s="363"/>
      <c r="Y79" s="363"/>
      <c r="Z79" s="363"/>
      <c r="AA79" s="363"/>
      <c r="AB79" s="363"/>
      <c r="AC79" s="363"/>
      <c r="AD79" s="363"/>
      <c r="AE79" s="363"/>
      <c r="AF79" s="363"/>
      <c r="AG79" s="363"/>
      <c r="AH79" s="363"/>
      <c r="AI79" s="363"/>
      <c r="AJ79" s="363"/>
      <c r="AK79" s="363"/>
      <c r="AL79" s="363"/>
      <c r="AM79" s="363"/>
      <c r="AN79" s="363"/>
      <c r="AO79" s="363"/>
      <c r="AP79" s="363"/>
      <c r="AQ79" s="363"/>
      <c r="AR79" s="363"/>
      <c r="AS79" s="363"/>
      <c r="AT79" s="363"/>
      <c r="AU79" s="363"/>
      <c r="AV79" s="363"/>
      <c r="AW79" s="363"/>
      <c r="AX79" s="363"/>
      <c r="AY79" s="363"/>
      <c r="AZ79" s="363"/>
      <c r="BA79" s="363"/>
      <c r="BB79" s="363"/>
      <c r="BC79" s="363"/>
      <c r="BD79" s="363"/>
      <c r="BE79" s="363"/>
      <c r="BF79" s="363"/>
      <c r="BG79" s="363"/>
      <c r="BI79" s="342" t="s">
        <v>1238</v>
      </c>
    </row>
    <row r="80" spans="2:61" hidden="1" x14ac:dyDescent="0.2">
      <c r="B80" s="219" t="str">
        <f>IF(Capacity!N73="","",Capacity!N73)</f>
        <v/>
      </c>
      <c r="C80" s="220" t="str">
        <f>IF(B80="","",Capacity!Q73)</f>
        <v/>
      </c>
      <c r="D80" s="309" t="str">
        <f>IF(B80="","",Capacity!R73)</f>
        <v/>
      </c>
      <c r="E80" s="220" t="str">
        <f>IF(B80="","",IF(COUNTBLANK(H80:BG80)=52,SUM('Capacity calculation (hide)'!H168:BG168),52-COUNTBLANK(H80:BG80)))</f>
        <v/>
      </c>
      <c r="F80" s="310" t="str">
        <f>'Capacity calculation (hide)'!BI168</f>
        <v/>
      </c>
      <c r="H80" s="363"/>
      <c r="I80" s="363"/>
      <c r="J80" s="363"/>
      <c r="K80" s="363"/>
      <c r="L80" s="363"/>
      <c r="M80" s="363"/>
      <c r="N80" s="363"/>
      <c r="O80" s="363"/>
      <c r="P80" s="363"/>
      <c r="Q80" s="363"/>
      <c r="R80" s="363"/>
      <c r="S80" s="363"/>
      <c r="T80" s="363"/>
      <c r="U80" s="363"/>
      <c r="V80" s="363"/>
      <c r="W80" s="363"/>
      <c r="X80" s="363"/>
      <c r="Y80" s="363"/>
      <c r="Z80" s="363"/>
      <c r="AA80" s="363"/>
      <c r="AB80" s="363"/>
      <c r="AC80" s="363"/>
      <c r="AD80" s="363"/>
      <c r="AE80" s="363"/>
      <c r="AF80" s="363"/>
      <c r="AG80" s="363"/>
      <c r="AH80" s="363"/>
      <c r="AI80" s="363"/>
      <c r="AJ80" s="363"/>
      <c r="AK80" s="363"/>
      <c r="AL80" s="363"/>
      <c r="AM80" s="363"/>
      <c r="AN80" s="363"/>
      <c r="AO80" s="363"/>
      <c r="AP80" s="363"/>
      <c r="AQ80" s="363"/>
      <c r="AR80" s="363"/>
      <c r="AS80" s="363"/>
      <c r="AT80" s="363"/>
      <c r="AU80" s="363"/>
      <c r="AV80" s="363"/>
      <c r="AW80" s="363"/>
      <c r="AX80" s="363"/>
      <c r="AY80" s="363"/>
      <c r="AZ80" s="363"/>
      <c r="BA80" s="363"/>
      <c r="BB80" s="363"/>
      <c r="BC80" s="363"/>
      <c r="BD80" s="363"/>
      <c r="BE80" s="363"/>
      <c r="BF80" s="363"/>
      <c r="BG80" s="363"/>
      <c r="BI80" s="342" t="s">
        <v>1238</v>
      </c>
    </row>
    <row r="81" spans="2:61" hidden="1" x14ac:dyDescent="0.2">
      <c r="B81" s="219" t="str">
        <f>IF(Capacity!N74="","",Capacity!N74)</f>
        <v/>
      </c>
      <c r="C81" s="220" t="str">
        <f>IF(B81="","",Capacity!Q74)</f>
        <v/>
      </c>
      <c r="D81" s="309" t="str">
        <f>IF(B81="","",Capacity!R74)</f>
        <v/>
      </c>
      <c r="E81" s="220" t="str">
        <f>IF(B81="","",IF(COUNTBLANK(H81:BG81)=52,SUM('Capacity calculation (hide)'!H169:BG169),52-COUNTBLANK(H81:BG81)))</f>
        <v/>
      </c>
      <c r="F81" s="310" t="str">
        <f>'Capacity calculation (hide)'!BI169</f>
        <v/>
      </c>
      <c r="H81" s="363"/>
      <c r="I81" s="363"/>
      <c r="J81" s="363"/>
      <c r="K81" s="363"/>
      <c r="L81" s="363"/>
      <c r="M81" s="363"/>
      <c r="N81" s="363"/>
      <c r="O81" s="363"/>
      <c r="P81" s="363"/>
      <c r="Q81" s="363"/>
      <c r="R81" s="363"/>
      <c r="S81" s="363"/>
      <c r="T81" s="363"/>
      <c r="U81" s="363"/>
      <c r="V81" s="363"/>
      <c r="W81" s="363"/>
      <c r="X81" s="363"/>
      <c r="Y81" s="363"/>
      <c r="Z81" s="363"/>
      <c r="AA81" s="363"/>
      <c r="AB81" s="363"/>
      <c r="AC81" s="363"/>
      <c r="AD81" s="363"/>
      <c r="AE81" s="363"/>
      <c r="AF81" s="363"/>
      <c r="AG81" s="363"/>
      <c r="AH81" s="363"/>
      <c r="AI81" s="363"/>
      <c r="AJ81" s="363"/>
      <c r="AK81" s="363"/>
      <c r="AL81" s="363"/>
      <c r="AM81" s="363"/>
      <c r="AN81" s="363"/>
      <c r="AO81" s="363"/>
      <c r="AP81" s="363"/>
      <c r="AQ81" s="363"/>
      <c r="AR81" s="363"/>
      <c r="AS81" s="363"/>
      <c r="AT81" s="363"/>
      <c r="AU81" s="363"/>
      <c r="AV81" s="363"/>
      <c r="AW81" s="363"/>
      <c r="AX81" s="363"/>
      <c r="AY81" s="363"/>
      <c r="AZ81" s="363"/>
      <c r="BA81" s="363"/>
      <c r="BB81" s="363"/>
      <c r="BC81" s="363"/>
      <c r="BD81" s="363"/>
      <c r="BE81" s="363"/>
      <c r="BF81" s="363"/>
      <c r="BG81" s="363"/>
      <c r="BI81" s="342" t="s">
        <v>1238</v>
      </c>
    </row>
    <row r="82" spans="2:61" hidden="1" x14ac:dyDescent="0.2">
      <c r="B82" s="219" t="str">
        <f>IF(Capacity!N75="","",Capacity!N75)</f>
        <v/>
      </c>
      <c r="C82" s="220" t="str">
        <f>IF(B82="","",Capacity!Q75)</f>
        <v/>
      </c>
      <c r="D82" s="309" t="str">
        <f>IF(B82="","",Capacity!R75)</f>
        <v/>
      </c>
      <c r="E82" s="220" t="str">
        <f>IF(B82="","",IF(COUNTBLANK(H82:BG82)=52,SUM('Capacity calculation (hide)'!H170:BG170),52-COUNTBLANK(H82:BG82)))</f>
        <v/>
      </c>
      <c r="F82" s="310" t="str">
        <f>'Capacity calculation (hide)'!BI170</f>
        <v/>
      </c>
      <c r="H82" s="363"/>
      <c r="I82" s="363"/>
      <c r="J82" s="363"/>
      <c r="K82" s="363"/>
      <c r="L82" s="363"/>
      <c r="M82" s="363"/>
      <c r="N82" s="363"/>
      <c r="O82" s="363"/>
      <c r="P82" s="363"/>
      <c r="Q82" s="363"/>
      <c r="R82" s="363"/>
      <c r="S82" s="363"/>
      <c r="T82" s="363"/>
      <c r="U82" s="363"/>
      <c r="V82" s="363"/>
      <c r="W82" s="363"/>
      <c r="X82" s="363"/>
      <c r="Y82" s="363"/>
      <c r="Z82" s="363"/>
      <c r="AA82" s="363"/>
      <c r="AB82" s="363"/>
      <c r="AC82" s="363"/>
      <c r="AD82" s="363"/>
      <c r="AE82" s="363"/>
      <c r="AF82" s="363"/>
      <c r="AG82" s="363"/>
      <c r="AH82" s="363"/>
      <c r="AI82" s="363"/>
      <c r="AJ82" s="363"/>
      <c r="AK82" s="363"/>
      <c r="AL82" s="363"/>
      <c r="AM82" s="363"/>
      <c r="AN82" s="363"/>
      <c r="AO82" s="363"/>
      <c r="AP82" s="363"/>
      <c r="AQ82" s="363"/>
      <c r="AR82" s="363"/>
      <c r="AS82" s="363"/>
      <c r="AT82" s="363"/>
      <c r="AU82" s="363"/>
      <c r="AV82" s="363"/>
      <c r="AW82" s="363"/>
      <c r="AX82" s="363"/>
      <c r="AY82" s="363"/>
      <c r="AZ82" s="363"/>
      <c r="BA82" s="363"/>
      <c r="BB82" s="363"/>
      <c r="BC82" s="363"/>
      <c r="BD82" s="363"/>
      <c r="BE82" s="363"/>
      <c r="BF82" s="363"/>
      <c r="BG82" s="363"/>
      <c r="BI82" s="342" t="s">
        <v>1238</v>
      </c>
    </row>
    <row r="83" spans="2:61" hidden="1" x14ac:dyDescent="0.2">
      <c r="B83" s="219" t="str">
        <f>IF(Capacity!N76="","",Capacity!N76)</f>
        <v/>
      </c>
      <c r="C83" s="220" t="str">
        <f>IF(B83="","",Capacity!Q76)</f>
        <v/>
      </c>
      <c r="D83" s="309" t="str">
        <f>IF(B83="","",Capacity!R76)</f>
        <v/>
      </c>
      <c r="E83" s="220" t="str">
        <f>IF(B83="","",IF(COUNTBLANK(H83:BG83)=52,SUM('Capacity calculation (hide)'!H171:BG171),52-COUNTBLANK(H83:BG83)))</f>
        <v/>
      </c>
      <c r="F83" s="310" t="str">
        <f>'Capacity calculation (hide)'!BI171</f>
        <v/>
      </c>
      <c r="H83" s="363"/>
      <c r="I83" s="363"/>
      <c r="J83" s="363"/>
      <c r="K83" s="363"/>
      <c r="L83" s="363"/>
      <c r="M83" s="363"/>
      <c r="N83" s="363"/>
      <c r="O83" s="363"/>
      <c r="P83" s="363"/>
      <c r="Q83" s="363"/>
      <c r="R83" s="363"/>
      <c r="S83" s="363"/>
      <c r="T83" s="363"/>
      <c r="U83" s="363"/>
      <c r="V83" s="363"/>
      <c r="W83" s="363"/>
      <c r="X83" s="363"/>
      <c r="Y83" s="363"/>
      <c r="Z83" s="363"/>
      <c r="AA83" s="363"/>
      <c r="AB83" s="363"/>
      <c r="AC83" s="363"/>
      <c r="AD83" s="363"/>
      <c r="AE83" s="363"/>
      <c r="AF83" s="363"/>
      <c r="AG83" s="363"/>
      <c r="AH83" s="363"/>
      <c r="AI83" s="363"/>
      <c r="AJ83" s="363"/>
      <c r="AK83" s="363"/>
      <c r="AL83" s="363"/>
      <c r="AM83" s="363"/>
      <c r="AN83" s="363"/>
      <c r="AO83" s="363"/>
      <c r="AP83" s="363"/>
      <c r="AQ83" s="363"/>
      <c r="AR83" s="363"/>
      <c r="AS83" s="363"/>
      <c r="AT83" s="363"/>
      <c r="AU83" s="363"/>
      <c r="AV83" s="363"/>
      <c r="AW83" s="363"/>
      <c r="AX83" s="363"/>
      <c r="AY83" s="363"/>
      <c r="AZ83" s="363"/>
      <c r="BA83" s="363"/>
      <c r="BB83" s="363"/>
      <c r="BC83" s="363"/>
      <c r="BD83" s="363"/>
      <c r="BE83" s="363"/>
      <c r="BF83" s="363"/>
      <c r="BG83" s="363"/>
      <c r="BI83" s="342" t="s">
        <v>1238</v>
      </c>
    </row>
    <row r="84" spans="2:61" hidden="1" x14ac:dyDescent="0.2">
      <c r="B84" s="219" t="str">
        <f>IF(Capacity!N77="","",Capacity!N77)</f>
        <v/>
      </c>
      <c r="C84" s="220" t="str">
        <f>IF(B84="","",Capacity!Q77)</f>
        <v/>
      </c>
      <c r="D84" s="309" t="str">
        <f>IF(B84="","",Capacity!R77)</f>
        <v/>
      </c>
      <c r="E84" s="220" t="str">
        <f>IF(B84="","",IF(COUNTBLANK(H84:BG84)=52,SUM('Capacity calculation (hide)'!H172:BG172),52-COUNTBLANK(H84:BG84)))</f>
        <v/>
      </c>
      <c r="F84" s="310" t="str">
        <f>'Capacity calculation (hide)'!BI172</f>
        <v/>
      </c>
      <c r="H84" s="363"/>
      <c r="I84" s="363"/>
      <c r="J84" s="363"/>
      <c r="K84" s="363"/>
      <c r="L84" s="363"/>
      <c r="M84" s="363"/>
      <c r="N84" s="363"/>
      <c r="O84" s="36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Q84" s="363"/>
      <c r="AR84" s="363"/>
      <c r="AS84" s="363"/>
      <c r="AT84" s="363"/>
      <c r="AU84" s="363"/>
      <c r="AV84" s="363"/>
      <c r="AW84" s="363"/>
      <c r="AX84" s="363"/>
      <c r="AY84" s="363"/>
      <c r="AZ84" s="363"/>
      <c r="BA84" s="363"/>
      <c r="BB84" s="363"/>
      <c r="BC84" s="363"/>
      <c r="BD84" s="363"/>
      <c r="BE84" s="363"/>
      <c r="BF84" s="363"/>
      <c r="BG84" s="363"/>
      <c r="BI84" s="342" t="s">
        <v>1238</v>
      </c>
    </row>
    <row r="85" spans="2:61" hidden="1" x14ac:dyDescent="0.2">
      <c r="B85" s="219" t="str">
        <f>IF(Capacity!N78="","",Capacity!N78)</f>
        <v/>
      </c>
      <c r="C85" s="220" t="str">
        <f>IF(B85="","",Capacity!Q78)</f>
        <v/>
      </c>
      <c r="D85" s="309" t="str">
        <f>IF(B85="","",Capacity!R78)</f>
        <v/>
      </c>
      <c r="E85" s="220" t="str">
        <f>IF(B85="","",IF(COUNTBLANK(H85:BG85)=52,SUM('Capacity calculation (hide)'!H173:BG173),52-COUNTBLANK(H85:BG85)))</f>
        <v/>
      </c>
      <c r="F85" s="310" t="str">
        <f>'Capacity calculation (hide)'!BI173</f>
        <v/>
      </c>
      <c r="H85" s="363"/>
      <c r="I85" s="363"/>
      <c r="J85" s="363"/>
      <c r="K85" s="363"/>
      <c r="L85" s="363"/>
      <c r="M85" s="363"/>
      <c r="N85" s="363"/>
      <c r="O85" s="36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Q85" s="363"/>
      <c r="AR85" s="363"/>
      <c r="AS85" s="363"/>
      <c r="AT85" s="363"/>
      <c r="AU85" s="363"/>
      <c r="AV85" s="363"/>
      <c r="AW85" s="363"/>
      <c r="AX85" s="363"/>
      <c r="AY85" s="363"/>
      <c r="AZ85" s="363"/>
      <c r="BA85" s="363"/>
      <c r="BB85" s="363"/>
      <c r="BC85" s="363"/>
      <c r="BD85" s="363"/>
      <c r="BE85" s="363"/>
      <c r="BF85" s="363"/>
      <c r="BG85" s="363"/>
      <c r="BI85" s="342" t="s">
        <v>1238</v>
      </c>
    </row>
    <row r="86" spans="2:61" hidden="1" x14ac:dyDescent="0.2">
      <c r="B86" s="219" t="str">
        <f>IF(Capacity!N79="","",Capacity!N79)</f>
        <v/>
      </c>
      <c r="C86" s="220" t="str">
        <f>IF(B86="","",Capacity!Q79)</f>
        <v/>
      </c>
      <c r="D86" s="309" t="str">
        <f>IF(B86="","",Capacity!R79)</f>
        <v/>
      </c>
      <c r="E86" s="220" t="str">
        <f>IF(B86="","",IF(COUNTBLANK(H86:BG86)=52,SUM('Capacity calculation (hide)'!H174:BG174),52-COUNTBLANK(H86:BG86)))</f>
        <v/>
      </c>
      <c r="F86" s="310" t="str">
        <f>'Capacity calculation (hide)'!BI174</f>
        <v/>
      </c>
      <c r="H86" s="363"/>
      <c r="I86" s="363"/>
      <c r="J86" s="363"/>
      <c r="K86" s="363"/>
      <c r="L86" s="363"/>
      <c r="M86" s="363"/>
      <c r="N86" s="363"/>
      <c r="O86" s="36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Q86" s="363"/>
      <c r="AR86" s="363"/>
      <c r="AS86" s="363"/>
      <c r="AT86" s="363"/>
      <c r="AU86" s="363"/>
      <c r="AV86" s="363"/>
      <c r="AW86" s="363"/>
      <c r="AX86" s="363"/>
      <c r="AY86" s="363"/>
      <c r="AZ86" s="363"/>
      <c r="BA86" s="363"/>
      <c r="BB86" s="363"/>
      <c r="BC86" s="363"/>
      <c r="BD86" s="363"/>
      <c r="BE86" s="363"/>
      <c r="BF86" s="363"/>
      <c r="BG86" s="363"/>
      <c r="BI86" s="342" t="s">
        <v>1238</v>
      </c>
    </row>
    <row r="87" spans="2:61" hidden="1" x14ac:dyDescent="0.2">
      <c r="B87" s="219" t="str">
        <f>IF(Capacity!N80="","",Capacity!N80)</f>
        <v/>
      </c>
      <c r="C87" s="220" t="str">
        <f>IF(B87="","",Capacity!Q80)</f>
        <v/>
      </c>
      <c r="D87" s="309" t="str">
        <f>IF(B87="","",Capacity!R80)</f>
        <v/>
      </c>
      <c r="E87" s="220" t="str">
        <f>IF(B87="","",IF(COUNTBLANK(H87:BG87)=52,SUM('Capacity calculation (hide)'!H175:BG175),52-COUNTBLANK(H87:BG87)))</f>
        <v/>
      </c>
      <c r="F87" s="310" t="str">
        <f>'Capacity calculation (hide)'!BI175</f>
        <v/>
      </c>
      <c r="H87" s="363"/>
      <c r="I87" s="363"/>
      <c r="J87" s="363"/>
      <c r="K87" s="363"/>
      <c r="L87" s="363"/>
      <c r="M87" s="363"/>
      <c r="N87" s="363"/>
      <c r="O87" s="36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Q87" s="363"/>
      <c r="AR87" s="363"/>
      <c r="AS87" s="363"/>
      <c r="AT87" s="363"/>
      <c r="AU87" s="363"/>
      <c r="AV87" s="363"/>
      <c r="AW87" s="363"/>
      <c r="AX87" s="363"/>
      <c r="AY87" s="363"/>
      <c r="AZ87" s="363"/>
      <c r="BA87" s="363"/>
      <c r="BB87" s="363"/>
      <c r="BC87" s="363"/>
      <c r="BD87" s="363"/>
      <c r="BE87" s="363"/>
      <c r="BF87" s="363"/>
      <c r="BG87" s="363"/>
      <c r="BI87" s="342" t="s">
        <v>1238</v>
      </c>
    </row>
    <row r="88" spans="2:61" hidden="1" x14ac:dyDescent="0.2">
      <c r="B88" s="219" t="str">
        <f>IF(Capacity!N81="","",Capacity!N81)</f>
        <v/>
      </c>
      <c r="C88" s="220" t="str">
        <f>IF(B88="","",Capacity!Q81)</f>
        <v/>
      </c>
      <c r="D88" s="309" t="str">
        <f>IF(B88="","",Capacity!R81)</f>
        <v/>
      </c>
      <c r="E88" s="220" t="str">
        <f>IF(B88="","",IF(COUNTBLANK(H88:BG88)=52,SUM('Capacity calculation (hide)'!H176:BG176),52-COUNTBLANK(H88:BG88)))</f>
        <v/>
      </c>
      <c r="F88" s="310" t="str">
        <f>'Capacity calculation (hide)'!BI176</f>
        <v/>
      </c>
      <c r="H88" s="363"/>
      <c r="I88" s="363"/>
      <c r="J88" s="363"/>
      <c r="K88" s="363"/>
      <c r="L88" s="363"/>
      <c r="M88" s="363"/>
      <c r="N88" s="363"/>
      <c r="O88" s="36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Q88" s="363"/>
      <c r="AR88" s="363"/>
      <c r="AS88" s="363"/>
      <c r="AT88" s="363"/>
      <c r="AU88" s="363"/>
      <c r="AV88" s="363"/>
      <c r="AW88" s="363"/>
      <c r="AX88" s="363"/>
      <c r="AY88" s="363"/>
      <c r="AZ88" s="363"/>
      <c r="BA88" s="363"/>
      <c r="BB88" s="363"/>
      <c r="BC88" s="363"/>
      <c r="BD88" s="363"/>
      <c r="BE88" s="363"/>
      <c r="BF88" s="363"/>
      <c r="BG88" s="363"/>
      <c r="BI88" s="342" t="s">
        <v>1238</v>
      </c>
    </row>
    <row r="89" spans="2:61" hidden="1" x14ac:dyDescent="0.2">
      <c r="B89" s="219" t="str">
        <f>IF(Capacity!N82="","",Capacity!N82)</f>
        <v/>
      </c>
      <c r="C89" s="220" t="str">
        <f>IF(B89="","",Capacity!Q82)</f>
        <v/>
      </c>
      <c r="D89" s="309" t="str">
        <f>IF(B89="","",Capacity!R82)</f>
        <v/>
      </c>
      <c r="E89" s="220" t="str">
        <f>IF(B89="","",IF(COUNTBLANK(H89:BG89)=52,SUM('Capacity calculation (hide)'!H177:BG177),52-COUNTBLANK(H89:BG89)))</f>
        <v/>
      </c>
      <c r="F89" s="310" t="str">
        <f>'Capacity calculation (hide)'!BI177</f>
        <v/>
      </c>
      <c r="H89" s="363"/>
      <c r="I89" s="363"/>
      <c r="J89" s="363"/>
      <c r="K89" s="363"/>
      <c r="L89" s="363"/>
      <c r="M89" s="363"/>
      <c r="N89" s="363"/>
      <c r="O89" s="36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Q89" s="363"/>
      <c r="AR89" s="363"/>
      <c r="AS89" s="363"/>
      <c r="AT89" s="363"/>
      <c r="AU89" s="363"/>
      <c r="AV89" s="363"/>
      <c r="AW89" s="363"/>
      <c r="AX89" s="363"/>
      <c r="AY89" s="363"/>
      <c r="AZ89" s="363"/>
      <c r="BA89" s="363"/>
      <c r="BB89" s="363"/>
      <c r="BC89" s="363"/>
      <c r="BD89" s="363"/>
      <c r="BE89" s="363"/>
      <c r="BF89" s="363"/>
      <c r="BG89" s="363"/>
      <c r="BI89" s="342" t="s">
        <v>1238</v>
      </c>
    </row>
    <row r="90" spans="2:61" hidden="1" x14ac:dyDescent="0.2">
      <c r="B90" s="219" t="str">
        <f>IF(Capacity!N83="","",Capacity!N83)</f>
        <v/>
      </c>
      <c r="C90" s="220" t="str">
        <f>IF(B90="","",Capacity!Q83)</f>
        <v/>
      </c>
      <c r="D90" s="309" t="str">
        <f>IF(B90="","",Capacity!R83)</f>
        <v/>
      </c>
      <c r="E90" s="220" t="str">
        <f>IF(B90="","",IF(COUNTBLANK(H90:BG90)=52,SUM('Capacity calculation (hide)'!H178:BG178),52-COUNTBLANK(H90:BG90)))</f>
        <v/>
      </c>
      <c r="F90" s="310" t="str">
        <f>'Capacity calculation (hide)'!BI178</f>
        <v/>
      </c>
      <c r="H90" s="363"/>
      <c r="I90" s="363"/>
      <c r="J90" s="363"/>
      <c r="K90" s="363"/>
      <c r="L90" s="363"/>
      <c r="M90" s="363"/>
      <c r="N90" s="363"/>
      <c r="O90" s="36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Q90" s="363"/>
      <c r="AR90" s="363"/>
      <c r="AS90" s="363"/>
      <c r="AT90" s="363"/>
      <c r="AU90" s="363"/>
      <c r="AV90" s="363"/>
      <c r="AW90" s="363"/>
      <c r="AX90" s="363"/>
      <c r="AY90" s="363"/>
      <c r="AZ90" s="363"/>
      <c r="BA90" s="363"/>
      <c r="BB90" s="363"/>
      <c r="BC90" s="363"/>
      <c r="BD90" s="363"/>
      <c r="BE90" s="363"/>
      <c r="BF90" s="363"/>
      <c r="BG90" s="363"/>
      <c r="BI90" s="342" t="s">
        <v>1238</v>
      </c>
    </row>
    <row r="91" spans="2:61" hidden="1" x14ac:dyDescent="0.2">
      <c r="B91" s="219" t="str">
        <f>IF(Capacity!N84="","",Capacity!N84)</f>
        <v/>
      </c>
      <c r="C91" s="220" t="str">
        <f>IF(B91="","",Capacity!Q84)</f>
        <v/>
      </c>
      <c r="D91" s="309" t="str">
        <f>IF(B91="","",Capacity!R84)</f>
        <v/>
      </c>
      <c r="E91" s="220" t="str">
        <f>IF(B91="","",IF(COUNTBLANK(H91:BG91)=52,SUM('Capacity calculation (hide)'!H179:BG179),52-COUNTBLANK(H91:BG91)))</f>
        <v/>
      </c>
      <c r="F91" s="310" t="str">
        <f>'Capacity calculation (hide)'!BI179</f>
        <v/>
      </c>
      <c r="H91" s="363"/>
      <c r="I91" s="363"/>
      <c r="J91" s="363"/>
      <c r="K91" s="363"/>
      <c r="L91" s="363"/>
      <c r="M91" s="363"/>
      <c r="N91" s="363"/>
      <c r="O91" s="36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Q91" s="363"/>
      <c r="AR91" s="363"/>
      <c r="AS91" s="363"/>
      <c r="AT91" s="363"/>
      <c r="AU91" s="363"/>
      <c r="AV91" s="363"/>
      <c r="AW91" s="363"/>
      <c r="AX91" s="363"/>
      <c r="AY91" s="363"/>
      <c r="AZ91" s="363"/>
      <c r="BA91" s="363"/>
      <c r="BB91" s="363"/>
      <c r="BC91" s="363"/>
      <c r="BD91" s="363"/>
      <c r="BE91" s="363"/>
      <c r="BF91" s="363"/>
      <c r="BG91" s="363"/>
      <c r="BI91" s="342" t="s">
        <v>1238</v>
      </c>
    </row>
    <row r="92" spans="2:61" hidden="1" x14ac:dyDescent="0.2">
      <c r="B92" s="219" t="str">
        <f>IF(Capacity!N85="","",Capacity!N85)</f>
        <v/>
      </c>
      <c r="C92" s="220" t="str">
        <f>IF(B92="","",Capacity!Q85)</f>
        <v/>
      </c>
      <c r="D92" s="309" t="str">
        <f>IF(B92="","",Capacity!R85)</f>
        <v/>
      </c>
      <c r="E92" s="220" t="str">
        <f>IF(B92="","",IF(COUNTBLANK(H92:BG92)=52,SUM('Capacity calculation (hide)'!H180:BG180),52-COUNTBLANK(H92:BG92)))</f>
        <v/>
      </c>
      <c r="F92" s="310" t="str">
        <f>'Capacity calculation (hide)'!BI180</f>
        <v/>
      </c>
      <c r="H92" s="363"/>
      <c r="I92" s="363"/>
      <c r="J92" s="363"/>
      <c r="K92" s="363"/>
      <c r="L92" s="363"/>
      <c r="M92" s="363"/>
      <c r="N92" s="363"/>
      <c r="O92" s="36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Q92" s="363"/>
      <c r="AR92" s="363"/>
      <c r="AS92" s="363"/>
      <c r="AT92" s="363"/>
      <c r="AU92" s="363"/>
      <c r="AV92" s="363"/>
      <c r="AW92" s="363"/>
      <c r="AX92" s="363"/>
      <c r="AY92" s="363"/>
      <c r="AZ92" s="363"/>
      <c r="BA92" s="363"/>
      <c r="BB92" s="363"/>
      <c r="BC92" s="363"/>
      <c r="BD92" s="363"/>
      <c r="BE92" s="363"/>
      <c r="BF92" s="363"/>
      <c r="BG92" s="363"/>
      <c r="BI92" s="342" t="s">
        <v>1238</v>
      </c>
    </row>
    <row r="93" spans="2:61" hidden="1" x14ac:dyDescent="0.2">
      <c r="B93" s="219" t="str">
        <f>IF(Capacity!N86="","",Capacity!N86)</f>
        <v/>
      </c>
      <c r="C93" s="220" t="str">
        <f>IF(B93="","",Capacity!Q86)</f>
        <v/>
      </c>
      <c r="D93" s="309" t="str">
        <f>IF(B93="","",Capacity!R86)</f>
        <v/>
      </c>
      <c r="E93" s="220" t="str">
        <f>IF(B93="","",IF(COUNTBLANK(H93:BG93)=52,SUM('Capacity calculation (hide)'!H181:BG181),52-COUNTBLANK(H93:BG93)))</f>
        <v/>
      </c>
      <c r="F93" s="310" t="str">
        <f>'Capacity calculation (hide)'!BI181</f>
        <v/>
      </c>
      <c r="H93" s="363"/>
      <c r="I93" s="363"/>
      <c r="J93" s="363"/>
      <c r="K93" s="363"/>
      <c r="L93" s="363"/>
      <c r="M93" s="363"/>
      <c r="N93" s="363"/>
      <c r="O93" s="36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Q93" s="363"/>
      <c r="AR93" s="363"/>
      <c r="AS93" s="363"/>
      <c r="AT93" s="363"/>
      <c r="AU93" s="363"/>
      <c r="AV93" s="363"/>
      <c r="AW93" s="363"/>
      <c r="AX93" s="363"/>
      <c r="AY93" s="363"/>
      <c r="AZ93" s="363"/>
      <c r="BA93" s="363"/>
      <c r="BB93" s="363"/>
      <c r="BC93" s="363"/>
      <c r="BD93" s="363"/>
      <c r="BE93" s="363"/>
      <c r="BF93" s="363"/>
      <c r="BG93" s="363"/>
      <c r="BI93" s="342" t="s">
        <v>1238</v>
      </c>
    </row>
    <row r="94" spans="2:61" hidden="1" x14ac:dyDescent="0.2">
      <c r="B94" s="219" t="str">
        <f>IF(Capacity!N87="","",Capacity!N87)</f>
        <v/>
      </c>
      <c r="C94" s="220" t="str">
        <f>IF(B94="","",Capacity!Q87)</f>
        <v/>
      </c>
      <c r="D94" s="309" t="str">
        <f>IF(B94="","",Capacity!R87)</f>
        <v/>
      </c>
      <c r="E94" s="220" t="str">
        <f>IF(B94="","",IF(COUNTBLANK(H94:BG94)=52,SUM('Capacity calculation (hide)'!H182:BG182),52-COUNTBLANK(H94:BG94)))</f>
        <v/>
      </c>
      <c r="F94" s="310" t="str">
        <f>'Capacity calculation (hide)'!BI182</f>
        <v/>
      </c>
      <c r="H94" s="363"/>
      <c r="I94" s="363"/>
      <c r="J94" s="363"/>
      <c r="K94" s="363"/>
      <c r="L94" s="363"/>
      <c r="M94" s="363"/>
      <c r="N94" s="363"/>
      <c r="O94" s="36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Q94" s="363"/>
      <c r="AR94" s="363"/>
      <c r="AS94" s="363"/>
      <c r="AT94" s="363"/>
      <c r="AU94" s="363"/>
      <c r="AV94" s="363"/>
      <c r="AW94" s="363"/>
      <c r="AX94" s="363"/>
      <c r="AY94" s="363"/>
      <c r="AZ94" s="363"/>
      <c r="BA94" s="363"/>
      <c r="BB94" s="363"/>
      <c r="BC94" s="363"/>
      <c r="BD94" s="363"/>
      <c r="BE94" s="363"/>
      <c r="BF94" s="363"/>
      <c r="BG94" s="363"/>
      <c r="BI94" s="342" t="s">
        <v>1238</v>
      </c>
    </row>
    <row r="95" spans="2:61" hidden="1" x14ac:dyDescent="0.2">
      <c r="B95" s="219" t="str">
        <f>IF(Capacity!N88="","",Capacity!N88)</f>
        <v/>
      </c>
      <c r="C95" s="220" t="str">
        <f>IF(B95="","",Capacity!Q88)</f>
        <v/>
      </c>
      <c r="D95" s="309" t="str">
        <f>IF(B95="","",Capacity!R88)</f>
        <v/>
      </c>
      <c r="E95" s="220" t="str">
        <f>IF(B95="","",IF(COUNTBLANK(H95:BG95)=52,SUM('Capacity calculation (hide)'!H183:BG183),52-COUNTBLANK(H95:BG95)))</f>
        <v/>
      </c>
      <c r="F95" s="310" t="str">
        <f>'Capacity calculation (hide)'!BI183</f>
        <v/>
      </c>
      <c r="H95" s="363"/>
      <c r="I95" s="363"/>
      <c r="J95" s="363"/>
      <c r="K95" s="363"/>
      <c r="L95" s="363"/>
      <c r="M95" s="363"/>
      <c r="N95" s="363"/>
      <c r="O95" s="36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Q95" s="363"/>
      <c r="AR95" s="363"/>
      <c r="AS95" s="363"/>
      <c r="AT95" s="363"/>
      <c r="AU95" s="363"/>
      <c r="AV95" s="363"/>
      <c r="AW95" s="363"/>
      <c r="AX95" s="363"/>
      <c r="AY95" s="363"/>
      <c r="AZ95" s="363"/>
      <c r="BA95" s="363"/>
      <c r="BB95" s="363"/>
      <c r="BC95" s="363"/>
      <c r="BD95" s="363"/>
      <c r="BE95" s="363"/>
      <c r="BF95" s="363"/>
      <c r="BG95" s="363"/>
      <c r="BI95" s="342" t="s">
        <v>1238</v>
      </c>
    </row>
    <row r="96" spans="2:61" hidden="1" x14ac:dyDescent="0.2">
      <c r="B96" s="219" t="str">
        <f>IF(Capacity!N89="","",Capacity!N89)</f>
        <v/>
      </c>
      <c r="C96" s="220" t="str">
        <f>IF(B96="","",Capacity!Q89)</f>
        <v/>
      </c>
      <c r="D96" s="309" t="str">
        <f>IF(B96="","",Capacity!R89)</f>
        <v/>
      </c>
      <c r="E96" s="220" t="str">
        <f>IF(B96="","",IF(COUNTBLANK(H96:BG96)=52,SUM('Capacity calculation (hide)'!H184:BG184),52-COUNTBLANK(H96:BG96)))</f>
        <v/>
      </c>
      <c r="F96" s="310" t="str">
        <f>'Capacity calculation (hide)'!BI184</f>
        <v/>
      </c>
      <c r="H96" s="363"/>
      <c r="I96" s="363"/>
      <c r="J96" s="363"/>
      <c r="K96" s="363"/>
      <c r="L96" s="363"/>
      <c r="M96" s="363"/>
      <c r="N96" s="363"/>
      <c r="O96" s="36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Q96" s="363"/>
      <c r="AR96" s="363"/>
      <c r="AS96" s="363"/>
      <c r="AT96" s="363"/>
      <c r="AU96" s="363"/>
      <c r="AV96" s="363"/>
      <c r="AW96" s="363"/>
      <c r="AX96" s="363"/>
      <c r="AY96" s="363"/>
      <c r="AZ96" s="363"/>
      <c r="BA96" s="363"/>
      <c r="BB96" s="363"/>
      <c r="BC96" s="363"/>
      <c r="BD96" s="363"/>
      <c r="BE96" s="363"/>
      <c r="BF96" s="363"/>
      <c r="BG96" s="363"/>
      <c r="BI96" s="342" t="s">
        <v>1238</v>
      </c>
    </row>
    <row r="97" spans="2:61" hidden="1" x14ac:dyDescent="0.2">
      <c r="B97" s="219" t="str">
        <f>IF(Capacity!N90="","",Capacity!N90)</f>
        <v/>
      </c>
      <c r="C97" s="220" t="str">
        <f>IF(B97="","",Capacity!Q90)</f>
        <v/>
      </c>
      <c r="D97" s="309" t="str">
        <f>IF(B97="","",Capacity!R90)</f>
        <v/>
      </c>
      <c r="E97" s="220" t="str">
        <f>IF(B97="","",IF(COUNTBLANK(H97:BG97)=52,SUM('Capacity calculation (hide)'!H185:BG185),52-COUNTBLANK(H97:BG97)))</f>
        <v/>
      </c>
      <c r="F97" s="310" t="str">
        <f>'Capacity calculation (hide)'!BI185</f>
        <v/>
      </c>
      <c r="H97" s="363"/>
      <c r="I97" s="363"/>
      <c r="J97" s="363"/>
      <c r="K97" s="363"/>
      <c r="L97" s="363"/>
      <c r="M97" s="363"/>
      <c r="N97" s="363"/>
      <c r="O97" s="36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Q97" s="363"/>
      <c r="AR97" s="363"/>
      <c r="AS97" s="363"/>
      <c r="AT97" s="363"/>
      <c r="AU97" s="363"/>
      <c r="AV97" s="363"/>
      <c r="AW97" s="363"/>
      <c r="AX97" s="363"/>
      <c r="AY97" s="363"/>
      <c r="AZ97" s="363"/>
      <c r="BA97" s="363"/>
      <c r="BB97" s="363"/>
      <c r="BC97" s="363"/>
      <c r="BD97" s="363"/>
      <c r="BE97" s="363"/>
      <c r="BF97" s="363"/>
      <c r="BG97" s="363"/>
      <c r="BI97" s="342" t="s">
        <v>1238</v>
      </c>
    </row>
    <row r="98" spans="2:61" hidden="1" x14ac:dyDescent="0.2">
      <c r="B98" s="219" t="str">
        <f>IF(Capacity!N91="","",Capacity!N91)</f>
        <v/>
      </c>
      <c r="C98" s="220" t="str">
        <f>IF(B98="","",Capacity!Q91)</f>
        <v/>
      </c>
      <c r="D98" s="309" t="str">
        <f>IF(B98="","",Capacity!R91)</f>
        <v/>
      </c>
      <c r="E98" s="220" t="str">
        <f>IF(B98="","",IF(COUNTBLANK(H98:BG98)=52,SUM('Capacity calculation (hide)'!H186:BG186),52-COUNTBLANK(H98:BG98)))</f>
        <v/>
      </c>
      <c r="F98" s="310" t="str">
        <f>'Capacity calculation (hide)'!BI186</f>
        <v/>
      </c>
      <c r="H98" s="363"/>
      <c r="I98" s="363"/>
      <c r="J98" s="363"/>
      <c r="K98" s="363"/>
      <c r="L98" s="363"/>
      <c r="M98" s="363"/>
      <c r="N98" s="363"/>
      <c r="O98" s="36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Q98" s="363"/>
      <c r="AR98" s="363"/>
      <c r="AS98" s="363"/>
      <c r="AT98" s="363"/>
      <c r="AU98" s="363"/>
      <c r="AV98" s="363"/>
      <c r="AW98" s="363"/>
      <c r="AX98" s="363"/>
      <c r="AY98" s="363"/>
      <c r="AZ98" s="363"/>
      <c r="BA98" s="363"/>
      <c r="BB98" s="363"/>
      <c r="BC98" s="363"/>
      <c r="BD98" s="363"/>
      <c r="BE98" s="363"/>
      <c r="BF98" s="363"/>
      <c r="BG98" s="363"/>
      <c r="BI98" s="342" t="s">
        <v>1238</v>
      </c>
    </row>
    <row r="99" spans="2:61" hidden="1" x14ac:dyDescent="0.2">
      <c r="B99" s="219" t="str">
        <f>IF(Capacity!N92="","",Capacity!N92)</f>
        <v/>
      </c>
      <c r="C99" s="220" t="str">
        <f>IF(B99="","",Capacity!Q92)</f>
        <v/>
      </c>
      <c r="D99" s="309" t="str">
        <f>IF(B99="","",Capacity!R92)</f>
        <v/>
      </c>
      <c r="E99" s="220" t="str">
        <f>IF(B99="","",IF(COUNTBLANK(H99:BG99)=52,SUM('Capacity calculation (hide)'!H187:BG187),52-COUNTBLANK(H99:BG99)))</f>
        <v/>
      </c>
      <c r="F99" s="310" t="str">
        <f>'Capacity calculation (hide)'!BI187</f>
        <v/>
      </c>
      <c r="H99" s="363"/>
      <c r="I99" s="363"/>
      <c r="J99" s="363"/>
      <c r="K99" s="363"/>
      <c r="L99" s="363"/>
      <c r="M99" s="363"/>
      <c r="N99" s="363"/>
      <c r="O99" s="36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Q99" s="363"/>
      <c r="AR99" s="363"/>
      <c r="AS99" s="363"/>
      <c r="AT99" s="363"/>
      <c r="AU99" s="363"/>
      <c r="AV99" s="363"/>
      <c r="AW99" s="363"/>
      <c r="AX99" s="363"/>
      <c r="AY99" s="363"/>
      <c r="AZ99" s="363"/>
      <c r="BA99" s="363"/>
      <c r="BB99" s="363"/>
      <c r="BC99" s="363"/>
      <c r="BD99" s="363"/>
      <c r="BE99" s="363"/>
      <c r="BF99" s="363"/>
      <c r="BG99" s="363"/>
      <c r="BI99" s="342" t="s">
        <v>1238</v>
      </c>
    </row>
    <row r="100" spans="2:61" hidden="1" x14ac:dyDescent="0.2">
      <c r="B100" s="219" t="str">
        <f>IF(Capacity!N93="","",Capacity!N93)</f>
        <v/>
      </c>
      <c r="C100" s="220" t="str">
        <f>IF(B100="","",Capacity!Q93)</f>
        <v/>
      </c>
      <c r="D100" s="309" t="str">
        <f>IF(B100="","",Capacity!R93)</f>
        <v/>
      </c>
      <c r="E100" s="220" t="str">
        <f>IF(B100="","",IF(COUNTBLANK(H100:BG100)=52,SUM('Capacity calculation (hide)'!H188:BG188),52-COUNTBLANK(H100:BG100)))</f>
        <v/>
      </c>
      <c r="F100" s="310" t="str">
        <f>'Capacity calculation (hide)'!BI188</f>
        <v/>
      </c>
      <c r="H100" s="363"/>
      <c r="I100" s="363"/>
      <c r="J100" s="363"/>
      <c r="K100" s="363"/>
      <c r="L100" s="363"/>
      <c r="M100" s="363"/>
      <c r="N100" s="363"/>
      <c r="O100" s="36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Q100" s="363"/>
      <c r="AR100" s="363"/>
      <c r="AS100" s="363"/>
      <c r="AT100" s="363"/>
      <c r="AU100" s="363"/>
      <c r="AV100" s="363"/>
      <c r="AW100" s="363"/>
      <c r="AX100" s="363"/>
      <c r="AY100" s="363"/>
      <c r="AZ100" s="363"/>
      <c r="BA100" s="363"/>
      <c r="BB100" s="363"/>
      <c r="BC100" s="363"/>
      <c r="BD100" s="363"/>
      <c r="BE100" s="363"/>
      <c r="BF100" s="363"/>
      <c r="BG100" s="363"/>
      <c r="BI100" s="342" t="s">
        <v>1238</v>
      </c>
    </row>
    <row r="101" spans="2:61" hidden="1" x14ac:dyDescent="0.2">
      <c r="B101" s="219" t="str">
        <f>IF(Capacity!N94="","",Capacity!N94)</f>
        <v/>
      </c>
      <c r="C101" s="220" t="str">
        <f>IF(B101="","",Capacity!Q94)</f>
        <v/>
      </c>
      <c r="D101" s="309" t="str">
        <f>IF(B101="","",Capacity!R94)</f>
        <v/>
      </c>
      <c r="E101" s="220" t="str">
        <f>IF(B101="","",IF(COUNTBLANK(H101:BG101)=52,SUM('Capacity calculation (hide)'!H189:BG189),52-COUNTBLANK(H101:BG101)))</f>
        <v/>
      </c>
      <c r="F101" s="310" t="str">
        <f>'Capacity calculation (hide)'!BI189</f>
        <v/>
      </c>
      <c r="H101" s="363"/>
      <c r="I101" s="363"/>
      <c r="J101" s="363"/>
      <c r="K101" s="363"/>
      <c r="L101" s="363"/>
      <c r="M101" s="363"/>
      <c r="N101" s="363"/>
      <c r="O101" s="363"/>
      <c r="P101" s="363"/>
      <c r="Q101" s="363"/>
      <c r="R101" s="363"/>
      <c r="S101" s="363"/>
      <c r="T101" s="363"/>
      <c r="U101" s="363"/>
      <c r="V101" s="363"/>
      <c r="W101" s="363"/>
      <c r="X101" s="363"/>
      <c r="Y101" s="363"/>
      <c r="Z101" s="363"/>
      <c r="AA101" s="363"/>
      <c r="AB101" s="363"/>
      <c r="AC101" s="363"/>
      <c r="AD101" s="363"/>
      <c r="AE101" s="363"/>
      <c r="AF101" s="363"/>
      <c r="AG101" s="363"/>
      <c r="AH101" s="363"/>
      <c r="AI101" s="363"/>
      <c r="AJ101" s="363"/>
      <c r="AK101" s="363"/>
      <c r="AL101" s="363"/>
      <c r="AM101" s="363"/>
      <c r="AN101" s="363"/>
      <c r="AO101" s="363"/>
      <c r="AP101" s="363"/>
      <c r="AQ101" s="363"/>
      <c r="AR101" s="363"/>
      <c r="AS101" s="363"/>
      <c r="AT101" s="363"/>
      <c r="AU101" s="363"/>
      <c r="AV101" s="363"/>
      <c r="AW101" s="363"/>
      <c r="AX101" s="363"/>
      <c r="AY101" s="363"/>
      <c r="AZ101" s="363"/>
      <c r="BA101" s="363"/>
      <c r="BB101" s="363"/>
      <c r="BC101" s="363"/>
      <c r="BD101" s="363"/>
      <c r="BE101" s="363"/>
      <c r="BF101" s="363"/>
      <c r="BG101" s="363"/>
      <c r="BI101" s="342" t="s">
        <v>1238</v>
      </c>
    </row>
    <row r="102" spans="2:61" hidden="1" x14ac:dyDescent="0.2">
      <c r="B102" s="219" t="str">
        <f>IF(Capacity!N95="","",Capacity!N95)</f>
        <v/>
      </c>
      <c r="C102" s="220" t="str">
        <f>IF(B102="","",Capacity!Q95)</f>
        <v/>
      </c>
      <c r="D102" s="309" t="str">
        <f>IF(B102="","",Capacity!R95)</f>
        <v/>
      </c>
      <c r="E102" s="220" t="str">
        <f>IF(B102="","",IF(COUNTBLANK(H102:BG102)=52,SUM('Capacity calculation (hide)'!H190:BG190),52-COUNTBLANK(H102:BG102)))</f>
        <v/>
      </c>
      <c r="F102" s="310" t="str">
        <f>'Capacity calculation (hide)'!BI190</f>
        <v/>
      </c>
      <c r="H102" s="363"/>
      <c r="I102" s="363"/>
      <c r="J102" s="363"/>
      <c r="K102" s="363"/>
      <c r="L102" s="363"/>
      <c r="M102" s="363"/>
      <c r="N102" s="363"/>
      <c r="O102" s="363"/>
      <c r="P102" s="363"/>
      <c r="Q102" s="363"/>
      <c r="R102" s="363"/>
      <c r="S102" s="363"/>
      <c r="T102" s="363"/>
      <c r="U102" s="363"/>
      <c r="V102" s="363"/>
      <c r="W102" s="363"/>
      <c r="X102" s="363"/>
      <c r="Y102" s="363"/>
      <c r="Z102" s="363"/>
      <c r="AA102" s="363"/>
      <c r="AB102" s="363"/>
      <c r="AC102" s="363"/>
      <c r="AD102" s="363"/>
      <c r="AE102" s="363"/>
      <c r="AF102" s="363"/>
      <c r="AG102" s="363"/>
      <c r="AH102" s="363"/>
      <c r="AI102" s="363"/>
      <c r="AJ102" s="363"/>
      <c r="AK102" s="363"/>
      <c r="AL102" s="363"/>
      <c r="AM102" s="363"/>
      <c r="AN102" s="363"/>
      <c r="AO102" s="363"/>
      <c r="AP102" s="363"/>
      <c r="AQ102" s="363"/>
      <c r="AR102" s="363"/>
      <c r="AS102" s="363"/>
      <c r="AT102" s="363"/>
      <c r="AU102" s="363"/>
      <c r="AV102" s="363"/>
      <c r="AW102" s="363"/>
      <c r="AX102" s="363"/>
      <c r="AY102" s="363"/>
      <c r="AZ102" s="363"/>
      <c r="BA102" s="363"/>
      <c r="BB102" s="363"/>
      <c r="BC102" s="363"/>
      <c r="BD102" s="363"/>
      <c r="BE102" s="363"/>
      <c r="BF102" s="363"/>
      <c r="BG102" s="363"/>
      <c r="BI102" s="342" t="s">
        <v>1238</v>
      </c>
    </row>
    <row r="103" spans="2:61" hidden="1" x14ac:dyDescent="0.2">
      <c r="B103" s="219" t="str">
        <f>IF(Capacity!N96="","",Capacity!N96)</f>
        <v/>
      </c>
      <c r="C103" s="220" t="str">
        <f>IF(B103="","",Capacity!Q96)</f>
        <v/>
      </c>
      <c r="D103" s="309" t="str">
        <f>IF(B103="","",Capacity!R96)</f>
        <v/>
      </c>
      <c r="E103" s="220" t="str">
        <f>IF(B103="","",IF(COUNTBLANK(H103:BG103)=52,SUM('Capacity calculation (hide)'!H191:BG191),52-COUNTBLANK(H103:BG103)))</f>
        <v/>
      </c>
      <c r="F103" s="310" t="str">
        <f>'Capacity calculation (hide)'!BI191</f>
        <v/>
      </c>
      <c r="H103" s="363"/>
      <c r="I103" s="363"/>
      <c r="J103" s="363"/>
      <c r="K103" s="363"/>
      <c r="L103" s="363"/>
      <c r="M103" s="363"/>
      <c r="N103" s="363"/>
      <c r="O103" s="363"/>
      <c r="P103" s="363"/>
      <c r="Q103" s="363"/>
      <c r="R103" s="363"/>
      <c r="S103" s="363"/>
      <c r="T103" s="363"/>
      <c r="U103" s="363"/>
      <c r="V103" s="363"/>
      <c r="W103" s="363"/>
      <c r="X103" s="363"/>
      <c r="Y103" s="363"/>
      <c r="Z103" s="363"/>
      <c r="AA103" s="363"/>
      <c r="AB103" s="363"/>
      <c r="AC103" s="363"/>
      <c r="AD103" s="363"/>
      <c r="AE103" s="363"/>
      <c r="AF103" s="363"/>
      <c r="AG103" s="363"/>
      <c r="AH103" s="363"/>
      <c r="AI103" s="363"/>
      <c r="AJ103" s="363"/>
      <c r="AK103" s="363"/>
      <c r="AL103" s="363"/>
      <c r="AM103" s="363"/>
      <c r="AN103" s="363"/>
      <c r="AO103" s="363"/>
      <c r="AP103" s="363"/>
      <c r="AQ103" s="363"/>
      <c r="AR103" s="363"/>
      <c r="AS103" s="363"/>
      <c r="AT103" s="363"/>
      <c r="AU103" s="363"/>
      <c r="AV103" s="363"/>
      <c r="AW103" s="363"/>
      <c r="AX103" s="363"/>
      <c r="AY103" s="363"/>
      <c r="AZ103" s="363"/>
      <c r="BA103" s="363"/>
      <c r="BB103" s="363"/>
      <c r="BC103" s="363"/>
      <c r="BD103" s="363"/>
      <c r="BE103" s="363"/>
      <c r="BF103" s="363"/>
      <c r="BG103" s="363"/>
      <c r="BI103" s="342" t="s">
        <v>1238</v>
      </c>
    </row>
    <row r="104" spans="2:61" hidden="1" x14ac:dyDescent="0.2">
      <c r="B104" s="219" t="str">
        <f>IF(Capacity!N97="","",Capacity!N97)</f>
        <v/>
      </c>
      <c r="C104" s="220" t="str">
        <f>IF(B104="","",Capacity!Q97)</f>
        <v/>
      </c>
      <c r="D104" s="309" t="str">
        <f>IF(B104="","",Capacity!R97)</f>
        <v/>
      </c>
      <c r="E104" s="220" t="str">
        <f>IF(B104="","",IF(COUNTBLANK(H104:BG104)=52,SUM('Capacity calculation (hide)'!H192:BG192),52-COUNTBLANK(H104:BG104)))</f>
        <v/>
      </c>
      <c r="F104" s="310" t="str">
        <f>'Capacity calculation (hide)'!BI192</f>
        <v/>
      </c>
      <c r="H104" s="363"/>
      <c r="I104" s="363"/>
      <c r="J104" s="363"/>
      <c r="K104" s="363"/>
      <c r="L104" s="363"/>
      <c r="M104" s="363"/>
      <c r="N104" s="363"/>
      <c r="O104" s="363"/>
      <c r="P104" s="363"/>
      <c r="Q104" s="363"/>
      <c r="R104" s="363"/>
      <c r="S104" s="363"/>
      <c r="T104" s="363"/>
      <c r="U104" s="363"/>
      <c r="V104" s="363"/>
      <c r="W104" s="363"/>
      <c r="X104" s="363"/>
      <c r="Y104" s="363"/>
      <c r="Z104" s="363"/>
      <c r="AA104" s="363"/>
      <c r="AB104" s="363"/>
      <c r="AC104" s="363"/>
      <c r="AD104" s="363"/>
      <c r="AE104" s="363"/>
      <c r="AF104" s="363"/>
      <c r="AG104" s="363"/>
      <c r="AH104" s="363"/>
      <c r="AI104" s="363"/>
      <c r="AJ104" s="363"/>
      <c r="AK104" s="363"/>
      <c r="AL104" s="363"/>
      <c r="AM104" s="363"/>
      <c r="AN104" s="363"/>
      <c r="AO104" s="363"/>
      <c r="AP104" s="363"/>
      <c r="AQ104" s="363"/>
      <c r="AR104" s="363"/>
      <c r="AS104" s="363"/>
      <c r="AT104" s="363"/>
      <c r="AU104" s="363"/>
      <c r="AV104" s="363"/>
      <c r="AW104" s="363"/>
      <c r="AX104" s="363"/>
      <c r="AY104" s="363"/>
      <c r="AZ104" s="363"/>
      <c r="BA104" s="363"/>
      <c r="BB104" s="363"/>
      <c r="BC104" s="363"/>
      <c r="BD104" s="363"/>
      <c r="BE104" s="363"/>
      <c r="BF104" s="363"/>
      <c r="BG104" s="363"/>
      <c r="BI104" s="342" t="s">
        <v>1238</v>
      </c>
    </row>
    <row r="105" spans="2:61" hidden="1" x14ac:dyDescent="0.2">
      <c r="B105" s="219" t="str">
        <f>IF(Capacity!N98="","",Capacity!N98)</f>
        <v/>
      </c>
      <c r="C105" s="220" t="str">
        <f>IF(B105="","",Capacity!Q98)</f>
        <v/>
      </c>
      <c r="D105" s="309" t="str">
        <f>IF(B105="","",Capacity!R98)</f>
        <v/>
      </c>
      <c r="E105" s="220" t="str">
        <f>IF(B105="","",IF(COUNTBLANK(H105:BG105)=52,SUM('Capacity calculation (hide)'!H193:BG193),52-COUNTBLANK(H105:BG105)))</f>
        <v/>
      </c>
      <c r="F105" s="310" t="str">
        <f>'Capacity calculation (hide)'!BI193</f>
        <v/>
      </c>
      <c r="H105" s="363"/>
      <c r="I105" s="363"/>
      <c r="J105" s="363"/>
      <c r="K105" s="363"/>
      <c r="L105" s="363"/>
      <c r="M105" s="363"/>
      <c r="N105" s="363"/>
      <c r="O105" s="363"/>
      <c r="P105" s="363"/>
      <c r="Q105" s="363"/>
      <c r="R105" s="363"/>
      <c r="S105" s="363"/>
      <c r="T105" s="363"/>
      <c r="U105" s="363"/>
      <c r="V105" s="363"/>
      <c r="W105" s="363"/>
      <c r="X105" s="363"/>
      <c r="Y105" s="363"/>
      <c r="Z105" s="363"/>
      <c r="AA105" s="363"/>
      <c r="AB105" s="363"/>
      <c r="AC105" s="363"/>
      <c r="AD105" s="363"/>
      <c r="AE105" s="363"/>
      <c r="AF105" s="363"/>
      <c r="AG105" s="363"/>
      <c r="AH105" s="363"/>
      <c r="AI105" s="363"/>
      <c r="AJ105" s="363"/>
      <c r="AK105" s="363"/>
      <c r="AL105" s="363"/>
      <c r="AM105" s="363"/>
      <c r="AN105" s="363"/>
      <c r="AO105" s="363"/>
      <c r="AP105" s="363"/>
      <c r="AQ105" s="363"/>
      <c r="AR105" s="363"/>
      <c r="AS105" s="363"/>
      <c r="AT105" s="363"/>
      <c r="AU105" s="363"/>
      <c r="AV105" s="363"/>
      <c r="AW105" s="363"/>
      <c r="AX105" s="363"/>
      <c r="AY105" s="363"/>
      <c r="AZ105" s="363"/>
      <c r="BA105" s="363"/>
      <c r="BB105" s="363"/>
      <c r="BC105" s="363"/>
      <c r="BD105" s="363"/>
      <c r="BE105" s="363"/>
      <c r="BF105" s="363"/>
      <c r="BG105" s="363"/>
      <c r="BI105" s="342" t="s">
        <v>1238</v>
      </c>
    </row>
    <row r="106" spans="2:61" hidden="1" x14ac:dyDescent="0.2">
      <c r="B106" s="219" t="str">
        <f>IF(Capacity!N99="","",Capacity!N99)</f>
        <v/>
      </c>
      <c r="C106" s="220" t="str">
        <f>IF(B106="","",Capacity!Q99)</f>
        <v/>
      </c>
      <c r="D106" s="309" t="str">
        <f>IF(B106="","",Capacity!R99)</f>
        <v/>
      </c>
      <c r="E106" s="220" t="str">
        <f>IF(B106="","",IF(COUNTBLANK(H106:BG106)=52,SUM('Capacity calculation (hide)'!H194:BG194),52-COUNTBLANK(H106:BG106)))</f>
        <v/>
      </c>
      <c r="F106" s="310" t="str">
        <f>'Capacity calculation (hide)'!BI194</f>
        <v/>
      </c>
      <c r="H106" s="363"/>
      <c r="I106" s="363"/>
      <c r="J106" s="363"/>
      <c r="K106" s="363"/>
      <c r="L106" s="363"/>
      <c r="M106" s="363"/>
      <c r="N106" s="363"/>
      <c r="O106" s="363"/>
      <c r="P106" s="363"/>
      <c r="Q106" s="363"/>
      <c r="R106" s="363"/>
      <c r="S106" s="363"/>
      <c r="T106" s="363"/>
      <c r="U106" s="363"/>
      <c r="V106" s="363"/>
      <c r="W106" s="363"/>
      <c r="X106" s="363"/>
      <c r="Y106" s="363"/>
      <c r="Z106" s="363"/>
      <c r="AA106" s="363"/>
      <c r="AB106" s="363"/>
      <c r="AC106" s="363"/>
      <c r="AD106" s="363"/>
      <c r="AE106" s="363"/>
      <c r="AF106" s="363"/>
      <c r="AG106" s="363"/>
      <c r="AH106" s="363"/>
      <c r="AI106" s="363"/>
      <c r="AJ106" s="363"/>
      <c r="AK106" s="363"/>
      <c r="AL106" s="363"/>
      <c r="AM106" s="363"/>
      <c r="AN106" s="363"/>
      <c r="AO106" s="363"/>
      <c r="AP106" s="363"/>
      <c r="AQ106" s="363"/>
      <c r="AR106" s="363"/>
      <c r="AS106" s="363"/>
      <c r="AT106" s="363"/>
      <c r="AU106" s="363"/>
      <c r="AV106" s="363"/>
      <c r="AW106" s="363"/>
      <c r="AX106" s="363"/>
      <c r="AY106" s="363"/>
      <c r="AZ106" s="363"/>
      <c r="BA106" s="363"/>
      <c r="BB106" s="363"/>
      <c r="BC106" s="363"/>
      <c r="BD106" s="363"/>
      <c r="BE106" s="363"/>
      <c r="BF106" s="363"/>
      <c r="BG106" s="363"/>
      <c r="BI106" s="342" t="s">
        <v>1238</v>
      </c>
    </row>
    <row r="107" spans="2:61" hidden="1" x14ac:dyDescent="0.2">
      <c r="B107" s="219" t="str">
        <f>IF(Capacity!N100="","",Capacity!N100)</f>
        <v/>
      </c>
      <c r="C107" s="220" t="str">
        <f>IF(B107="","",Capacity!Q100)</f>
        <v/>
      </c>
      <c r="D107" s="309" t="str">
        <f>IF(B107="","",Capacity!R100)</f>
        <v/>
      </c>
      <c r="E107" s="220" t="str">
        <f>IF(B107="","",IF(COUNTBLANK(H107:BG107)=52,SUM('Capacity calculation (hide)'!H195:BG195),52-COUNTBLANK(H107:BG107)))</f>
        <v/>
      </c>
      <c r="F107" s="310" t="str">
        <f>'Capacity calculation (hide)'!BI195</f>
        <v/>
      </c>
      <c r="H107" s="363"/>
      <c r="I107" s="363"/>
      <c r="J107" s="363"/>
      <c r="K107" s="363"/>
      <c r="L107" s="363"/>
      <c r="M107" s="363"/>
      <c r="N107" s="363"/>
      <c r="O107" s="363"/>
      <c r="P107" s="363"/>
      <c r="Q107" s="363"/>
      <c r="R107" s="363"/>
      <c r="S107" s="363"/>
      <c r="T107" s="363"/>
      <c r="U107" s="363"/>
      <c r="V107" s="363"/>
      <c r="W107" s="363"/>
      <c r="X107" s="363"/>
      <c r="Y107" s="363"/>
      <c r="Z107" s="363"/>
      <c r="AA107" s="363"/>
      <c r="AB107" s="363"/>
      <c r="AC107" s="363"/>
      <c r="AD107" s="363"/>
      <c r="AE107" s="363"/>
      <c r="AF107" s="363"/>
      <c r="AG107" s="363"/>
      <c r="AH107" s="363"/>
      <c r="AI107" s="363"/>
      <c r="AJ107" s="363"/>
      <c r="AK107" s="363"/>
      <c r="AL107" s="363"/>
      <c r="AM107" s="363"/>
      <c r="AN107" s="363"/>
      <c r="AO107" s="363"/>
      <c r="AP107" s="363"/>
      <c r="AQ107" s="363"/>
      <c r="AR107" s="363"/>
      <c r="AS107" s="363"/>
      <c r="AT107" s="363"/>
      <c r="AU107" s="363"/>
      <c r="AV107" s="363"/>
      <c r="AW107" s="363"/>
      <c r="AX107" s="363"/>
      <c r="AY107" s="363"/>
      <c r="AZ107" s="363"/>
      <c r="BA107" s="363"/>
      <c r="BB107" s="363"/>
      <c r="BC107" s="363"/>
      <c r="BD107" s="363"/>
      <c r="BE107" s="363"/>
      <c r="BF107" s="363"/>
      <c r="BG107" s="363"/>
      <c r="BI107" s="342" t="s">
        <v>1238</v>
      </c>
    </row>
    <row r="108" spans="2:61" hidden="1" x14ac:dyDescent="0.2">
      <c r="B108" s="219" t="str">
        <f>IF(Capacity!N101="","",Capacity!N101)</f>
        <v/>
      </c>
      <c r="C108" s="220" t="str">
        <f>IF(B108="","",Capacity!Q101)</f>
        <v/>
      </c>
      <c r="D108" s="309" t="str">
        <f>IF(B108="","",Capacity!R101)</f>
        <v/>
      </c>
      <c r="E108" s="220" t="str">
        <f>IF(B108="","",IF(COUNTBLANK(H108:BG108)=52,SUM('Capacity calculation (hide)'!H196:BG196),52-COUNTBLANK(H108:BG108)))</f>
        <v/>
      </c>
      <c r="F108" s="310" t="str">
        <f>'Capacity calculation (hide)'!BI196</f>
        <v/>
      </c>
      <c r="H108" s="363"/>
      <c r="I108" s="363"/>
      <c r="J108" s="363"/>
      <c r="K108" s="363"/>
      <c r="L108" s="363"/>
      <c r="M108" s="363"/>
      <c r="N108" s="363"/>
      <c r="O108" s="363"/>
      <c r="P108" s="363"/>
      <c r="Q108" s="363"/>
      <c r="R108" s="363"/>
      <c r="S108" s="363"/>
      <c r="T108" s="363"/>
      <c r="U108" s="363"/>
      <c r="V108" s="363"/>
      <c r="W108" s="363"/>
      <c r="X108" s="363"/>
      <c r="Y108" s="363"/>
      <c r="Z108" s="363"/>
      <c r="AA108" s="363"/>
      <c r="AB108" s="363"/>
      <c r="AC108" s="363"/>
      <c r="AD108" s="363"/>
      <c r="AE108" s="363"/>
      <c r="AF108" s="363"/>
      <c r="AG108" s="363"/>
      <c r="AH108" s="363"/>
      <c r="AI108" s="363"/>
      <c r="AJ108" s="363"/>
      <c r="AK108" s="363"/>
      <c r="AL108" s="363"/>
      <c r="AM108" s="363"/>
      <c r="AN108" s="363"/>
      <c r="AO108" s="363"/>
      <c r="AP108" s="363"/>
      <c r="AQ108" s="363"/>
      <c r="AR108" s="363"/>
      <c r="AS108" s="363"/>
      <c r="AT108" s="363"/>
      <c r="AU108" s="363"/>
      <c r="AV108" s="363"/>
      <c r="AW108" s="363"/>
      <c r="AX108" s="363"/>
      <c r="AY108" s="363"/>
      <c r="AZ108" s="363"/>
      <c r="BA108" s="363"/>
      <c r="BB108" s="363"/>
      <c r="BC108" s="363"/>
      <c r="BD108" s="363"/>
      <c r="BE108" s="363"/>
      <c r="BF108" s="363"/>
      <c r="BG108" s="363"/>
      <c r="BI108" s="342" t="s">
        <v>1238</v>
      </c>
    </row>
    <row r="109" spans="2:61" hidden="1" x14ac:dyDescent="0.2">
      <c r="B109" s="219" t="str">
        <f>IF(Capacity!N102="","",Capacity!N102)</f>
        <v/>
      </c>
      <c r="C109" s="220" t="str">
        <f>IF(B109="","",Capacity!Q102)</f>
        <v/>
      </c>
      <c r="D109" s="309" t="str">
        <f>IF(B109="","",Capacity!R102)</f>
        <v/>
      </c>
      <c r="E109" s="220" t="str">
        <f>IF(B109="","",IF(COUNTBLANK(H109:BG109)=52,SUM('Capacity calculation (hide)'!H197:BG197),52-COUNTBLANK(H109:BG109)))</f>
        <v/>
      </c>
      <c r="F109" s="310" t="str">
        <f>'Capacity calculation (hide)'!BI197</f>
        <v/>
      </c>
      <c r="H109" s="363"/>
      <c r="I109" s="363"/>
      <c r="J109" s="363"/>
      <c r="K109" s="363"/>
      <c r="L109" s="363"/>
      <c r="M109" s="363"/>
      <c r="N109" s="363"/>
      <c r="O109" s="363"/>
      <c r="P109" s="363"/>
      <c r="Q109" s="363"/>
      <c r="R109" s="363"/>
      <c r="S109" s="363"/>
      <c r="T109" s="363"/>
      <c r="U109" s="363"/>
      <c r="V109" s="363"/>
      <c r="W109" s="363"/>
      <c r="X109" s="363"/>
      <c r="Y109" s="363"/>
      <c r="Z109" s="363"/>
      <c r="AA109" s="363"/>
      <c r="AB109" s="363"/>
      <c r="AC109" s="363"/>
      <c r="AD109" s="363"/>
      <c r="AE109" s="363"/>
      <c r="AF109" s="363"/>
      <c r="AG109" s="363"/>
      <c r="AH109" s="363"/>
      <c r="AI109" s="363"/>
      <c r="AJ109" s="363"/>
      <c r="AK109" s="363"/>
      <c r="AL109" s="363"/>
      <c r="AM109" s="363"/>
      <c r="AN109" s="363"/>
      <c r="AO109" s="363"/>
      <c r="AP109" s="363"/>
      <c r="AQ109" s="363"/>
      <c r="AR109" s="363"/>
      <c r="AS109" s="363"/>
      <c r="AT109" s="363"/>
      <c r="AU109" s="363"/>
      <c r="AV109" s="363"/>
      <c r="AW109" s="363"/>
      <c r="AX109" s="363"/>
      <c r="AY109" s="363"/>
      <c r="AZ109" s="363"/>
      <c r="BA109" s="363"/>
      <c r="BB109" s="363"/>
      <c r="BC109" s="363"/>
      <c r="BD109" s="363"/>
      <c r="BE109" s="363"/>
      <c r="BF109" s="363"/>
      <c r="BG109" s="363"/>
      <c r="BI109" s="342" t="s">
        <v>1238</v>
      </c>
    </row>
    <row r="110" spans="2:61" hidden="1" x14ac:dyDescent="0.2">
      <c r="B110" s="219" t="str">
        <f>IF(Capacity!N103="","",Capacity!N103)</f>
        <v/>
      </c>
      <c r="C110" s="220" t="str">
        <f>IF(B110="","",Capacity!Q103)</f>
        <v/>
      </c>
      <c r="D110" s="309" t="str">
        <f>IF(B110="","",Capacity!R103)</f>
        <v/>
      </c>
      <c r="E110" s="220" t="str">
        <f>IF(B110="","",IF(COUNTBLANK(H110:BG110)=52,SUM('Capacity calculation (hide)'!H198:BG198),52-COUNTBLANK(H110:BG110)))</f>
        <v/>
      </c>
      <c r="F110" s="310" t="str">
        <f>'Capacity calculation (hide)'!BI198</f>
        <v/>
      </c>
      <c r="H110" s="363"/>
      <c r="I110" s="363"/>
      <c r="J110" s="363"/>
      <c r="K110" s="363"/>
      <c r="L110" s="363"/>
      <c r="M110" s="363"/>
      <c r="N110" s="363"/>
      <c r="O110" s="363"/>
      <c r="P110" s="363"/>
      <c r="Q110" s="363"/>
      <c r="R110" s="363"/>
      <c r="S110" s="363"/>
      <c r="T110" s="363"/>
      <c r="U110" s="363"/>
      <c r="V110" s="363"/>
      <c r="W110" s="363"/>
      <c r="X110" s="363"/>
      <c r="Y110" s="363"/>
      <c r="Z110" s="363"/>
      <c r="AA110" s="363"/>
      <c r="AB110" s="363"/>
      <c r="AC110" s="363"/>
      <c r="AD110" s="363"/>
      <c r="AE110" s="363"/>
      <c r="AF110" s="363"/>
      <c r="AG110" s="363"/>
      <c r="AH110" s="363"/>
      <c r="AI110" s="363"/>
      <c r="AJ110" s="363"/>
      <c r="AK110" s="363"/>
      <c r="AL110" s="363"/>
      <c r="AM110" s="363"/>
      <c r="AN110" s="363"/>
      <c r="AO110" s="363"/>
      <c r="AP110" s="363"/>
      <c r="AQ110" s="363"/>
      <c r="AR110" s="363"/>
      <c r="AS110" s="363"/>
      <c r="AT110" s="363"/>
      <c r="AU110" s="363"/>
      <c r="AV110" s="363"/>
      <c r="AW110" s="363"/>
      <c r="AX110" s="363"/>
      <c r="AY110" s="363"/>
      <c r="AZ110" s="363"/>
      <c r="BA110" s="363"/>
      <c r="BB110" s="363"/>
      <c r="BC110" s="363"/>
      <c r="BD110" s="363"/>
      <c r="BE110" s="363"/>
      <c r="BF110" s="363"/>
      <c r="BG110" s="363"/>
      <c r="BI110" s="342" t="s">
        <v>1238</v>
      </c>
    </row>
    <row r="111" spans="2:61" hidden="1" x14ac:dyDescent="0.2">
      <c r="B111" s="219" t="str">
        <f>IF(Capacity!N104="","",Capacity!N104)</f>
        <v/>
      </c>
      <c r="C111" s="220" t="str">
        <f>IF(B111="","",Capacity!Q104)</f>
        <v/>
      </c>
      <c r="D111" s="309" t="str">
        <f>IF(B111="","",Capacity!R104)</f>
        <v/>
      </c>
      <c r="E111" s="220" t="str">
        <f>IF(B111="","",IF(COUNTBLANK(H111:BG111)=52,SUM('Capacity calculation (hide)'!H199:BG199),52-COUNTBLANK(H111:BG111)))</f>
        <v/>
      </c>
      <c r="F111" s="310" t="str">
        <f>'Capacity calculation (hide)'!BI199</f>
        <v/>
      </c>
      <c r="H111" s="363"/>
      <c r="I111" s="363"/>
      <c r="J111" s="363"/>
      <c r="K111" s="363"/>
      <c r="L111" s="363"/>
      <c r="M111" s="363"/>
      <c r="N111" s="363"/>
      <c r="O111" s="363"/>
      <c r="P111" s="363"/>
      <c r="Q111" s="363"/>
      <c r="R111" s="363"/>
      <c r="S111" s="363"/>
      <c r="T111" s="363"/>
      <c r="U111" s="363"/>
      <c r="V111" s="363"/>
      <c r="W111" s="363"/>
      <c r="X111" s="363"/>
      <c r="Y111" s="363"/>
      <c r="Z111" s="363"/>
      <c r="AA111" s="363"/>
      <c r="AB111" s="363"/>
      <c r="AC111" s="363"/>
      <c r="AD111" s="363"/>
      <c r="AE111" s="363"/>
      <c r="AF111" s="363"/>
      <c r="AG111" s="363"/>
      <c r="AH111" s="363"/>
      <c r="AI111" s="363"/>
      <c r="AJ111" s="363"/>
      <c r="AK111" s="363"/>
      <c r="AL111" s="363"/>
      <c r="AM111" s="363"/>
      <c r="AN111" s="363"/>
      <c r="AO111" s="363"/>
      <c r="AP111" s="363"/>
      <c r="AQ111" s="363"/>
      <c r="AR111" s="363"/>
      <c r="AS111" s="363"/>
      <c r="AT111" s="363"/>
      <c r="AU111" s="363"/>
      <c r="AV111" s="363"/>
      <c r="AW111" s="363"/>
      <c r="AX111" s="363"/>
      <c r="AY111" s="363"/>
      <c r="AZ111" s="363"/>
      <c r="BA111" s="363"/>
      <c r="BB111" s="363"/>
      <c r="BC111" s="363"/>
      <c r="BD111" s="363"/>
      <c r="BE111" s="363"/>
      <c r="BF111" s="363"/>
      <c r="BG111" s="363"/>
      <c r="BI111" s="342" t="s">
        <v>1238</v>
      </c>
    </row>
    <row r="112" spans="2:61" hidden="1" x14ac:dyDescent="0.2">
      <c r="B112" s="219" t="str">
        <f>IF(Capacity!N105="","",Capacity!N105)</f>
        <v/>
      </c>
      <c r="C112" s="220" t="str">
        <f>IF(B112="","",Capacity!Q105)</f>
        <v/>
      </c>
      <c r="D112" s="309" t="str">
        <f>IF(B112="","",Capacity!R105)</f>
        <v/>
      </c>
      <c r="E112" s="220" t="str">
        <f>IF(B112="","",IF(COUNTBLANK(H112:BG112)=52,SUM('Capacity calculation (hide)'!H200:BG200),52-COUNTBLANK(H112:BG112)))</f>
        <v/>
      </c>
      <c r="F112" s="310" t="str">
        <f>'Capacity calculation (hide)'!BI200</f>
        <v/>
      </c>
      <c r="H112" s="363"/>
      <c r="I112" s="363"/>
      <c r="J112" s="363"/>
      <c r="K112" s="363"/>
      <c r="L112" s="363"/>
      <c r="M112" s="363"/>
      <c r="N112" s="363"/>
      <c r="O112" s="363"/>
      <c r="P112" s="363"/>
      <c r="Q112" s="363"/>
      <c r="R112" s="363"/>
      <c r="S112" s="363"/>
      <c r="T112" s="363"/>
      <c r="U112" s="363"/>
      <c r="V112" s="363"/>
      <c r="W112" s="363"/>
      <c r="X112" s="363"/>
      <c r="Y112" s="363"/>
      <c r="Z112" s="363"/>
      <c r="AA112" s="363"/>
      <c r="AB112" s="363"/>
      <c r="AC112" s="363"/>
      <c r="AD112" s="363"/>
      <c r="AE112" s="363"/>
      <c r="AF112" s="363"/>
      <c r="AG112" s="363"/>
      <c r="AH112" s="363"/>
      <c r="AI112" s="363"/>
      <c r="AJ112" s="363"/>
      <c r="AK112" s="363"/>
      <c r="AL112" s="363"/>
      <c r="AM112" s="363"/>
      <c r="AN112" s="363"/>
      <c r="AO112" s="363"/>
      <c r="AP112" s="363"/>
      <c r="AQ112" s="363"/>
      <c r="AR112" s="363"/>
      <c r="AS112" s="363"/>
      <c r="AT112" s="363"/>
      <c r="AU112" s="363"/>
      <c r="AV112" s="363"/>
      <c r="AW112" s="363"/>
      <c r="AX112" s="363"/>
      <c r="AY112" s="363"/>
      <c r="AZ112" s="363"/>
      <c r="BA112" s="363"/>
      <c r="BB112" s="363"/>
      <c r="BC112" s="363"/>
      <c r="BD112" s="363"/>
      <c r="BE112" s="363"/>
      <c r="BF112" s="363"/>
      <c r="BG112" s="363"/>
      <c r="BI112" s="342" t="s">
        <v>1238</v>
      </c>
    </row>
    <row r="113" spans="2:61" hidden="1" x14ac:dyDescent="0.2">
      <c r="B113" s="219" t="str">
        <f>IF(Capacity!N106="","",Capacity!N106)</f>
        <v/>
      </c>
      <c r="C113" s="220" t="str">
        <f>IF(B113="","",Capacity!Q106)</f>
        <v/>
      </c>
      <c r="D113" s="309" t="str">
        <f>IF(B113="","",Capacity!R106)</f>
        <v/>
      </c>
      <c r="E113" s="220" t="str">
        <f>IF(B113="","",IF(COUNTBLANK(H113:BG113)=52,SUM('Capacity calculation (hide)'!H201:BG201),52-COUNTBLANK(H113:BG113)))</f>
        <v/>
      </c>
      <c r="F113" s="310" t="str">
        <f>'Capacity calculation (hide)'!BI201</f>
        <v/>
      </c>
      <c r="H113" s="363"/>
      <c r="I113" s="363"/>
      <c r="J113" s="363"/>
      <c r="K113" s="363"/>
      <c r="L113" s="363"/>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3"/>
      <c r="AP113" s="363"/>
      <c r="AQ113" s="363"/>
      <c r="AR113" s="363"/>
      <c r="AS113" s="363"/>
      <c r="AT113" s="363"/>
      <c r="AU113" s="363"/>
      <c r="AV113" s="363"/>
      <c r="AW113" s="363"/>
      <c r="AX113" s="363"/>
      <c r="AY113" s="363"/>
      <c r="AZ113" s="363"/>
      <c r="BA113" s="363"/>
      <c r="BB113" s="363"/>
      <c r="BC113" s="363"/>
      <c r="BD113" s="363"/>
      <c r="BE113" s="363"/>
      <c r="BF113" s="363"/>
      <c r="BG113" s="363"/>
      <c r="BI113" s="342" t="s">
        <v>1238</v>
      </c>
    </row>
    <row r="114" spans="2:61" hidden="1" x14ac:dyDescent="0.2">
      <c r="B114" s="219" t="str">
        <f>IF(Capacity!N107="","",Capacity!N107)</f>
        <v/>
      </c>
      <c r="C114" s="220" t="str">
        <f>IF(B114="","",Capacity!Q107)</f>
        <v/>
      </c>
      <c r="D114" s="309" t="str">
        <f>IF(B114="","",Capacity!R107)</f>
        <v/>
      </c>
      <c r="E114" s="220" t="str">
        <f>IF(B114="","",IF(COUNTBLANK(H114:BG114)=52,SUM('Capacity calculation (hide)'!H202:BG202),52-COUNTBLANK(H114:BG114)))</f>
        <v/>
      </c>
      <c r="F114" s="310" t="str">
        <f>'Capacity calculation (hide)'!BI202</f>
        <v/>
      </c>
      <c r="H114" s="363"/>
      <c r="I114" s="363"/>
      <c r="J114" s="363"/>
      <c r="K114" s="363"/>
      <c r="L114" s="363"/>
      <c r="M114" s="363"/>
      <c r="N114" s="363"/>
      <c r="O114" s="363"/>
      <c r="P114" s="363"/>
      <c r="Q114" s="363"/>
      <c r="R114" s="363"/>
      <c r="S114" s="363"/>
      <c r="T114" s="363"/>
      <c r="U114" s="363"/>
      <c r="V114" s="363"/>
      <c r="W114" s="363"/>
      <c r="X114" s="363"/>
      <c r="Y114" s="363"/>
      <c r="Z114" s="363"/>
      <c r="AA114" s="363"/>
      <c r="AB114" s="363"/>
      <c r="AC114" s="363"/>
      <c r="AD114" s="363"/>
      <c r="AE114" s="363"/>
      <c r="AF114" s="363"/>
      <c r="AG114" s="363"/>
      <c r="AH114" s="363"/>
      <c r="AI114" s="363"/>
      <c r="AJ114" s="363"/>
      <c r="AK114" s="363"/>
      <c r="AL114" s="363"/>
      <c r="AM114" s="363"/>
      <c r="AN114" s="363"/>
      <c r="AO114" s="363"/>
      <c r="AP114" s="363"/>
      <c r="AQ114" s="363"/>
      <c r="AR114" s="363"/>
      <c r="AS114" s="363"/>
      <c r="AT114" s="363"/>
      <c r="AU114" s="363"/>
      <c r="AV114" s="363"/>
      <c r="AW114" s="363"/>
      <c r="AX114" s="363"/>
      <c r="AY114" s="363"/>
      <c r="AZ114" s="363"/>
      <c r="BA114" s="363"/>
      <c r="BB114" s="363"/>
      <c r="BC114" s="363"/>
      <c r="BD114" s="363"/>
      <c r="BE114" s="363"/>
      <c r="BF114" s="363"/>
      <c r="BG114" s="363"/>
      <c r="BI114" s="342" t="s">
        <v>1238</v>
      </c>
    </row>
    <row r="115" spans="2:61" hidden="1" x14ac:dyDescent="0.2">
      <c r="B115" s="219" t="str">
        <f>IF(Capacity!N108="","",Capacity!N108)</f>
        <v/>
      </c>
      <c r="C115" s="220" t="str">
        <f>IF(B115="","",Capacity!Q108)</f>
        <v/>
      </c>
      <c r="D115" s="309" t="str">
        <f>IF(B115="","",Capacity!R108)</f>
        <v/>
      </c>
      <c r="E115" s="220" t="str">
        <f>IF(B115="","",IF(COUNTBLANK(H115:BG115)=52,SUM('Capacity calculation (hide)'!H203:BG203),52-COUNTBLANK(H115:BG115)))</f>
        <v/>
      </c>
      <c r="F115" s="310" t="str">
        <f>'Capacity calculation (hide)'!BI203</f>
        <v/>
      </c>
      <c r="H115" s="363"/>
      <c r="I115" s="363"/>
      <c r="J115" s="363"/>
      <c r="K115" s="363"/>
      <c r="L115" s="363"/>
      <c r="M115" s="363"/>
      <c r="N115" s="363"/>
      <c r="O115" s="363"/>
      <c r="P115" s="363"/>
      <c r="Q115" s="363"/>
      <c r="R115" s="363"/>
      <c r="S115" s="363"/>
      <c r="T115" s="363"/>
      <c r="U115" s="363"/>
      <c r="V115" s="363"/>
      <c r="W115" s="363"/>
      <c r="X115" s="363"/>
      <c r="Y115" s="363"/>
      <c r="Z115" s="363"/>
      <c r="AA115" s="363"/>
      <c r="AB115" s="363"/>
      <c r="AC115" s="363"/>
      <c r="AD115" s="363"/>
      <c r="AE115" s="363"/>
      <c r="AF115" s="363"/>
      <c r="AG115" s="363"/>
      <c r="AH115" s="363"/>
      <c r="AI115" s="363"/>
      <c r="AJ115" s="363"/>
      <c r="AK115" s="363"/>
      <c r="AL115" s="363"/>
      <c r="AM115" s="363"/>
      <c r="AN115" s="363"/>
      <c r="AO115" s="363"/>
      <c r="AP115" s="363"/>
      <c r="AQ115" s="363"/>
      <c r="AR115" s="363"/>
      <c r="AS115" s="363"/>
      <c r="AT115" s="363"/>
      <c r="AU115" s="363"/>
      <c r="AV115" s="363"/>
      <c r="AW115" s="363"/>
      <c r="AX115" s="363"/>
      <c r="AY115" s="363"/>
      <c r="AZ115" s="363"/>
      <c r="BA115" s="363"/>
      <c r="BB115" s="363"/>
      <c r="BC115" s="363"/>
      <c r="BD115" s="363"/>
      <c r="BE115" s="363"/>
      <c r="BF115" s="363"/>
      <c r="BG115" s="363"/>
      <c r="BI115" s="342" t="s">
        <v>1238</v>
      </c>
    </row>
    <row r="116" spans="2:61" hidden="1" x14ac:dyDescent="0.2">
      <c r="B116" s="219" t="str">
        <f>IF(Capacity!N109="","",Capacity!N109)</f>
        <v/>
      </c>
      <c r="C116" s="220" t="str">
        <f>IF(B116="","",Capacity!Q109)</f>
        <v/>
      </c>
      <c r="D116" s="309" t="str">
        <f>IF(B116="","",Capacity!R109)</f>
        <v/>
      </c>
      <c r="E116" s="220" t="str">
        <f>IF(B116="","",IF(COUNTBLANK(H116:BG116)=52,SUM('Capacity calculation (hide)'!H204:BG204),52-COUNTBLANK(H116:BG116)))</f>
        <v/>
      </c>
      <c r="F116" s="310" t="str">
        <f>'Capacity calculation (hide)'!BI204</f>
        <v/>
      </c>
      <c r="H116" s="363"/>
      <c r="I116" s="363"/>
      <c r="J116" s="363"/>
      <c r="K116" s="363"/>
      <c r="L116" s="363"/>
      <c r="M116" s="363"/>
      <c r="N116" s="363"/>
      <c r="O116" s="363"/>
      <c r="P116" s="363"/>
      <c r="Q116" s="363"/>
      <c r="R116" s="363"/>
      <c r="S116" s="363"/>
      <c r="T116" s="363"/>
      <c r="U116" s="363"/>
      <c r="V116" s="363"/>
      <c r="W116" s="363"/>
      <c r="X116" s="363"/>
      <c r="Y116" s="363"/>
      <c r="Z116" s="363"/>
      <c r="AA116" s="363"/>
      <c r="AB116" s="363"/>
      <c r="AC116" s="363"/>
      <c r="AD116" s="363"/>
      <c r="AE116" s="363"/>
      <c r="AF116" s="363"/>
      <c r="AG116" s="363"/>
      <c r="AH116" s="363"/>
      <c r="AI116" s="363"/>
      <c r="AJ116" s="363"/>
      <c r="AK116" s="363"/>
      <c r="AL116" s="363"/>
      <c r="AM116" s="363"/>
      <c r="AN116" s="363"/>
      <c r="AO116" s="363"/>
      <c r="AP116" s="363"/>
      <c r="AQ116" s="363"/>
      <c r="AR116" s="363"/>
      <c r="AS116" s="363"/>
      <c r="AT116" s="363"/>
      <c r="AU116" s="363"/>
      <c r="AV116" s="363"/>
      <c r="AW116" s="363"/>
      <c r="AX116" s="363"/>
      <c r="AY116" s="363"/>
      <c r="AZ116" s="363"/>
      <c r="BA116" s="363"/>
      <c r="BB116" s="363"/>
      <c r="BC116" s="363"/>
      <c r="BD116" s="363"/>
      <c r="BE116" s="363"/>
      <c r="BF116" s="363"/>
      <c r="BG116" s="363"/>
      <c r="BI116" s="342" t="s">
        <v>1238</v>
      </c>
    </row>
    <row r="117" spans="2:61" hidden="1" x14ac:dyDescent="0.2">
      <c r="B117" s="219" t="str">
        <f>IF(Capacity!N110="","",Capacity!N110)</f>
        <v/>
      </c>
      <c r="C117" s="220" t="str">
        <f>IF(B117="","",Capacity!Q110)</f>
        <v/>
      </c>
      <c r="D117" s="309" t="str">
        <f>IF(B117="","",Capacity!R110)</f>
        <v/>
      </c>
      <c r="E117" s="220" t="str">
        <f>IF(B117="","",IF(COUNTBLANK(H117:BG117)=52,SUM('Capacity calculation (hide)'!H205:BG205),52-COUNTBLANK(H117:BG117)))</f>
        <v/>
      </c>
      <c r="F117" s="310" t="str">
        <f>'Capacity calculation (hide)'!BI205</f>
        <v/>
      </c>
      <c r="H117" s="363"/>
      <c r="I117" s="363"/>
      <c r="J117" s="363"/>
      <c r="K117" s="363"/>
      <c r="L117" s="363"/>
      <c r="M117" s="363"/>
      <c r="N117" s="363"/>
      <c r="O117" s="363"/>
      <c r="P117" s="363"/>
      <c r="Q117" s="363"/>
      <c r="R117" s="363"/>
      <c r="S117" s="363"/>
      <c r="T117" s="363"/>
      <c r="U117" s="363"/>
      <c r="V117" s="363"/>
      <c r="W117" s="363"/>
      <c r="X117" s="363"/>
      <c r="Y117" s="363"/>
      <c r="Z117" s="363"/>
      <c r="AA117" s="363"/>
      <c r="AB117" s="363"/>
      <c r="AC117" s="363"/>
      <c r="AD117" s="363"/>
      <c r="AE117" s="363"/>
      <c r="AF117" s="363"/>
      <c r="AG117" s="363"/>
      <c r="AH117" s="363"/>
      <c r="AI117" s="363"/>
      <c r="AJ117" s="363"/>
      <c r="AK117" s="363"/>
      <c r="AL117" s="363"/>
      <c r="AM117" s="363"/>
      <c r="AN117" s="363"/>
      <c r="AO117" s="363"/>
      <c r="AP117" s="363"/>
      <c r="AQ117" s="363"/>
      <c r="AR117" s="363"/>
      <c r="AS117" s="363"/>
      <c r="AT117" s="363"/>
      <c r="AU117" s="363"/>
      <c r="AV117" s="363"/>
      <c r="AW117" s="363"/>
      <c r="AX117" s="363"/>
      <c r="AY117" s="363"/>
      <c r="AZ117" s="363"/>
      <c r="BA117" s="363"/>
      <c r="BB117" s="363"/>
      <c r="BC117" s="363"/>
      <c r="BD117" s="363"/>
      <c r="BE117" s="363"/>
      <c r="BF117" s="363"/>
      <c r="BG117" s="363"/>
      <c r="BI117" s="342" t="s">
        <v>1238</v>
      </c>
    </row>
    <row r="118" spans="2:61" hidden="1" x14ac:dyDescent="0.2">
      <c r="B118" s="219" t="str">
        <f>IF(Capacity!N111="","",Capacity!N111)</f>
        <v/>
      </c>
      <c r="C118" s="220" t="str">
        <f>IF(B118="","",Capacity!Q111)</f>
        <v/>
      </c>
      <c r="D118" s="309" t="str">
        <f>IF(B118="","",Capacity!R111)</f>
        <v/>
      </c>
      <c r="E118" s="220" t="str">
        <f>IF(B118="","",IF(COUNTBLANK(H118:BG118)=52,SUM('Capacity calculation (hide)'!H206:BG206),52-COUNTBLANK(H118:BG118)))</f>
        <v/>
      </c>
      <c r="F118" s="310" t="str">
        <f>'Capacity calculation (hide)'!BI206</f>
        <v/>
      </c>
      <c r="H118" s="363"/>
      <c r="I118" s="363"/>
      <c r="J118" s="363"/>
      <c r="K118" s="363"/>
      <c r="L118" s="363"/>
      <c r="M118" s="363"/>
      <c r="N118" s="363"/>
      <c r="O118" s="363"/>
      <c r="P118" s="363"/>
      <c r="Q118" s="363"/>
      <c r="R118" s="363"/>
      <c r="S118" s="363"/>
      <c r="T118" s="363"/>
      <c r="U118" s="363"/>
      <c r="V118" s="363"/>
      <c r="W118" s="363"/>
      <c r="X118" s="363"/>
      <c r="Y118" s="363"/>
      <c r="Z118" s="363"/>
      <c r="AA118" s="363"/>
      <c r="AB118" s="363"/>
      <c r="AC118" s="363"/>
      <c r="AD118" s="363"/>
      <c r="AE118" s="363"/>
      <c r="AF118" s="363"/>
      <c r="AG118" s="363"/>
      <c r="AH118" s="363"/>
      <c r="AI118" s="363"/>
      <c r="AJ118" s="363"/>
      <c r="AK118" s="363"/>
      <c r="AL118" s="363"/>
      <c r="AM118" s="363"/>
      <c r="AN118" s="363"/>
      <c r="AO118" s="363"/>
      <c r="AP118" s="363"/>
      <c r="AQ118" s="363"/>
      <c r="AR118" s="363"/>
      <c r="AS118" s="363"/>
      <c r="AT118" s="363"/>
      <c r="AU118" s="363"/>
      <c r="AV118" s="363"/>
      <c r="AW118" s="363"/>
      <c r="AX118" s="363"/>
      <c r="AY118" s="363"/>
      <c r="AZ118" s="363"/>
      <c r="BA118" s="363"/>
      <c r="BB118" s="363"/>
      <c r="BC118" s="363"/>
      <c r="BD118" s="363"/>
      <c r="BE118" s="363"/>
      <c r="BF118" s="363"/>
      <c r="BG118" s="363"/>
      <c r="BI118" s="342" t="s">
        <v>1238</v>
      </c>
    </row>
    <row r="119" spans="2:61" hidden="1" x14ac:dyDescent="0.2">
      <c r="B119" s="219" t="str">
        <f>IF(Capacity!N112="","",Capacity!N112)</f>
        <v/>
      </c>
      <c r="C119" s="220" t="str">
        <f>IF(B119="","",Capacity!Q112)</f>
        <v/>
      </c>
      <c r="D119" s="309" t="str">
        <f>IF(B119="","",Capacity!R112)</f>
        <v/>
      </c>
      <c r="E119" s="220" t="str">
        <f>IF(B119="","",IF(COUNTBLANK(H119:BG119)=52,SUM('Capacity calculation (hide)'!H207:BG207),52-COUNTBLANK(H119:BG119)))</f>
        <v/>
      </c>
      <c r="F119" s="310" t="str">
        <f>'Capacity calculation (hide)'!BI207</f>
        <v/>
      </c>
      <c r="H119" s="363"/>
      <c r="I119" s="363"/>
      <c r="J119" s="363"/>
      <c r="K119" s="363"/>
      <c r="L119" s="363"/>
      <c r="M119" s="363"/>
      <c r="N119" s="363"/>
      <c r="O119" s="363"/>
      <c r="P119" s="363"/>
      <c r="Q119" s="363"/>
      <c r="R119" s="363"/>
      <c r="S119" s="363"/>
      <c r="T119" s="363"/>
      <c r="U119" s="363"/>
      <c r="V119" s="363"/>
      <c r="W119" s="363"/>
      <c r="X119" s="363"/>
      <c r="Y119" s="363"/>
      <c r="Z119" s="363"/>
      <c r="AA119" s="363"/>
      <c r="AB119" s="363"/>
      <c r="AC119" s="363"/>
      <c r="AD119" s="363"/>
      <c r="AE119" s="363"/>
      <c r="AF119" s="363"/>
      <c r="AG119" s="363"/>
      <c r="AH119" s="363"/>
      <c r="AI119" s="363"/>
      <c r="AJ119" s="363"/>
      <c r="AK119" s="363"/>
      <c r="AL119" s="363"/>
      <c r="AM119" s="363"/>
      <c r="AN119" s="363"/>
      <c r="AO119" s="363"/>
      <c r="AP119" s="363"/>
      <c r="AQ119" s="363"/>
      <c r="AR119" s="363"/>
      <c r="AS119" s="363"/>
      <c r="AT119" s="363"/>
      <c r="AU119" s="363"/>
      <c r="AV119" s="363"/>
      <c r="AW119" s="363"/>
      <c r="AX119" s="363"/>
      <c r="AY119" s="363"/>
      <c r="AZ119" s="363"/>
      <c r="BA119" s="363"/>
      <c r="BB119" s="363"/>
      <c r="BC119" s="363"/>
      <c r="BD119" s="363"/>
      <c r="BE119" s="363"/>
      <c r="BF119" s="363"/>
      <c r="BG119" s="363"/>
      <c r="BI119" s="342" t="s">
        <v>1238</v>
      </c>
    </row>
    <row r="120" spans="2:61" hidden="1" x14ac:dyDescent="0.2">
      <c r="B120" s="219" t="str">
        <f>IF(Capacity!N113="","",Capacity!N113)</f>
        <v/>
      </c>
      <c r="C120" s="220" t="str">
        <f>IF(B120="","",Capacity!Q113)</f>
        <v/>
      </c>
      <c r="D120" s="309" t="str">
        <f>IF(B120="","",Capacity!R113)</f>
        <v/>
      </c>
      <c r="E120" s="220" t="str">
        <f>IF(B120="","",IF(COUNTBLANK(H120:BG120)=52,SUM('Capacity calculation (hide)'!H208:BG208),52-COUNTBLANK(H120:BG120)))</f>
        <v/>
      </c>
      <c r="F120" s="310" t="str">
        <f>'Capacity calculation (hide)'!BI208</f>
        <v/>
      </c>
      <c r="H120" s="363"/>
      <c r="I120" s="363"/>
      <c r="J120" s="363"/>
      <c r="K120" s="363"/>
      <c r="L120" s="363"/>
      <c r="M120" s="363"/>
      <c r="N120" s="363"/>
      <c r="O120" s="363"/>
      <c r="P120" s="363"/>
      <c r="Q120" s="363"/>
      <c r="R120" s="363"/>
      <c r="S120" s="363"/>
      <c r="T120" s="363"/>
      <c r="U120" s="363"/>
      <c r="V120" s="363"/>
      <c r="W120" s="363"/>
      <c r="X120" s="363"/>
      <c r="Y120" s="363"/>
      <c r="Z120" s="363"/>
      <c r="AA120" s="363"/>
      <c r="AB120" s="363"/>
      <c r="AC120" s="363"/>
      <c r="AD120" s="363"/>
      <c r="AE120" s="363"/>
      <c r="AF120" s="363"/>
      <c r="AG120" s="363"/>
      <c r="AH120" s="363"/>
      <c r="AI120" s="363"/>
      <c r="AJ120" s="363"/>
      <c r="AK120" s="363"/>
      <c r="AL120" s="363"/>
      <c r="AM120" s="363"/>
      <c r="AN120" s="363"/>
      <c r="AO120" s="363"/>
      <c r="AP120" s="363"/>
      <c r="AQ120" s="363"/>
      <c r="AR120" s="363"/>
      <c r="AS120" s="363"/>
      <c r="AT120" s="363"/>
      <c r="AU120" s="363"/>
      <c r="AV120" s="363"/>
      <c r="AW120" s="363"/>
      <c r="AX120" s="363"/>
      <c r="AY120" s="363"/>
      <c r="AZ120" s="363"/>
      <c r="BA120" s="363"/>
      <c r="BB120" s="363"/>
      <c r="BC120" s="363"/>
      <c r="BD120" s="363"/>
      <c r="BE120" s="363"/>
      <c r="BF120" s="363"/>
      <c r="BG120" s="363"/>
      <c r="BI120" s="342" t="s">
        <v>1238</v>
      </c>
    </row>
    <row r="121" spans="2:61" hidden="1" x14ac:dyDescent="0.2">
      <c r="B121" s="219" t="str">
        <f>IF(Capacity!N114="","",Capacity!N114)</f>
        <v/>
      </c>
      <c r="C121" s="220" t="str">
        <f>IF(B121="","",Capacity!Q114)</f>
        <v/>
      </c>
      <c r="D121" s="309" t="str">
        <f>IF(B121="","",Capacity!R114)</f>
        <v/>
      </c>
      <c r="E121" s="220" t="str">
        <f>IF(B121="","",IF(COUNTBLANK(H121:BG121)=52,SUM('Capacity calculation (hide)'!H209:BG209),52-COUNTBLANK(H121:BG121)))</f>
        <v/>
      </c>
      <c r="F121" s="310" t="str">
        <f>'Capacity calculation (hide)'!BI209</f>
        <v/>
      </c>
      <c r="H121" s="363"/>
      <c r="I121" s="363"/>
      <c r="J121" s="363"/>
      <c r="K121" s="363"/>
      <c r="L121" s="363"/>
      <c r="M121" s="363"/>
      <c r="N121" s="363"/>
      <c r="O121" s="363"/>
      <c r="P121" s="363"/>
      <c r="Q121" s="363"/>
      <c r="R121" s="363"/>
      <c r="S121" s="363"/>
      <c r="T121" s="363"/>
      <c r="U121" s="363"/>
      <c r="V121" s="363"/>
      <c r="W121" s="363"/>
      <c r="X121" s="363"/>
      <c r="Y121" s="363"/>
      <c r="Z121" s="363"/>
      <c r="AA121" s="363"/>
      <c r="AB121" s="363"/>
      <c r="AC121" s="363"/>
      <c r="AD121" s="363"/>
      <c r="AE121" s="363"/>
      <c r="AF121" s="363"/>
      <c r="AG121" s="363"/>
      <c r="AH121" s="363"/>
      <c r="AI121" s="363"/>
      <c r="AJ121" s="363"/>
      <c r="AK121" s="363"/>
      <c r="AL121" s="363"/>
      <c r="AM121" s="363"/>
      <c r="AN121" s="363"/>
      <c r="AO121" s="363"/>
      <c r="AP121" s="363"/>
      <c r="AQ121" s="363"/>
      <c r="AR121" s="363"/>
      <c r="AS121" s="363"/>
      <c r="AT121" s="363"/>
      <c r="AU121" s="363"/>
      <c r="AV121" s="363"/>
      <c r="AW121" s="363"/>
      <c r="AX121" s="363"/>
      <c r="AY121" s="363"/>
      <c r="AZ121" s="363"/>
      <c r="BA121" s="363"/>
      <c r="BB121" s="363"/>
      <c r="BC121" s="363"/>
      <c r="BD121" s="363"/>
      <c r="BE121" s="363"/>
      <c r="BF121" s="363"/>
      <c r="BG121" s="363"/>
      <c r="BI121" s="342" t="s">
        <v>1238</v>
      </c>
    </row>
    <row r="122" spans="2:61" hidden="1" x14ac:dyDescent="0.2">
      <c r="B122" s="219" t="str">
        <f>IF(Capacity!N115="","",Capacity!N115)</f>
        <v/>
      </c>
      <c r="C122" s="220" t="str">
        <f>IF(B122="","",Capacity!Q115)</f>
        <v/>
      </c>
      <c r="D122" s="309" t="str">
        <f>IF(B122="","",Capacity!R115)</f>
        <v/>
      </c>
      <c r="E122" s="220" t="str">
        <f>IF(B122="","",IF(COUNTBLANK(H122:BG122)=52,SUM('Capacity calculation (hide)'!H210:BG210),52-COUNTBLANK(H122:BG122)))</f>
        <v/>
      </c>
      <c r="F122" s="310" t="str">
        <f>'Capacity calculation (hide)'!BI210</f>
        <v/>
      </c>
      <c r="H122" s="363"/>
      <c r="I122" s="363"/>
      <c r="J122" s="363"/>
      <c r="K122" s="363"/>
      <c r="L122" s="363"/>
      <c r="M122" s="363"/>
      <c r="N122" s="363"/>
      <c r="O122" s="363"/>
      <c r="P122" s="363"/>
      <c r="Q122" s="363"/>
      <c r="R122" s="363"/>
      <c r="S122" s="363"/>
      <c r="T122" s="363"/>
      <c r="U122" s="363"/>
      <c r="V122" s="363"/>
      <c r="W122" s="363"/>
      <c r="X122" s="363"/>
      <c r="Y122" s="363"/>
      <c r="Z122" s="363"/>
      <c r="AA122" s="363"/>
      <c r="AB122" s="363"/>
      <c r="AC122" s="363"/>
      <c r="AD122" s="363"/>
      <c r="AE122" s="363"/>
      <c r="AF122" s="363"/>
      <c r="AG122" s="363"/>
      <c r="AH122" s="363"/>
      <c r="AI122" s="363"/>
      <c r="AJ122" s="363"/>
      <c r="AK122" s="363"/>
      <c r="AL122" s="363"/>
      <c r="AM122" s="363"/>
      <c r="AN122" s="363"/>
      <c r="AO122" s="363"/>
      <c r="AP122" s="363"/>
      <c r="AQ122" s="363"/>
      <c r="AR122" s="363"/>
      <c r="AS122" s="363"/>
      <c r="AT122" s="363"/>
      <c r="AU122" s="363"/>
      <c r="AV122" s="363"/>
      <c r="AW122" s="363"/>
      <c r="AX122" s="363"/>
      <c r="AY122" s="363"/>
      <c r="AZ122" s="363"/>
      <c r="BA122" s="363"/>
      <c r="BB122" s="363"/>
      <c r="BC122" s="363"/>
      <c r="BD122" s="363"/>
      <c r="BE122" s="363"/>
      <c r="BF122" s="363"/>
      <c r="BG122" s="363"/>
      <c r="BI122" s="342" t="s">
        <v>1238</v>
      </c>
    </row>
    <row r="123" spans="2:61" hidden="1" x14ac:dyDescent="0.2">
      <c r="B123" s="219" t="str">
        <f>IF(Capacity!N116="","",Capacity!N116)</f>
        <v/>
      </c>
      <c r="C123" s="220" t="str">
        <f>IF(B123="","",Capacity!Q116)</f>
        <v/>
      </c>
      <c r="D123" s="309" t="str">
        <f>IF(B123="","",Capacity!R116)</f>
        <v/>
      </c>
      <c r="E123" s="220" t="str">
        <f>IF(B123="","",IF(COUNTBLANK(H123:BG123)=52,SUM('Capacity calculation (hide)'!H211:BG211),52-COUNTBLANK(H123:BG123)))</f>
        <v/>
      </c>
      <c r="F123" s="310" t="str">
        <f>'Capacity calculation (hide)'!BI211</f>
        <v/>
      </c>
      <c r="H123" s="363"/>
      <c r="I123" s="363"/>
      <c r="J123" s="363"/>
      <c r="K123" s="363"/>
      <c r="L123" s="363"/>
      <c r="M123" s="363"/>
      <c r="N123" s="363"/>
      <c r="O123" s="363"/>
      <c r="P123" s="363"/>
      <c r="Q123" s="363"/>
      <c r="R123" s="363"/>
      <c r="S123" s="363"/>
      <c r="T123" s="363"/>
      <c r="U123" s="363"/>
      <c r="V123" s="363"/>
      <c r="W123" s="363"/>
      <c r="X123" s="363"/>
      <c r="Y123" s="363"/>
      <c r="Z123" s="363"/>
      <c r="AA123" s="363"/>
      <c r="AB123" s="363"/>
      <c r="AC123" s="363"/>
      <c r="AD123" s="363"/>
      <c r="AE123" s="363"/>
      <c r="AF123" s="363"/>
      <c r="AG123" s="363"/>
      <c r="AH123" s="363"/>
      <c r="AI123" s="363"/>
      <c r="AJ123" s="363"/>
      <c r="AK123" s="363"/>
      <c r="AL123" s="363"/>
      <c r="AM123" s="363"/>
      <c r="AN123" s="363"/>
      <c r="AO123" s="363"/>
      <c r="AP123" s="363"/>
      <c r="AQ123" s="363"/>
      <c r="AR123" s="363"/>
      <c r="AS123" s="363"/>
      <c r="AT123" s="363"/>
      <c r="AU123" s="363"/>
      <c r="AV123" s="363"/>
      <c r="AW123" s="363"/>
      <c r="AX123" s="363"/>
      <c r="AY123" s="363"/>
      <c r="AZ123" s="363"/>
      <c r="BA123" s="363"/>
      <c r="BB123" s="363"/>
      <c r="BC123" s="363"/>
      <c r="BD123" s="363"/>
      <c r="BE123" s="363"/>
      <c r="BF123" s="363"/>
      <c r="BG123" s="363"/>
      <c r="BI123" s="342" t="s">
        <v>1238</v>
      </c>
    </row>
    <row r="124" spans="2:61" x14ac:dyDescent="0.2">
      <c r="B124" s="67" t="str">
        <f>IF(Capacity!B17="","",Capacity!B17)</f>
        <v/>
      </c>
      <c r="C124" s="220" t="str">
        <f>IF(B124="","",Capacity!E17)</f>
        <v/>
      </c>
      <c r="D124" s="309" t="str">
        <f>IF(B124="","",Capacity!F17)</f>
        <v/>
      </c>
      <c r="E124" s="220" t="str">
        <f>IF(B124="","",IF(COUNTBLANK(H124:BG124)=52,SUM('Capacity calculation (hide)'!H5:BG5),52-COUNTBLANK(H124:BG124)))</f>
        <v/>
      </c>
      <c r="F124" s="310" t="str">
        <f>'Capacity calculation (hide)'!BI5</f>
        <v/>
      </c>
      <c r="H124" s="363"/>
      <c r="I124" s="363"/>
      <c r="J124" s="363"/>
      <c r="K124" s="363"/>
      <c r="L124" s="363"/>
      <c r="M124" s="363"/>
      <c r="N124" s="363"/>
      <c r="O124" s="363"/>
      <c r="P124" s="363"/>
      <c r="Q124" s="363"/>
      <c r="R124" s="363"/>
      <c r="S124" s="363"/>
      <c r="T124" s="363"/>
      <c r="U124" s="363"/>
      <c r="V124" s="363"/>
      <c r="W124" s="363"/>
      <c r="X124" s="363"/>
      <c r="Y124" s="363"/>
      <c r="Z124" s="363"/>
      <c r="AA124" s="363"/>
      <c r="AB124" s="363"/>
      <c r="AC124" s="363"/>
      <c r="AD124" s="363"/>
      <c r="AE124" s="363"/>
      <c r="AF124" s="363"/>
      <c r="AG124" s="363"/>
      <c r="AH124" s="363"/>
      <c r="AI124" s="363"/>
      <c r="AJ124" s="363"/>
      <c r="AK124" s="363"/>
      <c r="AL124" s="363"/>
      <c r="AM124" s="363"/>
      <c r="AN124" s="363"/>
      <c r="AO124" s="363"/>
      <c r="AP124" s="363"/>
      <c r="AQ124" s="363"/>
      <c r="AR124" s="363"/>
      <c r="AS124" s="363"/>
      <c r="AT124" s="363"/>
      <c r="AU124" s="363"/>
      <c r="AV124" s="363"/>
      <c r="AW124" s="363"/>
      <c r="AX124" s="363"/>
      <c r="AY124" s="363"/>
      <c r="AZ124" s="363"/>
      <c r="BA124" s="363"/>
      <c r="BB124" s="363"/>
      <c r="BC124" s="363"/>
      <c r="BD124" s="363"/>
      <c r="BE124" s="363"/>
      <c r="BF124" s="363"/>
      <c r="BG124" s="363"/>
      <c r="BI124" s="343" t="s">
        <v>1238</v>
      </c>
    </row>
    <row r="125" spans="2:61" x14ac:dyDescent="0.2">
      <c r="B125" s="67" t="str">
        <f>IF(Capacity!B18="","",Capacity!B18)</f>
        <v/>
      </c>
      <c r="C125" s="220" t="str">
        <f>IF(B125="","",Capacity!E18)</f>
        <v/>
      </c>
      <c r="D125" s="309" t="str">
        <f>IF(B125="","",Capacity!F18)</f>
        <v/>
      </c>
      <c r="E125" s="220" t="str">
        <f>IF(B125="","",IF(COUNTBLANK(H125:BG125)=52,SUM('Capacity calculation (hide)'!H6:BG6),52-COUNTBLANK(H125:BG125)))</f>
        <v/>
      </c>
      <c r="F125" s="310" t="str">
        <f>'Capacity calculation (hide)'!BI6</f>
        <v/>
      </c>
      <c r="H125" s="363"/>
      <c r="I125" s="363"/>
      <c r="J125" s="363"/>
      <c r="K125" s="363"/>
      <c r="L125" s="363"/>
      <c r="M125" s="363"/>
      <c r="N125" s="363"/>
      <c r="O125" s="363"/>
      <c r="P125" s="363"/>
      <c r="Q125" s="363"/>
      <c r="R125" s="363"/>
      <c r="S125" s="363"/>
      <c r="T125" s="363"/>
      <c r="U125" s="363"/>
      <c r="V125" s="363"/>
      <c r="W125" s="363"/>
      <c r="X125" s="363"/>
      <c r="Y125" s="363"/>
      <c r="Z125" s="363"/>
      <c r="AA125" s="363"/>
      <c r="AB125" s="363"/>
      <c r="AC125" s="363"/>
      <c r="AD125" s="363"/>
      <c r="AE125" s="363"/>
      <c r="AF125" s="363"/>
      <c r="AG125" s="363"/>
      <c r="AH125" s="363"/>
      <c r="AI125" s="363"/>
      <c r="AJ125" s="363"/>
      <c r="AK125" s="363"/>
      <c r="AL125" s="363"/>
      <c r="AM125" s="363"/>
      <c r="AN125" s="363"/>
      <c r="AO125" s="363"/>
      <c r="AP125" s="363"/>
      <c r="AQ125" s="363"/>
      <c r="AR125" s="363"/>
      <c r="AS125" s="363"/>
      <c r="AT125" s="363"/>
      <c r="AU125" s="363"/>
      <c r="AV125" s="363"/>
      <c r="AW125" s="363"/>
      <c r="AX125" s="363"/>
      <c r="AY125" s="363"/>
      <c r="AZ125" s="363"/>
      <c r="BA125" s="363"/>
      <c r="BB125" s="363"/>
      <c r="BC125" s="363"/>
      <c r="BD125" s="363"/>
      <c r="BE125" s="363"/>
      <c r="BF125" s="363"/>
      <c r="BG125" s="363"/>
      <c r="BI125" s="343" t="s">
        <v>1238</v>
      </c>
    </row>
    <row r="126" spans="2:61" x14ac:dyDescent="0.2">
      <c r="B126" s="67" t="str">
        <f>IF(Capacity!B19="","",Capacity!B19)</f>
        <v/>
      </c>
      <c r="C126" s="220" t="str">
        <f>IF(B126="","",Capacity!E19)</f>
        <v/>
      </c>
      <c r="D126" s="309" t="str">
        <f>IF(B126="","",Capacity!F19)</f>
        <v/>
      </c>
      <c r="E126" s="220" t="str">
        <f>IF(B126="","",IF(COUNTBLANK(H126:BG126)=52,SUM('Capacity calculation (hide)'!H7:BG7),52-COUNTBLANK(H126:BG126)))</f>
        <v/>
      </c>
      <c r="F126" s="310" t="str">
        <f>'Capacity calculation (hide)'!BI7</f>
        <v/>
      </c>
      <c r="H126" s="363"/>
      <c r="I126" s="363"/>
      <c r="J126" s="363"/>
      <c r="K126" s="363"/>
      <c r="L126" s="363"/>
      <c r="M126" s="363"/>
      <c r="N126" s="363"/>
      <c r="O126" s="363"/>
      <c r="P126" s="363"/>
      <c r="Q126" s="363"/>
      <c r="R126" s="363"/>
      <c r="S126" s="363"/>
      <c r="T126" s="363"/>
      <c r="U126" s="363"/>
      <c r="V126" s="363"/>
      <c r="W126" s="363"/>
      <c r="X126" s="363"/>
      <c r="Y126" s="363"/>
      <c r="Z126" s="363"/>
      <c r="AA126" s="363"/>
      <c r="AB126" s="363"/>
      <c r="AC126" s="363"/>
      <c r="AD126" s="363"/>
      <c r="AE126" s="363"/>
      <c r="AF126" s="363"/>
      <c r="AG126" s="363"/>
      <c r="AH126" s="363"/>
      <c r="AI126" s="363"/>
      <c r="AJ126" s="363"/>
      <c r="AK126" s="363"/>
      <c r="AL126" s="363"/>
      <c r="AM126" s="363"/>
      <c r="AN126" s="363"/>
      <c r="AO126" s="363"/>
      <c r="AP126" s="363"/>
      <c r="AQ126" s="363"/>
      <c r="AR126" s="363"/>
      <c r="AS126" s="363"/>
      <c r="AT126" s="363"/>
      <c r="AU126" s="363"/>
      <c r="AV126" s="363"/>
      <c r="AW126" s="363"/>
      <c r="AX126" s="363"/>
      <c r="AY126" s="363"/>
      <c r="AZ126" s="363"/>
      <c r="BA126" s="363"/>
      <c r="BB126" s="363"/>
      <c r="BC126" s="363"/>
      <c r="BD126" s="363"/>
      <c r="BE126" s="363"/>
      <c r="BF126" s="363"/>
      <c r="BG126" s="363"/>
      <c r="BI126" s="343" t="s">
        <v>1238</v>
      </c>
    </row>
    <row r="127" spans="2:61" x14ac:dyDescent="0.2">
      <c r="B127" s="67" t="str">
        <f>IF(Capacity!B20="","",Capacity!B20)</f>
        <v/>
      </c>
      <c r="C127" s="220" t="str">
        <f>IF(B127="","",Capacity!E20)</f>
        <v/>
      </c>
      <c r="D127" s="309" t="str">
        <f>IF(B127="","",Capacity!F20)</f>
        <v/>
      </c>
      <c r="E127" s="220" t="str">
        <f>IF(B127="","",IF(COUNTBLANK(H127:BG127)=52,SUM('Capacity calculation (hide)'!H8:BG8),52-COUNTBLANK(H127:BG127)))</f>
        <v/>
      </c>
      <c r="F127" s="310" t="str">
        <f>'Capacity calculation (hide)'!BI8</f>
        <v/>
      </c>
      <c r="H127" s="363"/>
      <c r="I127" s="363"/>
      <c r="J127" s="363"/>
      <c r="K127" s="363"/>
      <c r="L127" s="363"/>
      <c r="M127" s="363"/>
      <c r="N127" s="363"/>
      <c r="O127" s="363"/>
      <c r="P127" s="363"/>
      <c r="Q127" s="363"/>
      <c r="R127" s="363"/>
      <c r="S127" s="363"/>
      <c r="T127" s="363"/>
      <c r="U127" s="363"/>
      <c r="V127" s="363"/>
      <c r="W127" s="363"/>
      <c r="X127" s="363"/>
      <c r="Y127" s="363"/>
      <c r="Z127" s="363"/>
      <c r="AA127" s="363"/>
      <c r="AB127" s="363"/>
      <c r="AC127" s="363"/>
      <c r="AD127" s="363"/>
      <c r="AE127" s="363"/>
      <c r="AF127" s="363"/>
      <c r="AG127" s="363"/>
      <c r="AH127" s="363"/>
      <c r="AI127" s="363"/>
      <c r="AJ127" s="363"/>
      <c r="AK127" s="363"/>
      <c r="AL127" s="363"/>
      <c r="AM127" s="363"/>
      <c r="AN127" s="363"/>
      <c r="AO127" s="363"/>
      <c r="AP127" s="363"/>
      <c r="AQ127" s="363"/>
      <c r="AR127" s="363"/>
      <c r="AS127" s="363"/>
      <c r="AT127" s="363"/>
      <c r="AU127" s="363"/>
      <c r="AV127" s="363"/>
      <c r="AW127" s="363"/>
      <c r="AX127" s="363"/>
      <c r="AY127" s="363"/>
      <c r="AZ127" s="363"/>
      <c r="BA127" s="363"/>
      <c r="BB127" s="363"/>
      <c r="BC127" s="363"/>
      <c r="BD127" s="363"/>
      <c r="BE127" s="363"/>
      <c r="BF127" s="363"/>
      <c r="BG127" s="363"/>
      <c r="BI127" s="343" t="s">
        <v>1238</v>
      </c>
    </row>
    <row r="128" spans="2:61" x14ac:dyDescent="0.2">
      <c r="B128" s="67" t="str">
        <f>IF(Capacity!B21="","",Capacity!B21)</f>
        <v/>
      </c>
      <c r="C128" s="220" t="str">
        <f>IF(B128="","",Capacity!E21)</f>
        <v/>
      </c>
      <c r="D128" s="309" t="str">
        <f>IF(B128="","",Capacity!F21)</f>
        <v/>
      </c>
      <c r="E128" s="220" t="str">
        <f>IF(B128="","",IF(COUNTBLANK(H128:BG128)=52,SUM('Capacity calculation (hide)'!H9:BG9),52-COUNTBLANK(H128:BG128)))</f>
        <v/>
      </c>
      <c r="F128" s="310" t="str">
        <f>'Capacity calculation (hide)'!BI9</f>
        <v/>
      </c>
      <c r="H128" s="363"/>
      <c r="I128" s="363"/>
      <c r="J128" s="363"/>
      <c r="K128" s="363"/>
      <c r="L128" s="363"/>
      <c r="M128" s="363"/>
      <c r="N128" s="363"/>
      <c r="O128" s="363"/>
      <c r="P128" s="363"/>
      <c r="Q128" s="363"/>
      <c r="R128" s="363"/>
      <c r="S128" s="363"/>
      <c r="T128" s="363"/>
      <c r="U128" s="363"/>
      <c r="V128" s="363"/>
      <c r="W128" s="363"/>
      <c r="X128" s="363"/>
      <c r="Y128" s="363"/>
      <c r="Z128" s="363"/>
      <c r="AA128" s="363"/>
      <c r="AB128" s="363"/>
      <c r="AC128" s="363"/>
      <c r="AD128" s="363"/>
      <c r="AE128" s="363"/>
      <c r="AF128" s="363"/>
      <c r="AG128" s="363"/>
      <c r="AH128" s="363"/>
      <c r="AI128" s="363"/>
      <c r="AJ128" s="363"/>
      <c r="AK128" s="363"/>
      <c r="AL128" s="363"/>
      <c r="AM128" s="363"/>
      <c r="AN128" s="363"/>
      <c r="AO128" s="363"/>
      <c r="AP128" s="363"/>
      <c r="AQ128" s="363"/>
      <c r="AR128" s="363"/>
      <c r="AS128" s="363"/>
      <c r="AT128" s="363"/>
      <c r="AU128" s="363"/>
      <c r="AV128" s="363"/>
      <c r="AW128" s="363"/>
      <c r="AX128" s="363"/>
      <c r="AY128" s="363"/>
      <c r="AZ128" s="363"/>
      <c r="BA128" s="363"/>
      <c r="BB128" s="363"/>
      <c r="BC128" s="363"/>
      <c r="BD128" s="363"/>
      <c r="BE128" s="363"/>
      <c r="BF128" s="363"/>
      <c r="BG128" s="363"/>
      <c r="BI128" s="343" t="s">
        <v>1238</v>
      </c>
    </row>
    <row r="129" spans="2:61" x14ac:dyDescent="0.2">
      <c r="B129" s="67" t="str">
        <f>IF(Capacity!B22="","",Capacity!B22)</f>
        <v/>
      </c>
      <c r="C129" s="220" t="str">
        <f>IF(B129="","",Capacity!E22)</f>
        <v/>
      </c>
      <c r="D129" s="309" t="str">
        <f>IF(B129="","",Capacity!F22)</f>
        <v/>
      </c>
      <c r="E129" s="220" t="str">
        <f>IF(B129="","",IF(COUNTBLANK(H129:BG129)=52,SUM('Capacity calculation (hide)'!H10:BG10),52-COUNTBLANK(H129:BG129)))</f>
        <v/>
      </c>
      <c r="F129" s="310" t="str">
        <f>'Capacity calculation (hide)'!BI10</f>
        <v/>
      </c>
      <c r="H129" s="363"/>
      <c r="I129" s="363"/>
      <c r="J129" s="363"/>
      <c r="K129" s="363"/>
      <c r="L129" s="363"/>
      <c r="M129" s="363"/>
      <c r="N129" s="363"/>
      <c r="O129" s="363"/>
      <c r="P129" s="363"/>
      <c r="Q129" s="363"/>
      <c r="R129" s="363"/>
      <c r="S129" s="363"/>
      <c r="T129" s="363"/>
      <c r="U129" s="363"/>
      <c r="V129" s="363"/>
      <c r="W129" s="363"/>
      <c r="X129" s="363"/>
      <c r="Y129" s="363"/>
      <c r="Z129" s="363"/>
      <c r="AA129" s="363"/>
      <c r="AB129" s="363"/>
      <c r="AC129" s="363"/>
      <c r="AD129" s="363"/>
      <c r="AE129" s="363"/>
      <c r="AF129" s="363"/>
      <c r="AG129" s="363"/>
      <c r="AH129" s="363"/>
      <c r="AI129" s="363"/>
      <c r="AJ129" s="363"/>
      <c r="AK129" s="363"/>
      <c r="AL129" s="363"/>
      <c r="AM129" s="363"/>
      <c r="AN129" s="363"/>
      <c r="AO129" s="363"/>
      <c r="AP129" s="363"/>
      <c r="AQ129" s="363"/>
      <c r="AR129" s="363"/>
      <c r="AS129" s="363"/>
      <c r="AT129" s="363"/>
      <c r="AU129" s="363"/>
      <c r="AV129" s="363"/>
      <c r="AW129" s="363"/>
      <c r="AX129" s="363"/>
      <c r="AY129" s="363"/>
      <c r="AZ129" s="363"/>
      <c r="BA129" s="363"/>
      <c r="BB129" s="363"/>
      <c r="BC129" s="363"/>
      <c r="BD129" s="363"/>
      <c r="BE129" s="363"/>
      <c r="BF129" s="363"/>
      <c r="BG129" s="363"/>
      <c r="BI129" s="343" t="s">
        <v>1238</v>
      </c>
    </row>
    <row r="130" spans="2:61" x14ac:dyDescent="0.2">
      <c r="B130" s="67" t="str">
        <f>IF(Capacity!B23="","",Capacity!B23)</f>
        <v/>
      </c>
      <c r="C130" s="220" t="str">
        <f>IF(B130="","",Capacity!E23)</f>
        <v/>
      </c>
      <c r="D130" s="309" t="str">
        <f>IF(B130="","",Capacity!F23)</f>
        <v/>
      </c>
      <c r="E130" s="220" t="str">
        <f>IF(B130="","",IF(COUNTBLANK(H130:BG130)=52,SUM('Capacity calculation (hide)'!H11:BG11),52-COUNTBLANK(H130:BG130)))</f>
        <v/>
      </c>
      <c r="F130" s="310" t="str">
        <f>'Capacity calculation (hide)'!BI11</f>
        <v/>
      </c>
      <c r="H130" s="363"/>
      <c r="I130" s="363"/>
      <c r="J130" s="363"/>
      <c r="K130" s="363"/>
      <c r="L130" s="363"/>
      <c r="M130" s="363"/>
      <c r="N130" s="363"/>
      <c r="O130" s="363"/>
      <c r="P130" s="363"/>
      <c r="Q130" s="363"/>
      <c r="R130" s="363"/>
      <c r="S130" s="363"/>
      <c r="T130" s="363"/>
      <c r="U130" s="363"/>
      <c r="V130" s="363"/>
      <c r="W130" s="363"/>
      <c r="X130" s="363"/>
      <c r="Y130" s="363"/>
      <c r="Z130" s="363"/>
      <c r="AA130" s="363"/>
      <c r="AB130" s="363"/>
      <c r="AC130" s="363"/>
      <c r="AD130" s="363"/>
      <c r="AE130" s="363"/>
      <c r="AF130" s="363"/>
      <c r="AG130" s="363"/>
      <c r="AH130" s="363"/>
      <c r="AI130" s="363"/>
      <c r="AJ130" s="363"/>
      <c r="AK130" s="363"/>
      <c r="AL130" s="363"/>
      <c r="AM130" s="363"/>
      <c r="AN130" s="363"/>
      <c r="AO130" s="363"/>
      <c r="AP130" s="363"/>
      <c r="AQ130" s="363"/>
      <c r="AR130" s="363"/>
      <c r="AS130" s="363"/>
      <c r="AT130" s="363"/>
      <c r="AU130" s="363"/>
      <c r="AV130" s="363"/>
      <c r="AW130" s="363"/>
      <c r="AX130" s="363"/>
      <c r="AY130" s="363"/>
      <c r="AZ130" s="363"/>
      <c r="BA130" s="363"/>
      <c r="BB130" s="363"/>
      <c r="BC130" s="363"/>
      <c r="BD130" s="363"/>
      <c r="BE130" s="363"/>
      <c r="BF130" s="363"/>
      <c r="BG130" s="363"/>
      <c r="BI130" s="343" t="s">
        <v>1238</v>
      </c>
    </row>
    <row r="131" spans="2:61" x14ac:dyDescent="0.2">
      <c r="B131" s="67" t="str">
        <f>IF(Capacity!B24="","",Capacity!B24)</f>
        <v/>
      </c>
      <c r="C131" s="220" t="str">
        <f>IF(B131="","",Capacity!E24)</f>
        <v/>
      </c>
      <c r="D131" s="309" t="str">
        <f>IF(B131="","",Capacity!F24)</f>
        <v/>
      </c>
      <c r="E131" s="220" t="str">
        <f>IF(B131="","",IF(COUNTBLANK(H131:BG131)=52,SUM('Capacity calculation (hide)'!H12:BG12),52-COUNTBLANK(H131:BG131)))</f>
        <v/>
      </c>
      <c r="F131" s="310" t="str">
        <f>'Capacity calculation (hide)'!BI12</f>
        <v/>
      </c>
      <c r="H131" s="363"/>
      <c r="I131" s="363"/>
      <c r="J131" s="363"/>
      <c r="K131" s="363"/>
      <c r="L131" s="363"/>
      <c r="M131" s="363"/>
      <c r="N131" s="363"/>
      <c r="O131" s="363"/>
      <c r="P131" s="363"/>
      <c r="Q131" s="363"/>
      <c r="R131" s="363"/>
      <c r="S131" s="363"/>
      <c r="T131" s="363"/>
      <c r="U131" s="363"/>
      <c r="V131" s="363"/>
      <c r="W131" s="363"/>
      <c r="X131" s="363"/>
      <c r="Y131" s="363"/>
      <c r="Z131" s="363"/>
      <c r="AA131" s="363"/>
      <c r="AB131" s="363"/>
      <c r="AC131" s="363"/>
      <c r="AD131" s="363"/>
      <c r="AE131" s="363"/>
      <c r="AF131" s="363"/>
      <c r="AG131" s="363"/>
      <c r="AH131" s="363"/>
      <c r="AI131" s="363"/>
      <c r="AJ131" s="363"/>
      <c r="AK131" s="363"/>
      <c r="AL131" s="363"/>
      <c r="AM131" s="363"/>
      <c r="AN131" s="363"/>
      <c r="AO131" s="363"/>
      <c r="AP131" s="363"/>
      <c r="AQ131" s="363"/>
      <c r="AR131" s="363"/>
      <c r="AS131" s="363"/>
      <c r="AT131" s="363"/>
      <c r="AU131" s="363"/>
      <c r="AV131" s="363"/>
      <c r="AW131" s="363"/>
      <c r="AX131" s="363"/>
      <c r="AY131" s="363"/>
      <c r="AZ131" s="363"/>
      <c r="BA131" s="363"/>
      <c r="BB131" s="363"/>
      <c r="BC131" s="363"/>
      <c r="BD131" s="363"/>
      <c r="BE131" s="363"/>
      <c r="BF131" s="363"/>
      <c r="BG131" s="363"/>
      <c r="BI131" s="343" t="s">
        <v>1238</v>
      </c>
    </row>
    <row r="132" spans="2:61" x14ac:dyDescent="0.2">
      <c r="B132" s="67" t="str">
        <f>IF(Capacity!B25="","",Capacity!B25)</f>
        <v/>
      </c>
      <c r="C132" s="220" t="str">
        <f>IF(B132="","",Capacity!E25)</f>
        <v/>
      </c>
      <c r="D132" s="309" t="str">
        <f>IF(B132="","",Capacity!F25)</f>
        <v/>
      </c>
      <c r="E132" s="220" t="str">
        <f>IF(B132="","",IF(COUNTBLANK(H132:BG132)=52,SUM('Capacity calculation (hide)'!H13:BG13),52-COUNTBLANK(H132:BG132)))</f>
        <v/>
      </c>
      <c r="F132" s="310" t="str">
        <f>'Capacity calculation (hide)'!BI13</f>
        <v/>
      </c>
      <c r="H132" s="363"/>
      <c r="I132" s="363"/>
      <c r="J132" s="363"/>
      <c r="K132" s="363"/>
      <c r="L132" s="363"/>
      <c r="M132" s="363"/>
      <c r="N132" s="363"/>
      <c r="O132" s="363"/>
      <c r="P132" s="363"/>
      <c r="Q132" s="363"/>
      <c r="R132" s="363"/>
      <c r="S132" s="363"/>
      <c r="T132" s="363"/>
      <c r="U132" s="363"/>
      <c r="V132" s="363"/>
      <c r="W132" s="363"/>
      <c r="X132" s="363"/>
      <c r="Y132" s="363"/>
      <c r="Z132" s="363"/>
      <c r="AA132" s="363"/>
      <c r="AB132" s="363"/>
      <c r="AC132" s="363"/>
      <c r="AD132" s="363"/>
      <c r="AE132" s="363"/>
      <c r="AF132" s="363"/>
      <c r="AG132" s="363"/>
      <c r="AH132" s="363"/>
      <c r="AI132" s="363"/>
      <c r="AJ132" s="363"/>
      <c r="AK132" s="363"/>
      <c r="AL132" s="363"/>
      <c r="AM132" s="363"/>
      <c r="AN132" s="363"/>
      <c r="AO132" s="363"/>
      <c r="AP132" s="363"/>
      <c r="AQ132" s="363"/>
      <c r="AR132" s="363"/>
      <c r="AS132" s="363"/>
      <c r="AT132" s="363"/>
      <c r="AU132" s="363"/>
      <c r="AV132" s="363"/>
      <c r="AW132" s="363"/>
      <c r="AX132" s="363"/>
      <c r="AY132" s="363"/>
      <c r="AZ132" s="363"/>
      <c r="BA132" s="363"/>
      <c r="BB132" s="363"/>
      <c r="BC132" s="363"/>
      <c r="BD132" s="363"/>
      <c r="BE132" s="363"/>
      <c r="BF132" s="363"/>
      <c r="BG132" s="363"/>
      <c r="BI132" s="343" t="s">
        <v>1238</v>
      </c>
    </row>
    <row r="133" spans="2:61" x14ac:dyDescent="0.2">
      <c r="B133" s="67" t="str">
        <f>IF(Capacity!B26="","",Capacity!B26)</f>
        <v/>
      </c>
      <c r="C133" s="220" t="str">
        <f>IF(B133="","",Capacity!E26)</f>
        <v/>
      </c>
      <c r="D133" s="309" t="str">
        <f>IF(B133="","",Capacity!F26)</f>
        <v/>
      </c>
      <c r="E133" s="220" t="str">
        <f>IF(B133="","",IF(COUNTBLANK(H133:BG133)=52,SUM('Capacity calculation (hide)'!H14:BG14),52-COUNTBLANK(H133:BG133)))</f>
        <v/>
      </c>
      <c r="F133" s="310" t="str">
        <f>'Capacity calculation (hide)'!BI14</f>
        <v/>
      </c>
      <c r="H133" s="363"/>
      <c r="I133" s="363"/>
      <c r="J133" s="363"/>
      <c r="K133" s="363"/>
      <c r="L133" s="363"/>
      <c r="M133" s="363"/>
      <c r="N133" s="363"/>
      <c r="O133" s="363"/>
      <c r="P133" s="363"/>
      <c r="Q133" s="363"/>
      <c r="R133" s="363"/>
      <c r="S133" s="363"/>
      <c r="T133" s="363"/>
      <c r="U133" s="363"/>
      <c r="V133" s="363"/>
      <c r="W133" s="363"/>
      <c r="X133" s="363"/>
      <c r="Y133" s="363"/>
      <c r="Z133" s="363"/>
      <c r="AA133" s="363"/>
      <c r="AB133" s="363"/>
      <c r="AC133" s="363"/>
      <c r="AD133" s="363"/>
      <c r="AE133" s="363"/>
      <c r="AF133" s="363"/>
      <c r="AG133" s="363"/>
      <c r="AH133" s="363"/>
      <c r="AI133" s="363"/>
      <c r="AJ133" s="363"/>
      <c r="AK133" s="363"/>
      <c r="AL133" s="363"/>
      <c r="AM133" s="363"/>
      <c r="AN133" s="363"/>
      <c r="AO133" s="363"/>
      <c r="AP133" s="363"/>
      <c r="AQ133" s="363"/>
      <c r="AR133" s="363"/>
      <c r="AS133" s="363"/>
      <c r="AT133" s="363"/>
      <c r="AU133" s="363"/>
      <c r="AV133" s="363"/>
      <c r="AW133" s="363"/>
      <c r="AX133" s="363"/>
      <c r="AY133" s="363"/>
      <c r="AZ133" s="363"/>
      <c r="BA133" s="363"/>
      <c r="BB133" s="363"/>
      <c r="BC133" s="363"/>
      <c r="BD133" s="363"/>
      <c r="BE133" s="363"/>
      <c r="BF133" s="363"/>
      <c r="BG133" s="363"/>
      <c r="BI133" s="343" t="s">
        <v>1238</v>
      </c>
    </row>
    <row r="134" spans="2:61" x14ac:dyDescent="0.2">
      <c r="B134" s="67" t="str">
        <f>IF(Capacity!B27="","",Capacity!B27)</f>
        <v/>
      </c>
      <c r="C134" s="220" t="str">
        <f>IF(B134="","",Capacity!E27)</f>
        <v/>
      </c>
      <c r="D134" s="309" t="str">
        <f>IF(B134="","",Capacity!F27)</f>
        <v/>
      </c>
      <c r="E134" s="220" t="str">
        <f>IF(B134="","",IF(COUNTBLANK(H134:BG134)=52,SUM('Capacity calculation (hide)'!H15:BG15),52-COUNTBLANK(H134:BG134)))</f>
        <v/>
      </c>
      <c r="F134" s="310" t="str">
        <f>'Capacity calculation (hide)'!BI15</f>
        <v/>
      </c>
      <c r="H134" s="363"/>
      <c r="I134" s="363"/>
      <c r="J134" s="363"/>
      <c r="K134" s="363"/>
      <c r="L134" s="363"/>
      <c r="M134" s="363"/>
      <c r="N134" s="363"/>
      <c r="O134" s="363"/>
      <c r="P134" s="363"/>
      <c r="Q134" s="363"/>
      <c r="R134" s="363"/>
      <c r="S134" s="363"/>
      <c r="T134" s="363"/>
      <c r="U134" s="363"/>
      <c r="V134" s="363"/>
      <c r="W134" s="363"/>
      <c r="X134" s="363"/>
      <c r="Y134" s="363"/>
      <c r="Z134" s="363"/>
      <c r="AA134" s="363"/>
      <c r="AB134" s="363"/>
      <c r="AC134" s="363"/>
      <c r="AD134" s="363"/>
      <c r="AE134" s="363"/>
      <c r="AF134" s="363"/>
      <c r="AG134" s="363"/>
      <c r="AH134" s="363"/>
      <c r="AI134" s="363"/>
      <c r="AJ134" s="363"/>
      <c r="AK134" s="363"/>
      <c r="AL134" s="363"/>
      <c r="AM134" s="363"/>
      <c r="AN134" s="363"/>
      <c r="AO134" s="363"/>
      <c r="AP134" s="363"/>
      <c r="AQ134" s="363"/>
      <c r="AR134" s="363"/>
      <c r="AS134" s="363"/>
      <c r="AT134" s="363"/>
      <c r="AU134" s="363"/>
      <c r="AV134" s="363"/>
      <c r="AW134" s="363"/>
      <c r="AX134" s="363"/>
      <c r="AY134" s="363"/>
      <c r="AZ134" s="363"/>
      <c r="BA134" s="363"/>
      <c r="BB134" s="363"/>
      <c r="BC134" s="363"/>
      <c r="BD134" s="363"/>
      <c r="BE134" s="363"/>
      <c r="BF134" s="363"/>
      <c r="BG134" s="363"/>
      <c r="BI134" s="343" t="s">
        <v>1238</v>
      </c>
    </row>
    <row r="135" spans="2:61" x14ac:dyDescent="0.2">
      <c r="B135" s="67" t="str">
        <f>IF(Capacity!B28="","",Capacity!B28)</f>
        <v/>
      </c>
      <c r="C135" s="220" t="str">
        <f>IF(B135="","",Capacity!E28)</f>
        <v/>
      </c>
      <c r="D135" s="309" t="str">
        <f>IF(B135="","",Capacity!F28)</f>
        <v/>
      </c>
      <c r="E135" s="220" t="str">
        <f>IF(B135="","",IF(COUNTBLANK(H135:BG135)=52,SUM('Capacity calculation (hide)'!H16:BG16),52-COUNTBLANK(H135:BG135)))</f>
        <v/>
      </c>
      <c r="F135" s="310" t="str">
        <f>'Capacity calculation (hide)'!BI16</f>
        <v/>
      </c>
      <c r="H135" s="363"/>
      <c r="I135" s="363"/>
      <c r="J135" s="363"/>
      <c r="K135" s="363"/>
      <c r="L135" s="363"/>
      <c r="M135" s="363"/>
      <c r="N135" s="363"/>
      <c r="O135" s="363"/>
      <c r="P135" s="363"/>
      <c r="Q135" s="363"/>
      <c r="R135" s="363"/>
      <c r="S135" s="363"/>
      <c r="T135" s="363"/>
      <c r="U135" s="363"/>
      <c r="V135" s="363"/>
      <c r="W135" s="363"/>
      <c r="X135" s="363"/>
      <c r="Y135" s="363"/>
      <c r="Z135" s="363"/>
      <c r="AA135" s="363"/>
      <c r="AB135" s="363"/>
      <c r="AC135" s="363"/>
      <c r="AD135" s="363"/>
      <c r="AE135" s="363"/>
      <c r="AF135" s="363"/>
      <c r="AG135" s="363"/>
      <c r="AH135" s="363"/>
      <c r="AI135" s="363"/>
      <c r="AJ135" s="363"/>
      <c r="AK135" s="363"/>
      <c r="AL135" s="363"/>
      <c r="AM135" s="363"/>
      <c r="AN135" s="363"/>
      <c r="AO135" s="363"/>
      <c r="AP135" s="363"/>
      <c r="AQ135" s="363"/>
      <c r="AR135" s="363"/>
      <c r="AS135" s="363"/>
      <c r="AT135" s="363"/>
      <c r="AU135" s="363"/>
      <c r="AV135" s="363"/>
      <c r="AW135" s="363"/>
      <c r="AX135" s="363"/>
      <c r="AY135" s="363"/>
      <c r="AZ135" s="363"/>
      <c r="BA135" s="363"/>
      <c r="BB135" s="363"/>
      <c r="BC135" s="363"/>
      <c r="BD135" s="363"/>
      <c r="BE135" s="363"/>
      <c r="BF135" s="363"/>
      <c r="BG135" s="363"/>
      <c r="BI135" s="343" t="s">
        <v>1238</v>
      </c>
    </row>
    <row r="136" spans="2:61" x14ac:dyDescent="0.2">
      <c r="B136" s="67" t="str">
        <f>IF(Capacity!B29="","",Capacity!B29)</f>
        <v/>
      </c>
      <c r="C136" s="220" t="str">
        <f>IF(B136="","",Capacity!E29)</f>
        <v/>
      </c>
      <c r="D136" s="309" t="str">
        <f>IF(B136="","",Capacity!F29)</f>
        <v/>
      </c>
      <c r="E136" s="220" t="str">
        <f>IF(B136="","",IF(COUNTBLANK(H136:BG136)=52,SUM('Capacity calculation (hide)'!H17:BG17),52-COUNTBLANK(H136:BG136)))</f>
        <v/>
      </c>
      <c r="F136" s="310" t="str">
        <f>'Capacity calculation (hide)'!BI17</f>
        <v/>
      </c>
      <c r="H136" s="363"/>
      <c r="I136" s="363"/>
      <c r="J136" s="363"/>
      <c r="K136" s="363"/>
      <c r="L136" s="363"/>
      <c r="M136" s="363"/>
      <c r="N136" s="363"/>
      <c r="O136" s="363"/>
      <c r="P136" s="363"/>
      <c r="Q136" s="363"/>
      <c r="R136" s="363"/>
      <c r="S136" s="363"/>
      <c r="T136" s="363"/>
      <c r="U136" s="363"/>
      <c r="V136" s="363"/>
      <c r="W136" s="363"/>
      <c r="X136" s="363"/>
      <c r="Y136" s="363"/>
      <c r="Z136" s="363"/>
      <c r="AA136" s="363"/>
      <c r="AB136" s="363"/>
      <c r="AC136" s="363"/>
      <c r="AD136" s="363"/>
      <c r="AE136" s="363"/>
      <c r="AF136" s="363"/>
      <c r="AG136" s="363"/>
      <c r="AH136" s="363"/>
      <c r="AI136" s="363"/>
      <c r="AJ136" s="363"/>
      <c r="AK136" s="363"/>
      <c r="AL136" s="363"/>
      <c r="AM136" s="363"/>
      <c r="AN136" s="363"/>
      <c r="AO136" s="363"/>
      <c r="AP136" s="363"/>
      <c r="AQ136" s="363"/>
      <c r="AR136" s="363"/>
      <c r="AS136" s="363"/>
      <c r="AT136" s="363"/>
      <c r="AU136" s="363"/>
      <c r="AV136" s="363"/>
      <c r="AW136" s="363"/>
      <c r="AX136" s="363"/>
      <c r="AY136" s="363"/>
      <c r="AZ136" s="363"/>
      <c r="BA136" s="363"/>
      <c r="BB136" s="363"/>
      <c r="BC136" s="363"/>
      <c r="BD136" s="363"/>
      <c r="BE136" s="363"/>
      <c r="BF136" s="363"/>
      <c r="BG136" s="363"/>
      <c r="BI136" s="343" t="s">
        <v>1238</v>
      </c>
    </row>
    <row r="137" spans="2:61" x14ac:dyDescent="0.2">
      <c r="B137" s="67" t="str">
        <f>IF(Capacity!B30="","",Capacity!B30)</f>
        <v/>
      </c>
      <c r="C137" s="220" t="str">
        <f>IF(B137="","",Capacity!E30)</f>
        <v/>
      </c>
      <c r="D137" s="309" t="str">
        <f>IF(B137="","",Capacity!F30)</f>
        <v/>
      </c>
      <c r="E137" s="220" t="str">
        <f>IF(B137="","",IF(COUNTBLANK(H137:BG137)=52,SUM('Capacity calculation (hide)'!H18:BG18),52-COUNTBLANK(H137:BG137)))</f>
        <v/>
      </c>
      <c r="F137" s="310" t="str">
        <f>'Capacity calculation (hide)'!BI18</f>
        <v/>
      </c>
      <c r="H137" s="363"/>
      <c r="I137" s="363"/>
      <c r="J137" s="363"/>
      <c r="K137" s="363"/>
      <c r="L137" s="363"/>
      <c r="M137" s="363"/>
      <c r="N137" s="363"/>
      <c r="O137" s="363"/>
      <c r="P137" s="363"/>
      <c r="Q137" s="363"/>
      <c r="R137" s="363"/>
      <c r="S137" s="363"/>
      <c r="T137" s="363"/>
      <c r="U137" s="363"/>
      <c r="V137" s="363"/>
      <c r="W137" s="363"/>
      <c r="X137" s="363"/>
      <c r="Y137" s="363"/>
      <c r="Z137" s="363"/>
      <c r="AA137" s="363"/>
      <c r="AB137" s="363"/>
      <c r="AC137" s="363"/>
      <c r="AD137" s="363"/>
      <c r="AE137" s="363"/>
      <c r="AF137" s="363"/>
      <c r="AG137" s="363"/>
      <c r="AH137" s="363"/>
      <c r="AI137" s="363"/>
      <c r="AJ137" s="363"/>
      <c r="AK137" s="363"/>
      <c r="AL137" s="363"/>
      <c r="AM137" s="363"/>
      <c r="AN137" s="363"/>
      <c r="AO137" s="363"/>
      <c r="AP137" s="363"/>
      <c r="AQ137" s="363"/>
      <c r="AR137" s="363"/>
      <c r="AS137" s="363"/>
      <c r="AT137" s="363"/>
      <c r="AU137" s="363"/>
      <c r="AV137" s="363"/>
      <c r="AW137" s="363"/>
      <c r="AX137" s="363"/>
      <c r="AY137" s="363"/>
      <c r="AZ137" s="363"/>
      <c r="BA137" s="363"/>
      <c r="BB137" s="363"/>
      <c r="BC137" s="363"/>
      <c r="BD137" s="363"/>
      <c r="BE137" s="363"/>
      <c r="BF137" s="363"/>
      <c r="BG137" s="363"/>
      <c r="BI137" s="343" t="s">
        <v>1238</v>
      </c>
    </row>
    <row r="138" spans="2:61" x14ac:dyDescent="0.2">
      <c r="B138" s="67" t="str">
        <f>IF(Capacity!B31="","",Capacity!B31)</f>
        <v/>
      </c>
      <c r="C138" s="220" t="str">
        <f>IF(B138="","",Capacity!E31)</f>
        <v/>
      </c>
      <c r="D138" s="309" t="str">
        <f>IF(B138="","",Capacity!F31)</f>
        <v/>
      </c>
      <c r="E138" s="220" t="str">
        <f>IF(B138="","",IF(COUNTBLANK(H138:BG138)=52,SUM('Capacity calculation (hide)'!H19:BG19),52-COUNTBLANK(H138:BG138)))</f>
        <v/>
      </c>
      <c r="F138" s="310" t="str">
        <f>'Capacity calculation (hide)'!BI19</f>
        <v/>
      </c>
      <c r="H138" s="363"/>
      <c r="I138" s="363"/>
      <c r="J138" s="363"/>
      <c r="K138" s="363"/>
      <c r="L138" s="363"/>
      <c r="M138" s="363"/>
      <c r="N138" s="363"/>
      <c r="O138" s="363"/>
      <c r="P138" s="363"/>
      <c r="Q138" s="363"/>
      <c r="R138" s="363"/>
      <c r="S138" s="363"/>
      <c r="T138" s="363"/>
      <c r="U138" s="363"/>
      <c r="V138" s="363"/>
      <c r="W138" s="363"/>
      <c r="X138" s="363"/>
      <c r="Y138" s="363"/>
      <c r="Z138" s="363"/>
      <c r="AA138" s="363"/>
      <c r="AB138" s="363"/>
      <c r="AC138" s="363"/>
      <c r="AD138" s="363"/>
      <c r="AE138" s="363"/>
      <c r="AF138" s="363"/>
      <c r="AG138" s="363"/>
      <c r="AH138" s="363"/>
      <c r="AI138" s="363"/>
      <c r="AJ138" s="363"/>
      <c r="AK138" s="363"/>
      <c r="AL138" s="363"/>
      <c r="AM138" s="363"/>
      <c r="AN138" s="363"/>
      <c r="AO138" s="363"/>
      <c r="AP138" s="363"/>
      <c r="AQ138" s="363"/>
      <c r="AR138" s="363"/>
      <c r="AS138" s="363"/>
      <c r="AT138" s="363"/>
      <c r="AU138" s="363"/>
      <c r="AV138" s="363"/>
      <c r="AW138" s="363"/>
      <c r="AX138" s="363"/>
      <c r="AY138" s="363"/>
      <c r="AZ138" s="363"/>
      <c r="BA138" s="363"/>
      <c r="BB138" s="363"/>
      <c r="BC138" s="363"/>
      <c r="BD138" s="363"/>
      <c r="BE138" s="363"/>
      <c r="BF138" s="363"/>
      <c r="BG138" s="363"/>
      <c r="BI138" s="343" t="s">
        <v>1238</v>
      </c>
    </row>
    <row r="139" spans="2:61" x14ac:dyDescent="0.2">
      <c r="B139" s="67" t="str">
        <f>IF(Capacity!B32="","",Capacity!B32)</f>
        <v/>
      </c>
      <c r="C139" s="220" t="str">
        <f>IF(B139="","",Capacity!E32)</f>
        <v/>
      </c>
      <c r="D139" s="309" t="str">
        <f>IF(B139="","",Capacity!F32)</f>
        <v/>
      </c>
      <c r="E139" s="220" t="str">
        <f>IF(B139="","",IF(COUNTBLANK(H139:BG139)=52,SUM('Capacity calculation (hide)'!H20:BG20),52-COUNTBLANK(H139:BG139)))</f>
        <v/>
      </c>
      <c r="F139" s="310" t="str">
        <f>'Capacity calculation (hide)'!BI20</f>
        <v/>
      </c>
      <c r="H139" s="363"/>
      <c r="I139" s="363"/>
      <c r="J139" s="363"/>
      <c r="K139" s="363"/>
      <c r="L139" s="363"/>
      <c r="M139" s="363"/>
      <c r="N139" s="363"/>
      <c r="O139" s="363"/>
      <c r="P139" s="363"/>
      <c r="Q139" s="363"/>
      <c r="R139" s="363"/>
      <c r="S139" s="363"/>
      <c r="T139" s="363"/>
      <c r="U139" s="363"/>
      <c r="V139" s="363"/>
      <c r="W139" s="363"/>
      <c r="X139" s="363"/>
      <c r="Y139" s="363"/>
      <c r="Z139" s="363"/>
      <c r="AA139" s="363"/>
      <c r="AB139" s="363"/>
      <c r="AC139" s="363"/>
      <c r="AD139" s="363"/>
      <c r="AE139" s="363"/>
      <c r="AF139" s="363"/>
      <c r="AG139" s="363"/>
      <c r="AH139" s="363"/>
      <c r="AI139" s="363"/>
      <c r="AJ139" s="363"/>
      <c r="AK139" s="363"/>
      <c r="AL139" s="363"/>
      <c r="AM139" s="363"/>
      <c r="AN139" s="363"/>
      <c r="AO139" s="363"/>
      <c r="AP139" s="363"/>
      <c r="AQ139" s="363"/>
      <c r="AR139" s="363"/>
      <c r="AS139" s="363"/>
      <c r="AT139" s="363"/>
      <c r="AU139" s="363"/>
      <c r="AV139" s="363"/>
      <c r="AW139" s="363"/>
      <c r="AX139" s="363"/>
      <c r="AY139" s="363"/>
      <c r="AZ139" s="363"/>
      <c r="BA139" s="363"/>
      <c r="BB139" s="363"/>
      <c r="BC139" s="363"/>
      <c r="BD139" s="363"/>
      <c r="BE139" s="363"/>
      <c r="BF139" s="363"/>
      <c r="BG139" s="363"/>
      <c r="BI139" s="343" t="s">
        <v>1238</v>
      </c>
    </row>
    <row r="140" spans="2:61" x14ac:dyDescent="0.2">
      <c r="B140" s="67" t="str">
        <f>IF(Capacity!B33="","",Capacity!B33)</f>
        <v/>
      </c>
      <c r="C140" s="220" t="str">
        <f>IF(B140="","",Capacity!E33)</f>
        <v/>
      </c>
      <c r="D140" s="309" t="str">
        <f>IF(B140="","",Capacity!F33)</f>
        <v/>
      </c>
      <c r="E140" s="220" t="str">
        <f>IF(B140="","",IF(COUNTBLANK(H140:BG140)=52,SUM('Capacity calculation (hide)'!H21:BG21),52-COUNTBLANK(H140:BG140)))</f>
        <v/>
      </c>
      <c r="F140" s="310" t="str">
        <f>'Capacity calculation (hide)'!BI21</f>
        <v/>
      </c>
      <c r="H140" s="363"/>
      <c r="I140" s="363"/>
      <c r="J140" s="363"/>
      <c r="K140" s="363"/>
      <c r="L140" s="363"/>
      <c r="M140" s="363"/>
      <c r="N140" s="363"/>
      <c r="O140" s="363"/>
      <c r="P140" s="363"/>
      <c r="Q140" s="363"/>
      <c r="R140" s="363"/>
      <c r="S140" s="363"/>
      <c r="T140" s="363"/>
      <c r="U140" s="363"/>
      <c r="V140" s="363"/>
      <c r="W140" s="363"/>
      <c r="X140" s="363"/>
      <c r="Y140" s="363"/>
      <c r="Z140" s="363"/>
      <c r="AA140" s="363"/>
      <c r="AB140" s="363"/>
      <c r="AC140" s="363"/>
      <c r="AD140" s="363"/>
      <c r="AE140" s="363"/>
      <c r="AF140" s="363"/>
      <c r="AG140" s="363"/>
      <c r="AH140" s="363"/>
      <c r="AI140" s="363"/>
      <c r="AJ140" s="363"/>
      <c r="AK140" s="363"/>
      <c r="AL140" s="363"/>
      <c r="AM140" s="363"/>
      <c r="AN140" s="363"/>
      <c r="AO140" s="363"/>
      <c r="AP140" s="363"/>
      <c r="AQ140" s="363"/>
      <c r="AR140" s="363"/>
      <c r="AS140" s="363"/>
      <c r="AT140" s="363"/>
      <c r="AU140" s="363"/>
      <c r="AV140" s="363"/>
      <c r="AW140" s="363"/>
      <c r="AX140" s="363"/>
      <c r="AY140" s="363"/>
      <c r="AZ140" s="363"/>
      <c r="BA140" s="363"/>
      <c r="BB140" s="363"/>
      <c r="BC140" s="363"/>
      <c r="BD140" s="363"/>
      <c r="BE140" s="363"/>
      <c r="BF140" s="363"/>
      <c r="BG140" s="363"/>
      <c r="BI140" s="343" t="s">
        <v>1238</v>
      </c>
    </row>
    <row r="141" spans="2:61" x14ac:dyDescent="0.2">
      <c r="B141" s="67" t="str">
        <f>IF(Capacity!B34="","",Capacity!B34)</f>
        <v/>
      </c>
      <c r="C141" s="220" t="str">
        <f>IF(B141="","",Capacity!E34)</f>
        <v/>
      </c>
      <c r="D141" s="309" t="str">
        <f>IF(B141="","",Capacity!F34)</f>
        <v/>
      </c>
      <c r="E141" s="220" t="str">
        <f>IF(B141="","",IF(COUNTBLANK(H141:BG141)=52,SUM('Capacity calculation (hide)'!H22:BG22),52-COUNTBLANK(H141:BG141)))</f>
        <v/>
      </c>
      <c r="F141" s="310" t="str">
        <f>'Capacity calculation (hide)'!BI22</f>
        <v/>
      </c>
      <c r="H141" s="363"/>
      <c r="I141" s="363"/>
      <c r="J141" s="363"/>
      <c r="K141" s="363"/>
      <c r="L141" s="363"/>
      <c r="M141" s="363"/>
      <c r="N141" s="363"/>
      <c r="O141" s="363"/>
      <c r="P141" s="363"/>
      <c r="Q141" s="363"/>
      <c r="R141" s="363"/>
      <c r="S141" s="363"/>
      <c r="T141" s="363"/>
      <c r="U141" s="363"/>
      <c r="V141" s="363"/>
      <c r="W141" s="363"/>
      <c r="X141" s="363"/>
      <c r="Y141" s="363"/>
      <c r="Z141" s="363"/>
      <c r="AA141" s="363"/>
      <c r="AB141" s="363"/>
      <c r="AC141" s="363"/>
      <c r="AD141" s="363"/>
      <c r="AE141" s="363"/>
      <c r="AF141" s="363"/>
      <c r="AG141" s="363"/>
      <c r="AH141" s="363"/>
      <c r="AI141" s="363"/>
      <c r="AJ141" s="363"/>
      <c r="AK141" s="363"/>
      <c r="AL141" s="363"/>
      <c r="AM141" s="363"/>
      <c r="AN141" s="363"/>
      <c r="AO141" s="363"/>
      <c r="AP141" s="363"/>
      <c r="AQ141" s="363"/>
      <c r="AR141" s="363"/>
      <c r="AS141" s="363"/>
      <c r="AT141" s="363"/>
      <c r="AU141" s="363"/>
      <c r="AV141" s="363"/>
      <c r="AW141" s="363"/>
      <c r="AX141" s="363"/>
      <c r="AY141" s="363"/>
      <c r="AZ141" s="363"/>
      <c r="BA141" s="363"/>
      <c r="BB141" s="363"/>
      <c r="BC141" s="363"/>
      <c r="BD141" s="363"/>
      <c r="BE141" s="363"/>
      <c r="BF141" s="363"/>
      <c r="BG141" s="363"/>
      <c r="BI141" s="343" t="s">
        <v>1238</v>
      </c>
    </row>
    <row r="142" spans="2:61" x14ac:dyDescent="0.2">
      <c r="B142" s="67" t="str">
        <f>IF(Capacity!B35="","",Capacity!B35)</f>
        <v/>
      </c>
      <c r="C142" s="220" t="str">
        <f>IF(B142="","",Capacity!E35)</f>
        <v/>
      </c>
      <c r="D142" s="309" t="str">
        <f>IF(B142="","",Capacity!F35)</f>
        <v/>
      </c>
      <c r="E142" s="220" t="str">
        <f>IF(B142="","",IF(COUNTBLANK(H142:BG142)=52,SUM('Capacity calculation (hide)'!H23:BG23),52-COUNTBLANK(H142:BG142)))</f>
        <v/>
      </c>
      <c r="F142" s="310" t="str">
        <f>'Capacity calculation (hide)'!BI23</f>
        <v/>
      </c>
      <c r="H142" s="363"/>
      <c r="I142" s="363"/>
      <c r="J142" s="363"/>
      <c r="K142" s="363"/>
      <c r="L142" s="363"/>
      <c r="M142" s="363"/>
      <c r="N142" s="363"/>
      <c r="O142" s="363"/>
      <c r="P142" s="363"/>
      <c r="Q142" s="363"/>
      <c r="R142" s="363"/>
      <c r="S142" s="363"/>
      <c r="T142" s="363"/>
      <c r="U142" s="363"/>
      <c r="V142" s="363"/>
      <c r="W142" s="363"/>
      <c r="X142" s="363"/>
      <c r="Y142" s="363"/>
      <c r="Z142" s="363"/>
      <c r="AA142" s="363"/>
      <c r="AB142" s="363"/>
      <c r="AC142" s="363"/>
      <c r="AD142" s="363"/>
      <c r="AE142" s="363"/>
      <c r="AF142" s="363"/>
      <c r="AG142" s="363"/>
      <c r="AH142" s="363"/>
      <c r="AI142" s="363"/>
      <c r="AJ142" s="363"/>
      <c r="AK142" s="363"/>
      <c r="AL142" s="363"/>
      <c r="AM142" s="363"/>
      <c r="AN142" s="363"/>
      <c r="AO142" s="363"/>
      <c r="AP142" s="363"/>
      <c r="AQ142" s="363"/>
      <c r="AR142" s="363"/>
      <c r="AS142" s="363"/>
      <c r="AT142" s="363"/>
      <c r="AU142" s="363"/>
      <c r="AV142" s="363"/>
      <c r="AW142" s="363"/>
      <c r="AX142" s="363"/>
      <c r="AY142" s="363"/>
      <c r="AZ142" s="363"/>
      <c r="BA142" s="363"/>
      <c r="BB142" s="363"/>
      <c r="BC142" s="363"/>
      <c r="BD142" s="363"/>
      <c r="BE142" s="363"/>
      <c r="BF142" s="363"/>
      <c r="BG142" s="363"/>
      <c r="BI142" s="343" t="s">
        <v>1238</v>
      </c>
    </row>
    <row r="143" spans="2:61" x14ac:dyDescent="0.2">
      <c r="B143" s="67" t="str">
        <f>IF(Capacity!B36="","",Capacity!B36)</f>
        <v/>
      </c>
      <c r="C143" s="220" t="str">
        <f>IF(B143="","",Capacity!E36)</f>
        <v/>
      </c>
      <c r="D143" s="309" t="str">
        <f>IF(B143="","",Capacity!F36)</f>
        <v/>
      </c>
      <c r="E143" s="220" t="str">
        <f>IF(B143="","",IF(COUNTBLANK(H143:BG143)=52,SUM('Capacity calculation (hide)'!H24:BG24),52-COUNTBLANK(H143:BG143)))</f>
        <v/>
      </c>
      <c r="F143" s="310" t="str">
        <f>'Capacity calculation (hide)'!BI24</f>
        <v/>
      </c>
      <c r="H143" s="363"/>
      <c r="I143" s="363"/>
      <c r="J143" s="363"/>
      <c r="K143" s="363"/>
      <c r="L143" s="363"/>
      <c r="M143" s="363"/>
      <c r="N143" s="363"/>
      <c r="O143" s="363"/>
      <c r="P143" s="363"/>
      <c r="Q143" s="363"/>
      <c r="R143" s="363"/>
      <c r="S143" s="363"/>
      <c r="T143" s="363"/>
      <c r="U143" s="363"/>
      <c r="V143" s="363"/>
      <c r="W143" s="363"/>
      <c r="X143" s="363"/>
      <c r="Y143" s="363"/>
      <c r="Z143" s="363"/>
      <c r="AA143" s="363"/>
      <c r="AB143" s="363"/>
      <c r="AC143" s="363"/>
      <c r="AD143" s="363"/>
      <c r="AE143" s="363"/>
      <c r="AF143" s="363"/>
      <c r="AG143" s="363"/>
      <c r="AH143" s="363"/>
      <c r="AI143" s="363"/>
      <c r="AJ143" s="363"/>
      <c r="AK143" s="363"/>
      <c r="AL143" s="363"/>
      <c r="AM143" s="363"/>
      <c r="AN143" s="363"/>
      <c r="AO143" s="363"/>
      <c r="AP143" s="363"/>
      <c r="AQ143" s="363"/>
      <c r="AR143" s="363"/>
      <c r="AS143" s="363"/>
      <c r="AT143" s="363"/>
      <c r="AU143" s="363"/>
      <c r="AV143" s="363"/>
      <c r="AW143" s="363"/>
      <c r="AX143" s="363"/>
      <c r="AY143" s="363"/>
      <c r="AZ143" s="363"/>
      <c r="BA143" s="363"/>
      <c r="BB143" s="363"/>
      <c r="BC143" s="363"/>
      <c r="BD143" s="363"/>
      <c r="BE143" s="363"/>
      <c r="BF143" s="363"/>
      <c r="BG143" s="363"/>
      <c r="BI143" s="343" t="s">
        <v>1238</v>
      </c>
    </row>
    <row r="144" spans="2:61" x14ac:dyDescent="0.2">
      <c r="B144" s="67" t="str">
        <f>IF(Capacity!B37="","",Capacity!B37)</f>
        <v/>
      </c>
      <c r="C144" s="220" t="str">
        <f>IF(B144="","",Capacity!E37)</f>
        <v/>
      </c>
      <c r="D144" s="309" t="str">
        <f>IF(B144="","",Capacity!F37)</f>
        <v/>
      </c>
      <c r="E144" s="220" t="str">
        <f>IF(B144="","",IF(COUNTBLANK(H144:BG144)=52,SUM('Capacity calculation (hide)'!H25:BG25),52-COUNTBLANK(H144:BG144)))</f>
        <v/>
      </c>
      <c r="F144" s="310" t="str">
        <f>'Capacity calculation (hide)'!BI25</f>
        <v/>
      </c>
      <c r="H144" s="363"/>
      <c r="I144" s="363"/>
      <c r="J144" s="363"/>
      <c r="K144" s="363"/>
      <c r="L144" s="363"/>
      <c r="M144" s="363"/>
      <c r="N144" s="363"/>
      <c r="O144" s="363"/>
      <c r="P144" s="363"/>
      <c r="Q144" s="363"/>
      <c r="R144" s="363"/>
      <c r="S144" s="363"/>
      <c r="T144" s="363"/>
      <c r="U144" s="363"/>
      <c r="V144" s="363"/>
      <c r="W144" s="363"/>
      <c r="X144" s="363"/>
      <c r="Y144" s="363"/>
      <c r="Z144" s="363"/>
      <c r="AA144" s="363"/>
      <c r="AB144" s="363"/>
      <c r="AC144" s="363"/>
      <c r="AD144" s="363"/>
      <c r="AE144" s="363"/>
      <c r="AF144" s="363"/>
      <c r="AG144" s="363"/>
      <c r="AH144" s="363"/>
      <c r="AI144" s="363"/>
      <c r="AJ144" s="363"/>
      <c r="AK144" s="363"/>
      <c r="AL144" s="363"/>
      <c r="AM144" s="363"/>
      <c r="AN144" s="363"/>
      <c r="AO144" s="363"/>
      <c r="AP144" s="363"/>
      <c r="AQ144" s="363"/>
      <c r="AR144" s="363"/>
      <c r="AS144" s="363"/>
      <c r="AT144" s="363"/>
      <c r="AU144" s="363"/>
      <c r="AV144" s="363"/>
      <c r="AW144" s="363"/>
      <c r="AX144" s="363"/>
      <c r="AY144" s="363"/>
      <c r="AZ144" s="363"/>
      <c r="BA144" s="363"/>
      <c r="BB144" s="363"/>
      <c r="BC144" s="363"/>
      <c r="BD144" s="363"/>
      <c r="BE144" s="363"/>
      <c r="BF144" s="363"/>
      <c r="BG144" s="363"/>
      <c r="BI144" s="343" t="s">
        <v>1238</v>
      </c>
    </row>
    <row r="145" spans="2:61" x14ac:dyDescent="0.2">
      <c r="B145" s="67" t="str">
        <f>IF(Capacity!B38="","",Capacity!B38)</f>
        <v/>
      </c>
      <c r="C145" s="220" t="str">
        <f>IF(B145="","",Capacity!E38)</f>
        <v/>
      </c>
      <c r="D145" s="309" t="str">
        <f>IF(B145="","",Capacity!F38)</f>
        <v/>
      </c>
      <c r="E145" s="220" t="str">
        <f>IF(B145="","",IF(COUNTBLANK(H145:BG145)=52,SUM('Capacity calculation (hide)'!H26:BG26),52-COUNTBLANK(H145:BG145)))</f>
        <v/>
      </c>
      <c r="F145" s="310" t="str">
        <f>'Capacity calculation (hide)'!BI26</f>
        <v/>
      </c>
      <c r="H145" s="363"/>
      <c r="I145" s="363"/>
      <c r="J145" s="363"/>
      <c r="K145" s="363"/>
      <c r="L145" s="363"/>
      <c r="M145" s="363"/>
      <c r="N145" s="363"/>
      <c r="O145" s="363"/>
      <c r="P145" s="363"/>
      <c r="Q145" s="363"/>
      <c r="R145" s="363"/>
      <c r="S145" s="363"/>
      <c r="T145" s="363"/>
      <c r="U145" s="363"/>
      <c r="V145" s="363"/>
      <c r="W145" s="363"/>
      <c r="X145" s="363"/>
      <c r="Y145" s="363"/>
      <c r="Z145" s="363"/>
      <c r="AA145" s="363"/>
      <c r="AB145" s="363"/>
      <c r="AC145" s="363"/>
      <c r="AD145" s="363"/>
      <c r="AE145" s="363"/>
      <c r="AF145" s="363"/>
      <c r="AG145" s="363"/>
      <c r="AH145" s="363"/>
      <c r="AI145" s="363"/>
      <c r="AJ145" s="363"/>
      <c r="AK145" s="363"/>
      <c r="AL145" s="363"/>
      <c r="AM145" s="363"/>
      <c r="AN145" s="363"/>
      <c r="AO145" s="363"/>
      <c r="AP145" s="363"/>
      <c r="AQ145" s="363"/>
      <c r="AR145" s="363"/>
      <c r="AS145" s="363"/>
      <c r="AT145" s="363"/>
      <c r="AU145" s="363"/>
      <c r="AV145" s="363"/>
      <c r="AW145" s="363"/>
      <c r="AX145" s="363"/>
      <c r="AY145" s="363"/>
      <c r="AZ145" s="363"/>
      <c r="BA145" s="363"/>
      <c r="BB145" s="363"/>
      <c r="BC145" s="363"/>
      <c r="BD145" s="363"/>
      <c r="BE145" s="363"/>
      <c r="BF145" s="363"/>
      <c r="BG145" s="363"/>
      <c r="BI145" s="343" t="s">
        <v>1238</v>
      </c>
    </row>
    <row r="146" spans="2:61" x14ac:dyDescent="0.2">
      <c r="B146" s="67" t="str">
        <f>IF(Capacity!B39="","",Capacity!B39)</f>
        <v/>
      </c>
      <c r="C146" s="220" t="str">
        <f>IF(B146="","",Capacity!E39)</f>
        <v/>
      </c>
      <c r="D146" s="309" t="str">
        <f>IF(B146="","",Capacity!F39)</f>
        <v/>
      </c>
      <c r="E146" s="220" t="str">
        <f>IF(B146="","",IF(COUNTBLANK(H146:BG146)=52,SUM('Capacity calculation (hide)'!H27:BG27),52-COUNTBLANK(H146:BG146)))</f>
        <v/>
      </c>
      <c r="F146" s="310" t="str">
        <f>'Capacity calculation (hide)'!BI27</f>
        <v/>
      </c>
      <c r="H146" s="363"/>
      <c r="I146" s="363"/>
      <c r="J146" s="363"/>
      <c r="K146" s="363"/>
      <c r="L146" s="363"/>
      <c r="M146" s="363"/>
      <c r="N146" s="363"/>
      <c r="O146" s="363"/>
      <c r="P146" s="363"/>
      <c r="Q146" s="363"/>
      <c r="R146" s="363"/>
      <c r="S146" s="363"/>
      <c r="T146" s="363"/>
      <c r="U146" s="363"/>
      <c r="V146" s="363"/>
      <c r="W146" s="363"/>
      <c r="X146" s="363"/>
      <c r="Y146" s="363"/>
      <c r="Z146" s="363"/>
      <c r="AA146" s="363"/>
      <c r="AB146" s="363"/>
      <c r="AC146" s="363"/>
      <c r="AD146" s="363"/>
      <c r="AE146" s="363"/>
      <c r="AF146" s="363"/>
      <c r="AG146" s="363"/>
      <c r="AH146" s="363"/>
      <c r="AI146" s="363"/>
      <c r="AJ146" s="363"/>
      <c r="AK146" s="363"/>
      <c r="AL146" s="363"/>
      <c r="AM146" s="363"/>
      <c r="AN146" s="363"/>
      <c r="AO146" s="363"/>
      <c r="AP146" s="363"/>
      <c r="AQ146" s="363"/>
      <c r="AR146" s="363"/>
      <c r="AS146" s="363"/>
      <c r="AT146" s="363"/>
      <c r="AU146" s="363"/>
      <c r="AV146" s="363"/>
      <c r="AW146" s="363"/>
      <c r="AX146" s="363"/>
      <c r="AY146" s="363"/>
      <c r="AZ146" s="363"/>
      <c r="BA146" s="363"/>
      <c r="BB146" s="363"/>
      <c r="BC146" s="363"/>
      <c r="BD146" s="363"/>
      <c r="BE146" s="363"/>
      <c r="BF146" s="363"/>
      <c r="BG146" s="363"/>
      <c r="BI146" s="343" t="s">
        <v>1238</v>
      </c>
    </row>
    <row r="147" spans="2:61" x14ac:dyDescent="0.2">
      <c r="B147" s="67" t="str">
        <f>IF(Capacity!B40="","",Capacity!B40)</f>
        <v/>
      </c>
      <c r="C147" s="220" t="str">
        <f>IF(B147="","",Capacity!E40)</f>
        <v/>
      </c>
      <c r="D147" s="309" t="str">
        <f>IF(B147="","",Capacity!F40)</f>
        <v/>
      </c>
      <c r="E147" s="220" t="str">
        <f>IF(B147="","",IF(COUNTBLANK(H147:BG147)=52,SUM('Capacity calculation (hide)'!H28:BG28),52-COUNTBLANK(H147:BG147)))</f>
        <v/>
      </c>
      <c r="F147" s="310" t="str">
        <f>'Capacity calculation (hide)'!BI28</f>
        <v/>
      </c>
      <c r="H147" s="363"/>
      <c r="I147" s="363"/>
      <c r="J147" s="363"/>
      <c r="K147" s="363"/>
      <c r="L147" s="363"/>
      <c r="M147" s="363"/>
      <c r="N147" s="363"/>
      <c r="O147" s="363"/>
      <c r="P147" s="363"/>
      <c r="Q147" s="363"/>
      <c r="R147" s="363"/>
      <c r="S147" s="363"/>
      <c r="T147" s="363"/>
      <c r="U147" s="363"/>
      <c r="V147" s="363"/>
      <c r="W147" s="363"/>
      <c r="X147" s="363"/>
      <c r="Y147" s="363"/>
      <c r="Z147" s="363"/>
      <c r="AA147" s="363"/>
      <c r="AB147" s="363"/>
      <c r="AC147" s="363"/>
      <c r="AD147" s="363"/>
      <c r="AE147" s="363"/>
      <c r="AF147" s="363"/>
      <c r="AG147" s="363"/>
      <c r="AH147" s="363"/>
      <c r="AI147" s="363"/>
      <c r="AJ147" s="363"/>
      <c r="AK147" s="363"/>
      <c r="AL147" s="363"/>
      <c r="AM147" s="363"/>
      <c r="AN147" s="363"/>
      <c r="AO147" s="363"/>
      <c r="AP147" s="363"/>
      <c r="AQ147" s="363"/>
      <c r="AR147" s="363"/>
      <c r="AS147" s="363"/>
      <c r="AT147" s="363"/>
      <c r="AU147" s="363"/>
      <c r="AV147" s="363"/>
      <c r="AW147" s="363"/>
      <c r="AX147" s="363"/>
      <c r="AY147" s="363"/>
      <c r="AZ147" s="363"/>
      <c r="BA147" s="363"/>
      <c r="BB147" s="363"/>
      <c r="BC147" s="363"/>
      <c r="BD147" s="363"/>
      <c r="BE147" s="363"/>
      <c r="BF147" s="363"/>
      <c r="BG147" s="363"/>
      <c r="BI147" s="343" t="s">
        <v>1238</v>
      </c>
    </row>
    <row r="148" spans="2:61" x14ac:dyDescent="0.2">
      <c r="B148" s="67" t="str">
        <f>IF(Capacity!B41="","",Capacity!B41)</f>
        <v/>
      </c>
      <c r="C148" s="220" t="str">
        <f>IF(B148="","",Capacity!E41)</f>
        <v/>
      </c>
      <c r="D148" s="309" t="str">
        <f>IF(B148="","",Capacity!F41)</f>
        <v/>
      </c>
      <c r="E148" s="220" t="str">
        <f>IF(B148="","",IF(COUNTBLANK(H148:BG148)=52,SUM('Capacity calculation (hide)'!H29:BG29),52-COUNTBLANK(H148:BG148)))</f>
        <v/>
      </c>
      <c r="F148" s="310" t="str">
        <f>'Capacity calculation (hide)'!BI29</f>
        <v/>
      </c>
      <c r="H148" s="363"/>
      <c r="I148" s="363"/>
      <c r="J148" s="363"/>
      <c r="K148" s="363"/>
      <c r="L148" s="363"/>
      <c r="M148" s="363"/>
      <c r="N148" s="363"/>
      <c r="O148" s="363"/>
      <c r="P148" s="363"/>
      <c r="Q148" s="363"/>
      <c r="R148" s="363"/>
      <c r="S148" s="363"/>
      <c r="T148" s="363"/>
      <c r="U148" s="363"/>
      <c r="V148" s="363"/>
      <c r="W148" s="363"/>
      <c r="X148" s="363"/>
      <c r="Y148" s="363"/>
      <c r="Z148" s="363"/>
      <c r="AA148" s="363"/>
      <c r="AB148" s="363"/>
      <c r="AC148" s="363"/>
      <c r="AD148" s="363"/>
      <c r="AE148" s="363"/>
      <c r="AF148" s="363"/>
      <c r="AG148" s="363"/>
      <c r="AH148" s="363"/>
      <c r="AI148" s="363"/>
      <c r="AJ148" s="363"/>
      <c r="AK148" s="363"/>
      <c r="AL148" s="363"/>
      <c r="AM148" s="363"/>
      <c r="AN148" s="363"/>
      <c r="AO148" s="363"/>
      <c r="AP148" s="363"/>
      <c r="AQ148" s="363"/>
      <c r="AR148" s="363"/>
      <c r="AS148" s="363"/>
      <c r="AT148" s="363"/>
      <c r="AU148" s="363"/>
      <c r="AV148" s="363"/>
      <c r="AW148" s="363"/>
      <c r="AX148" s="363"/>
      <c r="AY148" s="363"/>
      <c r="AZ148" s="363"/>
      <c r="BA148" s="363"/>
      <c r="BB148" s="363"/>
      <c r="BC148" s="363"/>
      <c r="BD148" s="363"/>
      <c r="BE148" s="363"/>
      <c r="BF148" s="363"/>
      <c r="BG148" s="363"/>
      <c r="BI148" s="343" t="s">
        <v>1238</v>
      </c>
    </row>
    <row r="149" spans="2:61" x14ac:dyDescent="0.2">
      <c r="B149" s="67" t="str">
        <f>IF(Capacity!B42="","",Capacity!B42)</f>
        <v/>
      </c>
      <c r="C149" s="220" t="str">
        <f>IF(B149="","",Capacity!E42)</f>
        <v/>
      </c>
      <c r="D149" s="309" t="str">
        <f>IF(B149="","",Capacity!F42)</f>
        <v/>
      </c>
      <c r="E149" s="220" t="str">
        <f>IF(B149="","",IF(COUNTBLANK(H149:BG149)=52,SUM('Capacity calculation (hide)'!H30:BG30),52-COUNTBLANK(H149:BG149)))</f>
        <v/>
      </c>
      <c r="F149" s="310" t="str">
        <f>'Capacity calculation (hide)'!BI30</f>
        <v/>
      </c>
      <c r="H149" s="363"/>
      <c r="I149" s="363"/>
      <c r="J149" s="363"/>
      <c r="K149" s="363"/>
      <c r="L149" s="363"/>
      <c r="M149" s="363"/>
      <c r="N149" s="363"/>
      <c r="O149" s="363"/>
      <c r="P149" s="363"/>
      <c r="Q149" s="363"/>
      <c r="R149" s="363"/>
      <c r="S149" s="363"/>
      <c r="T149" s="363"/>
      <c r="U149" s="363"/>
      <c r="V149" s="363"/>
      <c r="W149" s="363"/>
      <c r="X149" s="363"/>
      <c r="Y149" s="363"/>
      <c r="Z149" s="363"/>
      <c r="AA149" s="363"/>
      <c r="AB149" s="363"/>
      <c r="AC149" s="363"/>
      <c r="AD149" s="363"/>
      <c r="AE149" s="363"/>
      <c r="AF149" s="363"/>
      <c r="AG149" s="363"/>
      <c r="AH149" s="363"/>
      <c r="AI149" s="363"/>
      <c r="AJ149" s="363"/>
      <c r="AK149" s="363"/>
      <c r="AL149" s="363"/>
      <c r="AM149" s="363"/>
      <c r="AN149" s="363"/>
      <c r="AO149" s="363"/>
      <c r="AP149" s="363"/>
      <c r="AQ149" s="363"/>
      <c r="AR149" s="363"/>
      <c r="AS149" s="363"/>
      <c r="AT149" s="363"/>
      <c r="AU149" s="363"/>
      <c r="AV149" s="363"/>
      <c r="AW149" s="363"/>
      <c r="AX149" s="363"/>
      <c r="AY149" s="363"/>
      <c r="AZ149" s="363"/>
      <c r="BA149" s="363"/>
      <c r="BB149" s="363"/>
      <c r="BC149" s="363"/>
      <c r="BD149" s="363"/>
      <c r="BE149" s="363"/>
      <c r="BF149" s="363"/>
      <c r="BG149" s="363"/>
      <c r="BI149" s="343" t="s">
        <v>1238</v>
      </c>
    </row>
    <row r="150" spans="2:61" x14ac:dyDescent="0.2">
      <c r="B150" s="67" t="str">
        <f>IF(Capacity!B43="","",Capacity!B43)</f>
        <v/>
      </c>
      <c r="C150" s="220" t="str">
        <f>IF(B150="","",Capacity!E43)</f>
        <v/>
      </c>
      <c r="D150" s="309" t="str">
        <f>IF(B150="","",Capacity!F43)</f>
        <v/>
      </c>
      <c r="E150" s="220" t="str">
        <f>IF(B150="","",IF(COUNTBLANK(H150:BG150)=52,SUM('Capacity calculation (hide)'!H31:BG31),52-COUNTBLANK(H150:BG150)))</f>
        <v/>
      </c>
      <c r="F150" s="310" t="str">
        <f>'Capacity calculation (hide)'!BI31</f>
        <v/>
      </c>
      <c r="H150" s="363"/>
      <c r="I150" s="363"/>
      <c r="J150" s="363"/>
      <c r="K150" s="363"/>
      <c r="L150" s="363"/>
      <c r="M150" s="363"/>
      <c r="N150" s="363"/>
      <c r="O150" s="363"/>
      <c r="P150" s="363"/>
      <c r="Q150" s="363"/>
      <c r="R150" s="363"/>
      <c r="S150" s="363"/>
      <c r="T150" s="363"/>
      <c r="U150" s="363"/>
      <c r="V150" s="363"/>
      <c r="W150" s="363"/>
      <c r="X150" s="363"/>
      <c r="Y150" s="363"/>
      <c r="Z150" s="363"/>
      <c r="AA150" s="363"/>
      <c r="AB150" s="363"/>
      <c r="AC150" s="363"/>
      <c r="AD150" s="363"/>
      <c r="AE150" s="363"/>
      <c r="AF150" s="363"/>
      <c r="AG150" s="363"/>
      <c r="AH150" s="363"/>
      <c r="AI150" s="363"/>
      <c r="AJ150" s="363"/>
      <c r="AK150" s="363"/>
      <c r="AL150" s="363"/>
      <c r="AM150" s="363"/>
      <c r="AN150" s="363"/>
      <c r="AO150" s="363"/>
      <c r="AP150" s="363"/>
      <c r="AQ150" s="363"/>
      <c r="AR150" s="363"/>
      <c r="AS150" s="363"/>
      <c r="AT150" s="363"/>
      <c r="AU150" s="363"/>
      <c r="AV150" s="363"/>
      <c r="AW150" s="363"/>
      <c r="AX150" s="363"/>
      <c r="AY150" s="363"/>
      <c r="AZ150" s="363"/>
      <c r="BA150" s="363"/>
      <c r="BB150" s="363"/>
      <c r="BC150" s="363"/>
      <c r="BD150" s="363"/>
      <c r="BE150" s="363"/>
      <c r="BF150" s="363"/>
      <c r="BG150" s="363"/>
      <c r="BI150" s="343" t="s">
        <v>1238</v>
      </c>
    </row>
    <row r="151" spans="2:61" x14ac:dyDescent="0.2">
      <c r="B151" s="67" t="str">
        <f>IF(Capacity!B44="","",Capacity!B44)</f>
        <v/>
      </c>
      <c r="C151" s="220" t="str">
        <f>IF(B151="","",Capacity!E44)</f>
        <v/>
      </c>
      <c r="D151" s="309" t="str">
        <f>IF(B151="","",Capacity!F44)</f>
        <v/>
      </c>
      <c r="E151" s="220" t="str">
        <f>IF(B151="","",IF(COUNTBLANK(H151:BG151)=52,SUM('Capacity calculation (hide)'!H32:BG32),52-COUNTBLANK(H151:BG151)))</f>
        <v/>
      </c>
      <c r="F151" s="310" t="str">
        <f>'Capacity calculation (hide)'!BI32</f>
        <v/>
      </c>
      <c r="H151" s="363"/>
      <c r="I151" s="363"/>
      <c r="J151" s="363"/>
      <c r="K151" s="363"/>
      <c r="L151" s="363"/>
      <c r="M151" s="363"/>
      <c r="N151" s="363"/>
      <c r="O151" s="363"/>
      <c r="P151" s="363"/>
      <c r="Q151" s="363"/>
      <c r="R151" s="363"/>
      <c r="S151" s="363"/>
      <c r="T151" s="363"/>
      <c r="U151" s="363"/>
      <c r="V151" s="363"/>
      <c r="W151" s="363"/>
      <c r="X151" s="363"/>
      <c r="Y151" s="363"/>
      <c r="Z151" s="363"/>
      <c r="AA151" s="363"/>
      <c r="AB151" s="363"/>
      <c r="AC151" s="363"/>
      <c r="AD151" s="363"/>
      <c r="AE151" s="363"/>
      <c r="AF151" s="363"/>
      <c r="AG151" s="363"/>
      <c r="AH151" s="363"/>
      <c r="AI151" s="363"/>
      <c r="AJ151" s="363"/>
      <c r="AK151" s="363"/>
      <c r="AL151" s="363"/>
      <c r="AM151" s="363"/>
      <c r="AN151" s="363"/>
      <c r="AO151" s="363"/>
      <c r="AP151" s="363"/>
      <c r="AQ151" s="363"/>
      <c r="AR151" s="363"/>
      <c r="AS151" s="363"/>
      <c r="AT151" s="363"/>
      <c r="AU151" s="363"/>
      <c r="AV151" s="363"/>
      <c r="AW151" s="363"/>
      <c r="AX151" s="363"/>
      <c r="AY151" s="363"/>
      <c r="AZ151" s="363"/>
      <c r="BA151" s="363"/>
      <c r="BB151" s="363"/>
      <c r="BC151" s="363"/>
      <c r="BD151" s="363"/>
      <c r="BE151" s="363"/>
      <c r="BF151" s="363"/>
      <c r="BG151" s="363"/>
      <c r="BI151" s="343" t="s">
        <v>1238</v>
      </c>
    </row>
    <row r="152" spans="2:61" x14ac:dyDescent="0.2">
      <c r="B152" s="67" t="str">
        <f>IF(Capacity!B45="","",Capacity!B45)</f>
        <v/>
      </c>
      <c r="C152" s="220" t="str">
        <f>IF(B152="","",Capacity!E45)</f>
        <v/>
      </c>
      <c r="D152" s="309" t="str">
        <f>IF(B152="","",Capacity!F45)</f>
        <v/>
      </c>
      <c r="E152" s="220" t="str">
        <f>IF(B152="","",IF(COUNTBLANK(H152:BG152)=52,SUM('Capacity calculation (hide)'!H33:BG33),52-COUNTBLANK(H152:BG152)))</f>
        <v/>
      </c>
      <c r="F152" s="310" t="str">
        <f>'Capacity calculation (hide)'!BI33</f>
        <v/>
      </c>
      <c r="H152" s="363"/>
      <c r="I152" s="363"/>
      <c r="J152" s="363"/>
      <c r="K152" s="363"/>
      <c r="L152" s="363"/>
      <c r="M152" s="363"/>
      <c r="N152" s="363"/>
      <c r="O152" s="363"/>
      <c r="P152" s="363"/>
      <c r="Q152" s="363"/>
      <c r="R152" s="363"/>
      <c r="S152" s="363"/>
      <c r="T152" s="363"/>
      <c r="U152" s="363"/>
      <c r="V152" s="363"/>
      <c r="W152" s="363"/>
      <c r="X152" s="363"/>
      <c r="Y152" s="363"/>
      <c r="Z152" s="363"/>
      <c r="AA152" s="363"/>
      <c r="AB152" s="363"/>
      <c r="AC152" s="363"/>
      <c r="AD152" s="363"/>
      <c r="AE152" s="363"/>
      <c r="AF152" s="363"/>
      <c r="AG152" s="363"/>
      <c r="AH152" s="363"/>
      <c r="AI152" s="363"/>
      <c r="AJ152" s="363"/>
      <c r="AK152" s="363"/>
      <c r="AL152" s="363"/>
      <c r="AM152" s="363"/>
      <c r="AN152" s="363"/>
      <c r="AO152" s="363"/>
      <c r="AP152" s="363"/>
      <c r="AQ152" s="363"/>
      <c r="AR152" s="363"/>
      <c r="AS152" s="363"/>
      <c r="AT152" s="363"/>
      <c r="AU152" s="363"/>
      <c r="AV152" s="363"/>
      <c r="AW152" s="363"/>
      <c r="AX152" s="363"/>
      <c r="AY152" s="363"/>
      <c r="AZ152" s="363"/>
      <c r="BA152" s="363"/>
      <c r="BB152" s="363"/>
      <c r="BC152" s="363"/>
      <c r="BD152" s="363"/>
      <c r="BE152" s="363"/>
      <c r="BF152" s="363"/>
      <c r="BG152" s="363"/>
      <c r="BI152" s="343" t="s">
        <v>1238</v>
      </c>
    </row>
    <row r="153" spans="2:61" x14ac:dyDescent="0.2">
      <c r="B153" s="67" t="str">
        <f>IF(Capacity!B46="","",Capacity!B46)</f>
        <v/>
      </c>
      <c r="C153" s="220" t="str">
        <f>IF(B153="","",Capacity!E46)</f>
        <v/>
      </c>
      <c r="D153" s="309" t="str">
        <f>IF(B153="","",Capacity!F46)</f>
        <v/>
      </c>
      <c r="E153" s="220" t="str">
        <f>IF(B153="","",IF(COUNTBLANK(H153:BG153)=52,SUM('Capacity calculation (hide)'!H34:BG34),52-COUNTBLANK(H153:BG153)))</f>
        <v/>
      </c>
      <c r="F153" s="310" t="str">
        <f>'Capacity calculation (hide)'!BI34</f>
        <v/>
      </c>
      <c r="H153" s="363"/>
      <c r="I153" s="363"/>
      <c r="J153" s="363"/>
      <c r="K153" s="363"/>
      <c r="L153" s="363"/>
      <c r="M153" s="363"/>
      <c r="N153" s="363"/>
      <c r="O153" s="363"/>
      <c r="P153" s="363"/>
      <c r="Q153" s="363"/>
      <c r="R153" s="363"/>
      <c r="S153" s="363"/>
      <c r="T153" s="363"/>
      <c r="U153" s="363"/>
      <c r="V153" s="363"/>
      <c r="W153" s="363"/>
      <c r="X153" s="363"/>
      <c r="Y153" s="363"/>
      <c r="Z153" s="363"/>
      <c r="AA153" s="363"/>
      <c r="AB153" s="363"/>
      <c r="AC153" s="363"/>
      <c r="AD153" s="363"/>
      <c r="AE153" s="363"/>
      <c r="AF153" s="363"/>
      <c r="AG153" s="363"/>
      <c r="AH153" s="363"/>
      <c r="AI153" s="363"/>
      <c r="AJ153" s="363"/>
      <c r="AK153" s="363"/>
      <c r="AL153" s="363"/>
      <c r="AM153" s="363"/>
      <c r="AN153" s="363"/>
      <c r="AO153" s="363"/>
      <c r="AP153" s="363"/>
      <c r="AQ153" s="363"/>
      <c r="AR153" s="363"/>
      <c r="AS153" s="363"/>
      <c r="AT153" s="363"/>
      <c r="AU153" s="363"/>
      <c r="AV153" s="363"/>
      <c r="AW153" s="363"/>
      <c r="AX153" s="363"/>
      <c r="AY153" s="363"/>
      <c r="AZ153" s="363"/>
      <c r="BA153" s="363"/>
      <c r="BB153" s="363"/>
      <c r="BC153" s="363"/>
      <c r="BD153" s="363"/>
      <c r="BE153" s="363"/>
      <c r="BF153" s="363"/>
      <c r="BG153" s="363"/>
      <c r="BI153" s="343" t="s">
        <v>1238</v>
      </c>
    </row>
    <row r="154" spans="2:61" x14ac:dyDescent="0.2">
      <c r="B154" s="67" t="str">
        <f>IF(Capacity!B47="","",Capacity!B47)</f>
        <v/>
      </c>
      <c r="C154" s="220" t="str">
        <f>IF(B154="","",Capacity!E47)</f>
        <v/>
      </c>
      <c r="D154" s="309" t="str">
        <f>IF(B154="","",Capacity!F47)</f>
        <v/>
      </c>
      <c r="E154" s="220" t="str">
        <f>IF(B154="","",IF(COUNTBLANK(H154:BG154)=52,SUM('Capacity calculation (hide)'!H35:BG35),52-COUNTBLANK(H154:BG154)))</f>
        <v/>
      </c>
      <c r="F154" s="310" t="str">
        <f>'Capacity calculation (hide)'!BI35</f>
        <v/>
      </c>
      <c r="H154" s="363"/>
      <c r="I154" s="363"/>
      <c r="J154" s="363"/>
      <c r="K154" s="363"/>
      <c r="L154" s="363"/>
      <c r="M154" s="363"/>
      <c r="N154" s="363"/>
      <c r="O154" s="363"/>
      <c r="P154" s="363"/>
      <c r="Q154" s="363"/>
      <c r="R154" s="363"/>
      <c r="S154" s="363"/>
      <c r="T154" s="363"/>
      <c r="U154" s="363"/>
      <c r="V154" s="363"/>
      <c r="W154" s="363"/>
      <c r="X154" s="363"/>
      <c r="Y154" s="363"/>
      <c r="Z154" s="363"/>
      <c r="AA154" s="363"/>
      <c r="AB154" s="363"/>
      <c r="AC154" s="363"/>
      <c r="AD154" s="363"/>
      <c r="AE154" s="363"/>
      <c r="AF154" s="363"/>
      <c r="AG154" s="363"/>
      <c r="AH154" s="363"/>
      <c r="AI154" s="363"/>
      <c r="AJ154" s="363"/>
      <c r="AK154" s="363"/>
      <c r="AL154" s="363"/>
      <c r="AM154" s="363"/>
      <c r="AN154" s="363"/>
      <c r="AO154" s="363"/>
      <c r="AP154" s="363"/>
      <c r="AQ154" s="363"/>
      <c r="AR154" s="363"/>
      <c r="AS154" s="363"/>
      <c r="AT154" s="363"/>
      <c r="AU154" s="363"/>
      <c r="AV154" s="363"/>
      <c r="AW154" s="363"/>
      <c r="AX154" s="363"/>
      <c r="AY154" s="363"/>
      <c r="AZ154" s="363"/>
      <c r="BA154" s="363"/>
      <c r="BB154" s="363"/>
      <c r="BC154" s="363"/>
      <c r="BD154" s="363"/>
      <c r="BE154" s="363"/>
      <c r="BF154" s="363"/>
      <c r="BG154" s="363"/>
      <c r="BI154" s="343" t="s">
        <v>1238</v>
      </c>
    </row>
    <row r="155" spans="2:61" x14ac:dyDescent="0.2">
      <c r="B155" s="67" t="str">
        <f>IF(Capacity!B48="","",Capacity!B48)</f>
        <v/>
      </c>
      <c r="C155" s="220" t="str">
        <f>IF(B155="","",Capacity!E48)</f>
        <v/>
      </c>
      <c r="D155" s="309" t="str">
        <f>IF(B155="","",Capacity!F48)</f>
        <v/>
      </c>
      <c r="E155" s="220" t="str">
        <f>IF(B155="","",IF(COUNTBLANK(H155:BG155)=52,SUM('Capacity calculation (hide)'!H36:BG36),52-COUNTBLANK(H155:BG155)))</f>
        <v/>
      </c>
      <c r="F155" s="310" t="str">
        <f>'Capacity calculation (hide)'!BI36</f>
        <v/>
      </c>
      <c r="H155" s="363"/>
      <c r="I155" s="363"/>
      <c r="J155" s="363"/>
      <c r="K155" s="363"/>
      <c r="L155" s="363"/>
      <c r="M155" s="363"/>
      <c r="N155" s="363"/>
      <c r="O155" s="363"/>
      <c r="P155" s="363"/>
      <c r="Q155" s="363"/>
      <c r="R155" s="363"/>
      <c r="S155" s="363"/>
      <c r="T155" s="363"/>
      <c r="U155" s="363"/>
      <c r="V155" s="363"/>
      <c r="W155" s="363"/>
      <c r="X155" s="363"/>
      <c r="Y155" s="363"/>
      <c r="Z155" s="363"/>
      <c r="AA155" s="363"/>
      <c r="AB155" s="363"/>
      <c r="AC155" s="363"/>
      <c r="AD155" s="363"/>
      <c r="AE155" s="363"/>
      <c r="AF155" s="363"/>
      <c r="AG155" s="363"/>
      <c r="AH155" s="363"/>
      <c r="AI155" s="363"/>
      <c r="AJ155" s="363"/>
      <c r="AK155" s="363"/>
      <c r="AL155" s="363"/>
      <c r="AM155" s="363"/>
      <c r="AN155" s="363"/>
      <c r="AO155" s="363"/>
      <c r="AP155" s="363"/>
      <c r="AQ155" s="363"/>
      <c r="AR155" s="363"/>
      <c r="AS155" s="363"/>
      <c r="AT155" s="363"/>
      <c r="AU155" s="363"/>
      <c r="AV155" s="363"/>
      <c r="AW155" s="363"/>
      <c r="AX155" s="363"/>
      <c r="AY155" s="363"/>
      <c r="AZ155" s="363"/>
      <c r="BA155" s="363"/>
      <c r="BB155" s="363"/>
      <c r="BC155" s="363"/>
      <c r="BD155" s="363"/>
      <c r="BE155" s="363"/>
      <c r="BF155" s="363"/>
      <c r="BG155" s="363"/>
      <c r="BI155" s="343" t="s">
        <v>1238</v>
      </c>
    </row>
    <row r="156" spans="2:61" x14ac:dyDescent="0.2">
      <c r="B156" s="67" t="str">
        <f>IF(Capacity!B49="","",Capacity!B49)</f>
        <v/>
      </c>
      <c r="C156" s="220" t="str">
        <f>IF(B156="","",Capacity!E49)</f>
        <v/>
      </c>
      <c r="D156" s="309" t="str">
        <f>IF(B156="","",Capacity!F49)</f>
        <v/>
      </c>
      <c r="E156" s="220" t="str">
        <f>IF(B156="","",IF(COUNTBLANK(H156:BG156)=52,SUM('Capacity calculation (hide)'!H37:BG37),52-COUNTBLANK(H156:BG156)))</f>
        <v/>
      </c>
      <c r="F156" s="310" t="str">
        <f>'Capacity calculation (hide)'!BI37</f>
        <v/>
      </c>
      <c r="H156" s="363"/>
      <c r="I156" s="363"/>
      <c r="J156" s="363"/>
      <c r="K156" s="363"/>
      <c r="L156" s="363"/>
      <c r="M156" s="363"/>
      <c r="N156" s="363"/>
      <c r="O156" s="363"/>
      <c r="P156" s="363"/>
      <c r="Q156" s="363"/>
      <c r="R156" s="363"/>
      <c r="S156" s="363"/>
      <c r="T156" s="363"/>
      <c r="U156" s="363"/>
      <c r="V156" s="363"/>
      <c r="W156" s="363"/>
      <c r="X156" s="363"/>
      <c r="Y156" s="363"/>
      <c r="Z156" s="363"/>
      <c r="AA156" s="363"/>
      <c r="AB156" s="363"/>
      <c r="AC156" s="363"/>
      <c r="AD156" s="363"/>
      <c r="AE156" s="363"/>
      <c r="AF156" s="363"/>
      <c r="AG156" s="363"/>
      <c r="AH156" s="363"/>
      <c r="AI156" s="363"/>
      <c r="AJ156" s="363"/>
      <c r="AK156" s="363"/>
      <c r="AL156" s="363"/>
      <c r="AM156" s="363"/>
      <c r="AN156" s="363"/>
      <c r="AO156" s="363"/>
      <c r="AP156" s="363"/>
      <c r="AQ156" s="363"/>
      <c r="AR156" s="363"/>
      <c r="AS156" s="363"/>
      <c r="AT156" s="363"/>
      <c r="AU156" s="363"/>
      <c r="AV156" s="363"/>
      <c r="AW156" s="363"/>
      <c r="AX156" s="363"/>
      <c r="AY156" s="363"/>
      <c r="AZ156" s="363"/>
      <c r="BA156" s="363"/>
      <c r="BB156" s="363"/>
      <c r="BC156" s="363"/>
      <c r="BD156" s="363"/>
      <c r="BE156" s="363"/>
      <c r="BF156" s="363"/>
      <c r="BG156" s="363"/>
      <c r="BI156" s="343" t="s">
        <v>1238</v>
      </c>
    </row>
    <row r="157" spans="2:61" x14ac:dyDescent="0.2">
      <c r="B157" s="67" t="str">
        <f>IF(Capacity!B50="","",Capacity!B50)</f>
        <v/>
      </c>
      <c r="C157" s="220" t="str">
        <f>IF(B157="","",Capacity!E50)</f>
        <v/>
      </c>
      <c r="D157" s="309" t="str">
        <f>IF(B157="","",Capacity!F50)</f>
        <v/>
      </c>
      <c r="E157" s="220" t="str">
        <f>IF(B157="","",IF(COUNTBLANK(H157:BG157)=52,SUM('Capacity calculation (hide)'!H38:BG38),52-COUNTBLANK(H157:BG157)))</f>
        <v/>
      </c>
      <c r="F157" s="310" t="str">
        <f>'Capacity calculation (hide)'!BI38</f>
        <v/>
      </c>
      <c r="H157" s="363"/>
      <c r="I157" s="363"/>
      <c r="J157" s="363"/>
      <c r="K157" s="363"/>
      <c r="L157" s="363"/>
      <c r="M157" s="363"/>
      <c r="N157" s="363"/>
      <c r="O157" s="363"/>
      <c r="P157" s="363"/>
      <c r="Q157" s="363"/>
      <c r="R157" s="363"/>
      <c r="S157" s="363"/>
      <c r="T157" s="363"/>
      <c r="U157" s="363"/>
      <c r="V157" s="363"/>
      <c r="W157" s="363"/>
      <c r="X157" s="363"/>
      <c r="Y157" s="363"/>
      <c r="Z157" s="363"/>
      <c r="AA157" s="363"/>
      <c r="AB157" s="363"/>
      <c r="AC157" s="363"/>
      <c r="AD157" s="363"/>
      <c r="AE157" s="363"/>
      <c r="AF157" s="363"/>
      <c r="AG157" s="363"/>
      <c r="AH157" s="363"/>
      <c r="AI157" s="363"/>
      <c r="AJ157" s="363"/>
      <c r="AK157" s="363"/>
      <c r="AL157" s="363"/>
      <c r="AM157" s="363"/>
      <c r="AN157" s="363"/>
      <c r="AO157" s="363"/>
      <c r="AP157" s="363"/>
      <c r="AQ157" s="363"/>
      <c r="AR157" s="363"/>
      <c r="AS157" s="363"/>
      <c r="AT157" s="363"/>
      <c r="AU157" s="363"/>
      <c r="AV157" s="363"/>
      <c r="AW157" s="363"/>
      <c r="AX157" s="363"/>
      <c r="AY157" s="363"/>
      <c r="AZ157" s="363"/>
      <c r="BA157" s="363"/>
      <c r="BB157" s="363"/>
      <c r="BC157" s="363"/>
      <c r="BD157" s="363"/>
      <c r="BE157" s="363"/>
      <c r="BF157" s="363"/>
      <c r="BG157" s="363"/>
      <c r="BI157" s="343" t="s">
        <v>1238</v>
      </c>
    </row>
    <row r="158" spans="2:61" x14ac:dyDescent="0.2">
      <c r="B158" s="67" t="str">
        <f>IF(Capacity!B51="","",Capacity!B51)</f>
        <v/>
      </c>
      <c r="C158" s="220" t="str">
        <f>IF(B158="","",Capacity!E51)</f>
        <v/>
      </c>
      <c r="D158" s="309" t="str">
        <f>IF(B158="","",Capacity!F51)</f>
        <v/>
      </c>
      <c r="E158" s="220" t="str">
        <f>IF(B158="","",IF(COUNTBLANK(H158:BG158)=52,SUM('Capacity calculation (hide)'!H39:BG39),52-COUNTBLANK(H158:BG158)))</f>
        <v/>
      </c>
      <c r="F158" s="310" t="str">
        <f>'Capacity calculation (hide)'!BI39</f>
        <v/>
      </c>
      <c r="H158" s="363"/>
      <c r="I158" s="363"/>
      <c r="J158" s="363"/>
      <c r="K158" s="363"/>
      <c r="L158" s="363"/>
      <c r="M158" s="363"/>
      <c r="N158" s="363"/>
      <c r="O158" s="363"/>
      <c r="P158" s="363"/>
      <c r="Q158" s="363"/>
      <c r="R158" s="363"/>
      <c r="S158" s="363"/>
      <c r="T158" s="363"/>
      <c r="U158" s="363"/>
      <c r="V158" s="363"/>
      <c r="W158" s="363"/>
      <c r="X158" s="363"/>
      <c r="Y158" s="363"/>
      <c r="Z158" s="363"/>
      <c r="AA158" s="363"/>
      <c r="AB158" s="363"/>
      <c r="AC158" s="363"/>
      <c r="AD158" s="363"/>
      <c r="AE158" s="363"/>
      <c r="AF158" s="363"/>
      <c r="AG158" s="363"/>
      <c r="AH158" s="363"/>
      <c r="AI158" s="363"/>
      <c r="AJ158" s="363"/>
      <c r="AK158" s="363"/>
      <c r="AL158" s="363"/>
      <c r="AM158" s="363"/>
      <c r="AN158" s="363"/>
      <c r="AO158" s="363"/>
      <c r="AP158" s="363"/>
      <c r="AQ158" s="363"/>
      <c r="AR158" s="363"/>
      <c r="AS158" s="363"/>
      <c r="AT158" s="363"/>
      <c r="AU158" s="363"/>
      <c r="AV158" s="363"/>
      <c r="AW158" s="363"/>
      <c r="AX158" s="363"/>
      <c r="AY158" s="363"/>
      <c r="AZ158" s="363"/>
      <c r="BA158" s="363"/>
      <c r="BB158" s="363"/>
      <c r="BC158" s="363"/>
      <c r="BD158" s="363"/>
      <c r="BE158" s="363"/>
      <c r="BF158" s="363"/>
      <c r="BG158" s="363"/>
      <c r="BI158" s="343" t="s">
        <v>1238</v>
      </c>
    </row>
    <row r="159" spans="2:61" x14ac:dyDescent="0.2">
      <c r="B159" s="67" t="str">
        <f>IF(Capacity!B52="","",Capacity!B52)</f>
        <v/>
      </c>
      <c r="C159" s="220" t="str">
        <f>IF(B159="","",Capacity!E52)</f>
        <v/>
      </c>
      <c r="D159" s="309" t="str">
        <f>IF(B159="","",Capacity!F52)</f>
        <v/>
      </c>
      <c r="E159" s="220" t="str">
        <f>IF(B159="","",IF(COUNTBLANK(H159:BG159)=52,SUM('Capacity calculation (hide)'!H40:BG40),52-COUNTBLANK(H159:BG159)))</f>
        <v/>
      </c>
      <c r="F159" s="310" t="str">
        <f>'Capacity calculation (hide)'!BI40</f>
        <v/>
      </c>
      <c r="H159" s="363"/>
      <c r="I159" s="363"/>
      <c r="J159" s="363"/>
      <c r="K159" s="363"/>
      <c r="L159" s="363"/>
      <c r="M159" s="363"/>
      <c r="N159" s="363"/>
      <c r="O159" s="363"/>
      <c r="P159" s="363"/>
      <c r="Q159" s="363"/>
      <c r="R159" s="363"/>
      <c r="S159" s="363"/>
      <c r="T159" s="363"/>
      <c r="U159" s="363"/>
      <c r="V159" s="363"/>
      <c r="W159" s="363"/>
      <c r="X159" s="363"/>
      <c r="Y159" s="363"/>
      <c r="Z159" s="363"/>
      <c r="AA159" s="363"/>
      <c r="AB159" s="363"/>
      <c r="AC159" s="363"/>
      <c r="AD159" s="363"/>
      <c r="AE159" s="363"/>
      <c r="AF159" s="363"/>
      <c r="AG159" s="363"/>
      <c r="AH159" s="363"/>
      <c r="AI159" s="363"/>
      <c r="AJ159" s="363"/>
      <c r="AK159" s="363"/>
      <c r="AL159" s="363"/>
      <c r="AM159" s="363"/>
      <c r="AN159" s="363"/>
      <c r="AO159" s="363"/>
      <c r="AP159" s="363"/>
      <c r="AQ159" s="363"/>
      <c r="AR159" s="363"/>
      <c r="AS159" s="363"/>
      <c r="AT159" s="363"/>
      <c r="AU159" s="363"/>
      <c r="AV159" s="363"/>
      <c r="AW159" s="363"/>
      <c r="AX159" s="363"/>
      <c r="AY159" s="363"/>
      <c r="AZ159" s="363"/>
      <c r="BA159" s="363"/>
      <c r="BB159" s="363"/>
      <c r="BC159" s="363"/>
      <c r="BD159" s="363"/>
      <c r="BE159" s="363"/>
      <c r="BF159" s="363"/>
      <c r="BG159" s="363"/>
      <c r="BI159" s="343" t="s">
        <v>1238</v>
      </c>
    </row>
    <row r="160" spans="2:61" x14ac:dyDescent="0.2">
      <c r="B160" s="67" t="str">
        <f>IF(Capacity!B53="","",Capacity!B53)</f>
        <v/>
      </c>
      <c r="C160" s="220" t="str">
        <f>IF(B160="","",Capacity!E53)</f>
        <v/>
      </c>
      <c r="D160" s="309" t="str">
        <f>IF(B160="","",Capacity!F53)</f>
        <v/>
      </c>
      <c r="E160" s="220" t="str">
        <f>IF(B160="","",IF(COUNTBLANK(H160:BG160)=52,SUM('Capacity calculation (hide)'!H41:BG41),52-COUNTBLANK(H160:BG160)))</f>
        <v/>
      </c>
      <c r="F160" s="310" t="str">
        <f>'Capacity calculation (hide)'!BI41</f>
        <v/>
      </c>
      <c r="H160" s="363"/>
      <c r="I160" s="363"/>
      <c r="J160" s="363"/>
      <c r="K160" s="363"/>
      <c r="L160" s="363"/>
      <c r="M160" s="363"/>
      <c r="N160" s="363"/>
      <c r="O160" s="363"/>
      <c r="P160" s="363"/>
      <c r="Q160" s="363"/>
      <c r="R160" s="363"/>
      <c r="S160" s="363"/>
      <c r="T160" s="363"/>
      <c r="U160" s="363"/>
      <c r="V160" s="363"/>
      <c r="W160" s="363"/>
      <c r="X160" s="363"/>
      <c r="Y160" s="363"/>
      <c r="Z160" s="363"/>
      <c r="AA160" s="363"/>
      <c r="AB160" s="363"/>
      <c r="AC160" s="363"/>
      <c r="AD160" s="363"/>
      <c r="AE160" s="363"/>
      <c r="AF160" s="363"/>
      <c r="AG160" s="363"/>
      <c r="AH160" s="363"/>
      <c r="AI160" s="363"/>
      <c r="AJ160" s="363"/>
      <c r="AK160" s="363"/>
      <c r="AL160" s="363"/>
      <c r="AM160" s="363"/>
      <c r="AN160" s="363"/>
      <c r="AO160" s="363"/>
      <c r="AP160" s="363"/>
      <c r="AQ160" s="363"/>
      <c r="AR160" s="363"/>
      <c r="AS160" s="363"/>
      <c r="AT160" s="363"/>
      <c r="AU160" s="363"/>
      <c r="AV160" s="363"/>
      <c r="AW160" s="363"/>
      <c r="AX160" s="363"/>
      <c r="AY160" s="363"/>
      <c r="AZ160" s="363"/>
      <c r="BA160" s="363"/>
      <c r="BB160" s="363"/>
      <c r="BC160" s="363"/>
      <c r="BD160" s="363"/>
      <c r="BE160" s="363"/>
      <c r="BF160" s="363"/>
      <c r="BG160" s="363"/>
      <c r="BI160" s="343" t="s">
        <v>1238</v>
      </c>
    </row>
    <row r="161" spans="2:61" x14ac:dyDescent="0.2">
      <c r="B161" s="67" t="str">
        <f>IF(Capacity!B54="","",Capacity!B54)</f>
        <v/>
      </c>
      <c r="C161" s="220" t="str">
        <f>IF(B161="","",Capacity!E54)</f>
        <v/>
      </c>
      <c r="D161" s="309" t="str">
        <f>IF(B161="","",Capacity!F54)</f>
        <v/>
      </c>
      <c r="E161" s="220" t="str">
        <f>IF(B161="","",IF(COUNTBLANK(H161:BG161)=52,SUM('Capacity calculation (hide)'!H42:BG42),52-COUNTBLANK(H161:BG161)))</f>
        <v/>
      </c>
      <c r="F161" s="310" t="str">
        <f>'Capacity calculation (hide)'!BI42</f>
        <v/>
      </c>
      <c r="H161" s="363"/>
      <c r="I161" s="363"/>
      <c r="J161" s="363"/>
      <c r="K161" s="363"/>
      <c r="L161" s="363"/>
      <c r="M161" s="363"/>
      <c r="N161" s="363"/>
      <c r="O161" s="363"/>
      <c r="P161" s="363"/>
      <c r="Q161" s="363"/>
      <c r="R161" s="363"/>
      <c r="S161" s="363"/>
      <c r="T161" s="363"/>
      <c r="U161" s="363"/>
      <c r="V161" s="363"/>
      <c r="W161" s="363"/>
      <c r="X161" s="363"/>
      <c r="Y161" s="363"/>
      <c r="Z161" s="363"/>
      <c r="AA161" s="363"/>
      <c r="AB161" s="363"/>
      <c r="AC161" s="363"/>
      <c r="AD161" s="363"/>
      <c r="AE161" s="363"/>
      <c r="AF161" s="363"/>
      <c r="AG161" s="363"/>
      <c r="AH161" s="363"/>
      <c r="AI161" s="363"/>
      <c r="AJ161" s="363"/>
      <c r="AK161" s="363"/>
      <c r="AL161" s="363"/>
      <c r="AM161" s="363"/>
      <c r="AN161" s="363"/>
      <c r="AO161" s="363"/>
      <c r="AP161" s="363"/>
      <c r="AQ161" s="363"/>
      <c r="AR161" s="363"/>
      <c r="AS161" s="363"/>
      <c r="AT161" s="363"/>
      <c r="AU161" s="363"/>
      <c r="AV161" s="363"/>
      <c r="AW161" s="363"/>
      <c r="AX161" s="363"/>
      <c r="AY161" s="363"/>
      <c r="AZ161" s="363"/>
      <c r="BA161" s="363"/>
      <c r="BB161" s="363"/>
      <c r="BC161" s="363"/>
      <c r="BD161" s="363"/>
      <c r="BE161" s="363"/>
      <c r="BF161" s="363"/>
      <c r="BG161" s="363"/>
      <c r="BI161" s="343" t="s">
        <v>1238</v>
      </c>
    </row>
    <row r="162" spans="2:61" x14ac:dyDescent="0.2">
      <c r="B162" s="67" t="str">
        <f>IF(Capacity!B55="","",Capacity!B55)</f>
        <v/>
      </c>
      <c r="C162" s="220" t="str">
        <f>IF(B162="","",Capacity!E55)</f>
        <v/>
      </c>
      <c r="D162" s="309" t="str">
        <f>IF(B162="","",Capacity!F55)</f>
        <v/>
      </c>
      <c r="E162" s="220" t="str">
        <f>IF(B162="","",IF(COUNTBLANK(H162:BG162)=52,SUM('Capacity calculation (hide)'!H43:BG43),52-COUNTBLANK(H162:BG162)))</f>
        <v/>
      </c>
      <c r="F162" s="310" t="str">
        <f>'Capacity calculation (hide)'!BI43</f>
        <v/>
      </c>
      <c r="H162" s="363"/>
      <c r="I162" s="363"/>
      <c r="J162" s="363"/>
      <c r="K162" s="363"/>
      <c r="L162" s="363"/>
      <c r="M162" s="363"/>
      <c r="N162" s="363"/>
      <c r="O162" s="363"/>
      <c r="P162" s="363"/>
      <c r="Q162" s="363"/>
      <c r="R162" s="363"/>
      <c r="S162" s="363"/>
      <c r="T162" s="363"/>
      <c r="U162" s="363"/>
      <c r="V162" s="363"/>
      <c r="W162" s="363"/>
      <c r="X162" s="363"/>
      <c r="Y162" s="363"/>
      <c r="Z162" s="363"/>
      <c r="AA162" s="363"/>
      <c r="AB162" s="363"/>
      <c r="AC162" s="363"/>
      <c r="AD162" s="363"/>
      <c r="AE162" s="363"/>
      <c r="AF162" s="363"/>
      <c r="AG162" s="363"/>
      <c r="AH162" s="363"/>
      <c r="AI162" s="363"/>
      <c r="AJ162" s="363"/>
      <c r="AK162" s="363"/>
      <c r="AL162" s="363"/>
      <c r="AM162" s="363"/>
      <c r="AN162" s="363"/>
      <c r="AO162" s="363"/>
      <c r="AP162" s="363"/>
      <c r="AQ162" s="363"/>
      <c r="AR162" s="363"/>
      <c r="AS162" s="363"/>
      <c r="AT162" s="363"/>
      <c r="AU162" s="363"/>
      <c r="AV162" s="363"/>
      <c r="AW162" s="363"/>
      <c r="AX162" s="363"/>
      <c r="AY162" s="363"/>
      <c r="AZ162" s="363"/>
      <c r="BA162" s="363"/>
      <c r="BB162" s="363"/>
      <c r="BC162" s="363"/>
      <c r="BD162" s="363"/>
      <c r="BE162" s="363"/>
      <c r="BF162" s="363"/>
      <c r="BG162" s="363"/>
      <c r="BI162" s="343" t="s">
        <v>1238</v>
      </c>
    </row>
    <row r="163" spans="2:61" x14ac:dyDescent="0.2">
      <c r="B163" s="67" t="str">
        <f>IF(Capacity!B56="","",Capacity!B56)</f>
        <v/>
      </c>
      <c r="C163" s="220" t="str">
        <f>IF(B163="","",Capacity!E56)</f>
        <v/>
      </c>
      <c r="D163" s="309" t="str">
        <f>IF(B163="","",Capacity!F56)</f>
        <v/>
      </c>
      <c r="E163" s="220" t="str">
        <f>IF(B163="","",IF(COUNTBLANK(H163:BG163)=52,SUM('Capacity calculation (hide)'!H44:BG44),52-COUNTBLANK(H163:BG163)))</f>
        <v/>
      </c>
      <c r="F163" s="310" t="str">
        <f>'Capacity calculation (hide)'!BI44</f>
        <v/>
      </c>
      <c r="H163" s="363"/>
      <c r="I163" s="363"/>
      <c r="J163" s="363"/>
      <c r="K163" s="363"/>
      <c r="L163" s="363"/>
      <c r="M163" s="363"/>
      <c r="N163" s="363"/>
      <c r="O163" s="363"/>
      <c r="P163" s="363"/>
      <c r="Q163" s="363"/>
      <c r="R163" s="363"/>
      <c r="S163" s="363"/>
      <c r="T163" s="363"/>
      <c r="U163" s="363"/>
      <c r="V163" s="363"/>
      <c r="W163" s="363"/>
      <c r="X163" s="363"/>
      <c r="Y163" s="363"/>
      <c r="Z163" s="363"/>
      <c r="AA163" s="363"/>
      <c r="AB163" s="363"/>
      <c r="AC163" s="363"/>
      <c r="AD163" s="363"/>
      <c r="AE163" s="363"/>
      <c r="AF163" s="363"/>
      <c r="AG163" s="363"/>
      <c r="AH163" s="363"/>
      <c r="AI163" s="363"/>
      <c r="AJ163" s="363"/>
      <c r="AK163" s="363"/>
      <c r="AL163" s="363"/>
      <c r="AM163" s="363"/>
      <c r="AN163" s="363"/>
      <c r="AO163" s="363"/>
      <c r="AP163" s="363"/>
      <c r="AQ163" s="363"/>
      <c r="AR163" s="363"/>
      <c r="AS163" s="363"/>
      <c r="AT163" s="363"/>
      <c r="AU163" s="363"/>
      <c r="AV163" s="363"/>
      <c r="AW163" s="363"/>
      <c r="AX163" s="363"/>
      <c r="AY163" s="363"/>
      <c r="AZ163" s="363"/>
      <c r="BA163" s="363"/>
      <c r="BB163" s="363"/>
      <c r="BC163" s="363"/>
      <c r="BD163" s="363"/>
      <c r="BE163" s="363"/>
      <c r="BF163" s="363"/>
      <c r="BG163" s="363"/>
      <c r="BI163" s="343" t="s">
        <v>1238</v>
      </c>
    </row>
    <row r="164" spans="2:61" x14ac:dyDescent="0.2">
      <c r="B164" s="67" t="str">
        <f>IF(Capacity!B57="","",Capacity!B57)</f>
        <v/>
      </c>
      <c r="C164" s="220" t="str">
        <f>IF(B164="","",Capacity!E57)</f>
        <v/>
      </c>
      <c r="D164" s="309" t="str">
        <f>IF(B164="","",Capacity!F57)</f>
        <v/>
      </c>
      <c r="E164" s="220" t="str">
        <f>IF(B164="","",IF(COUNTBLANK(H164:BG164)=52,SUM('Capacity calculation (hide)'!H45:BG45),52-COUNTBLANK(H164:BG164)))</f>
        <v/>
      </c>
      <c r="F164" s="310" t="str">
        <f>'Capacity calculation (hide)'!BI45</f>
        <v/>
      </c>
      <c r="H164" s="363"/>
      <c r="I164" s="363"/>
      <c r="J164" s="363"/>
      <c r="K164" s="363"/>
      <c r="L164" s="363"/>
      <c r="M164" s="363"/>
      <c r="N164" s="363"/>
      <c r="O164" s="363"/>
      <c r="P164" s="363"/>
      <c r="Q164" s="363"/>
      <c r="R164" s="363"/>
      <c r="S164" s="363"/>
      <c r="T164" s="363"/>
      <c r="U164" s="363"/>
      <c r="V164" s="363"/>
      <c r="W164" s="363"/>
      <c r="X164" s="363"/>
      <c r="Y164" s="363"/>
      <c r="Z164" s="363"/>
      <c r="AA164" s="363"/>
      <c r="AB164" s="363"/>
      <c r="AC164" s="363"/>
      <c r="AD164" s="363"/>
      <c r="AE164" s="363"/>
      <c r="AF164" s="363"/>
      <c r="AG164" s="363"/>
      <c r="AH164" s="363"/>
      <c r="AI164" s="363"/>
      <c r="AJ164" s="363"/>
      <c r="AK164" s="363"/>
      <c r="AL164" s="363"/>
      <c r="AM164" s="363"/>
      <c r="AN164" s="363"/>
      <c r="AO164" s="363"/>
      <c r="AP164" s="363"/>
      <c r="AQ164" s="363"/>
      <c r="AR164" s="363"/>
      <c r="AS164" s="363"/>
      <c r="AT164" s="363"/>
      <c r="AU164" s="363"/>
      <c r="AV164" s="363"/>
      <c r="AW164" s="363"/>
      <c r="AX164" s="363"/>
      <c r="AY164" s="363"/>
      <c r="AZ164" s="363"/>
      <c r="BA164" s="363"/>
      <c r="BB164" s="363"/>
      <c r="BC164" s="363"/>
      <c r="BD164" s="363"/>
      <c r="BE164" s="363"/>
      <c r="BF164" s="363"/>
      <c r="BG164" s="363"/>
      <c r="BI164" s="343" t="s">
        <v>1238</v>
      </c>
    </row>
    <row r="165" spans="2:61" x14ac:dyDescent="0.2">
      <c r="B165" s="67" t="str">
        <f>IF(Capacity!B58="","",Capacity!B58)</f>
        <v/>
      </c>
      <c r="C165" s="220" t="str">
        <f>IF(B165="","",Capacity!E58)</f>
        <v/>
      </c>
      <c r="D165" s="309" t="str">
        <f>IF(B165="","",Capacity!F58)</f>
        <v/>
      </c>
      <c r="E165" s="220" t="str">
        <f>IF(B165="","",IF(COUNTBLANK(H165:BG165)=52,SUM('Capacity calculation (hide)'!H46:BG46),52-COUNTBLANK(H165:BG165)))</f>
        <v/>
      </c>
      <c r="F165" s="310" t="str">
        <f>'Capacity calculation (hide)'!BI46</f>
        <v/>
      </c>
      <c r="H165" s="363"/>
      <c r="I165" s="363"/>
      <c r="J165" s="363"/>
      <c r="K165" s="363"/>
      <c r="L165" s="363"/>
      <c r="M165" s="363"/>
      <c r="N165" s="363"/>
      <c r="O165" s="363"/>
      <c r="P165" s="363"/>
      <c r="Q165" s="363"/>
      <c r="R165" s="363"/>
      <c r="S165" s="363"/>
      <c r="T165" s="363"/>
      <c r="U165" s="363"/>
      <c r="V165" s="363"/>
      <c r="W165" s="363"/>
      <c r="X165" s="363"/>
      <c r="Y165" s="363"/>
      <c r="Z165" s="363"/>
      <c r="AA165" s="363"/>
      <c r="AB165" s="363"/>
      <c r="AC165" s="363"/>
      <c r="AD165" s="363"/>
      <c r="AE165" s="363"/>
      <c r="AF165" s="363"/>
      <c r="AG165" s="363"/>
      <c r="AH165" s="363"/>
      <c r="AI165" s="363"/>
      <c r="AJ165" s="363"/>
      <c r="AK165" s="363"/>
      <c r="AL165" s="363"/>
      <c r="AM165" s="363"/>
      <c r="AN165" s="363"/>
      <c r="AO165" s="363"/>
      <c r="AP165" s="363"/>
      <c r="AQ165" s="363"/>
      <c r="AR165" s="363"/>
      <c r="AS165" s="363"/>
      <c r="AT165" s="363"/>
      <c r="AU165" s="363"/>
      <c r="AV165" s="363"/>
      <c r="AW165" s="363"/>
      <c r="AX165" s="363"/>
      <c r="AY165" s="363"/>
      <c r="AZ165" s="363"/>
      <c r="BA165" s="363"/>
      <c r="BB165" s="363"/>
      <c r="BC165" s="363"/>
      <c r="BD165" s="363"/>
      <c r="BE165" s="363"/>
      <c r="BF165" s="363"/>
      <c r="BG165" s="363"/>
      <c r="BI165" s="343" t="s">
        <v>1238</v>
      </c>
    </row>
    <row r="166" spans="2:61" x14ac:dyDescent="0.2">
      <c r="B166" s="67" t="str">
        <f>IF(Capacity!B59="","",Capacity!B59)</f>
        <v/>
      </c>
      <c r="C166" s="220" t="str">
        <f>IF(B166="","",Capacity!E59)</f>
        <v/>
      </c>
      <c r="D166" s="309" t="str">
        <f>IF(B166="","",Capacity!F59)</f>
        <v/>
      </c>
      <c r="E166" s="220" t="str">
        <f>IF(B166="","",IF(COUNTBLANK(H166:BG166)=52,SUM('Capacity calculation (hide)'!H47:BG47),52-COUNTBLANK(H166:BG166)))</f>
        <v/>
      </c>
      <c r="F166" s="310" t="str">
        <f>'Capacity calculation (hide)'!BI47</f>
        <v/>
      </c>
      <c r="H166" s="363"/>
      <c r="I166" s="363"/>
      <c r="J166" s="363"/>
      <c r="K166" s="363"/>
      <c r="L166" s="363"/>
      <c r="M166" s="363"/>
      <c r="N166" s="363"/>
      <c r="O166" s="363"/>
      <c r="P166" s="363"/>
      <c r="Q166" s="363"/>
      <c r="R166" s="363"/>
      <c r="S166" s="363"/>
      <c r="T166" s="363"/>
      <c r="U166" s="363"/>
      <c r="V166" s="363"/>
      <c r="W166" s="363"/>
      <c r="X166" s="363"/>
      <c r="Y166" s="363"/>
      <c r="Z166" s="363"/>
      <c r="AA166" s="363"/>
      <c r="AB166" s="363"/>
      <c r="AC166" s="363"/>
      <c r="AD166" s="363"/>
      <c r="AE166" s="363"/>
      <c r="AF166" s="363"/>
      <c r="AG166" s="363"/>
      <c r="AH166" s="363"/>
      <c r="AI166" s="363"/>
      <c r="AJ166" s="363"/>
      <c r="AK166" s="363"/>
      <c r="AL166" s="363"/>
      <c r="AM166" s="363"/>
      <c r="AN166" s="363"/>
      <c r="AO166" s="363"/>
      <c r="AP166" s="363"/>
      <c r="AQ166" s="363"/>
      <c r="AR166" s="363"/>
      <c r="AS166" s="363"/>
      <c r="AT166" s="363"/>
      <c r="AU166" s="363"/>
      <c r="AV166" s="363"/>
      <c r="AW166" s="363"/>
      <c r="AX166" s="363"/>
      <c r="AY166" s="363"/>
      <c r="AZ166" s="363"/>
      <c r="BA166" s="363"/>
      <c r="BB166" s="363"/>
      <c r="BC166" s="363"/>
      <c r="BD166" s="363"/>
      <c r="BE166" s="363"/>
      <c r="BF166" s="363"/>
      <c r="BG166" s="363"/>
      <c r="BI166" s="343" t="s">
        <v>1238</v>
      </c>
    </row>
    <row r="167" spans="2:61" x14ac:dyDescent="0.2">
      <c r="B167" s="67" t="str">
        <f>IF(Capacity!B60="","",Capacity!B60)</f>
        <v/>
      </c>
      <c r="C167" s="220" t="str">
        <f>IF(B167="","",Capacity!E60)</f>
        <v/>
      </c>
      <c r="D167" s="309" t="str">
        <f>IF(B167="","",Capacity!F60)</f>
        <v/>
      </c>
      <c r="E167" s="220" t="str">
        <f>IF(B167="","",IF(COUNTBLANK(H167:BG167)=52,SUM('Capacity calculation (hide)'!H48:BG48),52-COUNTBLANK(H167:BG167)))</f>
        <v/>
      </c>
      <c r="F167" s="310" t="str">
        <f>'Capacity calculation (hide)'!BI48</f>
        <v/>
      </c>
      <c r="H167" s="363"/>
      <c r="I167" s="363"/>
      <c r="J167" s="363"/>
      <c r="K167" s="363"/>
      <c r="L167" s="363"/>
      <c r="M167" s="363"/>
      <c r="N167" s="363"/>
      <c r="O167" s="363"/>
      <c r="P167" s="363"/>
      <c r="Q167" s="363"/>
      <c r="R167" s="363"/>
      <c r="S167" s="363"/>
      <c r="T167" s="363"/>
      <c r="U167" s="363"/>
      <c r="V167" s="363"/>
      <c r="W167" s="363"/>
      <c r="X167" s="363"/>
      <c r="Y167" s="363"/>
      <c r="Z167" s="363"/>
      <c r="AA167" s="363"/>
      <c r="AB167" s="363"/>
      <c r="AC167" s="363"/>
      <c r="AD167" s="363"/>
      <c r="AE167" s="363"/>
      <c r="AF167" s="363"/>
      <c r="AG167" s="363"/>
      <c r="AH167" s="363"/>
      <c r="AI167" s="363"/>
      <c r="AJ167" s="363"/>
      <c r="AK167" s="363"/>
      <c r="AL167" s="363"/>
      <c r="AM167" s="363"/>
      <c r="AN167" s="363"/>
      <c r="AO167" s="363"/>
      <c r="AP167" s="363"/>
      <c r="AQ167" s="363"/>
      <c r="AR167" s="363"/>
      <c r="AS167" s="363"/>
      <c r="AT167" s="363"/>
      <c r="AU167" s="363"/>
      <c r="AV167" s="363"/>
      <c r="AW167" s="363"/>
      <c r="AX167" s="363"/>
      <c r="AY167" s="363"/>
      <c r="AZ167" s="363"/>
      <c r="BA167" s="363"/>
      <c r="BB167" s="363"/>
      <c r="BC167" s="363"/>
      <c r="BD167" s="363"/>
      <c r="BE167" s="363"/>
      <c r="BF167" s="363"/>
      <c r="BG167" s="363"/>
      <c r="BI167" s="343" t="s">
        <v>1238</v>
      </c>
    </row>
    <row r="168" spans="2:61" x14ac:dyDescent="0.2">
      <c r="B168" s="67" t="str">
        <f>IF(Capacity!B61="","",Capacity!B61)</f>
        <v/>
      </c>
      <c r="C168" s="220" t="str">
        <f>IF(B168="","",Capacity!E61)</f>
        <v/>
      </c>
      <c r="D168" s="309" t="str">
        <f>IF(B168="","",Capacity!F61)</f>
        <v/>
      </c>
      <c r="E168" s="220" t="str">
        <f>IF(B168="","",IF(COUNTBLANK(H168:BG168)=52,SUM('Capacity calculation (hide)'!H49:BG49),52-COUNTBLANK(H168:BG168)))</f>
        <v/>
      </c>
      <c r="F168" s="310" t="str">
        <f>'Capacity calculation (hide)'!BI49</f>
        <v/>
      </c>
      <c r="H168" s="363"/>
      <c r="I168" s="363"/>
      <c r="J168" s="363"/>
      <c r="K168" s="363"/>
      <c r="L168" s="363"/>
      <c r="M168" s="363"/>
      <c r="N168" s="363"/>
      <c r="O168" s="363"/>
      <c r="P168" s="363"/>
      <c r="Q168" s="363"/>
      <c r="R168" s="363"/>
      <c r="S168" s="363"/>
      <c r="T168" s="363"/>
      <c r="U168" s="363"/>
      <c r="V168" s="363"/>
      <c r="W168" s="363"/>
      <c r="X168" s="363"/>
      <c r="Y168" s="363"/>
      <c r="Z168" s="363"/>
      <c r="AA168" s="363"/>
      <c r="AB168" s="363"/>
      <c r="AC168" s="363"/>
      <c r="AD168" s="363"/>
      <c r="AE168" s="363"/>
      <c r="AF168" s="363"/>
      <c r="AG168" s="363"/>
      <c r="AH168" s="363"/>
      <c r="AI168" s="363"/>
      <c r="AJ168" s="363"/>
      <c r="AK168" s="363"/>
      <c r="AL168" s="363"/>
      <c r="AM168" s="363"/>
      <c r="AN168" s="363"/>
      <c r="AO168" s="363"/>
      <c r="AP168" s="363"/>
      <c r="AQ168" s="363"/>
      <c r="AR168" s="363"/>
      <c r="AS168" s="363"/>
      <c r="AT168" s="363"/>
      <c r="AU168" s="363"/>
      <c r="AV168" s="363"/>
      <c r="AW168" s="363"/>
      <c r="AX168" s="363"/>
      <c r="AY168" s="363"/>
      <c r="AZ168" s="363"/>
      <c r="BA168" s="363"/>
      <c r="BB168" s="363"/>
      <c r="BC168" s="363"/>
      <c r="BD168" s="363"/>
      <c r="BE168" s="363"/>
      <c r="BF168" s="363"/>
      <c r="BG168" s="363"/>
      <c r="BI168" s="343" t="s">
        <v>1238</v>
      </c>
    </row>
    <row r="169" spans="2:61" x14ac:dyDescent="0.2">
      <c r="B169" s="67" t="str">
        <f>IF(Capacity!B62="","",Capacity!B62)</f>
        <v/>
      </c>
      <c r="C169" s="220" t="str">
        <f>IF(B169="","",Capacity!E62)</f>
        <v/>
      </c>
      <c r="D169" s="309" t="str">
        <f>IF(B169="","",Capacity!F62)</f>
        <v/>
      </c>
      <c r="E169" s="220" t="str">
        <f>IF(B169="","",IF(COUNTBLANK(H169:BG169)=52,SUM('Capacity calculation (hide)'!H50:BG50),52-COUNTBLANK(H169:BG169)))</f>
        <v/>
      </c>
      <c r="F169" s="310" t="str">
        <f>'Capacity calculation (hide)'!BI50</f>
        <v/>
      </c>
      <c r="H169" s="363"/>
      <c r="I169" s="363"/>
      <c r="J169" s="363"/>
      <c r="K169" s="363"/>
      <c r="L169" s="363"/>
      <c r="M169" s="363"/>
      <c r="N169" s="363"/>
      <c r="O169" s="363"/>
      <c r="P169" s="363"/>
      <c r="Q169" s="363"/>
      <c r="R169" s="363"/>
      <c r="S169" s="363"/>
      <c r="T169" s="363"/>
      <c r="U169" s="363"/>
      <c r="V169" s="363"/>
      <c r="W169" s="363"/>
      <c r="X169" s="363"/>
      <c r="Y169" s="363"/>
      <c r="Z169" s="363"/>
      <c r="AA169" s="363"/>
      <c r="AB169" s="363"/>
      <c r="AC169" s="363"/>
      <c r="AD169" s="363"/>
      <c r="AE169" s="363"/>
      <c r="AF169" s="363"/>
      <c r="AG169" s="363"/>
      <c r="AH169" s="363"/>
      <c r="AI169" s="363"/>
      <c r="AJ169" s="363"/>
      <c r="AK169" s="363"/>
      <c r="AL169" s="363"/>
      <c r="AM169" s="363"/>
      <c r="AN169" s="363"/>
      <c r="AO169" s="363"/>
      <c r="AP169" s="363"/>
      <c r="AQ169" s="363"/>
      <c r="AR169" s="363"/>
      <c r="AS169" s="363"/>
      <c r="AT169" s="363"/>
      <c r="AU169" s="363"/>
      <c r="AV169" s="363"/>
      <c r="AW169" s="363"/>
      <c r="AX169" s="363"/>
      <c r="AY169" s="363"/>
      <c r="AZ169" s="363"/>
      <c r="BA169" s="363"/>
      <c r="BB169" s="363"/>
      <c r="BC169" s="363"/>
      <c r="BD169" s="363"/>
      <c r="BE169" s="363"/>
      <c r="BF169" s="363"/>
      <c r="BG169" s="363"/>
      <c r="BI169" s="343" t="s">
        <v>1238</v>
      </c>
    </row>
    <row r="170" spans="2:61" x14ac:dyDescent="0.2">
      <c r="B170" s="67" t="str">
        <f>IF(Capacity!B63="","",Capacity!B63)</f>
        <v/>
      </c>
      <c r="C170" s="220" t="str">
        <f>IF(B170="","",Capacity!E63)</f>
        <v/>
      </c>
      <c r="D170" s="309" t="str">
        <f>IF(B170="","",Capacity!F63)</f>
        <v/>
      </c>
      <c r="E170" s="220" t="str">
        <f>IF(B170="","",IF(COUNTBLANK(H170:BG170)=52,SUM('Capacity calculation (hide)'!H51:BG51),52-COUNTBLANK(H170:BG170)))</f>
        <v/>
      </c>
      <c r="F170" s="310" t="str">
        <f>'Capacity calculation (hide)'!BI51</f>
        <v/>
      </c>
      <c r="H170" s="363"/>
      <c r="I170" s="363"/>
      <c r="J170" s="363"/>
      <c r="K170" s="363"/>
      <c r="L170" s="363"/>
      <c r="M170" s="363"/>
      <c r="N170" s="363"/>
      <c r="O170" s="363"/>
      <c r="P170" s="363"/>
      <c r="Q170" s="363"/>
      <c r="R170" s="363"/>
      <c r="S170" s="363"/>
      <c r="T170" s="363"/>
      <c r="U170" s="363"/>
      <c r="V170" s="363"/>
      <c r="W170" s="363"/>
      <c r="X170" s="363"/>
      <c r="Y170" s="363"/>
      <c r="Z170" s="363"/>
      <c r="AA170" s="363"/>
      <c r="AB170" s="363"/>
      <c r="AC170" s="363"/>
      <c r="AD170" s="363"/>
      <c r="AE170" s="363"/>
      <c r="AF170" s="363"/>
      <c r="AG170" s="363"/>
      <c r="AH170" s="363"/>
      <c r="AI170" s="363"/>
      <c r="AJ170" s="363"/>
      <c r="AK170" s="363"/>
      <c r="AL170" s="363"/>
      <c r="AM170" s="363"/>
      <c r="AN170" s="363"/>
      <c r="AO170" s="363"/>
      <c r="AP170" s="363"/>
      <c r="AQ170" s="363"/>
      <c r="AR170" s="363"/>
      <c r="AS170" s="363"/>
      <c r="AT170" s="363"/>
      <c r="AU170" s="363"/>
      <c r="AV170" s="363"/>
      <c r="AW170" s="363"/>
      <c r="AX170" s="363"/>
      <c r="AY170" s="363"/>
      <c r="AZ170" s="363"/>
      <c r="BA170" s="363"/>
      <c r="BB170" s="363"/>
      <c r="BC170" s="363"/>
      <c r="BD170" s="363"/>
      <c r="BE170" s="363"/>
      <c r="BF170" s="363"/>
      <c r="BG170" s="363"/>
      <c r="BI170" s="343" t="s">
        <v>1238</v>
      </c>
    </row>
    <row r="171" spans="2:61" x14ac:dyDescent="0.2">
      <c r="B171" s="67" t="str">
        <f>IF(Capacity!B64="","",Capacity!B64)</f>
        <v/>
      </c>
      <c r="C171" s="220" t="str">
        <f>IF(B171="","",Capacity!E64)</f>
        <v/>
      </c>
      <c r="D171" s="309" t="str">
        <f>IF(B171="","",Capacity!F64)</f>
        <v/>
      </c>
      <c r="E171" s="220" t="str">
        <f>IF(B171="","",IF(COUNTBLANK(H171:BG171)=52,SUM('Capacity calculation (hide)'!H52:BG52),52-COUNTBLANK(H171:BG171)))</f>
        <v/>
      </c>
      <c r="F171" s="310" t="str">
        <f>'Capacity calculation (hide)'!BI52</f>
        <v/>
      </c>
      <c r="H171" s="363"/>
      <c r="I171" s="363"/>
      <c r="J171" s="363"/>
      <c r="K171" s="363"/>
      <c r="L171" s="363"/>
      <c r="M171" s="363"/>
      <c r="N171" s="363"/>
      <c r="O171" s="363"/>
      <c r="P171" s="363"/>
      <c r="Q171" s="363"/>
      <c r="R171" s="363"/>
      <c r="S171" s="363"/>
      <c r="T171" s="363"/>
      <c r="U171" s="363"/>
      <c r="V171" s="363"/>
      <c r="W171" s="363"/>
      <c r="X171" s="363"/>
      <c r="Y171" s="363"/>
      <c r="Z171" s="363"/>
      <c r="AA171" s="363"/>
      <c r="AB171" s="363"/>
      <c r="AC171" s="363"/>
      <c r="AD171" s="363"/>
      <c r="AE171" s="363"/>
      <c r="AF171" s="363"/>
      <c r="AG171" s="363"/>
      <c r="AH171" s="363"/>
      <c r="AI171" s="363"/>
      <c r="AJ171" s="363"/>
      <c r="AK171" s="363"/>
      <c r="AL171" s="363"/>
      <c r="AM171" s="363"/>
      <c r="AN171" s="363"/>
      <c r="AO171" s="363"/>
      <c r="AP171" s="363"/>
      <c r="AQ171" s="363"/>
      <c r="AR171" s="363"/>
      <c r="AS171" s="363"/>
      <c r="AT171" s="363"/>
      <c r="AU171" s="363"/>
      <c r="AV171" s="363"/>
      <c r="AW171" s="363"/>
      <c r="AX171" s="363"/>
      <c r="AY171" s="363"/>
      <c r="AZ171" s="363"/>
      <c r="BA171" s="363"/>
      <c r="BB171" s="363"/>
      <c r="BC171" s="363"/>
      <c r="BD171" s="363"/>
      <c r="BE171" s="363"/>
      <c r="BF171" s="363"/>
      <c r="BG171" s="363"/>
      <c r="BI171" s="343" t="s">
        <v>1238</v>
      </c>
    </row>
    <row r="172" spans="2:61" x14ac:dyDescent="0.2">
      <c r="B172" s="67" t="str">
        <f>IF(Capacity!B65="","",Capacity!B65)</f>
        <v/>
      </c>
      <c r="C172" s="220" t="str">
        <f>IF(B172="","",Capacity!E65)</f>
        <v/>
      </c>
      <c r="D172" s="309" t="str">
        <f>IF(B172="","",Capacity!F65)</f>
        <v/>
      </c>
      <c r="E172" s="220" t="str">
        <f>IF(B172="","",IF(COUNTBLANK(H172:BG172)=52,SUM('Capacity calculation (hide)'!H53:BG53),52-COUNTBLANK(H172:BG172)))</f>
        <v/>
      </c>
      <c r="F172" s="310" t="str">
        <f>'Capacity calculation (hide)'!BI53</f>
        <v/>
      </c>
      <c r="H172" s="363"/>
      <c r="I172" s="363"/>
      <c r="J172" s="363"/>
      <c r="K172" s="363"/>
      <c r="L172" s="363"/>
      <c r="M172" s="363"/>
      <c r="N172" s="363"/>
      <c r="O172" s="363"/>
      <c r="P172" s="363"/>
      <c r="Q172" s="363"/>
      <c r="R172" s="363"/>
      <c r="S172" s="363"/>
      <c r="T172" s="363"/>
      <c r="U172" s="363"/>
      <c r="V172" s="363"/>
      <c r="W172" s="363"/>
      <c r="X172" s="363"/>
      <c r="Y172" s="363"/>
      <c r="Z172" s="363"/>
      <c r="AA172" s="363"/>
      <c r="AB172" s="363"/>
      <c r="AC172" s="363"/>
      <c r="AD172" s="363"/>
      <c r="AE172" s="363"/>
      <c r="AF172" s="363"/>
      <c r="AG172" s="363"/>
      <c r="AH172" s="363"/>
      <c r="AI172" s="363"/>
      <c r="AJ172" s="363"/>
      <c r="AK172" s="363"/>
      <c r="AL172" s="363"/>
      <c r="AM172" s="363"/>
      <c r="AN172" s="363"/>
      <c r="AO172" s="363"/>
      <c r="AP172" s="363"/>
      <c r="AQ172" s="363"/>
      <c r="AR172" s="363"/>
      <c r="AS172" s="363"/>
      <c r="AT172" s="363"/>
      <c r="AU172" s="363"/>
      <c r="AV172" s="363"/>
      <c r="AW172" s="363"/>
      <c r="AX172" s="363"/>
      <c r="AY172" s="363"/>
      <c r="AZ172" s="363"/>
      <c r="BA172" s="363"/>
      <c r="BB172" s="363"/>
      <c r="BC172" s="363"/>
      <c r="BD172" s="363"/>
      <c r="BE172" s="363"/>
      <c r="BF172" s="363"/>
      <c r="BG172" s="363"/>
      <c r="BI172" s="343" t="s">
        <v>1238</v>
      </c>
    </row>
    <row r="173" spans="2:61" x14ac:dyDescent="0.2">
      <c r="B173" s="67" t="str">
        <f>IF(Capacity!B66="","",Capacity!B66)</f>
        <v/>
      </c>
      <c r="C173" s="220" t="str">
        <f>IF(B173="","",Capacity!E66)</f>
        <v/>
      </c>
      <c r="D173" s="309" t="str">
        <f>IF(B173="","",Capacity!F66)</f>
        <v/>
      </c>
      <c r="E173" s="220" t="str">
        <f>IF(B173="","",IF(COUNTBLANK(H173:BG173)=52,SUM('Capacity calculation (hide)'!H54:BG54),52-COUNTBLANK(H173:BG173)))</f>
        <v/>
      </c>
      <c r="F173" s="310" t="str">
        <f>'Capacity calculation (hide)'!BI54</f>
        <v/>
      </c>
      <c r="H173" s="363"/>
      <c r="I173" s="363"/>
      <c r="J173" s="363"/>
      <c r="K173" s="363"/>
      <c r="L173" s="363"/>
      <c r="M173" s="363"/>
      <c r="N173" s="363"/>
      <c r="O173" s="363"/>
      <c r="P173" s="363"/>
      <c r="Q173" s="363"/>
      <c r="R173" s="363"/>
      <c r="S173" s="363"/>
      <c r="T173" s="363"/>
      <c r="U173" s="363"/>
      <c r="V173" s="363"/>
      <c r="W173" s="363"/>
      <c r="X173" s="363"/>
      <c r="Y173" s="363"/>
      <c r="Z173" s="363"/>
      <c r="AA173" s="363"/>
      <c r="AB173" s="363"/>
      <c r="AC173" s="363"/>
      <c r="AD173" s="363"/>
      <c r="AE173" s="363"/>
      <c r="AF173" s="363"/>
      <c r="AG173" s="363"/>
      <c r="AH173" s="363"/>
      <c r="AI173" s="363"/>
      <c r="AJ173" s="363"/>
      <c r="AK173" s="363"/>
      <c r="AL173" s="363"/>
      <c r="AM173" s="363"/>
      <c r="AN173" s="363"/>
      <c r="AO173" s="363"/>
      <c r="AP173" s="363"/>
      <c r="AQ173" s="363"/>
      <c r="AR173" s="363"/>
      <c r="AS173" s="363"/>
      <c r="AT173" s="363"/>
      <c r="AU173" s="363"/>
      <c r="AV173" s="363"/>
      <c r="AW173" s="363"/>
      <c r="AX173" s="363"/>
      <c r="AY173" s="363"/>
      <c r="AZ173" s="363"/>
      <c r="BA173" s="363"/>
      <c r="BB173" s="363"/>
      <c r="BC173" s="363"/>
      <c r="BD173" s="363"/>
      <c r="BE173" s="363"/>
      <c r="BF173" s="363"/>
      <c r="BG173" s="363"/>
      <c r="BI173" s="343" t="s">
        <v>1238</v>
      </c>
    </row>
    <row r="174" spans="2:61" x14ac:dyDescent="0.2">
      <c r="B174" s="67" t="str">
        <f>IF(Capacity!B67="","",Capacity!B67)</f>
        <v/>
      </c>
      <c r="C174" s="220" t="str">
        <f>IF(B174="","",Capacity!E67)</f>
        <v/>
      </c>
      <c r="D174" s="309" t="str">
        <f>IF(B174="","",Capacity!F67)</f>
        <v/>
      </c>
      <c r="E174" s="220" t="str">
        <f>IF(B174="","",IF(COUNTBLANK(H174:BG174)=52,SUM('Capacity calculation (hide)'!H55:BG55),52-COUNTBLANK(H174:BG174)))</f>
        <v/>
      </c>
      <c r="F174" s="310" t="str">
        <f>'Capacity calculation (hide)'!BI55</f>
        <v/>
      </c>
      <c r="H174" s="363"/>
      <c r="I174" s="363"/>
      <c r="J174" s="363"/>
      <c r="K174" s="363"/>
      <c r="L174" s="363"/>
      <c r="M174" s="363"/>
      <c r="N174" s="363"/>
      <c r="O174" s="363"/>
      <c r="P174" s="363"/>
      <c r="Q174" s="363"/>
      <c r="R174" s="363"/>
      <c r="S174" s="363"/>
      <c r="T174" s="363"/>
      <c r="U174" s="363"/>
      <c r="V174" s="363"/>
      <c r="W174" s="363"/>
      <c r="X174" s="363"/>
      <c r="Y174" s="363"/>
      <c r="Z174" s="363"/>
      <c r="AA174" s="363"/>
      <c r="AB174" s="363"/>
      <c r="AC174" s="363"/>
      <c r="AD174" s="363"/>
      <c r="AE174" s="363"/>
      <c r="AF174" s="363"/>
      <c r="AG174" s="363"/>
      <c r="AH174" s="363"/>
      <c r="AI174" s="363"/>
      <c r="AJ174" s="363"/>
      <c r="AK174" s="363"/>
      <c r="AL174" s="363"/>
      <c r="AM174" s="363"/>
      <c r="AN174" s="363"/>
      <c r="AO174" s="363"/>
      <c r="AP174" s="363"/>
      <c r="AQ174" s="363"/>
      <c r="AR174" s="363"/>
      <c r="AS174" s="363"/>
      <c r="AT174" s="363"/>
      <c r="AU174" s="363"/>
      <c r="AV174" s="363"/>
      <c r="AW174" s="363"/>
      <c r="AX174" s="363"/>
      <c r="AY174" s="363"/>
      <c r="AZ174" s="363"/>
      <c r="BA174" s="363"/>
      <c r="BB174" s="363"/>
      <c r="BC174" s="363"/>
      <c r="BD174" s="363"/>
      <c r="BE174" s="363"/>
      <c r="BF174" s="363"/>
      <c r="BG174" s="363"/>
      <c r="BI174" s="343" t="s">
        <v>1238</v>
      </c>
    </row>
    <row r="175" spans="2:61" x14ac:dyDescent="0.2">
      <c r="B175" s="67" t="str">
        <f>IF(Capacity!B68="","",Capacity!B68)</f>
        <v/>
      </c>
      <c r="C175" s="220" t="str">
        <f>IF(B175="","",Capacity!E68)</f>
        <v/>
      </c>
      <c r="D175" s="309" t="str">
        <f>IF(B175="","",Capacity!F68)</f>
        <v/>
      </c>
      <c r="E175" s="220" t="str">
        <f>IF(B175="","",IF(COUNTBLANK(H175:BG175)=52,SUM('Capacity calculation (hide)'!H56:BG56),52-COUNTBLANK(H175:BG175)))</f>
        <v/>
      </c>
      <c r="F175" s="310" t="str">
        <f>'Capacity calculation (hide)'!BI56</f>
        <v/>
      </c>
      <c r="H175" s="363"/>
      <c r="I175" s="363"/>
      <c r="J175" s="363"/>
      <c r="K175" s="363"/>
      <c r="L175" s="363"/>
      <c r="M175" s="363"/>
      <c r="N175" s="363"/>
      <c r="O175" s="363"/>
      <c r="P175" s="363"/>
      <c r="Q175" s="363"/>
      <c r="R175" s="363"/>
      <c r="S175" s="363"/>
      <c r="T175" s="363"/>
      <c r="U175" s="363"/>
      <c r="V175" s="363"/>
      <c r="W175" s="363"/>
      <c r="X175" s="363"/>
      <c r="Y175" s="363"/>
      <c r="Z175" s="363"/>
      <c r="AA175" s="363"/>
      <c r="AB175" s="363"/>
      <c r="AC175" s="363"/>
      <c r="AD175" s="363"/>
      <c r="AE175" s="363"/>
      <c r="AF175" s="363"/>
      <c r="AG175" s="363"/>
      <c r="AH175" s="363"/>
      <c r="AI175" s="363"/>
      <c r="AJ175" s="363"/>
      <c r="AK175" s="363"/>
      <c r="AL175" s="363"/>
      <c r="AM175" s="363"/>
      <c r="AN175" s="363"/>
      <c r="AO175" s="363"/>
      <c r="AP175" s="363"/>
      <c r="AQ175" s="363"/>
      <c r="AR175" s="363"/>
      <c r="AS175" s="363"/>
      <c r="AT175" s="363"/>
      <c r="AU175" s="363"/>
      <c r="AV175" s="363"/>
      <c r="AW175" s="363"/>
      <c r="AX175" s="363"/>
      <c r="AY175" s="363"/>
      <c r="AZ175" s="363"/>
      <c r="BA175" s="363"/>
      <c r="BB175" s="363"/>
      <c r="BC175" s="363"/>
      <c r="BD175" s="363"/>
      <c r="BE175" s="363"/>
      <c r="BF175" s="363"/>
      <c r="BG175" s="363"/>
      <c r="BI175" s="343" t="s">
        <v>1238</v>
      </c>
    </row>
    <row r="176" spans="2:61" x14ac:dyDescent="0.2">
      <c r="B176" s="67" t="str">
        <f>IF(Capacity!B69="","",Capacity!B69)</f>
        <v/>
      </c>
      <c r="C176" s="220" t="str">
        <f>IF(B176="","",Capacity!E69)</f>
        <v/>
      </c>
      <c r="D176" s="309" t="str">
        <f>IF(B176="","",Capacity!F69)</f>
        <v/>
      </c>
      <c r="E176" s="220" t="str">
        <f>IF(B176="","",IF(COUNTBLANK(H176:BG176)=52,SUM('Capacity calculation (hide)'!H57:BG57),52-COUNTBLANK(H176:BG176)))</f>
        <v/>
      </c>
      <c r="F176" s="310" t="str">
        <f>'Capacity calculation (hide)'!BI57</f>
        <v/>
      </c>
      <c r="H176" s="363"/>
      <c r="I176" s="363"/>
      <c r="J176" s="363"/>
      <c r="K176" s="363"/>
      <c r="L176" s="363"/>
      <c r="M176" s="363"/>
      <c r="N176" s="363"/>
      <c r="O176" s="363"/>
      <c r="P176" s="363"/>
      <c r="Q176" s="363"/>
      <c r="R176" s="363"/>
      <c r="S176" s="363"/>
      <c r="T176" s="363"/>
      <c r="U176" s="363"/>
      <c r="V176" s="363"/>
      <c r="W176" s="363"/>
      <c r="X176" s="363"/>
      <c r="Y176" s="363"/>
      <c r="Z176" s="363"/>
      <c r="AA176" s="363"/>
      <c r="AB176" s="363"/>
      <c r="AC176" s="363"/>
      <c r="AD176" s="363"/>
      <c r="AE176" s="363"/>
      <c r="AF176" s="363"/>
      <c r="AG176" s="363"/>
      <c r="AH176" s="363"/>
      <c r="AI176" s="363"/>
      <c r="AJ176" s="363"/>
      <c r="AK176" s="363"/>
      <c r="AL176" s="363"/>
      <c r="AM176" s="363"/>
      <c r="AN176" s="363"/>
      <c r="AO176" s="363"/>
      <c r="AP176" s="363"/>
      <c r="AQ176" s="363"/>
      <c r="AR176" s="363"/>
      <c r="AS176" s="363"/>
      <c r="AT176" s="363"/>
      <c r="AU176" s="363"/>
      <c r="AV176" s="363"/>
      <c r="AW176" s="363"/>
      <c r="AX176" s="363"/>
      <c r="AY176" s="363"/>
      <c r="AZ176" s="363"/>
      <c r="BA176" s="363"/>
      <c r="BB176" s="363"/>
      <c r="BC176" s="363"/>
      <c r="BD176" s="363"/>
      <c r="BE176" s="363"/>
      <c r="BF176" s="363"/>
      <c r="BG176" s="363"/>
      <c r="BI176" s="343" t="s">
        <v>1238</v>
      </c>
    </row>
    <row r="177" spans="2:61" x14ac:dyDescent="0.2">
      <c r="B177" s="67" t="str">
        <f>IF(Capacity!B70="","",Capacity!B70)</f>
        <v/>
      </c>
      <c r="C177" s="220" t="str">
        <f>IF(B177="","",Capacity!E70)</f>
        <v/>
      </c>
      <c r="D177" s="309" t="str">
        <f>IF(B177="","",Capacity!F70)</f>
        <v/>
      </c>
      <c r="E177" s="220" t="str">
        <f>IF(B177="","",IF(COUNTBLANK(H177:BG177)=52,SUM('Capacity calculation (hide)'!H58:BG58),52-COUNTBLANK(H177:BG177)))</f>
        <v/>
      </c>
      <c r="F177" s="310" t="str">
        <f>'Capacity calculation (hide)'!BI58</f>
        <v/>
      </c>
      <c r="H177" s="363"/>
      <c r="I177" s="363"/>
      <c r="J177" s="363"/>
      <c r="K177" s="363"/>
      <c r="L177" s="363"/>
      <c r="M177" s="363"/>
      <c r="N177" s="363"/>
      <c r="O177" s="363"/>
      <c r="P177" s="363"/>
      <c r="Q177" s="363"/>
      <c r="R177" s="363"/>
      <c r="S177" s="363"/>
      <c r="T177" s="363"/>
      <c r="U177" s="363"/>
      <c r="V177" s="363"/>
      <c r="W177" s="363"/>
      <c r="X177" s="363"/>
      <c r="Y177" s="363"/>
      <c r="Z177" s="363"/>
      <c r="AA177" s="363"/>
      <c r="AB177" s="363"/>
      <c r="AC177" s="363"/>
      <c r="AD177" s="363"/>
      <c r="AE177" s="363"/>
      <c r="AF177" s="363"/>
      <c r="AG177" s="363"/>
      <c r="AH177" s="363"/>
      <c r="AI177" s="363"/>
      <c r="AJ177" s="363"/>
      <c r="AK177" s="363"/>
      <c r="AL177" s="363"/>
      <c r="AM177" s="363"/>
      <c r="AN177" s="363"/>
      <c r="AO177" s="363"/>
      <c r="AP177" s="363"/>
      <c r="AQ177" s="363"/>
      <c r="AR177" s="363"/>
      <c r="AS177" s="363"/>
      <c r="AT177" s="363"/>
      <c r="AU177" s="363"/>
      <c r="AV177" s="363"/>
      <c r="AW177" s="363"/>
      <c r="AX177" s="363"/>
      <c r="AY177" s="363"/>
      <c r="AZ177" s="363"/>
      <c r="BA177" s="363"/>
      <c r="BB177" s="363"/>
      <c r="BC177" s="363"/>
      <c r="BD177" s="363"/>
      <c r="BE177" s="363"/>
      <c r="BF177" s="363"/>
      <c r="BG177" s="363"/>
      <c r="BI177" s="343" t="s">
        <v>1238</v>
      </c>
    </row>
    <row r="178" spans="2:61" x14ac:dyDescent="0.2">
      <c r="B178" s="67" t="str">
        <f>IF(Capacity!B71="","",Capacity!B71)</f>
        <v/>
      </c>
      <c r="C178" s="220" t="str">
        <f>IF(B178="","",Capacity!E71)</f>
        <v/>
      </c>
      <c r="D178" s="309" t="str">
        <f>IF(B178="","",Capacity!F71)</f>
        <v/>
      </c>
      <c r="E178" s="220" t="str">
        <f>IF(B178="","",IF(COUNTBLANK(H178:BG178)=52,SUM('Capacity calculation (hide)'!H59:BG59),52-COUNTBLANK(H178:BG178)))</f>
        <v/>
      </c>
      <c r="F178" s="310" t="str">
        <f>'Capacity calculation (hide)'!BI59</f>
        <v/>
      </c>
      <c r="H178" s="363"/>
      <c r="I178" s="363"/>
      <c r="J178" s="363"/>
      <c r="K178" s="363"/>
      <c r="L178" s="363"/>
      <c r="M178" s="363"/>
      <c r="N178" s="363"/>
      <c r="O178" s="363"/>
      <c r="P178" s="363"/>
      <c r="Q178" s="363"/>
      <c r="R178" s="363"/>
      <c r="S178" s="363"/>
      <c r="T178" s="363"/>
      <c r="U178" s="363"/>
      <c r="V178" s="363"/>
      <c r="W178" s="363"/>
      <c r="X178" s="363"/>
      <c r="Y178" s="363"/>
      <c r="Z178" s="363"/>
      <c r="AA178" s="363"/>
      <c r="AB178" s="363"/>
      <c r="AC178" s="363"/>
      <c r="AD178" s="363"/>
      <c r="AE178" s="363"/>
      <c r="AF178" s="363"/>
      <c r="AG178" s="363"/>
      <c r="AH178" s="363"/>
      <c r="AI178" s="363"/>
      <c r="AJ178" s="363"/>
      <c r="AK178" s="363"/>
      <c r="AL178" s="363"/>
      <c r="AM178" s="363"/>
      <c r="AN178" s="363"/>
      <c r="AO178" s="363"/>
      <c r="AP178" s="363"/>
      <c r="AQ178" s="363"/>
      <c r="AR178" s="363"/>
      <c r="AS178" s="363"/>
      <c r="AT178" s="363"/>
      <c r="AU178" s="363"/>
      <c r="AV178" s="363"/>
      <c r="AW178" s="363"/>
      <c r="AX178" s="363"/>
      <c r="AY178" s="363"/>
      <c r="AZ178" s="363"/>
      <c r="BA178" s="363"/>
      <c r="BB178" s="363"/>
      <c r="BC178" s="363"/>
      <c r="BD178" s="363"/>
      <c r="BE178" s="363"/>
      <c r="BF178" s="363"/>
      <c r="BG178" s="363"/>
      <c r="BI178" s="343" t="s">
        <v>1238</v>
      </c>
    </row>
    <row r="179" spans="2:61" x14ac:dyDescent="0.2">
      <c r="B179" s="67" t="str">
        <f>IF(Capacity!B72="","",Capacity!B72)</f>
        <v/>
      </c>
      <c r="C179" s="220" t="str">
        <f>IF(B179="","",Capacity!E72)</f>
        <v/>
      </c>
      <c r="D179" s="309" t="str">
        <f>IF(B179="","",Capacity!F72)</f>
        <v/>
      </c>
      <c r="E179" s="220" t="str">
        <f>IF(B179="","",IF(COUNTBLANK(H179:BG179)=52,SUM('Capacity calculation (hide)'!H60:BG60),52-COUNTBLANK(H179:BG179)))</f>
        <v/>
      </c>
      <c r="F179" s="310" t="str">
        <f>'Capacity calculation (hide)'!BI60</f>
        <v/>
      </c>
      <c r="H179" s="363"/>
      <c r="I179" s="363"/>
      <c r="J179" s="363"/>
      <c r="K179" s="363"/>
      <c r="L179" s="363"/>
      <c r="M179" s="363"/>
      <c r="N179" s="363"/>
      <c r="O179" s="363"/>
      <c r="P179" s="363"/>
      <c r="Q179" s="363"/>
      <c r="R179" s="363"/>
      <c r="S179" s="363"/>
      <c r="T179" s="363"/>
      <c r="U179" s="363"/>
      <c r="V179" s="363"/>
      <c r="W179" s="363"/>
      <c r="X179" s="363"/>
      <c r="Y179" s="363"/>
      <c r="Z179" s="363"/>
      <c r="AA179" s="363"/>
      <c r="AB179" s="363"/>
      <c r="AC179" s="363"/>
      <c r="AD179" s="363"/>
      <c r="AE179" s="363"/>
      <c r="AF179" s="363"/>
      <c r="AG179" s="363"/>
      <c r="AH179" s="363"/>
      <c r="AI179" s="363"/>
      <c r="AJ179" s="363"/>
      <c r="AK179" s="363"/>
      <c r="AL179" s="363"/>
      <c r="AM179" s="363"/>
      <c r="AN179" s="363"/>
      <c r="AO179" s="363"/>
      <c r="AP179" s="363"/>
      <c r="AQ179" s="363"/>
      <c r="AR179" s="363"/>
      <c r="AS179" s="363"/>
      <c r="AT179" s="363"/>
      <c r="AU179" s="363"/>
      <c r="AV179" s="363"/>
      <c r="AW179" s="363"/>
      <c r="AX179" s="363"/>
      <c r="AY179" s="363"/>
      <c r="AZ179" s="363"/>
      <c r="BA179" s="363"/>
      <c r="BB179" s="363"/>
      <c r="BC179" s="363"/>
      <c r="BD179" s="363"/>
      <c r="BE179" s="363"/>
      <c r="BF179" s="363"/>
      <c r="BG179" s="363"/>
      <c r="BI179" s="343" t="s">
        <v>1238</v>
      </c>
    </row>
    <row r="180" spans="2:61" x14ac:dyDescent="0.2">
      <c r="B180" s="67" t="str">
        <f>IF(Capacity!B73="","",Capacity!B73)</f>
        <v/>
      </c>
      <c r="C180" s="220" t="str">
        <f>IF(B180="","",Capacity!E73)</f>
        <v/>
      </c>
      <c r="D180" s="309" t="str">
        <f>IF(B180="","",Capacity!F73)</f>
        <v/>
      </c>
      <c r="E180" s="220" t="str">
        <f>IF(B180="","",IF(COUNTBLANK(H180:BG180)=52,SUM('Capacity calculation (hide)'!H61:BG61),52-COUNTBLANK(H180:BG180)))</f>
        <v/>
      </c>
      <c r="F180" s="310" t="str">
        <f>'Capacity calculation (hide)'!BI61</f>
        <v/>
      </c>
      <c r="H180" s="363"/>
      <c r="I180" s="363"/>
      <c r="J180" s="363"/>
      <c r="K180" s="363"/>
      <c r="L180" s="363"/>
      <c r="M180" s="363"/>
      <c r="N180" s="363"/>
      <c r="O180" s="363"/>
      <c r="P180" s="363"/>
      <c r="Q180" s="363"/>
      <c r="R180" s="363"/>
      <c r="S180" s="363"/>
      <c r="T180" s="363"/>
      <c r="U180" s="363"/>
      <c r="V180" s="363"/>
      <c r="W180" s="363"/>
      <c r="X180" s="363"/>
      <c r="Y180" s="363"/>
      <c r="Z180" s="363"/>
      <c r="AA180" s="363"/>
      <c r="AB180" s="363"/>
      <c r="AC180" s="363"/>
      <c r="AD180" s="363"/>
      <c r="AE180" s="363"/>
      <c r="AF180" s="363"/>
      <c r="AG180" s="363"/>
      <c r="AH180" s="363"/>
      <c r="AI180" s="363"/>
      <c r="AJ180" s="363"/>
      <c r="AK180" s="363"/>
      <c r="AL180" s="363"/>
      <c r="AM180" s="363"/>
      <c r="AN180" s="363"/>
      <c r="AO180" s="363"/>
      <c r="AP180" s="363"/>
      <c r="AQ180" s="363"/>
      <c r="AR180" s="363"/>
      <c r="AS180" s="363"/>
      <c r="AT180" s="363"/>
      <c r="AU180" s="363"/>
      <c r="AV180" s="363"/>
      <c r="AW180" s="363"/>
      <c r="AX180" s="363"/>
      <c r="AY180" s="363"/>
      <c r="AZ180" s="363"/>
      <c r="BA180" s="363"/>
      <c r="BB180" s="363"/>
      <c r="BC180" s="363"/>
      <c r="BD180" s="363"/>
      <c r="BE180" s="363"/>
      <c r="BF180" s="363"/>
      <c r="BG180" s="363"/>
      <c r="BI180" s="343" t="s">
        <v>1238</v>
      </c>
    </row>
    <row r="181" spans="2:61" x14ac:dyDescent="0.2">
      <c r="B181" s="67" t="str">
        <f>IF(Capacity!B74="","",Capacity!B74)</f>
        <v/>
      </c>
      <c r="C181" s="220" t="str">
        <f>IF(B181="","",Capacity!E74)</f>
        <v/>
      </c>
      <c r="D181" s="309" t="str">
        <f>IF(B181="","",Capacity!F74)</f>
        <v/>
      </c>
      <c r="E181" s="220" t="str">
        <f>IF(B181="","",IF(COUNTBLANK(H181:BG181)=52,SUM('Capacity calculation (hide)'!H62:BG62),52-COUNTBLANK(H181:BG181)))</f>
        <v/>
      </c>
      <c r="F181" s="310" t="str">
        <f>'Capacity calculation (hide)'!BI62</f>
        <v/>
      </c>
      <c r="H181" s="363"/>
      <c r="I181" s="363"/>
      <c r="J181" s="363"/>
      <c r="K181" s="363"/>
      <c r="L181" s="363"/>
      <c r="M181" s="363"/>
      <c r="N181" s="363"/>
      <c r="O181" s="363"/>
      <c r="P181" s="363"/>
      <c r="Q181" s="363"/>
      <c r="R181" s="363"/>
      <c r="S181" s="363"/>
      <c r="T181" s="363"/>
      <c r="U181" s="363"/>
      <c r="V181" s="363"/>
      <c r="W181" s="363"/>
      <c r="X181" s="363"/>
      <c r="Y181" s="363"/>
      <c r="Z181" s="363"/>
      <c r="AA181" s="363"/>
      <c r="AB181" s="363"/>
      <c r="AC181" s="363"/>
      <c r="AD181" s="363"/>
      <c r="AE181" s="363"/>
      <c r="AF181" s="363"/>
      <c r="AG181" s="363"/>
      <c r="AH181" s="363"/>
      <c r="AI181" s="363"/>
      <c r="AJ181" s="363"/>
      <c r="AK181" s="363"/>
      <c r="AL181" s="363"/>
      <c r="AM181" s="363"/>
      <c r="AN181" s="363"/>
      <c r="AO181" s="363"/>
      <c r="AP181" s="363"/>
      <c r="AQ181" s="363"/>
      <c r="AR181" s="363"/>
      <c r="AS181" s="363"/>
      <c r="AT181" s="363"/>
      <c r="AU181" s="363"/>
      <c r="AV181" s="363"/>
      <c r="AW181" s="363"/>
      <c r="AX181" s="363"/>
      <c r="AY181" s="363"/>
      <c r="AZ181" s="363"/>
      <c r="BA181" s="363"/>
      <c r="BB181" s="363"/>
      <c r="BC181" s="363"/>
      <c r="BD181" s="363"/>
      <c r="BE181" s="363"/>
      <c r="BF181" s="363"/>
      <c r="BG181" s="363"/>
      <c r="BI181" s="343" t="s">
        <v>1238</v>
      </c>
    </row>
    <row r="182" spans="2:61" x14ac:dyDescent="0.2">
      <c r="B182" s="67" t="str">
        <f>IF(Capacity!B75="","",Capacity!B75)</f>
        <v/>
      </c>
      <c r="C182" s="220" t="str">
        <f>IF(B182="","",Capacity!E75)</f>
        <v/>
      </c>
      <c r="D182" s="309" t="str">
        <f>IF(B182="","",Capacity!F75)</f>
        <v/>
      </c>
      <c r="E182" s="220" t="str">
        <f>IF(B182="","",IF(COUNTBLANK(H182:BG182)=52,SUM('Capacity calculation (hide)'!H63:BG63),52-COUNTBLANK(H182:BG182)))</f>
        <v/>
      </c>
      <c r="F182" s="310" t="str">
        <f>'Capacity calculation (hide)'!BI63</f>
        <v/>
      </c>
      <c r="H182" s="363"/>
      <c r="I182" s="363"/>
      <c r="J182" s="363"/>
      <c r="K182" s="363"/>
      <c r="L182" s="363"/>
      <c r="M182" s="363"/>
      <c r="N182" s="363"/>
      <c r="O182" s="363"/>
      <c r="P182" s="363"/>
      <c r="Q182" s="363"/>
      <c r="R182" s="363"/>
      <c r="S182" s="363"/>
      <c r="T182" s="363"/>
      <c r="U182" s="363"/>
      <c r="V182" s="363"/>
      <c r="W182" s="363"/>
      <c r="X182" s="363"/>
      <c r="Y182" s="363"/>
      <c r="Z182" s="363"/>
      <c r="AA182" s="363"/>
      <c r="AB182" s="363"/>
      <c r="AC182" s="363"/>
      <c r="AD182" s="363"/>
      <c r="AE182" s="363"/>
      <c r="AF182" s="363"/>
      <c r="AG182" s="363"/>
      <c r="AH182" s="363"/>
      <c r="AI182" s="363"/>
      <c r="AJ182" s="363"/>
      <c r="AK182" s="363"/>
      <c r="AL182" s="363"/>
      <c r="AM182" s="363"/>
      <c r="AN182" s="363"/>
      <c r="AO182" s="363"/>
      <c r="AP182" s="363"/>
      <c r="AQ182" s="363"/>
      <c r="AR182" s="363"/>
      <c r="AS182" s="363"/>
      <c r="AT182" s="363"/>
      <c r="AU182" s="363"/>
      <c r="AV182" s="363"/>
      <c r="AW182" s="363"/>
      <c r="AX182" s="363"/>
      <c r="AY182" s="363"/>
      <c r="AZ182" s="363"/>
      <c r="BA182" s="363"/>
      <c r="BB182" s="363"/>
      <c r="BC182" s="363"/>
      <c r="BD182" s="363"/>
      <c r="BE182" s="363"/>
      <c r="BF182" s="363"/>
      <c r="BG182" s="363"/>
      <c r="BI182" s="343" t="s">
        <v>1238</v>
      </c>
    </row>
    <row r="183" spans="2:61" x14ac:dyDescent="0.2">
      <c r="B183" s="67" t="str">
        <f>IF(Capacity!B76="","",Capacity!B76)</f>
        <v/>
      </c>
      <c r="C183" s="220" t="str">
        <f>IF(B183="","",Capacity!E76)</f>
        <v/>
      </c>
      <c r="D183" s="309" t="str">
        <f>IF(B183="","",Capacity!F76)</f>
        <v/>
      </c>
      <c r="E183" s="220" t="str">
        <f>IF(B183="","",IF(COUNTBLANK(H183:BG183)=52,SUM('Capacity calculation (hide)'!H64:BG64),52-COUNTBLANK(H183:BG183)))</f>
        <v/>
      </c>
      <c r="F183" s="310" t="str">
        <f>'Capacity calculation (hide)'!BI64</f>
        <v/>
      </c>
      <c r="H183" s="363"/>
      <c r="I183" s="363"/>
      <c r="J183" s="363"/>
      <c r="K183" s="363"/>
      <c r="L183" s="363"/>
      <c r="M183" s="363"/>
      <c r="N183" s="363"/>
      <c r="O183" s="363"/>
      <c r="P183" s="363"/>
      <c r="Q183" s="363"/>
      <c r="R183" s="363"/>
      <c r="S183" s="363"/>
      <c r="T183" s="363"/>
      <c r="U183" s="363"/>
      <c r="V183" s="363"/>
      <c r="W183" s="363"/>
      <c r="X183" s="363"/>
      <c r="Y183" s="363"/>
      <c r="Z183" s="363"/>
      <c r="AA183" s="363"/>
      <c r="AB183" s="363"/>
      <c r="AC183" s="363"/>
      <c r="AD183" s="363"/>
      <c r="AE183" s="363"/>
      <c r="AF183" s="363"/>
      <c r="AG183" s="363"/>
      <c r="AH183" s="363"/>
      <c r="AI183" s="363"/>
      <c r="AJ183" s="363"/>
      <c r="AK183" s="363"/>
      <c r="AL183" s="363"/>
      <c r="AM183" s="363"/>
      <c r="AN183" s="363"/>
      <c r="AO183" s="363"/>
      <c r="AP183" s="363"/>
      <c r="AQ183" s="363"/>
      <c r="AR183" s="363"/>
      <c r="AS183" s="363"/>
      <c r="AT183" s="363"/>
      <c r="AU183" s="363"/>
      <c r="AV183" s="363"/>
      <c r="AW183" s="363"/>
      <c r="AX183" s="363"/>
      <c r="AY183" s="363"/>
      <c r="AZ183" s="363"/>
      <c r="BA183" s="363"/>
      <c r="BB183" s="363"/>
      <c r="BC183" s="363"/>
      <c r="BD183" s="363"/>
      <c r="BE183" s="363"/>
      <c r="BF183" s="363"/>
      <c r="BG183" s="363"/>
      <c r="BI183" s="343" t="s">
        <v>1238</v>
      </c>
    </row>
    <row r="184" spans="2:61" x14ac:dyDescent="0.2">
      <c r="B184" s="67" t="str">
        <f>IF(Capacity!B77="","",Capacity!B77)</f>
        <v/>
      </c>
      <c r="C184" s="220" t="str">
        <f>IF(B184="","",Capacity!E77)</f>
        <v/>
      </c>
      <c r="D184" s="309" t="str">
        <f>IF(B184="","",Capacity!F77)</f>
        <v/>
      </c>
      <c r="E184" s="220" t="str">
        <f>IF(B184="","",IF(COUNTBLANK(H184:BG184)=52,SUM('Capacity calculation (hide)'!H65:BG65),52-COUNTBLANK(H184:BG184)))</f>
        <v/>
      </c>
      <c r="F184" s="310" t="str">
        <f>'Capacity calculation (hide)'!BI65</f>
        <v/>
      </c>
      <c r="H184" s="363"/>
      <c r="I184" s="363"/>
      <c r="J184" s="363"/>
      <c r="K184" s="363"/>
      <c r="L184" s="363"/>
      <c r="M184" s="363"/>
      <c r="N184" s="363"/>
      <c r="O184" s="363"/>
      <c r="P184" s="363"/>
      <c r="Q184" s="363"/>
      <c r="R184" s="363"/>
      <c r="S184" s="363"/>
      <c r="T184" s="363"/>
      <c r="U184" s="363"/>
      <c r="V184" s="363"/>
      <c r="W184" s="363"/>
      <c r="X184" s="363"/>
      <c r="Y184" s="363"/>
      <c r="Z184" s="363"/>
      <c r="AA184" s="363"/>
      <c r="AB184" s="363"/>
      <c r="AC184" s="363"/>
      <c r="AD184" s="363"/>
      <c r="AE184" s="363"/>
      <c r="AF184" s="363"/>
      <c r="AG184" s="363"/>
      <c r="AH184" s="363"/>
      <c r="AI184" s="363"/>
      <c r="AJ184" s="363"/>
      <c r="AK184" s="363"/>
      <c r="AL184" s="363"/>
      <c r="AM184" s="363"/>
      <c r="AN184" s="363"/>
      <c r="AO184" s="363"/>
      <c r="AP184" s="363"/>
      <c r="AQ184" s="363"/>
      <c r="AR184" s="363"/>
      <c r="AS184" s="363"/>
      <c r="AT184" s="363"/>
      <c r="AU184" s="363"/>
      <c r="AV184" s="363"/>
      <c r="AW184" s="363"/>
      <c r="AX184" s="363"/>
      <c r="AY184" s="363"/>
      <c r="AZ184" s="363"/>
      <c r="BA184" s="363"/>
      <c r="BB184" s="363"/>
      <c r="BC184" s="363"/>
      <c r="BD184" s="363"/>
      <c r="BE184" s="363"/>
      <c r="BF184" s="363"/>
      <c r="BG184" s="363"/>
      <c r="BI184" s="343" t="s">
        <v>1238</v>
      </c>
    </row>
    <row r="185" spans="2:61" x14ac:dyDescent="0.2">
      <c r="B185" s="67" t="str">
        <f>IF(Capacity!B78="","",Capacity!B78)</f>
        <v/>
      </c>
      <c r="C185" s="220" t="str">
        <f>IF(B185="","",Capacity!E78)</f>
        <v/>
      </c>
      <c r="D185" s="309" t="str">
        <f>IF(B185="","",Capacity!F78)</f>
        <v/>
      </c>
      <c r="E185" s="220" t="str">
        <f>IF(B185="","",IF(COUNTBLANK(H185:BG185)=52,SUM('Capacity calculation (hide)'!H66:BG66),52-COUNTBLANK(H185:BG185)))</f>
        <v/>
      </c>
      <c r="F185" s="310" t="str">
        <f>'Capacity calculation (hide)'!BI66</f>
        <v/>
      </c>
      <c r="H185" s="363"/>
      <c r="I185" s="363"/>
      <c r="J185" s="363"/>
      <c r="K185" s="363"/>
      <c r="L185" s="363"/>
      <c r="M185" s="363"/>
      <c r="N185" s="363"/>
      <c r="O185" s="363"/>
      <c r="P185" s="363"/>
      <c r="Q185" s="363"/>
      <c r="R185" s="363"/>
      <c r="S185" s="363"/>
      <c r="T185" s="363"/>
      <c r="U185" s="363"/>
      <c r="V185" s="363"/>
      <c r="W185" s="363"/>
      <c r="X185" s="363"/>
      <c r="Y185" s="363"/>
      <c r="Z185" s="363"/>
      <c r="AA185" s="363"/>
      <c r="AB185" s="363"/>
      <c r="AC185" s="363"/>
      <c r="AD185" s="363"/>
      <c r="AE185" s="363"/>
      <c r="AF185" s="363"/>
      <c r="AG185" s="363"/>
      <c r="AH185" s="363"/>
      <c r="AI185" s="363"/>
      <c r="AJ185" s="363"/>
      <c r="AK185" s="363"/>
      <c r="AL185" s="363"/>
      <c r="AM185" s="363"/>
      <c r="AN185" s="363"/>
      <c r="AO185" s="363"/>
      <c r="AP185" s="363"/>
      <c r="AQ185" s="363"/>
      <c r="AR185" s="363"/>
      <c r="AS185" s="363"/>
      <c r="AT185" s="363"/>
      <c r="AU185" s="363"/>
      <c r="AV185" s="363"/>
      <c r="AW185" s="363"/>
      <c r="AX185" s="363"/>
      <c r="AY185" s="363"/>
      <c r="AZ185" s="363"/>
      <c r="BA185" s="363"/>
      <c r="BB185" s="363"/>
      <c r="BC185" s="363"/>
      <c r="BD185" s="363"/>
      <c r="BE185" s="363"/>
      <c r="BF185" s="363"/>
      <c r="BG185" s="363"/>
      <c r="BI185" s="343" t="s">
        <v>1238</v>
      </c>
    </row>
    <row r="186" spans="2:61" x14ac:dyDescent="0.2">
      <c r="B186" s="67" t="str">
        <f>IF(Capacity!B79="","",Capacity!B79)</f>
        <v/>
      </c>
      <c r="C186" s="220" t="str">
        <f>IF(B186="","",Capacity!E79)</f>
        <v/>
      </c>
      <c r="D186" s="309" t="str">
        <f>IF(B186="","",Capacity!F79)</f>
        <v/>
      </c>
      <c r="E186" s="220" t="str">
        <f>IF(B186="","",IF(COUNTBLANK(H186:BG186)=52,SUM('Capacity calculation (hide)'!H67:BG67),52-COUNTBLANK(H186:BG186)))</f>
        <v/>
      </c>
      <c r="F186" s="310" t="str">
        <f>'Capacity calculation (hide)'!BI67</f>
        <v/>
      </c>
      <c r="H186" s="363"/>
      <c r="I186" s="363"/>
      <c r="J186" s="363"/>
      <c r="K186" s="363"/>
      <c r="L186" s="363"/>
      <c r="M186" s="363"/>
      <c r="N186" s="363"/>
      <c r="O186" s="363"/>
      <c r="P186" s="363"/>
      <c r="Q186" s="363"/>
      <c r="R186" s="363"/>
      <c r="S186" s="363"/>
      <c r="T186" s="363"/>
      <c r="U186" s="363"/>
      <c r="V186" s="363"/>
      <c r="W186" s="363"/>
      <c r="X186" s="363"/>
      <c r="Y186" s="363"/>
      <c r="Z186" s="363"/>
      <c r="AA186" s="363"/>
      <c r="AB186" s="363"/>
      <c r="AC186" s="363"/>
      <c r="AD186" s="363"/>
      <c r="AE186" s="363"/>
      <c r="AF186" s="363"/>
      <c r="AG186" s="363"/>
      <c r="AH186" s="363"/>
      <c r="AI186" s="363"/>
      <c r="AJ186" s="363"/>
      <c r="AK186" s="363"/>
      <c r="AL186" s="363"/>
      <c r="AM186" s="363"/>
      <c r="AN186" s="363"/>
      <c r="AO186" s="363"/>
      <c r="AP186" s="363"/>
      <c r="AQ186" s="363"/>
      <c r="AR186" s="363"/>
      <c r="AS186" s="363"/>
      <c r="AT186" s="363"/>
      <c r="AU186" s="363"/>
      <c r="AV186" s="363"/>
      <c r="AW186" s="363"/>
      <c r="AX186" s="363"/>
      <c r="AY186" s="363"/>
      <c r="AZ186" s="363"/>
      <c r="BA186" s="363"/>
      <c r="BB186" s="363"/>
      <c r="BC186" s="363"/>
      <c r="BD186" s="363"/>
      <c r="BE186" s="363"/>
      <c r="BF186" s="363"/>
      <c r="BG186" s="363"/>
      <c r="BI186" s="343" t="s">
        <v>1238</v>
      </c>
    </row>
    <row r="187" spans="2:61" x14ac:dyDescent="0.2">
      <c r="B187" s="67" t="str">
        <f>IF(Capacity!B80="","",Capacity!B80)</f>
        <v/>
      </c>
      <c r="C187" s="220" t="str">
        <f>IF(B187="","",Capacity!E80)</f>
        <v/>
      </c>
      <c r="D187" s="309" t="str">
        <f>IF(B187="","",Capacity!F80)</f>
        <v/>
      </c>
      <c r="E187" s="220" t="str">
        <f>IF(B187="","",IF(COUNTBLANK(H187:BG187)=52,SUM('Capacity calculation (hide)'!H68:BG68),52-COUNTBLANK(H187:BG187)))</f>
        <v/>
      </c>
      <c r="F187" s="310" t="str">
        <f>'Capacity calculation (hide)'!BI68</f>
        <v/>
      </c>
      <c r="H187" s="363"/>
      <c r="I187" s="363"/>
      <c r="J187" s="363"/>
      <c r="K187" s="363"/>
      <c r="L187" s="363"/>
      <c r="M187" s="363"/>
      <c r="N187" s="363"/>
      <c r="O187" s="363"/>
      <c r="P187" s="363"/>
      <c r="Q187" s="363"/>
      <c r="R187" s="363"/>
      <c r="S187" s="363"/>
      <c r="T187" s="363"/>
      <c r="U187" s="363"/>
      <c r="V187" s="363"/>
      <c r="W187" s="363"/>
      <c r="X187" s="363"/>
      <c r="Y187" s="363"/>
      <c r="Z187" s="363"/>
      <c r="AA187" s="363"/>
      <c r="AB187" s="363"/>
      <c r="AC187" s="363"/>
      <c r="AD187" s="363"/>
      <c r="AE187" s="363"/>
      <c r="AF187" s="363"/>
      <c r="AG187" s="363"/>
      <c r="AH187" s="363"/>
      <c r="AI187" s="363"/>
      <c r="AJ187" s="363"/>
      <c r="AK187" s="363"/>
      <c r="AL187" s="363"/>
      <c r="AM187" s="363"/>
      <c r="AN187" s="363"/>
      <c r="AO187" s="363"/>
      <c r="AP187" s="363"/>
      <c r="AQ187" s="363"/>
      <c r="AR187" s="363"/>
      <c r="AS187" s="363"/>
      <c r="AT187" s="363"/>
      <c r="AU187" s="363"/>
      <c r="AV187" s="363"/>
      <c r="AW187" s="363"/>
      <c r="AX187" s="363"/>
      <c r="AY187" s="363"/>
      <c r="AZ187" s="363"/>
      <c r="BA187" s="363"/>
      <c r="BB187" s="363"/>
      <c r="BC187" s="363"/>
      <c r="BD187" s="363"/>
      <c r="BE187" s="363"/>
      <c r="BF187" s="363"/>
      <c r="BG187" s="363"/>
      <c r="BI187" s="343" t="s">
        <v>1238</v>
      </c>
    </row>
    <row r="188" spans="2:61" x14ac:dyDescent="0.2">
      <c r="B188" s="67" t="str">
        <f>IF(Capacity!B81="","",Capacity!B81)</f>
        <v/>
      </c>
      <c r="C188" s="220" t="str">
        <f>IF(B188="","",Capacity!E81)</f>
        <v/>
      </c>
      <c r="D188" s="309" t="str">
        <f>IF(B188="","",Capacity!F81)</f>
        <v/>
      </c>
      <c r="E188" s="220" t="str">
        <f>IF(B188="","",IF(COUNTBLANK(H188:BG188)=52,SUM('Capacity calculation (hide)'!H69:BG69),52-COUNTBLANK(H188:BG188)))</f>
        <v/>
      </c>
      <c r="F188" s="310" t="str">
        <f>'Capacity calculation (hide)'!BI69</f>
        <v/>
      </c>
      <c r="H188" s="363"/>
      <c r="I188" s="363"/>
      <c r="J188" s="363"/>
      <c r="K188" s="363"/>
      <c r="L188" s="363"/>
      <c r="M188" s="363"/>
      <c r="N188" s="363"/>
      <c r="O188" s="363"/>
      <c r="P188" s="363"/>
      <c r="Q188" s="363"/>
      <c r="R188" s="363"/>
      <c r="S188" s="363"/>
      <c r="T188" s="363"/>
      <c r="U188" s="363"/>
      <c r="V188" s="363"/>
      <c r="W188" s="363"/>
      <c r="X188" s="363"/>
      <c r="Y188" s="363"/>
      <c r="Z188" s="363"/>
      <c r="AA188" s="363"/>
      <c r="AB188" s="363"/>
      <c r="AC188" s="363"/>
      <c r="AD188" s="363"/>
      <c r="AE188" s="363"/>
      <c r="AF188" s="363"/>
      <c r="AG188" s="363"/>
      <c r="AH188" s="363"/>
      <c r="AI188" s="363"/>
      <c r="AJ188" s="363"/>
      <c r="AK188" s="363"/>
      <c r="AL188" s="363"/>
      <c r="AM188" s="363"/>
      <c r="AN188" s="363"/>
      <c r="AO188" s="363"/>
      <c r="AP188" s="363"/>
      <c r="AQ188" s="363"/>
      <c r="AR188" s="363"/>
      <c r="AS188" s="363"/>
      <c r="AT188" s="363"/>
      <c r="AU188" s="363"/>
      <c r="AV188" s="363"/>
      <c r="AW188" s="363"/>
      <c r="AX188" s="363"/>
      <c r="AY188" s="363"/>
      <c r="AZ188" s="363"/>
      <c r="BA188" s="363"/>
      <c r="BB188" s="363"/>
      <c r="BC188" s="363"/>
      <c r="BD188" s="363"/>
      <c r="BE188" s="363"/>
      <c r="BF188" s="363"/>
      <c r="BG188" s="363"/>
      <c r="BI188" s="343" t="s">
        <v>1238</v>
      </c>
    </row>
    <row r="189" spans="2:61" x14ac:dyDescent="0.2">
      <c r="B189" s="67" t="str">
        <f>IF(Capacity!B82="","",Capacity!B82)</f>
        <v/>
      </c>
      <c r="C189" s="220" t="str">
        <f>IF(B189="","",Capacity!E82)</f>
        <v/>
      </c>
      <c r="D189" s="309" t="str">
        <f>IF(B189="","",Capacity!F82)</f>
        <v/>
      </c>
      <c r="E189" s="220" t="str">
        <f>IF(B189="","",IF(COUNTBLANK(H189:BG189)=52,SUM('Capacity calculation (hide)'!H70:BG70),52-COUNTBLANK(H189:BG189)))</f>
        <v/>
      </c>
      <c r="F189" s="310" t="str">
        <f>'Capacity calculation (hide)'!BI70</f>
        <v/>
      </c>
      <c r="H189" s="363"/>
      <c r="I189" s="363"/>
      <c r="J189" s="363"/>
      <c r="K189" s="363"/>
      <c r="L189" s="363"/>
      <c r="M189" s="363"/>
      <c r="N189" s="363"/>
      <c r="O189" s="363"/>
      <c r="P189" s="363"/>
      <c r="Q189" s="363"/>
      <c r="R189" s="363"/>
      <c r="S189" s="363"/>
      <c r="T189" s="363"/>
      <c r="U189" s="363"/>
      <c r="V189" s="363"/>
      <c r="W189" s="363"/>
      <c r="X189" s="363"/>
      <c r="Y189" s="363"/>
      <c r="Z189" s="363"/>
      <c r="AA189" s="363"/>
      <c r="AB189" s="363"/>
      <c r="AC189" s="363"/>
      <c r="AD189" s="363"/>
      <c r="AE189" s="363"/>
      <c r="AF189" s="363"/>
      <c r="AG189" s="363"/>
      <c r="AH189" s="363"/>
      <c r="AI189" s="363"/>
      <c r="AJ189" s="363"/>
      <c r="AK189" s="363"/>
      <c r="AL189" s="363"/>
      <c r="AM189" s="363"/>
      <c r="AN189" s="363"/>
      <c r="AO189" s="363"/>
      <c r="AP189" s="363"/>
      <c r="AQ189" s="363"/>
      <c r="AR189" s="363"/>
      <c r="AS189" s="363"/>
      <c r="AT189" s="363"/>
      <c r="AU189" s="363"/>
      <c r="AV189" s="363"/>
      <c r="AW189" s="363"/>
      <c r="AX189" s="363"/>
      <c r="AY189" s="363"/>
      <c r="AZ189" s="363"/>
      <c r="BA189" s="363"/>
      <c r="BB189" s="363"/>
      <c r="BC189" s="363"/>
      <c r="BD189" s="363"/>
      <c r="BE189" s="363"/>
      <c r="BF189" s="363"/>
      <c r="BG189" s="363"/>
      <c r="BI189" s="343" t="s">
        <v>1238</v>
      </c>
    </row>
    <row r="190" spans="2:61" x14ac:dyDescent="0.2">
      <c r="B190" s="67" t="str">
        <f>IF(Capacity!B83="","",Capacity!B83)</f>
        <v/>
      </c>
      <c r="C190" s="220" t="str">
        <f>IF(B190="","",Capacity!E83)</f>
        <v/>
      </c>
      <c r="D190" s="309" t="str">
        <f>IF(B190="","",Capacity!F83)</f>
        <v/>
      </c>
      <c r="E190" s="220" t="str">
        <f>IF(B190="","",IF(COUNTBLANK(H190:BG190)=52,SUM('Capacity calculation (hide)'!H71:BG71),52-COUNTBLANK(H190:BG190)))</f>
        <v/>
      </c>
      <c r="F190" s="310" t="str">
        <f>'Capacity calculation (hide)'!BI71</f>
        <v/>
      </c>
      <c r="H190" s="363"/>
      <c r="I190" s="363"/>
      <c r="J190" s="363"/>
      <c r="K190" s="363"/>
      <c r="L190" s="363"/>
      <c r="M190" s="363"/>
      <c r="N190" s="363"/>
      <c r="O190" s="363"/>
      <c r="P190" s="363"/>
      <c r="Q190" s="363"/>
      <c r="R190" s="363"/>
      <c r="S190" s="363"/>
      <c r="T190" s="363"/>
      <c r="U190" s="363"/>
      <c r="V190" s="363"/>
      <c r="W190" s="363"/>
      <c r="X190" s="363"/>
      <c r="Y190" s="363"/>
      <c r="Z190" s="363"/>
      <c r="AA190" s="363"/>
      <c r="AB190" s="363"/>
      <c r="AC190" s="363"/>
      <c r="AD190" s="363"/>
      <c r="AE190" s="363"/>
      <c r="AF190" s="363"/>
      <c r="AG190" s="363"/>
      <c r="AH190" s="363"/>
      <c r="AI190" s="363"/>
      <c r="AJ190" s="363"/>
      <c r="AK190" s="363"/>
      <c r="AL190" s="363"/>
      <c r="AM190" s="363"/>
      <c r="AN190" s="363"/>
      <c r="AO190" s="363"/>
      <c r="AP190" s="363"/>
      <c r="AQ190" s="363"/>
      <c r="AR190" s="363"/>
      <c r="AS190" s="363"/>
      <c r="AT190" s="363"/>
      <c r="AU190" s="363"/>
      <c r="AV190" s="363"/>
      <c r="AW190" s="363"/>
      <c r="AX190" s="363"/>
      <c r="AY190" s="363"/>
      <c r="AZ190" s="363"/>
      <c r="BA190" s="363"/>
      <c r="BB190" s="363"/>
      <c r="BC190" s="363"/>
      <c r="BD190" s="363"/>
      <c r="BE190" s="363"/>
      <c r="BF190" s="363"/>
      <c r="BG190" s="363"/>
      <c r="BI190" s="343" t="s">
        <v>1238</v>
      </c>
    </row>
    <row r="191" spans="2:61" x14ac:dyDescent="0.2">
      <c r="B191" s="67" t="str">
        <f>IF(Capacity!B84="","",Capacity!B84)</f>
        <v/>
      </c>
      <c r="C191" s="220" t="str">
        <f>IF(B191="","",Capacity!E84)</f>
        <v/>
      </c>
      <c r="D191" s="309" t="str">
        <f>IF(B191="","",Capacity!F84)</f>
        <v/>
      </c>
      <c r="E191" s="220" t="str">
        <f>IF(B191="","",IF(COUNTBLANK(H191:BG191)=52,SUM('Capacity calculation (hide)'!H72:BG72),52-COUNTBLANK(H191:BG191)))</f>
        <v/>
      </c>
      <c r="F191" s="310" t="str">
        <f>'Capacity calculation (hide)'!BI72</f>
        <v/>
      </c>
      <c r="H191" s="363"/>
      <c r="I191" s="363"/>
      <c r="J191" s="363"/>
      <c r="K191" s="363"/>
      <c r="L191" s="363"/>
      <c r="M191" s="363"/>
      <c r="N191" s="363"/>
      <c r="O191" s="363"/>
      <c r="P191" s="363"/>
      <c r="Q191" s="363"/>
      <c r="R191" s="363"/>
      <c r="S191" s="363"/>
      <c r="T191" s="363"/>
      <c r="U191" s="363"/>
      <c r="V191" s="363"/>
      <c r="W191" s="363"/>
      <c r="X191" s="363"/>
      <c r="Y191" s="363"/>
      <c r="Z191" s="363"/>
      <c r="AA191" s="363"/>
      <c r="AB191" s="363"/>
      <c r="AC191" s="363"/>
      <c r="AD191" s="363"/>
      <c r="AE191" s="363"/>
      <c r="AF191" s="363"/>
      <c r="AG191" s="363"/>
      <c r="AH191" s="363"/>
      <c r="AI191" s="363"/>
      <c r="AJ191" s="363"/>
      <c r="AK191" s="363"/>
      <c r="AL191" s="363"/>
      <c r="AM191" s="363"/>
      <c r="AN191" s="363"/>
      <c r="AO191" s="363"/>
      <c r="AP191" s="363"/>
      <c r="AQ191" s="363"/>
      <c r="AR191" s="363"/>
      <c r="AS191" s="363"/>
      <c r="AT191" s="363"/>
      <c r="AU191" s="363"/>
      <c r="AV191" s="363"/>
      <c r="AW191" s="363"/>
      <c r="AX191" s="363"/>
      <c r="AY191" s="363"/>
      <c r="AZ191" s="363"/>
      <c r="BA191" s="363"/>
      <c r="BB191" s="363"/>
      <c r="BC191" s="363"/>
      <c r="BD191" s="363"/>
      <c r="BE191" s="363"/>
      <c r="BF191" s="363"/>
      <c r="BG191" s="363"/>
      <c r="BI191" s="343" t="s">
        <v>1238</v>
      </c>
    </row>
    <row r="192" spans="2:61" x14ac:dyDescent="0.2">
      <c r="B192" s="67" t="str">
        <f>IF(Capacity!B85="","",Capacity!B85)</f>
        <v/>
      </c>
      <c r="C192" s="220" t="str">
        <f>IF(B192="","",Capacity!E85)</f>
        <v/>
      </c>
      <c r="D192" s="309" t="str">
        <f>IF(B192="","",Capacity!F85)</f>
        <v/>
      </c>
      <c r="E192" s="220" t="str">
        <f>IF(B192="","",IF(COUNTBLANK(H192:BG192)=52,SUM('Capacity calculation (hide)'!H73:BG73),52-COUNTBLANK(H192:BG192)))</f>
        <v/>
      </c>
      <c r="F192" s="310" t="str">
        <f>'Capacity calculation (hide)'!BI73</f>
        <v/>
      </c>
      <c r="H192" s="363"/>
      <c r="I192" s="363"/>
      <c r="J192" s="363"/>
      <c r="K192" s="363"/>
      <c r="L192" s="363"/>
      <c r="M192" s="363"/>
      <c r="N192" s="363"/>
      <c r="O192" s="363"/>
      <c r="P192" s="363"/>
      <c r="Q192" s="363"/>
      <c r="R192" s="363"/>
      <c r="S192" s="363"/>
      <c r="T192" s="363"/>
      <c r="U192" s="363"/>
      <c r="V192" s="363"/>
      <c r="W192" s="363"/>
      <c r="X192" s="363"/>
      <c r="Y192" s="363"/>
      <c r="Z192" s="363"/>
      <c r="AA192" s="363"/>
      <c r="AB192" s="363"/>
      <c r="AC192" s="363"/>
      <c r="AD192" s="363"/>
      <c r="AE192" s="363"/>
      <c r="AF192" s="363"/>
      <c r="AG192" s="363"/>
      <c r="AH192" s="363"/>
      <c r="AI192" s="363"/>
      <c r="AJ192" s="363"/>
      <c r="AK192" s="363"/>
      <c r="AL192" s="363"/>
      <c r="AM192" s="363"/>
      <c r="AN192" s="363"/>
      <c r="AO192" s="363"/>
      <c r="AP192" s="363"/>
      <c r="AQ192" s="363"/>
      <c r="AR192" s="363"/>
      <c r="AS192" s="363"/>
      <c r="AT192" s="363"/>
      <c r="AU192" s="363"/>
      <c r="AV192" s="363"/>
      <c r="AW192" s="363"/>
      <c r="AX192" s="363"/>
      <c r="AY192" s="363"/>
      <c r="AZ192" s="363"/>
      <c r="BA192" s="363"/>
      <c r="BB192" s="363"/>
      <c r="BC192" s="363"/>
      <c r="BD192" s="363"/>
      <c r="BE192" s="363"/>
      <c r="BF192" s="363"/>
      <c r="BG192" s="363"/>
      <c r="BI192" s="343" t="s">
        <v>1238</v>
      </c>
    </row>
    <row r="193" spans="2:61" x14ac:dyDescent="0.2">
      <c r="B193" s="67" t="str">
        <f>IF(Capacity!B86="","",Capacity!B86)</f>
        <v/>
      </c>
      <c r="C193" s="220" t="str">
        <f>IF(B193="","",Capacity!E86)</f>
        <v/>
      </c>
      <c r="D193" s="309" t="str">
        <f>IF(B193="","",Capacity!F86)</f>
        <v/>
      </c>
      <c r="E193" s="220" t="str">
        <f>IF(B193="","",IF(COUNTBLANK(H193:BG193)=52,SUM('Capacity calculation (hide)'!H74:BG74),52-COUNTBLANK(H193:BG193)))</f>
        <v/>
      </c>
      <c r="F193" s="310" t="str">
        <f>'Capacity calculation (hide)'!BI74</f>
        <v/>
      </c>
      <c r="H193" s="363"/>
      <c r="I193" s="363"/>
      <c r="J193" s="363"/>
      <c r="K193" s="363"/>
      <c r="L193" s="363"/>
      <c r="M193" s="363"/>
      <c r="N193" s="363"/>
      <c r="O193" s="363"/>
      <c r="P193" s="363"/>
      <c r="Q193" s="363"/>
      <c r="R193" s="363"/>
      <c r="S193" s="363"/>
      <c r="T193" s="363"/>
      <c r="U193" s="363"/>
      <c r="V193" s="363"/>
      <c r="W193" s="363"/>
      <c r="X193" s="363"/>
      <c r="Y193" s="363"/>
      <c r="Z193" s="363"/>
      <c r="AA193" s="363"/>
      <c r="AB193" s="363"/>
      <c r="AC193" s="363"/>
      <c r="AD193" s="363"/>
      <c r="AE193" s="363"/>
      <c r="AF193" s="363"/>
      <c r="AG193" s="363"/>
      <c r="AH193" s="363"/>
      <c r="AI193" s="363"/>
      <c r="AJ193" s="363"/>
      <c r="AK193" s="363"/>
      <c r="AL193" s="363"/>
      <c r="AM193" s="363"/>
      <c r="AN193" s="363"/>
      <c r="AO193" s="363"/>
      <c r="AP193" s="363"/>
      <c r="AQ193" s="363"/>
      <c r="AR193" s="363"/>
      <c r="AS193" s="363"/>
      <c r="AT193" s="363"/>
      <c r="AU193" s="363"/>
      <c r="AV193" s="363"/>
      <c r="AW193" s="363"/>
      <c r="AX193" s="363"/>
      <c r="AY193" s="363"/>
      <c r="AZ193" s="363"/>
      <c r="BA193" s="363"/>
      <c r="BB193" s="363"/>
      <c r="BC193" s="363"/>
      <c r="BD193" s="363"/>
      <c r="BE193" s="363"/>
      <c r="BF193" s="363"/>
      <c r="BG193" s="363"/>
      <c r="BI193" s="343" t="s">
        <v>1238</v>
      </c>
    </row>
    <row r="194" spans="2:61" x14ac:dyDescent="0.2">
      <c r="B194" s="67" t="str">
        <f>IF(Capacity!B87="","",Capacity!B87)</f>
        <v/>
      </c>
      <c r="C194" s="220" t="str">
        <f>IF(B194="","",Capacity!E87)</f>
        <v/>
      </c>
      <c r="D194" s="309" t="str">
        <f>IF(B194="","",Capacity!F87)</f>
        <v/>
      </c>
      <c r="E194" s="220" t="str">
        <f>IF(B194="","",IF(COUNTBLANK(H194:BG194)=52,SUM('Capacity calculation (hide)'!H75:BG75),52-COUNTBLANK(H194:BG194)))</f>
        <v/>
      </c>
      <c r="F194" s="310" t="str">
        <f>'Capacity calculation (hide)'!BI75</f>
        <v/>
      </c>
      <c r="H194" s="363"/>
      <c r="I194" s="363"/>
      <c r="J194" s="363"/>
      <c r="K194" s="363"/>
      <c r="L194" s="363"/>
      <c r="M194" s="363"/>
      <c r="N194" s="363"/>
      <c r="O194" s="363"/>
      <c r="P194" s="363"/>
      <c r="Q194" s="363"/>
      <c r="R194" s="363"/>
      <c r="S194" s="363"/>
      <c r="T194" s="363"/>
      <c r="U194" s="363"/>
      <c r="V194" s="363"/>
      <c r="W194" s="363"/>
      <c r="X194" s="363"/>
      <c r="Y194" s="363"/>
      <c r="Z194" s="363"/>
      <c r="AA194" s="363"/>
      <c r="AB194" s="363"/>
      <c r="AC194" s="363"/>
      <c r="AD194" s="363"/>
      <c r="AE194" s="363"/>
      <c r="AF194" s="363"/>
      <c r="AG194" s="363"/>
      <c r="AH194" s="363"/>
      <c r="AI194" s="363"/>
      <c r="AJ194" s="363"/>
      <c r="AK194" s="363"/>
      <c r="AL194" s="363"/>
      <c r="AM194" s="363"/>
      <c r="AN194" s="363"/>
      <c r="AO194" s="363"/>
      <c r="AP194" s="363"/>
      <c r="AQ194" s="363"/>
      <c r="AR194" s="363"/>
      <c r="AS194" s="363"/>
      <c r="AT194" s="363"/>
      <c r="AU194" s="363"/>
      <c r="AV194" s="363"/>
      <c r="AW194" s="363"/>
      <c r="AX194" s="363"/>
      <c r="AY194" s="363"/>
      <c r="AZ194" s="363"/>
      <c r="BA194" s="363"/>
      <c r="BB194" s="363"/>
      <c r="BC194" s="363"/>
      <c r="BD194" s="363"/>
      <c r="BE194" s="363"/>
      <c r="BF194" s="363"/>
      <c r="BG194" s="363"/>
      <c r="BI194" s="343" t="s">
        <v>1238</v>
      </c>
    </row>
    <row r="195" spans="2:61" x14ac:dyDescent="0.2">
      <c r="B195" s="67" t="str">
        <f>IF(Capacity!B88="","",Capacity!B88)</f>
        <v/>
      </c>
      <c r="C195" s="220" t="str">
        <f>IF(B195="","",Capacity!E88)</f>
        <v/>
      </c>
      <c r="D195" s="309" t="str">
        <f>IF(B195="","",Capacity!F88)</f>
        <v/>
      </c>
      <c r="E195" s="220" t="str">
        <f>IF(B195="","",IF(COUNTBLANK(H195:BG195)=52,SUM('Capacity calculation (hide)'!H76:BG76),52-COUNTBLANK(H195:BG195)))</f>
        <v/>
      </c>
      <c r="F195" s="310" t="str">
        <f>'Capacity calculation (hide)'!BI76</f>
        <v/>
      </c>
      <c r="H195" s="363"/>
      <c r="I195" s="363"/>
      <c r="J195" s="363"/>
      <c r="K195" s="363"/>
      <c r="L195" s="363"/>
      <c r="M195" s="363"/>
      <c r="N195" s="363"/>
      <c r="O195" s="363"/>
      <c r="P195" s="363"/>
      <c r="Q195" s="363"/>
      <c r="R195" s="363"/>
      <c r="S195" s="363"/>
      <c r="T195" s="363"/>
      <c r="U195" s="363"/>
      <c r="V195" s="363"/>
      <c r="W195" s="363"/>
      <c r="X195" s="363"/>
      <c r="Y195" s="363"/>
      <c r="Z195" s="363"/>
      <c r="AA195" s="363"/>
      <c r="AB195" s="363"/>
      <c r="AC195" s="363"/>
      <c r="AD195" s="363"/>
      <c r="AE195" s="363"/>
      <c r="AF195" s="363"/>
      <c r="AG195" s="363"/>
      <c r="AH195" s="363"/>
      <c r="AI195" s="363"/>
      <c r="AJ195" s="363"/>
      <c r="AK195" s="363"/>
      <c r="AL195" s="363"/>
      <c r="AM195" s="363"/>
      <c r="AN195" s="363"/>
      <c r="AO195" s="363"/>
      <c r="AP195" s="363"/>
      <c r="AQ195" s="363"/>
      <c r="AR195" s="363"/>
      <c r="AS195" s="363"/>
      <c r="AT195" s="363"/>
      <c r="AU195" s="363"/>
      <c r="AV195" s="363"/>
      <c r="AW195" s="363"/>
      <c r="AX195" s="363"/>
      <c r="AY195" s="363"/>
      <c r="AZ195" s="363"/>
      <c r="BA195" s="363"/>
      <c r="BB195" s="363"/>
      <c r="BC195" s="363"/>
      <c r="BD195" s="363"/>
      <c r="BE195" s="363"/>
      <c r="BF195" s="363"/>
      <c r="BG195" s="363"/>
      <c r="BI195" s="343" t="s">
        <v>1238</v>
      </c>
    </row>
    <row r="196" spans="2:61" x14ac:dyDescent="0.2">
      <c r="B196" s="67" t="str">
        <f>IF(Capacity!B89="","",Capacity!B89)</f>
        <v/>
      </c>
      <c r="C196" s="220" t="str">
        <f>IF(B196="","",Capacity!E89)</f>
        <v/>
      </c>
      <c r="D196" s="309" t="str">
        <f>IF(B196="","",Capacity!F89)</f>
        <v/>
      </c>
      <c r="E196" s="220" t="str">
        <f>IF(B196="","",IF(COUNTBLANK(H196:BG196)=52,SUM('Capacity calculation (hide)'!H77:BG77),52-COUNTBLANK(H196:BG196)))</f>
        <v/>
      </c>
      <c r="F196" s="310" t="str">
        <f>'Capacity calculation (hide)'!BI77</f>
        <v/>
      </c>
      <c r="H196" s="363"/>
      <c r="I196" s="363"/>
      <c r="J196" s="363"/>
      <c r="K196" s="363"/>
      <c r="L196" s="363"/>
      <c r="M196" s="363"/>
      <c r="N196" s="363"/>
      <c r="O196" s="363"/>
      <c r="P196" s="363"/>
      <c r="Q196" s="363"/>
      <c r="R196" s="363"/>
      <c r="S196" s="363"/>
      <c r="T196" s="363"/>
      <c r="U196" s="363"/>
      <c r="V196" s="363"/>
      <c r="W196" s="363"/>
      <c r="X196" s="363"/>
      <c r="Y196" s="363"/>
      <c r="Z196" s="363"/>
      <c r="AA196" s="363"/>
      <c r="AB196" s="363"/>
      <c r="AC196" s="363"/>
      <c r="AD196" s="363"/>
      <c r="AE196" s="363"/>
      <c r="AF196" s="363"/>
      <c r="AG196" s="363"/>
      <c r="AH196" s="363"/>
      <c r="AI196" s="363"/>
      <c r="AJ196" s="363"/>
      <c r="AK196" s="363"/>
      <c r="AL196" s="363"/>
      <c r="AM196" s="363"/>
      <c r="AN196" s="363"/>
      <c r="AO196" s="363"/>
      <c r="AP196" s="363"/>
      <c r="AQ196" s="363"/>
      <c r="AR196" s="363"/>
      <c r="AS196" s="363"/>
      <c r="AT196" s="363"/>
      <c r="AU196" s="363"/>
      <c r="AV196" s="363"/>
      <c r="AW196" s="363"/>
      <c r="AX196" s="363"/>
      <c r="AY196" s="363"/>
      <c r="AZ196" s="363"/>
      <c r="BA196" s="363"/>
      <c r="BB196" s="363"/>
      <c r="BC196" s="363"/>
      <c r="BD196" s="363"/>
      <c r="BE196" s="363"/>
      <c r="BF196" s="363"/>
      <c r="BG196" s="363"/>
      <c r="BI196" s="343" t="s">
        <v>1238</v>
      </c>
    </row>
    <row r="197" spans="2:61" x14ac:dyDescent="0.2">
      <c r="B197" s="67" t="str">
        <f>IF(Capacity!B90="","",Capacity!B90)</f>
        <v/>
      </c>
      <c r="C197" s="220" t="str">
        <f>IF(B197="","",Capacity!E90)</f>
        <v/>
      </c>
      <c r="D197" s="309" t="str">
        <f>IF(B197="","",Capacity!F90)</f>
        <v/>
      </c>
      <c r="E197" s="220" t="str">
        <f>IF(B197="","",IF(COUNTBLANK(H197:BG197)=52,SUM('Capacity calculation (hide)'!H78:BG78),52-COUNTBLANK(H197:BG197)))</f>
        <v/>
      </c>
      <c r="F197" s="310" t="str">
        <f>'Capacity calculation (hide)'!BI78</f>
        <v/>
      </c>
      <c r="H197" s="363"/>
      <c r="I197" s="363"/>
      <c r="J197" s="363"/>
      <c r="K197" s="363"/>
      <c r="L197" s="363"/>
      <c r="M197" s="363"/>
      <c r="N197" s="363"/>
      <c r="O197" s="363"/>
      <c r="P197" s="363"/>
      <c r="Q197" s="363"/>
      <c r="R197" s="363"/>
      <c r="S197" s="363"/>
      <c r="T197" s="363"/>
      <c r="U197" s="363"/>
      <c r="V197" s="363"/>
      <c r="W197" s="363"/>
      <c r="X197" s="363"/>
      <c r="Y197" s="363"/>
      <c r="Z197" s="363"/>
      <c r="AA197" s="363"/>
      <c r="AB197" s="363"/>
      <c r="AC197" s="363"/>
      <c r="AD197" s="363"/>
      <c r="AE197" s="363"/>
      <c r="AF197" s="363"/>
      <c r="AG197" s="363"/>
      <c r="AH197" s="363"/>
      <c r="AI197" s="363"/>
      <c r="AJ197" s="363"/>
      <c r="AK197" s="363"/>
      <c r="AL197" s="363"/>
      <c r="AM197" s="363"/>
      <c r="AN197" s="363"/>
      <c r="AO197" s="363"/>
      <c r="AP197" s="363"/>
      <c r="AQ197" s="363"/>
      <c r="AR197" s="363"/>
      <c r="AS197" s="363"/>
      <c r="AT197" s="363"/>
      <c r="AU197" s="363"/>
      <c r="AV197" s="363"/>
      <c r="AW197" s="363"/>
      <c r="AX197" s="363"/>
      <c r="AY197" s="363"/>
      <c r="AZ197" s="363"/>
      <c r="BA197" s="363"/>
      <c r="BB197" s="363"/>
      <c r="BC197" s="363"/>
      <c r="BD197" s="363"/>
      <c r="BE197" s="363"/>
      <c r="BF197" s="363"/>
      <c r="BG197" s="363"/>
      <c r="BI197" s="343" t="s">
        <v>1238</v>
      </c>
    </row>
    <row r="198" spans="2:61" x14ac:dyDescent="0.2">
      <c r="B198" s="67" t="str">
        <f>IF(Capacity!B91="","",Capacity!B91)</f>
        <v/>
      </c>
      <c r="C198" s="220" t="str">
        <f>IF(B198="","",Capacity!E91)</f>
        <v/>
      </c>
      <c r="D198" s="309" t="str">
        <f>IF(B198="","",Capacity!F91)</f>
        <v/>
      </c>
      <c r="E198" s="220" t="str">
        <f>IF(B198="","",IF(COUNTBLANK(H198:BG198)=52,SUM('Capacity calculation (hide)'!H79:BG79),52-COUNTBLANK(H198:BG198)))</f>
        <v/>
      </c>
      <c r="F198" s="310" t="str">
        <f>'Capacity calculation (hide)'!BI79</f>
        <v/>
      </c>
      <c r="H198" s="363"/>
      <c r="I198" s="363"/>
      <c r="J198" s="363"/>
      <c r="K198" s="363"/>
      <c r="L198" s="363"/>
      <c r="M198" s="363"/>
      <c r="N198" s="363"/>
      <c r="O198" s="363"/>
      <c r="P198" s="363"/>
      <c r="Q198" s="363"/>
      <c r="R198" s="363"/>
      <c r="S198" s="363"/>
      <c r="T198" s="363"/>
      <c r="U198" s="363"/>
      <c r="V198" s="363"/>
      <c r="W198" s="363"/>
      <c r="X198" s="363"/>
      <c r="Y198" s="363"/>
      <c r="Z198" s="363"/>
      <c r="AA198" s="363"/>
      <c r="AB198" s="363"/>
      <c r="AC198" s="363"/>
      <c r="AD198" s="363"/>
      <c r="AE198" s="363"/>
      <c r="AF198" s="363"/>
      <c r="AG198" s="363"/>
      <c r="AH198" s="363"/>
      <c r="AI198" s="363"/>
      <c r="AJ198" s="363"/>
      <c r="AK198" s="363"/>
      <c r="AL198" s="363"/>
      <c r="AM198" s="363"/>
      <c r="AN198" s="363"/>
      <c r="AO198" s="363"/>
      <c r="AP198" s="363"/>
      <c r="AQ198" s="363"/>
      <c r="AR198" s="363"/>
      <c r="AS198" s="363"/>
      <c r="AT198" s="363"/>
      <c r="AU198" s="363"/>
      <c r="AV198" s="363"/>
      <c r="AW198" s="363"/>
      <c r="AX198" s="363"/>
      <c r="AY198" s="363"/>
      <c r="AZ198" s="363"/>
      <c r="BA198" s="363"/>
      <c r="BB198" s="363"/>
      <c r="BC198" s="363"/>
      <c r="BD198" s="363"/>
      <c r="BE198" s="363"/>
      <c r="BF198" s="363"/>
      <c r="BG198" s="363"/>
      <c r="BI198" s="343" t="s">
        <v>1238</v>
      </c>
    </row>
    <row r="199" spans="2:61" x14ac:dyDescent="0.2">
      <c r="B199" s="67" t="str">
        <f>IF(Capacity!B92="","",Capacity!B92)</f>
        <v/>
      </c>
      <c r="C199" s="220" t="str">
        <f>IF(B199="","",Capacity!E92)</f>
        <v/>
      </c>
      <c r="D199" s="309" t="str">
        <f>IF(B199="","",Capacity!F92)</f>
        <v/>
      </c>
      <c r="E199" s="220" t="str">
        <f>IF(B199="","",IF(COUNTBLANK(H199:BG199)=52,SUM('Capacity calculation (hide)'!H80:BG80),52-COUNTBLANK(H199:BG199)))</f>
        <v/>
      </c>
      <c r="F199" s="310" t="str">
        <f>'Capacity calculation (hide)'!BI80</f>
        <v/>
      </c>
      <c r="H199" s="363"/>
      <c r="I199" s="363"/>
      <c r="J199" s="363"/>
      <c r="K199" s="363"/>
      <c r="L199" s="363"/>
      <c r="M199" s="363"/>
      <c r="N199" s="363"/>
      <c r="O199" s="363"/>
      <c r="P199" s="363"/>
      <c r="Q199" s="363"/>
      <c r="R199" s="363"/>
      <c r="S199" s="363"/>
      <c r="T199" s="363"/>
      <c r="U199" s="363"/>
      <c r="V199" s="363"/>
      <c r="W199" s="363"/>
      <c r="X199" s="363"/>
      <c r="Y199" s="363"/>
      <c r="Z199" s="363"/>
      <c r="AA199" s="363"/>
      <c r="AB199" s="363"/>
      <c r="AC199" s="363"/>
      <c r="AD199" s="363"/>
      <c r="AE199" s="363"/>
      <c r="AF199" s="363"/>
      <c r="AG199" s="363"/>
      <c r="AH199" s="363"/>
      <c r="AI199" s="363"/>
      <c r="AJ199" s="363"/>
      <c r="AK199" s="363"/>
      <c r="AL199" s="363"/>
      <c r="AM199" s="363"/>
      <c r="AN199" s="363"/>
      <c r="AO199" s="363"/>
      <c r="AP199" s="363"/>
      <c r="AQ199" s="363"/>
      <c r="AR199" s="363"/>
      <c r="AS199" s="363"/>
      <c r="AT199" s="363"/>
      <c r="AU199" s="363"/>
      <c r="AV199" s="363"/>
      <c r="AW199" s="363"/>
      <c r="AX199" s="363"/>
      <c r="AY199" s="363"/>
      <c r="AZ199" s="363"/>
      <c r="BA199" s="363"/>
      <c r="BB199" s="363"/>
      <c r="BC199" s="363"/>
      <c r="BD199" s="363"/>
      <c r="BE199" s="363"/>
      <c r="BF199" s="363"/>
      <c r="BG199" s="363"/>
      <c r="BI199" s="343" t="s">
        <v>1238</v>
      </c>
    </row>
    <row r="200" spans="2:61" x14ac:dyDescent="0.2">
      <c r="B200" s="67" t="str">
        <f>IF(Capacity!B93="","",Capacity!B93)</f>
        <v/>
      </c>
      <c r="C200" s="220" t="str">
        <f>IF(B200="","",Capacity!E93)</f>
        <v/>
      </c>
      <c r="D200" s="309" t="str">
        <f>IF(B200="","",Capacity!F93)</f>
        <v/>
      </c>
      <c r="E200" s="220" t="str">
        <f>IF(B200="","",IF(COUNTBLANK(H200:BG200)=52,SUM('Capacity calculation (hide)'!H81:BG81),52-COUNTBLANK(H200:BG200)))</f>
        <v/>
      </c>
      <c r="F200" s="310" t="str">
        <f>'Capacity calculation (hide)'!BI81</f>
        <v/>
      </c>
      <c r="H200" s="363"/>
      <c r="I200" s="363"/>
      <c r="J200" s="363"/>
      <c r="K200" s="363"/>
      <c r="L200" s="363"/>
      <c r="M200" s="363"/>
      <c r="N200" s="363"/>
      <c r="O200" s="363"/>
      <c r="P200" s="363"/>
      <c r="Q200" s="363"/>
      <c r="R200" s="363"/>
      <c r="S200" s="363"/>
      <c r="T200" s="363"/>
      <c r="U200" s="363"/>
      <c r="V200" s="363"/>
      <c r="W200" s="363"/>
      <c r="X200" s="363"/>
      <c r="Y200" s="363"/>
      <c r="Z200" s="363"/>
      <c r="AA200" s="363"/>
      <c r="AB200" s="363"/>
      <c r="AC200" s="363"/>
      <c r="AD200" s="363"/>
      <c r="AE200" s="363"/>
      <c r="AF200" s="363"/>
      <c r="AG200" s="363"/>
      <c r="AH200" s="363"/>
      <c r="AI200" s="363"/>
      <c r="AJ200" s="363"/>
      <c r="AK200" s="363"/>
      <c r="AL200" s="363"/>
      <c r="AM200" s="363"/>
      <c r="AN200" s="363"/>
      <c r="AO200" s="363"/>
      <c r="AP200" s="363"/>
      <c r="AQ200" s="363"/>
      <c r="AR200" s="363"/>
      <c r="AS200" s="363"/>
      <c r="AT200" s="363"/>
      <c r="AU200" s="363"/>
      <c r="AV200" s="363"/>
      <c r="AW200" s="363"/>
      <c r="AX200" s="363"/>
      <c r="AY200" s="363"/>
      <c r="AZ200" s="363"/>
      <c r="BA200" s="363"/>
      <c r="BB200" s="363"/>
      <c r="BC200" s="363"/>
      <c r="BD200" s="363"/>
      <c r="BE200" s="363"/>
      <c r="BF200" s="363"/>
      <c r="BG200" s="363"/>
      <c r="BI200" s="343" t="s">
        <v>1238</v>
      </c>
    </row>
    <row r="201" spans="2:61" x14ac:dyDescent="0.2">
      <c r="B201" s="67" t="str">
        <f>IF(Capacity!B94="","",Capacity!B94)</f>
        <v/>
      </c>
      <c r="C201" s="220" t="str">
        <f>IF(B201="","",Capacity!E94)</f>
        <v/>
      </c>
      <c r="D201" s="309" t="str">
        <f>IF(B201="","",Capacity!F94)</f>
        <v/>
      </c>
      <c r="E201" s="220" t="str">
        <f>IF(B201="","",IF(COUNTBLANK(H201:BG201)=52,SUM('Capacity calculation (hide)'!H82:BG82),52-COUNTBLANK(H201:BG201)))</f>
        <v/>
      </c>
      <c r="F201" s="310" t="str">
        <f>'Capacity calculation (hide)'!BI82</f>
        <v/>
      </c>
      <c r="H201" s="363"/>
      <c r="I201" s="363"/>
      <c r="J201" s="363"/>
      <c r="K201" s="363"/>
      <c r="L201" s="363"/>
      <c r="M201" s="363"/>
      <c r="N201" s="363"/>
      <c r="O201" s="363"/>
      <c r="P201" s="363"/>
      <c r="Q201" s="363"/>
      <c r="R201" s="363"/>
      <c r="S201" s="363"/>
      <c r="T201" s="363"/>
      <c r="U201" s="363"/>
      <c r="V201" s="363"/>
      <c r="W201" s="363"/>
      <c r="X201" s="363"/>
      <c r="Y201" s="363"/>
      <c r="Z201" s="363"/>
      <c r="AA201" s="363"/>
      <c r="AB201" s="363"/>
      <c r="AC201" s="363"/>
      <c r="AD201" s="363"/>
      <c r="AE201" s="363"/>
      <c r="AF201" s="363"/>
      <c r="AG201" s="363"/>
      <c r="AH201" s="363"/>
      <c r="AI201" s="363"/>
      <c r="AJ201" s="363"/>
      <c r="AK201" s="363"/>
      <c r="AL201" s="363"/>
      <c r="AM201" s="363"/>
      <c r="AN201" s="363"/>
      <c r="AO201" s="363"/>
      <c r="AP201" s="363"/>
      <c r="AQ201" s="363"/>
      <c r="AR201" s="363"/>
      <c r="AS201" s="363"/>
      <c r="AT201" s="363"/>
      <c r="AU201" s="363"/>
      <c r="AV201" s="363"/>
      <c r="AW201" s="363"/>
      <c r="AX201" s="363"/>
      <c r="AY201" s="363"/>
      <c r="AZ201" s="363"/>
      <c r="BA201" s="363"/>
      <c r="BB201" s="363"/>
      <c r="BC201" s="363"/>
      <c r="BD201" s="363"/>
      <c r="BE201" s="363"/>
      <c r="BF201" s="363"/>
      <c r="BG201" s="363"/>
      <c r="BI201" s="343" t="s">
        <v>1238</v>
      </c>
    </row>
    <row r="202" spans="2:61" x14ac:dyDescent="0.2">
      <c r="B202" s="67" t="str">
        <f>IF(Capacity!B95="","",Capacity!B95)</f>
        <v/>
      </c>
      <c r="C202" s="220" t="str">
        <f>IF(B202="","",Capacity!E95)</f>
        <v/>
      </c>
      <c r="D202" s="309" t="str">
        <f>IF(B202="","",Capacity!F95)</f>
        <v/>
      </c>
      <c r="E202" s="220" t="str">
        <f>IF(B202="","",IF(COUNTBLANK(H202:BG202)=52,SUM('Capacity calculation (hide)'!H83:BG83),52-COUNTBLANK(H202:BG202)))</f>
        <v/>
      </c>
      <c r="F202" s="310" t="str">
        <f>'Capacity calculation (hide)'!BI83</f>
        <v/>
      </c>
      <c r="H202" s="363"/>
      <c r="I202" s="363"/>
      <c r="J202" s="363"/>
      <c r="K202" s="363"/>
      <c r="L202" s="363"/>
      <c r="M202" s="363"/>
      <c r="N202" s="363"/>
      <c r="O202" s="363"/>
      <c r="P202" s="363"/>
      <c r="Q202" s="363"/>
      <c r="R202" s="363"/>
      <c r="S202" s="363"/>
      <c r="T202" s="363"/>
      <c r="U202" s="363"/>
      <c r="V202" s="363"/>
      <c r="W202" s="363"/>
      <c r="X202" s="363"/>
      <c r="Y202" s="363"/>
      <c r="Z202" s="363"/>
      <c r="AA202" s="363"/>
      <c r="AB202" s="363"/>
      <c r="AC202" s="363"/>
      <c r="AD202" s="363"/>
      <c r="AE202" s="363"/>
      <c r="AF202" s="363"/>
      <c r="AG202" s="363"/>
      <c r="AH202" s="363"/>
      <c r="AI202" s="363"/>
      <c r="AJ202" s="363"/>
      <c r="AK202" s="363"/>
      <c r="AL202" s="363"/>
      <c r="AM202" s="363"/>
      <c r="AN202" s="363"/>
      <c r="AO202" s="363"/>
      <c r="AP202" s="363"/>
      <c r="AQ202" s="363"/>
      <c r="AR202" s="363"/>
      <c r="AS202" s="363"/>
      <c r="AT202" s="363"/>
      <c r="AU202" s="363"/>
      <c r="AV202" s="363"/>
      <c r="AW202" s="363"/>
      <c r="AX202" s="363"/>
      <c r="AY202" s="363"/>
      <c r="AZ202" s="363"/>
      <c r="BA202" s="363"/>
      <c r="BB202" s="363"/>
      <c r="BC202" s="363"/>
      <c r="BD202" s="363"/>
      <c r="BE202" s="363"/>
      <c r="BF202" s="363"/>
      <c r="BG202" s="363"/>
      <c r="BI202" s="343" t="s">
        <v>1238</v>
      </c>
    </row>
    <row r="203" spans="2:61" x14ac:dyDescent="0.2">
      <c r="B203" s="67" t="str">
        <f>IF(Capacity!B96="","",Capacity!B96)</f>
        <v/>
      </c>
      <c r="C203" s="220" t="str">
        <f>IF(B203="","",Capacity!E96)</f>
        <v/>
      </c>
      <c r="D203" s="309" t="str">
        <f>IF(B203="","",Capacity!F96)</f>
        <v/>
      </c>
      <c r="E203" s="220" t="str">
        <f>IF(B203="","",IF(COUNTBLANK(H203:BG203)=52,SUM('Capacity calculation (hide)'!H84:BG84),52-COUNTBLANK(H203:BG203)))</f>
        <v/>
      </c>
      <c r="F203" s="310" t="str">
        <f>'Capacity calculation (hide)'!BI84</f>
        <v/>
      </c>
      <c r="H203" s="363"/>
      <c r="I203" s="363"/>
      <c r="J203" s="363"/>
      <c r="K203" s="363"/>
      <c r="L203" s="363"/>
      <c r="M203" s="363"/>
      <c r="N203" s="363"/>
      <c r="O203" s="363"/>
      <c r="P203" s="363"/>
      <c r="Q203" s="363"/>
      <c r="R203" s="363"/>
      <c r="S203" s="363"/>
      <c r="T203" s="363"/>
      <c r="U203" s="363"/>
      <c r="V203" s="363"/>
      <c r="W203" s="363"/>
      <c r="X203" s="363"/>
      <c r="Y203" s="363"/>
      <c r="Z203" s="363"/>
      <c r="AA203" s="363"/>
      <c r="AB203" s="363"/>
      <c r="AC203" s="363"/>
      <c r="AD203" s="363"/>
      <c r="AE203" s="363"/>
      <c r="AF203" s="363"/>
      <c r="AG203" s="363"/>
      <c r="AH203" s="363"/>
      <c r="AI203" s="363"/>
      <c r="AJ203" s="363"/>
      <c r="AK203" s="363"/>
      <c r="AL203" s="363"/>
      <c r="AM203" s="363"/>
      <c r="AN203" s="363"/>
      <c r="AO203" s="363"/>
      <c r="AP203" s="363"/>
      <c r="AQ203" s="363"/>
      <c r="AR203" s="363"/>
      <c r="AS203" s="363"/>
      <c r="AT203" s="363"/>
      <c r="AU203" s="363"/>
      <c r="AV203" s="363"/>
      <c r="AW203" s="363"/>
      <c r="AX203" s="363"/>
      <c r="AY203" s="363"/>
      <c r="AZ203" s="363"/>
      <c r="BA203" s="363"/>
      <c r="BB203" s="363"/>
      <c r="BC203" s="363"/>
      <c r="BD203" s="363"/>
      <c r="BE203" s="363"/>
      <c r="BF203" s="363"/>
      <c r="BG203" s="363"/>
      <c r="BI203" s="343" t="s">
        <v>1238</v>
      </c>
    </row>
    <row r="204" spans="2:61" x14ac:dyDescent="0.2">
      <c r="B204" s="67" t="str">
        <f>IF(Capacity!B97="","",Capacity!B97)</f>
        <v/>
      </c>
      <c r="C204" s="220" t="str">
        <f>IF(B204="","",Capacity!E97)</f>
        <v/>
      </c>
      <c r="D204" s="309" t="str">
        <f>IF(B204="","",Capacity!F97)</f>
        <v/>
      </c>
      <c r="E204" s="220" t="str">
        <f>IF(B204="","",IF(COUNTBLANK(H204:BG204)=52,SUM('Capacity calculation (hide)'!H85:BG85),52-COUNTBLANK(H204:BG204)))</f>
        <v/>
      </c>
      <c r="F204" s="310" t="str">
        <f>'Capacity calculation (hide)'!BI85</f>
        <v/>
      </c>
      <c r="H204" s="363"/>
      <c r="I204" s="363"/>
      <c r="J204" s="363"/>
      <c r="K204" s="363"/>
      <c r="L204" s="363"/>
      <c r="M204" s="363"/>
      <c r="N204" s="363"/>
      <c r="O204" s="363"/>
      <c r="P204" s="363"/>
      <c r="Q204" s="363"/>
      <c r="R204" s="363"/>
      <c r="S204" s="363"/>
      <c r="T204" s="363"/>
      <c r="U204" s="363"/>
      <c r="V204" s="363"/>
      <c r="W204" s="363"/>
      <c r="X204" s="363"/>
      <c r="Y204" s="363"/>
      <c r="Z204" s="363"/>
      <c r="AA204" s="363"/>
      <c r="AB204" s="363"/>
      <c r="AC204" s="363"/>
      <c r="AD204" s="363"/>
      <c r="AE204" s="363"/>
      <c r="AF204" s="363"/>
      <c r="AG204" s="363"/>
      <c r="AH204" s="363"/>
      <c r="AI204" s="363"/>
      <c r="AJ204" s="363"/>
      <c r="AK204" s="363"/>
      <c r="AL204" s="363"/>
      <c r="AM204" s="363"/>
      <c r="AN204" s="363"/>
      <c r="AO204" s="363"/>
      <c r="AP204" s="363"/>
      <c r="AQ204" s="363"/>
      <c r="AR204" s="363"/>
      <c r="AS204" s="363"/>
      <c r="AT204" s="363"/>
      <c r="AU204" s="363"/>
      <c r="AV204" s="363"/>
      <c r="AW204" s="363"/>
      <c r="AX204" s="363"/>
      <c r="AY204" s="363"/>
      <c r="AZ204" s="363"/>
      <c r="BA204" s="363"/>
      <c r="BB204" s="363"/>
      <c r="BC204" s="363"/>
      <c r="BD204" s="363"/>
      <c r="BE204" s="363"/>
      <c r="BF204" s="363"/>
      <c r="BG204" s="363"/>
      <c r="BI204" s="343" t="s">
        <v>1238</v>
      </c>
    </row>
    <row r="205" spans="2:61" x14ac:dyDescent="0.2">
      <c r="B205" s="67" t="str">
        <f>IF(Capacity!B98="","",Capacity!B98)</f>
        <v/>
      </c>
      <c r="C205" s="220" t="str">
        <f>IF(B205="","",Capacity!E98)</f>
        <v/>
      </c>
      <c r="D205" s="309" t="str">
        <f>IF(B205="","",Capacity!F98)</f>
        <v/>
      </c>
      <c r="E205" s="220" t="str">
        <f>IF(B205="","",IF(COUNTBLANK(H205:BG205)=52,SUM('Capacity calculation (hide)'!H86:BG86),52-COUNTBLANK(H205:BG205)))</f>
        <v/>
      </c>
      <c r="F205" s="310" t="str">
        <f>'Capacity calculation (hide)'!BI86</f>
        <v/>
      </c>
      <c r="H205" s="363"/>
      <c r="I205" s="363"/>
      <c r="J205" s="363"/>
      <c r="K205" s="363"/>
      <c r="L205" s="363"/>
      <c r="M205" s="363"/>
      <c r="N205" s="363"/>
      <c r="O205" s="363"/>
      <c r="P205" s="363"/>
      <c r="Q205" s="363"/>
      <c r="R205" s="363"/>
      <c r="S205" s="363"/>
      <c r="T205" s="363"/>
      <c r="U205" s="363"/>
      <c r="V205" s="363"/>
      <c r="W205" s="363"/>
      <c r="X205" s="363"/>
      <c r="Y205" s="363"/>
      <c r="Z205" s="363"/>
      <c r="AA205" s="363"/>
      <c r="AB205" s="363"/>
      <c r="AC205" s="363"/>
      <c r="AD205" s="363"/>
      <c r="AE205" s="363"/>
      <c r="AF205" s="363"/>
      <c r="AG205" s="363"/>
      <c r="AH205" s="363"/>
      <c r="AI205" s="363"/>
      <c r="AJ205" s="363"/>
      <c r="AK205" s="363"/>
      <c r="AL205" s="363"/>
      <c r="AM205" s="363"/>
      <c r="AN205" s="363"/>
      <c r="AO205" s="363"/>
      <c r="AP205" s="363"/>
      <c r="AQ205" s="363"/>
      <c r="AR205" s="363"/>
      <c r="AS205" s="363"/>
      <c r="AT205" s="363"/>
      <c r="AU205" s="363"/>
      <c r="AV205" s="363"/>
      <c r="AW205" s="363"/>
      <c r="AX205" s="363"/>
      <c r="AY205" s="363"/>
      <c r="AZ205" s="363"/>
      <c r="BA205" s="363"/>
      <c r="BB205" s="363"/>
      <c r="BC205" s="363"/>
      <c r="BD205" s="363"/>
      <c r="BE205" s="363"/>
      <c r="BF205" s="363"/>
      <c r="BG205" s="363"/>
      <c r="BI205" s="343" t="s">
        <v>1238</v>
      </c>
    </row>
    <row r="206" spans="2:61" x14ac:dyDescent="0.2">
      <c r="B206" s="67" t="str">
        <f>IF(Capacity!B99="","",Capacity!B99)</f>
        <v/>
      </c>
      <c r="C206" s="220" t="str">
        <f>IF(B206="","",Capacity!E99)</f>
        <v/>
      </c>
      <c r="D206" s="309" t="str">
        <f>IF(B206="","",Capacity!F99)</f>
        <v/>
      </c>
      <c r="E206" s="220" t="str">
        <f>IF(B206="","",IF(COUNTBLANK(H206:BG206)=52,SUM('Capacity calculation (hide)'!H87:BG87),52-COUNTBLANK(H206:BG206)))</f>
        <v/>
      </c>
      <c r="F206" s="310" t="str">
        <f>'Capacity calculation (hide)'!BI87</f>
        <v/>
      </c>
      <c r="H206" s="363"/>
      <c r="I206" s="363"/>
      <c r="J206" s="363"/>
      <c r="K206" s="363"/>
      <c r="L206" s="363"/>
      <c r="M206" s="363"/>
      <c r="N206" s="363"/>
      <c r="O206" s="363"/>
      <c r="P206" s="363"/>
      <c r="Q206" s="363"/>
      <c r="R206" s="363"/>
      <c r="S206" s="363"/>
      <c r="T206" s="363"/>
      <c r="U206" s="363"/>
      <c r="V206" s="363"/>
      <c r="W206" s="363"/>
      <c r="X206" s="363"/>
      <c r="Y206" s="363"/>
      <c r="Z206" s="363"/>
      <c r="AA206" s="363"/>
      <c r="AB206" s="363"/>
      <c r="AC206" s="363"/>
      <c r="AD206" s="363"/>
      <c r="AE206" s="363"/>
      <c r="AF206" s="363"/>
      <c r="AG206" s="363"/>
      <c r="AH206" s="363"/>
      <c r="AI206" s="363"/>
      <c r="AJ206" s="363"/>
      <c r="AK206" s="363"/>
      <c r="AL206" s="363"/>
      <c r="AM206" s="363"/>
      <c r="AN206" s="363"/>
      <c r="AO206" s="363"/>
      <c r="AP206" s="363"/>
      <c r="AQ206" s="363"/>
      <c r="AR206" s="363"/>
      <c r="AS206" s="363"/>
      <c r="AT206" s="363"/>
      <c r="AU206" s="363"/>
      <c r="AV206" s="363"/>
      <c r="AW206" s="363"/>
      <c r="AX206" s="363"/>
      <c r="AY206" s="363"/>
      <c r="AZ206" s="363"/>
      <c r="BA206" s="363"/>
      <c r="BB206" s="363"/>
      <c r="BC206" s="363"/>
      <c r="BD206" s="363"/>
      <c r="BE206" s="363"/>
      <c r="BF206" s="363"/>
      <c r="BG206" s="363"/>
      <c r="BI206" s="343" t="s">
        <v>1238</v>
      </c>
    </row>
    <row r="207" spans="2:61" x14ac:dyDescent="0.2">
      <c r="B207" s="67" t="str">
        <f>IF(Capacity!B100="","",Capacity!B100)</f>
        <v/>
      </c>
      <c r="C207" s="220" t="str">
        <f>IF(B207="","",Capacity!E100)</f>
        <v/>
      </c>
      <c r="D207" s="309" t="str">
        <f>IF(B207="","",Capacity!F100)</f>
        <v/>
      </c>
      <c r="E207" s="220" t="str">
        <f>IF(B207="","",IF(COUNTBLANK(H207:BG207)=52,SUM('Capacity calculation (hide)'!H88:BG88),52-COUNTBLANK(H207:BG207)))</f>
        <v/>
      </c>
      <c r="F207" s="310" t="str">
        <f>'Capacity calculation (hide)'!BI88</f>
        <v/>
      </c>
      <c r="H207" s="363"/>
      <c r="I207" s="363"/>
      <c r="J207" s="363"/>
      <c r="K207" s="363"/>
      <c r="L207" s="363"/>
      <c r="M207" s="363"/>
      <c r="N207" s="363"/>
      <c r="O207" s="363"/>
      <c r="P207" s="363"/>
      <c r="Q207" s="363"/>
      <c r="R207" s="363"/>
      <c r="S207" s="363"/>
      <c r="T207" s="363"/>
      <c r="U207" s="363"/>
      <c r="V207" s="363"/>
      <c r="W207" s="363"/>
      <c r="X207" s="363"/>
      <c r="Y207" s="363"/>
      <c r="Z207" s="363"/>
      <c r="AA207" s="363"/>
      <c r="AB207" s="363"/>
      <c r="AC207" s="363"/>
      <c r="AD207" s="363"/>
      <c r="AE207" s="363"/>
      <c r="AF207" s="363"/>
      <c r="AG207" s="363"/>
      <c r="AH207" s="363"/>
      <c r="AI207" s="363"/>
      <c r="AJ207" s="363"/>
      <c r="AK207" s="363"/>
      <c r="AL207" s="363"/>
      <c r="AM207" s="363"/>
      <c r="AN207" s="363"/>
      <c r="AO207" s="363"/>
      <c r="AP207" s="363"/>
      <c r="AQ207" s="363"/>
      <c r="AR207" s="363"/>
      <c r="AS207" s="363"/>
      <c r="AT207" s="363"/>
      <c r="AU207" s="363"/>
      <c r="AV207" s="363"/>
      <c r="AW207" s="363"/>
      <c r="AX207" s="363"/>
      <c r="AY207" s="363"/>
      <c r="AZ207" s="363"/>
      <c r="BA207" s="363"/>
      <c r="BB207" s="363"/>
      <c r="BC207" s="363"/>
      <c r="BD207" s="363"/>
      <c r="BE207" s="363"/>
      <c r="BF207" s="363"/>
      <c r="BG207" s="363"/>
      <c r="BI207" s="343" t="s">
        <v>1238</v>
      </c>
    </row>
    <row r="208" spans="2:61" x14ac:dyDescent="0.2">
      <c r="B208" s="67" t="str">
        <f>IF(Capacity!B101="","",Capacity!B101)</f>
        <v/>
      </c>
      <c r="C208" s="220" t="str">
        <f>IF(B208="","",Capacity!E101)</f>
        <v/>
      </c>
      <c r="D208" s="309" t="str">
        <f>IF(B208="","",Capacity!F101)</f>
        <v/>
      </c>
      <c r="E208" s="220" t="str">
        <f>IF(B208="","",IF(COUNTBLANK(H208:BG208)=52,SUM('Capacity calculation (hide)'!H89:BG89),52-COUNTBLANK(H208:BG208)))</f>
        <v/>
      </c>
      <c r="F208" s="310" t="str">
        <f>'Capacity calculation (hide)'!BI89</f>
        <v/>
      </c>
      <c r="H208" s="363"/>
      <c r="I208" s="363"/>
      <c r="J208" s="363"/>
      <c r="K208" s="363"/>
      <c r="L208" s="363"/>
      <c r="M208" s="363"/>
      <c r="N208" s="363"/>
      <c r="O208" s="363"/>
      <c r="P208" s="363"/>
      <c r="Q208" s="363"/>
      <c r="R208" s="363"/>
      <c r="S208" s="363"/>
      <c r="T208" s="363"/>
      <c r="U208" s="363"/>
      <c r="V208" s="363"/>
      <c r="W208" s="363"/>
      <c r="X208" s="363"/>
      <c r="Y208" s="363"/>
      <c r="Z208" s="363"/>
      <c r="AA208" s="363"/>
      <c r="AB208" s="363"/>
      <c r="AC208" s="363"/>
      <c r="AD208" s="363"/>
      <c r="AE208" s="363"/>
      <c r="AF208" s="363"/>
      <c r="AG208" s="363"/>
      <c r="AH208" s="363"/>
      <c r="AI208" s="363"/>
      <c r="AJ208" s="363"/>
      <c r="AK208" s="363"/>
      <c r="AL208" s="363"/>
      <c r="AM208" s="363"/>
      <c r="AN208" s="363"/>
      <c r="AO208" s="363"/>
      <c r="AP208" s="363"/>
      <c r="AQ208" s="363"/>
      <c r="AR208" s="363"/>
      <c r="AS208" s="363"/>
      <c r="AT208" s="363"/>
      <c r="AU208" s="363"/>
      <c r="AV208" s="363"/>
      <c r="AW208" s="363"/>
      <c r="AX208" s="363"/>
      <c r="AY208" s="363"/>
      <c r="AZ208" s="363"/>
      <c r="BA208" s="363"/>
      <c r="BB208" s="363"/>
      <c r="BC208" s="363"/>
      <c r="BD208" s="363"/>
      <c r="BE208" s="363"/>
      <c r="BF208" s="363"/>
      <c r="BG208" s="363"/>
      <c r="BI208" s="343" t="s">
        <v>1238</v>
      </c>
    </row>
    <row r="209" spans="2:61" x14ac:dyDescent="0.2">
      <c r="B209" s="67" t="str">
        <f>IF(Capacity!B102="","",Capacity!B102)</f>
        <v/>
      </c>
      <c r="C209" s="220" t="str">
        <f>IF(B209="","",Capacity!E102)</f>
        <v/>
      </c>
      <c r="D209" s="309" t="str">
        <f>IF(B209="","",Capacity!F102)</f>
        <v/>
      </c>
      <c r="E209" s="220" t="str">
        <f>IF(B209="","",IF(COUNTBLANK(H209:BG209)=52,SUM('Capacity calculation (hide)'!H90:BG90),52-COUNTBLANK(H209:BG209)))</f>
        <v/>
      </c>
      <c r="F209" s="310" t="str">
        <f>'Capacity calculation (hide)'!BI90</f>
        <v/>
      </c>
      <c r="H209" s="363"/>
      <c r="I209" s="363"/>
      <c r="J209" s="363"/>
      <c r="K209" s="363"/>
      <c r="L209" s="363"/>
      <c r="M209" s="363"/>
      <c r="N209" s="363"/>
      <c r="O209" s="363"/>
      <c r="P209" s="363"/>
      <c r="Q209" s="363"/>
      <c r="R209" s="363"/>
      <c r="S209" s="363"/>
      <c r="T209" s="363"/>
      <c r="U209" s="363"/>
      <c r="V209" s="363"/>
      <c r="W209" s="363"/>
      <c r="X209" s="363"/>
      <c r="Y209" s="363"/>
      <c r="Z209" s="363"/>
      <c r="AA209" s="363"/>
      <c r="AB209" s="363"/>
      <c r="AC209" s="363"/>
      <c r="AD209" s="363"/>
      <c r="AE209" s="363"/>
      <c r="AF209" s="363"/>
      <c r="AG209" s="363"/>
      <c r="AH209" s="363"/>
      <c r="AI209" s="363"/>
      <c r="AJ209" s="363"/>
      <c r="AK209" s="363"/>
      <c r="AL209" s="363"/>
      <c r="AM209" s="363"/>
      <c r="AN209" s="363"/>
      <c r="AO209" s="363"/>
      <c r="AP209" s="363"/>
      <c r="AQ209" s="363"/>
      <c r="AR209" s="363"/>
      <c r="AS209" s="363"/>
      <c r="AT209" s="363"/>
      <c r="AU209" s="363"/>
      <c r="AV209" s="363"/>
      <c r="AW209" s="363"/>
      <c r="AX209" s="363"/>
      <c r="AY209" s="363"/>
      <c r="AZ209" s="363"/>
      <c r="BA209" s="363"/>
      <c r="BB209" s="363"/>
      <c r="BC209" s="363"/>
      <c r="BD209" s="363"/>
      <c r="BE209" s="363"/>
      <c r="BF209" s="363"/>
      <c r="BG209" s="363"/>
      <c r="BI209" s="343" t="s">
        <v>1238</v>
      </c>
    </row>
    <row r="210" spans="2:61" x14ac:dyDescent="0.2">
      <c r="B210" s="67" t="str">
        <f>IF(Capacity!B103="","",Capacity!B103)</f>
        <v/>
      </c>
      <c r="C210" s="220" t="str">
        <f>IF(B210="","",Capacity!E103)</f>
        <v/>
      </c>
      <c r="D210" s="309" t="str">
        <f>IF(B210="","",Capacity!F103)</f>
        <v/>
      </c>
      <c r="E210" s="220" t="str">
        <f>IF(B210="","",IF(COUNTBLANK(H210:BG210)=52,SUM('Capacity calculation (hide)'!H91:BG91),52-COUNTBLANK(H210:BG210)))</f>
        <v/>
      </c>
      <c r="F210" s="310" t="str">
        <f>'Capacity calculation (hide)'!BI91</f>
        <v/>
      </c>
      <c r="H210" s="363"/>
      <c r="I210" s="363"/>
      <c r="J210" s="363"/>
      <c r="K210" s="363"/>
      <c r="L210" s="363"/>
      <c r="M210" s="363"/>
      <c r="N210" s="363"/>
      <c r="O210" s="363"/>
      <c r="P210" s="363"/>
      <c r="Q210" s="363"/>
      <c r="R210" s="363"/>
      <c r="S210" s="363"/>
      <c r="T210" s="363"/>
      <c r="U210" s="363"/>
      <c r="V210" s="363"/>
      <c r="W210" s="363"/>
      <c r="X210" s="363"/>
      <c r="Y210" s="363"/>
      <c r="Z210" s="363"/>
      <c r="AA210" s="363"/>
      <c r="AB210" s="363"/>
      <c r="AC210" s="363"/>
      <c r="AD210" s="363"/>
      <c r="AE210" s="363"/>
      <c r="AF210" s="363"/>
      <c r="AG210" s="363"/>
      <c r="AH210" s="363"/>
      <c r="AI210" s="363"/>
      <c r="AJ210" s="363"/>
      <c r="AK210" s="363"/>
      <c r="AL210" s="363"/>
      <c r="AM210" s="363"/>
      <c r="AN210" s="363"/>
      <c r="AO210" s="363"/>
      <c r="AP210" s="363"/>
      <c r="AQ210" s="363"/>
      <c r="AR210" s="363"/>
      <c r="AS210" s="363"/>
      <c r="AT210" s="363"/>
      <c r="AU210" s="363"/>
      <c r="AV210" s="363"/>
      <c r="AW210" s="363"/>
      <c r="AX210" s="363"/>
      <c r="AY210" s="363"/>
      <c r="AZ210" s="363"/>
      <c r="BA210" s="363"/>
      <c r="BB210" s="363"/>
      <c r="BC210" s="363"/>
      <c r="BD210" s="363"/>
      <c r="BE210" s="363"/>
      <c r="BF210" s="363"/>
      <c r="BG210" s="363"/>
      <c r="BI210" s="343" t="s">
        <v>1238</v>
      </c>
    </row>
    <row r="211" spans="2:61" x14ac:dyDescent="0.2">
      <c r="B211" s="67" t="str">
        <f>IF(Capacity!B104="","",Capacity!B104)</f>
        <v/>
      </c>
      <c r="C211" s="220" t="str">
        <f>IF(B211="","",Capacity!E104)</f>
        <v/>
      </c>
      <c r="D211" s="309" t="str">
        <f>IF(B211="","",Capacity!F104)</f>
        <v/>
      </c>
      <c r="E211" s="220" t="str">
        <f>IF(B211="","",IF(COUNTBLANK(H211:BG211)=52,SUM('Capacity calculation (hide)'!H92:BG92),52-COUNTBLANK(H211:BG211)))</f>
        <v/>
      </c>
      <c r="F211" s="310" t="str">
        <f>'Capacity calculation (hide)'!BI92</f>
        <v/>
      </c>
      <c r="H211" s="363"/>
      <c r="I211" s="363"/>
      <c r="J211" s="363"/>
      <c r="K211" s="363"/>
      <c r="L211" s="363"/>
      <c r="M211" s="363"/>
      <c r="N211" s="363"/>
      <c r="O211" s="363"/>
      <c r="P211" s="363"/>
      <c r="Q211" s="363"/>
      <c r="R211" s="363"/>
      <c r="S211" s="363"/>
      <c r="T211" s="363"/>
      <c r="U211" s="363"/>
      <c r="V211" s="363"/>
      <c r="W211" s="363"/>
      <c r="X211" s="363"/>
      <c r="Y211" s="363"/>
      <c r="Z211" s="363"/>
      <c r="AA211" s="363"/>
      <c r="AB211" s="363"/>
      <c r="AC211" s="363"/>
      <c r="AD211" s="363"/>
      <c r="AE211" s="363"/>
      <c r="AF211" s="363"/>
      <c r="AG211" s="363"/>
      <c r="AH211" s="363"/>
      <c r="AI211" s="363"/>
      <c r="AJ211" s="363"/>
      <c r="AK211" s="363"/>
      <c r="AL211" s="363"/>
      <c r="AM211" s="363"/>
      <c r="AN211" s="363"/>
      <c r="AO211" s="363"/>
      <c r="AP211" s="363"/>
      <c r="AQ211" s="363"/>
      <c r="AR211" s="363"/>
      <c r="AS211" s="363"/>
      <c r="AT211" s="363"/>
      <c r="AU211" s="363"/>
      <c r="AV211" s="363"/>
      <c r="AW211" s="363"/>
      <c r="AX211" s="363"/>
      <c r="AY211" s="363"/>
      <c r="AZ211" s="363"/>
      <c r="BA211" s="363"/>
      <c r="BB211" s="363"/>
      <c r="BC211" s="363"/>
      <c r="BD211" s="363"/>
      <c r="BE211" s="363"/>
      <c r="BF211" s="363"/>
      <c r="BG211" s="363"/>
      <c r="BI211" s="343" t="s">
        <v>1238</v>
      </c>
    </row>
    <row r="212" spans="2:61" x14ac:dyDescent="0.2">
      <c r="B212" s="67" t="str">
        <f>IF(Capacity!B105="","",Capacity!B105)</f>
        <v/>
      </c>
      <c r="C212" s="220" t="str">
        <f>IF(B212="","",Capacity!E105)</f>
        <v/>
      </c>
      <c r="D212" s="309" t="str">
        <f>IF(B212="","",Capacity!F105)</f>
        <v/>
      </c>
      <c r="E212" s="220" t="str">
        <f>IF(B212="","",IF(COUNTBLANK(H212:BG212)=52,SUM('Capacity calculation (hide)'!H93:BG93),52-COUNTBLANK(H212:BG212)))</f>
        <v/>
      </c>
      <c r="F212" s="310" t="str">
        <f>'Capacity calculation (hide)'!BI93</f>
        <v/>
      </c>
      <c r="H212" s="363"/>
      <c r="I212" s="363"/>
      <c r="J212" s="363"/>
      <c r="K212" s="363"/>
      <c r="L212" s="363"/>
      <c r="M212" s="363"/>
      <c r="N212" s="363"/>
      <c r="O212" s="363"/>
      <c r="P212" s="363"/>
      <c r="Q212" s="363"/>
      <c r="R212" s="363"/>
      <c r="S212" s="363"/>
      <c r="T212" s="363"/>
      <c r="U212" s="363"/>
      <c r="V212" s="363"/>
      <c r="W212" s="363"/>
      <c r="X212" s="363"/>
      <c r="Y212" s="363"/>
      <c r="Z212" s="363"/>
      <c r="AA212" s="363"/>
      <c r="AB212" s="363"/>
      <c r="AC212" s="363"/>
      <c r="AD212" s="363"/>
      <c r="AE212" s="363"/>
      <c r="AF212" s="363"/>
      <c r="AG212" s="363"/>
      <c r="AH212" s="363"/>
      <c r="AI212" s="363"/>
      <c r="AJ212" s="363"/>
      <c r="AK212" s="363"/>
      <c r="AL212" s="363"/>
      <c r="AM212" s="363"/>
      <c r="AN212" s="363"/>
      <c r="AO212" s="363"/>
      <c r="AP212" s="363"/>
      <c r="AQ212" s="363"/>
      <c r="AR212" s="363"/>
      <c r="AS212" s="363"/>
      <c r="AT212" s="363"/>
      <c r="AU212" s="363"/>
      <c r="AV212" s="363"/>
      <c r="AW212" s="363"/>
      <c r="AX212" s="363"/>
      <c r="AY212" s="363"/>
      <c r="AZ212" s="363"/>
      <c r="BA212" s="363"/>
      <c r="BB212" s="363"/>
      <c r="BC212" s="363"/>
      <c r="BD212" s="363"/>
      <c r="BE212" s="363"/>
      <c r="BF212" s="363"/>
      <c r="BG212" s="363"/>
      <c r="BI212" s="343" t="s">
        <v>1238</v>
      </c>
    </row>
    <row r="213" spans="2:61" x14ac:dyDescent="0.2">
      <c r="B213" s="67" t="str">
        <f>IF(Capacity!B106="","",Capacity!B106)</f>
        <v/>
      </c>
      <c r="C213" s="220" t="str">
        <f>IF(B213="","",Capacity!E106)</f>
        <v/>
      </c>
      <c r="D213" s="309" t="str">
        <f>IF(B213="","",Capacity!F106)</f>
        <v/>
      </c>
      <c r="E213" s="220" t="str">
        <f>IF(B213="","",IF(COUNTBLANK(H213:BG213)=52,SUM('Capacity calculation (hide)'!H94:BG94),52-COUNTBLANK(H213:BG213)))</f>
        <v/>
      </c>
      <c r="F213" s="310" t="str">
        <f>'Capacity calculation (hide)'!BI94</f>
        <v/>
      </c>
      <c r="H213" s="363"/>
      <c r="I213" s="363"/>
      <c r="J213" s="363"/>
      <c r="K213" s="363"/>
      <c r="L213" s="363"/>
      <c r="M213" s="363"/>
      <c r="N213" s="363"/>
      <c r="O213" s="363"/>
      <c r="P213" s="363"/>
      <c r="Q213" s="363"/>
      <c r="R213" s="363"/>
      <c r="S213" s="363"/>
      <c r="T213" s="363"/>
      <c r="U213" s="363"/>
      <c r="V213" s="363"/>
      <c r="W213" s="363"/>
      <c r="X213" s="363"/>
      <c r="Y213" s="363"/>
      <c r="Z213" s="363"/>
      <c r="AA213" s="363"/>
      <c r="AB213" s="363"/>
      <c r="AC213" s="363"/>
      <c r="AD213" s="363"/>
      <c r="AE213" s="363"/>
      <c r="AF213" s="363"/>
      <c r="AG213" s="363"/>
      <c r="AH213" s="363"/>
      <c r="AI213" s="363"/>
      <c r="AJ213" s="363"/>
      <c r="AK213" s="363"/>
      <c r="AL213" s="363"/>
      <c r="AM213" s="363"/>
      <c r="AN213" s="363"/>
      <c r="AO213" s="363"/>
      <c r="AP213" s="363"/>
      <c r="AQ213" s="363"/>
      <c r="AR213" s="363"/>
      <c r="AS213" s="363"/>
      <c r="AT213" s="363"/>
      <c r="AU213" s="363"/>
      <c r="AV213" s="363"/>
      <c r="AW213" s="363"/>
      <c r="AX213" s="363"/>
      <c r="AY213" s="363"/>
      <c r="AZ213" s="363"/>
      <c r="BA213" s="363"/>
      <c r="BB213" s="363"/>
      <c r="BC213" s="363"/>
      <c r="BD213" s="363"/>
      <c r="BE213" s="363"/>
      <c r="BF213" s="363"/>
      <c r="BG213" s="363"/>
      <c r="BI213" s="343" t="s">
        <v>1238</v>
      </c>
    </row>
    <row r="214" spans="2:61" x14ac:dyDescent="0.2">
      <c r="B214" s="67" t="str">
        <f>IF(Capacity!B107="","",Capacity!B107)</f>
        <v/>
      </c>
      <c r="C214" s="220" t="str">
        <f>IF(B214="","",Capacity!E107)</f>
        <v/>
      </c>
      <c r="D214" s="309" t="str">
        <f>IF(B214="","",Capacity!F107)</f>
        <v/>
      </c>
      <c r="E214" s="220" t="str">
        <f>IF(B214="","",IF(COUNTBLANK(H214:BG214)=52,SUM('Capacity calculation (hide)'!H95:BG95),52-COUNTBLANK(H214:BG214)))</f>
        <v/>
      </c>
      <c r="F214" s="310" t="str">
        <f>'Capacity calculation (hide)'!BI95</f>
        <v/>
      </c>
      <c r="H214" s="363"/>
      <c r="I214" s="363"/>
      <c r="J214" s="363"/>
      <c r="K214" s="363"/>
      <c r="L214" s="363"/>
      <c r="M214" s="363"/>
      <c r="N214" s="363"/>
      <c r="O214" s="363"/>
      <c r="P214" s="363"/>
      <c r="Q214" s="363"/>
      <c r="R214" s="363"/>
      <c r="S214" s="363"/>
      <c r="T214" s="363"/>
      <c r="U214" s="363"/>
      <c r="V214" s="363"/>
      <c r="W214" s="363"/>
      <c r="X214" s="363"/>
      <c r="Y214" s="363"/>
      <c r="Z214" s="363"/>
      <c r="AA214" s="363"/>
      <c r="AB214" s="363"/>
      <c r="AC214" s="363"/>
      <c r="AD214" s="363"/>
      <c r="AE214" s="363"/>
      <c r="AF214" s="363"/>
      <c r="AG214" s="363"/>
      <c r="AH214" s="363"/>
      <c r="AI214" s="363"/>
      <c r="AJ214" s="363"/>
      <c r="AK214" s="363"/>
      <c r="AL214" s="363"/>
      <c r="AM214" s="363"/>
      <c r="AN214" s="363"/>
      <c r="AO214" s="363"/>
      <c r="AP214" s="363"/>
      <c r="AQ214" s="363"/>
      <c r="AR214" s="363"/>
      <c r="AS214" s="363"/>
      <c r="AT214" s="363"/>
      <c r="AU214" s="363"/>
      <c r="AV214" s="363"/>
      <c r="AW214" s="363"/>
      <c r="AX214" s="363"/>
      <c r="AY214" s="363"/>
      <c r="AZ214" s="363"/>
      <c r="BA214" s="363"/>
      <c r="BB214" s="363"/>
      <c r="BC214" s="363"/>
      <c r="BD214" s="363"/>
      <c r="BE214" s="363"/>
      <c r="BF214" s="363"/>
      <c r="BG214" s="363"/>
      <c r="BI214" s="343" t="s">
        <v>1238</v>
      </c>
    </row>
    <row r="215" spans="2:61" x14ac:dyDescent="0.2">
      <c r="B215" s="67" t="str">
        <f>IF(Capacity!B108="","",Capacity!B108)</f>
        <v/>
      </c>
      <c r="C215" s="220" t="str">
        <f>IF(B215="","",Capacity!E108)</f>
        <v/>
      </c>
      <c r="D215" s="309" t="str">
        <f>IF(B215="","",Capacity!F108)</f>
        <v/>
      </c>
      <c r="E215" s="220" t="str">
        <f>IF(B215="","",IF(COUNTBLANK(H215:BG215)=52,SUM('Capacity calculation (hide)'!H96:BG96),52-COUNTBLANK(H215:BG215)))</f>
        <v/>
      </c>
      <c r="F215" s="310" t="str">
        <f>'Capacity calculation (hide)'!BI96</f>
        <v/>
      </c>
      <c r="H215" s="363"/>
      <c r="I215" s="363"/>
      <c r="J215" s="363"/>
      <c r="K215" s="363"/>
      <c r="L215" s="363"/>
      <c r="M215" s="363"/>
      <c r="N215" s="363"/>
      <c r="O215" s="363"/>
      <c r="P215" s="363"/>
      <c r="Q215" s="363"/>
      <c r="R215" s="363"/>
      <c r="S215" s="363"/>
      <c r="T215" s="363"/>
      <c r="U215" s="363"/>
      <c r="V215" s="363"/>
      <c r="W215" s="363"/>
      <c r="X215" s="363"/>
      <c r="Y215" s="363"/>
      <c r="Z215" s="363"/>
      <c r="AA215" s="363"/>
      <c r="AB215" s="363"/>
      <c r="AC215" s="363"/>
      <c r="AD215" s="363"/>
      <c r="AE215" s="363"/>
      <c r="AF215" s="363"/>
      <c r="AG215" s="363"/>
      <c r="AH215" s="363"/>
      <c r="AI215" s="363"/>
      <c r="AJ215" s="363"/>
      <c r="AK215" s="363"/>
      <c r="AL215" s="363"/>
      <c r="AM215" s="363"/>
      <c r="AN215" s="363"/>
      <c r="AO215" s="363"/>
      <c r="AP215" s="363"/>
      <c r="AQ215" s="363"/>
      <c r="AR215" s="363"/>
      <c r="AS215" s="363"/>
      <c r="AT215" s="363"/>
      <c r="AU215" s="363"/>
      <c r="AV215" s="363"/>
      <c r="AW215" s="363"/>
      <c r="AX215" s="363"/>
      <c r="AY215" s="363"/>
      <c r="AZ215" s="363"/>
      <c r="BA215" s="363"/>
      <c r="BB215" s="363"/>
      <c r="BC215" s="363"/>
      <c r="BD215" s="363"/>
      <c r="BE215" s="363"/>
      <c r="BF215" s="363"/>
      <c r="BG215" s="363"/>
      <c r="BI215" s="343" t="s">
        <v>1238</v>
      </c>
    </row>
    <row r="216" spans="2:61" x14ac:dyDescent="0.2">
      <c r="B216" s="67" t="str">
        <f>IF(Capacity!B109="","",Capacity!B109)</f>
        <v/>
      </c>
      <c r="C216" s="220" t="str">
        <f>IF(B216="","",Capacity!E109)</f>
        <v/>
      </c>
      <c r="D216" s="309" t="str">
        <f>IF(B216="","",Capacity!F109)</f>
        <v/>
      </c>
      <c r="E216" s="220" t="str">
        <f>IF(B216="","",IF(COUNTBLANK(H216:BG216)=52,SUM('Capacity calculation (hide)'!H97:BG97),52-COUNTBLANK(H216:BG216)))</f>
        <v/>
      </c>
      <c r="F216" s="310" t="str">
        <f>'Capacity calculation (hide)'!BI97</f>
        <v/>
      </c>
      <c r="H216" s="363"/>
      <c r="I216" s="363"/>
      <c r="J216" s="363"/>
      <c r="K216" s="363"/>
      <c r="L216" s="363"/>
      <c r="M216" s="363"/>
      <c r="N216" s="363"/>
      <c r="O216" s="363"/>
      <c r="P216" s="363"/>
      <c r="Q216" s="363"/>
      <c r="R216" s="363"/>
      <c r="S216" s="363"/>
      <c r="T216" s="363"/>
      <c r="U216" s="363"/>
      <c r="V216" s="363"/>
      <c r="W216" s="363"/>
      <c r="X216" s="363"/>
      <c r="Y216" s="363"/>
      <c r="Z216" s="363"/>
      <c r="AA216" s="363"/>
      <c r="AB216" s="363"/>
      <c r="AC216" s="363"/>
      <c r="AD216" s="363"/>
      <c r="AE216" s="363"/>
      <c r="AF216" s="363"/>
      <c r="AG216" s="363"/>
      <c r="AH216" s="363"/>
      <c r="AI216" s="363"/>
      <c r="AJ216" s="363"/>
      <c r="AK216" s="363"/>
      <c r="AL216" s="363"/>
      <c r="AM216" s="363"/>
      <c r="AN216" s="363"/>
      <c r="AO216" s="363"/>
      <c r="AP216" s="363"/>
      <c r="AQ216" s="363"/>
      <c r="AR216" s="363"/>
      <c r="AS216" s="363"/>
      <c r="AT216" s="363"/>
      <c r="AU216" s="363"/>
      <c r="AV216" s="363"/>
      <c r="AW216" s="363"/>
      <c r="AX216" s="363"/>
      <c r="AY216" s="363"/>
      <c r="AZ216" s="363"/>
      <c r="BA216" s="363"/>
      <c r="BB216" s="363"/>
      <c r="BC216" s="363"/>
      <c r="BD216" s="363"/>
      <c r="BE216" s="363"/>
      <c r="BF216" s="363"/>
      <c r="BG216" s="363"/>
      <c r="BI216" s="343" t="s">
        <v>1238</v>
      </c>
    </row>
    <row r="217" spans="2:61" x14ac:dyDescent="0.2">
      <c r="B217" s="67" t="str">
        <f>IF(Capacity!B110="","",Capacity!B110)</f>
        <v/>
      </c>
      <c r="C217" s="220" t="str">
        <f>IF(B217="","",Capacity!E110)</f>
        <v/>
      </c>
      <c r="D217" s="309" t="str">
        <f>IF(B217="","",Capacity!F110)</f>
        <v/>
      </c>
      <c r="E217" s="220" t="str">
        <f>IF(B217="","",IF(COUNTBLANK(H217:BG217)=52,SUM('Capacity calculation (hide)'!H98:BG98),52-COUNTBLANK(H217:BG217)))</f>
        <v/>
      </c>
      <c r="F217" s="310" t="str">
        <f>'Capacity calculation (hide)'!BI98</f>
        <v/>
      </c>
      <c r="H217" s="363"/>
      <c r="I217" s="363"/>
      <c r="J217" s="363"/>
      <c r="K217" s="363"/>
      <c r="L217" s="363"/>
      <c r="M217" s="363"/>
      <c r="N217" s="363"/>
      <c r="O217" s="363"/>
      <c r="P217" s="363"/>
      <c r="Q217" s="363"/>
      <c r="R217" s="363"/>
      <c r="S217" s="363"/>
      <c r="T217" s="363"/>
      <c r="U217" s="363"/>
      <c r="V217" s="363"/>
      <c r="W217" s="363"/>
      <c r="X217" s="363"/>
      <c r="Y217" s="363"/>
      <c r="Z217" s="363"/>
      <c r="AA217" s="363"/>
      <c r="AB217" s="363"/>
      <c r="AC217" s="363"/>
      <c r="AD217" s="363"/>
      <c r="AE217" s="363"/>
      <c r="AF217" s="363"/>
      <c r="AG217" s="363"/>
      <c r="AH217" s="363"/>
      <c r="AI217" s="363"/>
      <c r="AJ217" s="363"/>
      <c r="AK217" s="363"/>
      <c r="AL217" s="363"/>
      <c r="AM217" s="363"/>
      <c r="AN217" s="363"/>
      <c r="AO217" s="363"/>
      <c r="AP217" s="363"/>
      <c r="AQ217" s="363"/>
      <c r="AR217" s="363"/>
      <c r="AS217" s="363"/>
      <c r="AT217" s="363"/>
      <c r="AU217" s="363"/>
      <c r="AV217" s="363"/>
      <c r="AW217" s="363"/>
      <c r="AX217" s="363"/>
      <c r="AY217" s="363"/>
      <c r="AZ217" s="363"/>
      <c r="BA217" s="363"/>
      <c r="BB217" s="363"/>
      <c r="BC217" s="363"/>
      <c r="BD217" s="363"/>
      <c r="BE217" s="363"/>
      <c r="BF217" s="363"/>
      <c r="BG217" s="363"/>
      <c r="BI217" s="343" t="s">
        <v>1238</v>
      </c>
    </row>
    <row r="218" spans="2:61" x14ac:dyDescent="0.2">
      <c r="B218" s="67" t="str">
        <f>IF(Capacity!B111="","",Capacity!B111)</f>
        <v/>
      </c>
      <c r="C218" s="220" t="str">
        <f>IF(B218="","",Capacity!E111)</f>
        <v/>
      </c>
      <c r="D218" s="309" t="str">
        <f>IF(B218="","",Capacity!F111)</f>
        <v/>
      </c>
      <c r="E218" s="220" t="str">
        <f>IF(B218="","",IF(COUNTBLANK(H218:BG218)=52,SUM('Capacity calculation (hide)'!H99:BG99),52-COUNTBLANK(H218:BG218)))</f>
        <v/>
      </c>
      <c r="F218" s="310" t="str">
        <f>'Capacity calculation (hide)'!BI99</f>
        <v/>
      </c>
      <c r="H218" s="363"/>
      <c r="I218" s="363"/>
      <c r="J218" s="363"/>
      <c r="K218" s="363"/>
      <c r="L218" s="363"/>
      <c r="M218" s="363"/>
      <c r="N218" s="363"/>
      <c r="O218" s="363"/>
      <c r="P218" s="363"/>
      <c r="Q218" s="363"/>
      <c r="R218" s="363"/>
      <c r="S218" s="363"/>
      <c r="T218" s="363"/>
      <c r="U218" s="363"/>
      <c r="V218" s="363"/>
      <c r="W218" s="363"/>
      <c r="X218" s="363"/>
      <c r="Y218" s="363"/>
      <c r="Z218" s="363"/>
      <c r="AA218" s="363"/>
      <c r="AB218" s="363"/>
      <c r="AC218" s="363"/>
      <c r="AD218" s="363"/>
      <c r="AE218" s="363"/>
      <c r="AF218" s="363"/>
      <c r="AG218" s="363"/>
      <c r="AH218" s="363"/>
      <c r="AI218" s="363"/>
      <c r="AJ218" s="363"/>
      <c r="AK218" s="363"/>
      <c r="AL218" s="363"/>
      <c r="AM218" s="363"/>
      <c r="AN218" s="363"/>
      <c r="AO218" s="363"/>
      <c r="AP218" s="363"/>
      <c r="AQ218" s="363"/>
      <c r="AR218" s="363"/>
      <c r="AS218" s="363"/>
      <c r="AT218" s="363"/>
      <c r="AU218" s="363"/>
      <c r="AV218" s="363"/>
      <c r="AW218" s="363"/>
      <c r="AX218" s="363"/>
      <c r="AY218" s="363"/>
      <c r="AZ218" s="363"/>
      <c r="BA218" s="363"/>
      <c r="BB218" s="363"/>
      <c r="BC218" s="363"/>
      <c r="BD218" s="363"/>
      <c r="BE218" s="363"/>
      <c r="BF218" s="363"/>
      <c r="BG218" s="363"/>
      <c r="BI218" s="343" t="s">
        <v>1238</v>
      </c>
    </row>
    <row r="219" spans="2:61" x14ac:dyDescent="0.2">
      <c r="B219" s="67" t="str">
        <f>IF(Capacity!B112="","",Capacity!B112)</f>
        <v/>
      </c>
      <c r="C219" s="220" t="str">
        <f>IF(B219="","",Capacity!E112)</f>
        <v/>
      </c>
      <c r="D219" s="309" t="str">
        <f>IF(B219="","",Capacity!F112)</f>
        <v/>
      </c>
      <c r="E219" s="220" t="str">
        <f>IF(B219="","",IF(COUNTBLANK(H219:BG219)=52,SUM('Capacity calculation (hide)'!H100:BG100),52-COUNTBLANK(H219:BG219)))</f>
        <v/>
      </c>
      <c r="F219" s="310" t="str">
        <f>'Capacity calculation (hide)'!BI100</f>
        <v/>
      </c>
      <c r="H219" s="363"/>
      <c r="I219" s="363"/>
      <c r="J219" s="363"/>
      <c r="K219" s="363"/>
      <c r="L219" s="363"/>
      <c r="M219" s="363"/>
      <c r="N219" s="363"/>
      <c r="O219" s="363"/>
      <c r="P219" s="363"/>
      <c r="Q219" s="363"/>
      <c r="R219" s="363"/>
      <c r="S219" s="363"/>
      <c r="T219" s="363"/>
      <c r="U219" s="363"/>
      <c r="V219" s="363"/>
      <c r="W219" s="363"/>
      <c r="X219" s="363"/>
      <c r="Y219" s="363"/>
      <c r="Z219" s="363"/>
      <c r="AA219" s="363"/>
      <c r="AB219" s="363"/>
      <c r="AC219" s="363"/>
      <c r="AD219" s="363"/>
      <c r="AE219" s="363"/>
      <c r="AF219" s="363"/>
      <c r="AG219" s="363"/>
      <c r="AH219" s="363"/>
      <c r="AI219" s="363"/>
      <c r="AJ219" s="363"/>
      <c r="AK219" s="363"/>
      <c r="AL219" s="363"/>
      <c r="AM219" s="363"/>
      <c r="AN219" s="363"/>
      <c r="AO219" s="363"/>
      <c r="AP219" s="363"/>
      <c r="AQ219" s="363"/>
      <c r="AR219" s="363"/>
      <c r="AS219" s="363"/>
      <c r="AT219" s="363"/>
      <c r="AU219" s="363"/>
      <c r="AV219" s="363"/>
      <c r="AW219" s="363"/>
      <c r="AX219" s="363"/>
      <c r="AY219" s="363"/>
      <c r="AZ219" s="363"/>
      <c r="BA219" s="363"/>
      <c r="BB219" s="363"/>
      <c r="BC219" s="363"/>
      <c r="BD219" s="363"/>
      <c r="BE219" s="363"/>
      <c r="BF219" s="363"/>
      <c r="BG219" s="363"/>
      <c r="BI219" s="343" t="s">
        <v>1238</v>
      </c>
    </row>
    <row r="220" spans="2:61" x14ac:dyDescent="0.2">
      <c r="B220" s="67" t="str">
        <f>IF(Capacity!B113="","",Capacity!B113)</f>
        <v/>
      </c>
      <c r="C220" s="220" t="str">
        <f>IF(B220="","",Capacity!E113)</f>
        <v/>
      </c>
      <c r="D220" s="309" t="str">
        <f>IF(B220="","",Capacity!F113)</f>
        <v/>
      </c>
      <c r="E220" s="220" t="str">
        <f>IF(B220="","",IF(COUNTBLANK(H220:BG220)=52,SUM('Capacity calculation (hide)'!H101:BG101),52-COUNTBLANK(H220:BG220)))</f>
        <v/>
      </c>
      <c r="F220" s="310" t="str">
        <f>'Capacity calculation (hide)'!BI101</f>
        <v/>
      </c>
      <c r="H220" s="363"/>
      <c r="I220" s="363"/>
      <c r="J220" s="363"/>
      <c r="K220" s="363"/>
      <c r="L220" s="363"/>
      <c r="M220" s="363"/>
      <c r="N220" s="363"/>
      <c r="O220" s="363"/>
      <c r="P220" s="363"/>
      <c r="Q220" s="363"/>
      <c r="R220" s="363"/>
      <c r="S220" s="363"/>
      <c r="T220" s="363"/>
      <c r="U220" s="363"/>
      <c r="V220" s="363"/>
      <c r="W220" s="363"/>
      <c r="X220" s="363"/>
      <c r="Y220" s="363"/>
      <c r="Z220" s="363"/>
      <c r="AA220" s="363"/>
      <c r="AB220" s="363"/>
      <c r="AC220" s="363"/>
      <c r="AD220" s="363"/>
      <c r="AE220" s="363"/>
      <c r="AF220" s="363"/>
      <c r="AG220" s="363"/>
      <c r="AH220" s="363"/>
      <c r="AI220" s="363"/>
      <c r="AJ220" s="363"/>
      <c r="AK220" s="363"/>
      <c r="AL220" s="363"/>
      <c r="AM220" s="363"/>
      <c r="AN220" s="363"/>
      <c r="AO220" s="363"/>
      <c r="AP220" s="363"/>
      <c r="AQ220" s="363"/>
      <c r="AR220" s="363"/>
      <c r="AS220" s="363"/>
      <c r="AT220" s="363"/>
      <c r="AU220" s="363"/>
      <c r="AV220" s="363"/>
      <c r="AW220" s="363"/>
      <c r="AX220" s="363"/>
      <c r="AY220" s="363"/>
      <c r="AZ220" s="363"/>
      <c r="BA220" s="363"/>
      <c r="BB220" s="363"/>
      <c r="BC220" s="363"/>
      <c r="BD220" s="363"/>
      <c r="BE220" s="363"/>
      <c r="BF220" s="363"/>
      <c r="BG220" s="363"/>
      <c r="BI220" s="343" t="s">
        <v>1238</v>
      </c>
    </row>
    <row r="221" spans="2:61" x14ac:dyDescent="0.2">
      <c r="B221" s="67" t="str">
        <f>IF(Capacity!B114="","",Capacity!B114)</f>
        <v/>
      </c>
      <c r="C221" s="220" t="str">
        <f>IF(B221="","",Capacity!E114)</f>
        <v/>
      </c>
      <c r="D221" s="309" t="str">
        <f>IF(B221="","",Capacity!F114)</f>
        <v/>
      </c>
      <c r="E221" s="220" t="str">
        <f>IF(B221="","",IF(COUNTBLANK(H221:BG221)=52,SUM('Capacity calculation (hide)'!H102:BG102),52-COUNTBLANK(H221:BG221)))</f>
        <v/>
      </c>
      <c r="F221" s="310" t="str">
        <f>'Capacity calculation (hide)'!BI102</f>
        <v/>
      </c>
      <c r="H221" s="363"/>
      <c r="I221" s="363"/>
      <c r="J221" s="363"/>
      <c r="K221" s="363"/>
      <c r="L221" s="363"/>
      <c r="M221" s="363"/>
      <c r="N221" s="363"/>
      <c r="O221" s="363"/>
      <c r="P221" s="363"/>
      <c r="Q221" s="363"/>
      <c r="R221" s="363"/>
      <c r="S221" s="363"/>
      <c r="T221" s="363"/>
      <c r="U221" s="363"/>
      <c r="V221" s="363"/>
      <c r="W221" s="363"/>
      <c r="X221" s="363"/>
      <c r="Y221" s="363"/>
      <c r="Z221" s="363"/>
      <c r="AA221" s="363"/>
      <c r="AB221" s="363"/>
      <c r="AC221" s="363"/>
      <c r="AD221" s="363"/>
      <c r="AE221" s="363"/>
      <c r="AF221" s="363"/>
      <c r="AG221" s="363"/>
      <c r="AH221" s="363"/>
      <c r="AI221" s="363"/>
      <c r="AJ221" s="363"/>
      <c r="AK221" s="363"/>
      <c r="AL221" s="363"/>
      <c r="AM221" s="363"/>
      <c r="AN221" s="363"/>
      <c r="AO221" s="363"/>
      <c r="AP221" s="363"/>
      <c r="AQ221" s="363"/>
      <c r="AR221" s="363"/>
      <c r="AS221" s="363"/>
      <c r="AT221" s="363"/>
      <c r="AU221" s="363"/>
      <c r="AV221" s="363"/>
      <c r="AW221" s="363"/>
      <c r="AX221" s="363"/>
      <c r="AY221" s="363"/>
      <c r="AZ221" s="363"/>
      <c r="BA221" s="363"/>
      <c r="BB221" s="363"/>
      <c r="BC221" s="363"/>
      <c r="BD221" s="363"/>
      <c r="BE221" s="363"/>
      <c r="BF221" s="363"/>
      <c r="BG221" s="363"/>
      <c r="BI221" s="343" t="s">
        <v>1238</v>
      </c>
    </row>
    <row r="222" spans="2:61" x14ac:dyDescent="0.2">
      <c r="B222" s="67" t="str">
        <f>IF(Capacity!B115="","",Capacity!B115)</f>
        <v/>
      </c>
      <c r="C222" s="220" t="str">
        <f>IF(B222="","",Capacity!E115)</f>
        <v/>
      </c>
      <c r="D222" s="309" t="str">
        <f>IF(B222="","",Capacity!F115)</f>
        <v/>
      </c>
      <c r="E222" s="220" t="str">
        <f>IF(B222="","",IF(COUNTBLANK(H222:BG222)=52,SUM('Capacity calculation (hide)'!H103:BG103),52-COUNTBLANK(H222:BG222)))</f>
        <v/>
      </c>
      <c r="F222" s="310" t="str">
        <f>'Capacity calculation (hide)'!BI103</f>
        <v/>
      </c>
      <c r="H222" s="363"/>
      <c r="I222" s="363"/>
      <c r="J222" s="363"/>
      <c r="K222" s="363"/>
      <c r="L222" s="363"/>
      <c r="M222" s="363"/>
      <c r="N222" s="363"/>
      <c r="O222" s="363"/>
      <c r="P222" s="363"/>
      <c r="Q222" s="363"/>
      <c r="R222" s="363"/>
      <c r="S222" s="363"/>
      <c r="T222" s="363"/>
      <c r="U222" s="363"/>
      <c r="V222" s="363"/>
      <c r="W222" s="363"/>
      <c r="X222" s="363"/>
      <c r="Y222" s="363"/>
      <c r="Z222" s="363"/>
      <c r="AA222" s="363"/>
      <c r="AB222" s="363"/>
      <c r="AC222" s="363"/>
      <c r="AD222" s="363"/>
      <c r="AE222" s="363"/>
      <c r="AF222" s="363"/>
      <c r="AG222" s="363"/>
      <c r="AH222" s="363"/>
      <c r="AI222" s="363"/>
      <c r="AJ222" s="363"/>
      <c r="AK222" s="363"/>
      <c r="AL222" s="363"/>
      <c r="AM222" s="363"/>
      <c r="AN222" s="363"/>
      <c r="AO222" s="363"/>
      <c r="AP222" s="363"/>
      <c r="AQ222" s="363"/>
      <c r="AR222" s="363"/>
      <c r="AS222" s="363"/>
      <c r="AT222" s="363"/>
      <c r="AU222" s="363"/>
      <c r="AV222" s="363"/>
      <c r="AW222" s="363"/>
      <c r="AX222" s="363"/>
      <c r="AY222" s="363"/>
      <c r="AZ222" s="363"/>
      <c r="BA222" s="363"/>
      <c r="BB222" s="363"/>
      <c r="BC222" s="363"/>
      <c r="BD222" s="363"/>
      <c r="BE222" s="363"/>
      <c r="BF222" s="363"/>
      <c r="BG222" s="363"/>
      <c r="BI222" s="343" t="s">
        <v>1238</v>
      </c>
    </row>
    <row r="223" spans="2:61" x14ac:dyDescent="0.2">
      <c r="B223" s="67" t="str">
        <f>IF(Capacity!B116="","",Capacity!B116)</f>
        <v/>
      </c>
      <c r="C223" s="220" t="str">
        <f>IF(B223="","",Capacity!E116)</f>
        <v/>
      </c>
      <c r="D223" s="309" t="str">
        <f>IF(B223="","",Capacity!F116)</f>
        <v/>
      </c>
      <c r="E223" s="220" t="str">
        <f>IF(B223="","",IF(COUNTBLANK(H223:BG223)=52,SUM('Capacity calculation (hide)'!H104:BG104),52-COUNTBLANK(H223:BG223)))</f>
        <v/>
      </c>
      <c r="F223" s="310" t="str">
        <f>'Capacity calculation (hide)'!BI104</f>
        <v/>
      </c>
      <c r="H223" s="363"/>
      <c r="I223" s="363"/>
      <c r="J223" s="363"/>
      <c r="K223" s="363"/>
      <c r="L223" s="363"/>
      <c r="M223" s="363"/>
      <c r="N223" s="363"/>
      <c r="O223" s="363"/>
      <c r="P223" s="363"/>
      <c r="Q223" s="363"/>
      <c r="R223" s="363"/>
      <c r="S223" s="363"/>
      <c r="T223" s="363"/>
      <c r="U223" s="363"/>
      <c r="V223" s="363"/>
      <c r="W223" s="363"/>
      <c r="X223" s="363"/>
      <c r="Y223" s="363"/>
      <c r="Z223" s="363"/>
      <c r="AA223" s="363"/>
      <c r="AB223" s="363"/>
      <c r="AC223" s="363"/>
      <c r="AD223" s="363"/>
      <c r="AE223" s="363"/>
      <c r="AF223" s="363"/>
      <c r="AG223" s="363"/>
      <c r="AH223" s="363"/>
      <c r="AI223" s="363"/>
      <c r="AJ223" s="363"/>
      <c r="AK223" s="363"/>
      <c r="AL223" s="363"/>
      <c r="AM223" s="363"/>
      <c r="AN223" s="363"/>
      <c r="AO223" s="363"/>
      <c r="AP223" s="363"/>
      <c r="AQ223" s="363"/>
      <c r="AR223" s="363"/>
      <c r="AS223" s="363"/>
      <c r="AT223" s="363"/>
      <c r="AU223" s="363"/>
      <c r="AV223" s="363"/>
      <c r="AW223" s="363"/>
      <c r="AX223" s="363"/>
      <c r="AY223" s="363"/>
      <c r="AZ223" s="363"/>
      <c r="BA223" s="363"/>
      <c r="BB223" s="363"/>
      <c r="BC223" s="363"/>
      <c r="BD223" s="363"/>
      <c r="BE223" s="363"/>
      <c r="BF223" s="363"/>
      <c r="BG223" s="363"/>
      <c r="BI223" s="343" t="s">
        <v>1238</v>
      </c>
    </row>
    <row r="224" spans="2:61" x14ac:dyDescent="0.2">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344"/>
      <c r="AJ224" s="344"/>
      <c r="AK224" s="344"/>
      <c r="AL224" s="344"/>
      <c r="AM224" s="344"/>
      <c r="AN224" s="344"/>
      <c r="AO224" s="344"/>
      <c r="AP224" s="344"/>
      <c r="AQ224" s="344"/>
      <c r="AR224" s="344"/>
      <c r="AS224" s="344"/>
      <c r="AT224" s="344"/>
      <c r="AU224" s="344"/>
      <c r="AV224" s="344"/>
      <c r="AW224" s="344"/>
      <c r="AX224" s="344"/>
      <c r="AY224" s="344"/>
      <c r="AZ224" s="344"/>
      <c r="BA224" s="344"/>
      <c r="BB224" s="344"/>
      <c r="BC224" s="344"/>
      <c r="BD224" s="344"/>
      <c r="BE224" s="344"/>
      <c r="BF224" s="344"/>
      <c r="BG224" s="344"/>
    </row>
    <row r="225" spans="8:59" x14ac:dyDescent="0.2">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344"/>
      <c r="AJ225" s="344"/>
      <c r="AK225" s="344"/>
      <c r="AL225" s="344"/>
      <c r="AM225" s="344"/>
      <c r="AN225" s="344"/>
      <c r="AO225" s="344"/>
      <c r="AP225" s="344"/>
      <c r="AQ225" s="344"/>
      <c r="AR225" s="344"/>
      <c r="AS225" s="344"/>
      <c r="AT225" s="344"/>
      <c r="AU225" s="344"/>
      <c r="AV225" s="344"/>
      <c r="AW225" s="344"/>
      <c r="AX225" s="344"/>
      <c r="AY225" s="344"/>
      <c r="AZ225" s="344"/>
      <c r="BA225" s="344"/>
      <c r="BB225" s="344"/>
      <c r="BC225" s="344"/>
      <c r="BD225" s="344"/>
      <c r="BE225" s="344"/>
      <c r="BF225" s="344"/>
      <c r="BG225" s="344"/>
    </row>
    <row r="226" spans="8:59" x14ac:dyDescent="0.2">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344"/>
      <c r="AJ226" s="344"/>
      <c r="AK226" s="344"/>
      <c r="AL226" s="344"/>
      <c r="AM226" s="344"/>
      <c r="AN226" s="344"/>
      <c r="AO226" s="344"/>
      <c r="AP226" s="344"/>
      <c r="AQ226" s="344"/>
      <c r="AR226" s="344"/>
      <c r="AS226" s="344"/>
      <c r="AT226" s="344"/>
      <c r="AU226" s="344"/>
      <c r="AV226" s="344"/>
      <c r="AW226" s="344"/>
      <c r="AX226" s="344"/>
      <c r="AY226" s="344"/>
      <c r="AZ226" s="344"/>
      <c r="BA226" s="344"/>
      <c r="BB226" s="344"/>
      <c r="BC226" s="344"/>
      <c r="BD226" s="344"/>
      <c r="BE226" s="344"/>
      <c r="BF226" s="344"/>
      <c r="BG226" s="344"/>
    </row>
    <row r="227" spans="8:59" x14ac:dyDescent="0.2">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344"/>
      <c r="AJ227" s="344"/>
      <c r="AK227" s="344"/>
      <c r="AL227" s="344"/>
      <c r="AM227" s="344"/>
      <c r="AN227" s="344"/>
      <c r="AO227" s="344"/>
      <c r="AP227" s="344"/>
      <c r="AQ227" s="344"/>
      <c r="AR227" s="344"/>
      <c r="AS227" s="344"/>
      <c r="AT227" s="344"/>
      <c r="AU227" s="344"/>
      <c r="AV227" s="344"/>
      <c r="AW227" s="344"/>
      <c r="AX227" s="344"/>
      <c r="AY227" s="344"/>
      <c r="AZ227" s="344"/>
      <c r="BA227" s="344"/>
      <c r="BB227" s="344"/>
      <c r="BC227" s="344"/>
      <c r="BD227" s="344"/>
      <c r="BE227" s="344"/>
      <c r="BF227" s="344"/>
      <c r="BG227" s="344"/>
    </row>
    <row r="228" spans="8:59" x14ac:dyDescent="0.2">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344"/>
      <c r="AJ228" s="344"/>
      <c r="AK228" s="344"/>
      <c r="AL228" s="344"/>
      <c r="AM228" s="344"/>
      <c r="AN228" s="344"/>
      <c r="AO228" s="344"/>
      <c r="AP228" s="344"/>
      <c r="AQ228" s="344"/>
      <c r="AR228" s="344"/>
      <c r="AS228" s="344"/>
      <c r="AT228" s="344"/>
      <c r="AU228" s="344"/>
      <c r="AV228" s="344"/>
      <c r="AW228" s="344"/>
      <c r="AX228" s="344"/>
      <c r="AY228" s="344"/>
      <c r="AZ228" s="344"/>
      <c r="BA228" s="344"/>
      <c r="BB228" s="344"/>
      <c r="BC228" s="344"/>
      <c r="BD228" s="344"/>
      <c r="BE228" s="344"/>
      <c r="BF228" s="344"/>
      <c r="BG228" s="344"/>
    </row>
    <row r="229" spans="8:59" x14ac:dyDescent="0.2">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344"/>
      <c r="AJ229" s="344"/>
      <c r="AK229" s="344"/>
      <c r="AL229" s="344"/>
      <c r="AM229" s="344"/>
      <c r="AN229" s="344"/>
      <c r="AO229" s="344"/>
      <c r="AP229" s="344"/>
      <c r="AQ229" s="344"/>
      <c r="AR229" s="344"/>
      <c r="AS229" s="344"/>
      <c r="AT229" s="344"/>
      <c r="AU229" s="344"/>
      <c r="AV229" s="344"/>
      <c r="AW229" s="344"/>
      <c r="AX229" s="344"/>
      <c r="AY229" s="344"/>
      <c r="AZ229" s="344"/>
      <c r="BA229" s="344"/>
      <c r="BB229" s="344"/>
      <c r="BC229" s="344"/>
      <c r="BD229" s="344"/>
      <c r="BE229" s="344"/>
      <c r="BF229" s="344"/>
      <c r="BG229" s="344"/>
    </row>
    <row r="230" spans="8:59" x14ac:dyDescent="0.2">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344"/>
      <c r="AJ230" s="344"/>
      <c r="AK230" s="344"/>
      <c r="AL230" s="344"/>
      <c r="AM230" s="344"/>
      <c r="AN230" s="344"/>
      <c r="AO230" s="344"/>
      <c r="AP230" s="344"/>
      <c r="AQ230" s="344"/>
      <c r="AR230" s="344"/>
      <c r="AS230" s="344"/>
      <c r="AT230" s="344"/>
      <c r="AU230" s="344"/>
      <c r="AV230" s="344"/>
      <c r="AW230" s="344"/>
      <c r="AX230" s="344"/>
      <c r="AY230" s="344"/>
      <c r="AZ230" s="344"/>
      <c r="BA230" s="344"/>
      <c r="BB230" s="344"/>
      <c r="BC230" s="344"/>
      <c r="BD230" s="344"/>
      <c r="BE230" s="344"/>
      <c r="BF230" s="344"/>
      <c r="BG230" s="344"/>
    </row>
    <row r="231" spans="8:59" x14ac:dyDescent="0.2">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344"/>
      <c r="AJ231" s="344"/>
      <c r="AK231" s="344"/>
      <c r="AL231" s="344"/>
      <c r="AM231" s="344"/>
      <c r="AN231" s="344"/>
      <c r="AO231" s="344"/>
      <c r="AP231" s="344"/>
      <c r="AQ231" s="344"/>
      <c r="AR231" s="344"/>
      <c r="AS231" s="344"/>
      <c r="AT231" s="344"/>
      <c r="AU231" s="344"/>
      <c r="AV231" s="344"/>
      <c r="AW231" s="344"/>
      <c r="AX231" s="344"/>
      <c r="AY231" s="344"/>
      <c r="AZ231" s="344"/>
      <c r="BA231" s="344"/>
      <c r="BB231" s="344"/>
      <c r="BC231" s="344"/>
      <c r="BD231" s="344"/>
      <c r="BE231" s="344"/>
      <c r="BF231" s="344"/>
      <c r="BG231" s="344"/>
    </row>
    <row r="232" spans="8:59" x14ac:dyDescent="0.2">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344"/>
      <c r="AJ232" s="344"/>
      <c r="AK232" s="344"/>
      <c r="AL232" s="344"/>
      <c r="AM232" s="344"/>
      <c r="AN232" s="344"/>
      <c r="AO232" s="344"/>
      <c r="AP232" s="344"/>
      <c r="AQ232" s="344"/>
      <c r="AR232" s="344"/>
      <c r="AS232" s="344"/>
      <c r="AT232" s="344"/>
      <c r="AU232" s="344"/>
      <c r="AV232" s="344"/>
      <c r="AW232" s="344"/>
      <c r="AX232" s="344"/>
      <c r="AY232" s="344"/>
      <c r="AZ232" s="344"/>
      <c r="BA232" s="344"/>
      <c r="BB232" s="344"/>
      <c r="BC232" s="344"/>
      <c r="BD232" s="344"/>
      <c r="BE232" s="344"/>
      <c r="BF232" s="344"/>
      <c r="BG232" s="344"/>
    </row>
    <row r="233" spans="8:59" x14ac:dyDescent="0.2">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344"/>
      <c r="AJ233" s="344"/>
      <c r="AK233" s="344"/>
      <c r="AL233" s="344"/>
      <c r="AM233" s="344"/>
      <c r="AN233" s="344"/>
      <c r="AO233" s="344"/>
      <c r="AP233" s="344"/>
      <c r="AQ233" s="344"/>
      <c r="AR233" s="344"/>
      <c r="AS233" s="344"/>
      <c r="AT233" s="344"/>
      <c r="AU233" s="344"/>
      <c r="AV233" s="344"/>
      <c r="AW233" s="344"/>
      <c r="AX233" s="344"/>
      <c r="AY233" s="344"/>
      <c r="AZ233" s="344"/>
      <c r="BA233" s="344"/>
      <c r="BB233" s="344"/>
      <c r="BC233" s="344"/>
      <c r="BD233" s="344"/>
      <c r="BE233" s="344"/>
      <c r="BF233" s="344"/>
      <c r="BG233" s="344"/>
    </row>
    <row r="234" spans="8:59" x14ac:dyDescent="0.2">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344"/>
      <c r="AJ234" s="344"/>
      <c r="AK234" s="344"/>
      <c r="AL234" s="344"/>
      <c r="AM234" s="344"/>
      <c r="AN234" s="344"/>
      <c r="AO234" s="344"/>
      <c r="AP234" s="344"/>
      <c r="AQ234" s="344"/>
      <c r="AR234" s="344"/>
      <c r="AS234" s="344"/>
      <c r="AT234" s="344"/>
      <c r="AU234" s="344"/>
      <c r="AV234" s="344"/>
      <c r="AW234" s="344"/>
      <c r="AX234" s="344"/>
      <c r="AY234" s="344"/>
      <c r="AZ234" s="344"/>
      <c r="BA234" s="344"/>
      <c r="BB234" s="344"/>
      <c r="BC234" s="344"/>
      <c r="BD234" s="344"/>
      <c r="BE234" s="344"/>
      <c r="BF234" s="344"/>
      <c r="BG234" s="344"/>
    </row>
    <row r="235" spans="8:59" x14ac:dyDescent="0.2">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344"/>
      <c r="AJ235" s="344"/>
      <c r="AK235" s="344"/>
      <c r="AL235" s="344"/>
      <c r="AM235" s="344"/>
      <c r="AN235" s="344"/>
      <c r="AO235" s="344"/>
      <c r="AP235" s="344"/>
      <c r="AQ235" s="344"/>
      <c r="AR235" s="344"/>
      <c r="AS235" s="344"/>
      <c r="AT235" s="344"/>
      <c r="AU235" s="344"/>
      <c r="AV235" s="344"/>
      <c r="AW235" s="344"/>
      <c r="AX235" s="344"/>
      <c r="AY235" s="344"/>
      <c r="AZ235" s="344"/>
      <c r="BA235" s="344"/>
      <c r="BB235" s="344"/>
      <c r="BC235" s="344"/>
      <c r="BD235" s="344"/>
      <c r="BE235" s="344"/>
      <c r="BF235" s="344"/>
      <c r="BG235" s="344"/>
    </row>
    <row r="236" spans="8:59" x14ac:dyDescent="0.2">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344"/>
      <c r="AJ236" s="344"/>
      <c r="AK236" s="344"/>
      <c r="AL236" s="344"/>
      <c r="AM236" s="344"/>
      <c r="AN236" s="344"/>
      <c r="AO236" s="344"/>
      <c r="AP236" s="344"/>
      <c r="AQ236" s="344"/>
      <c r="AR236" s="344"/>
      <c r="AS236" s="344"/>
      <c r="AT236" s="344"/>
      <c r="AU236" s="344"/>
      <c r="AV236" s="344"/>
      <c r="AW236" s="344"/>
      <c r="AX236" s="344"/>
      <c r="AY236" s="344"/>
      <c r="AZ236" s="344"/>
      <c r="BA236" s="344"/>
      <c r="BB236" s="344"/>
      <c r="BC236" s="344"/>
      <c r="BD236" s="344"/>
      <c r="BE236" s="344"/>
      <c r="BF236" s="344"/>
      <c r="BG236" s="344"/>
    </row>
    <row r="237" spans="8:59" x14ac:dyDescent="0.2">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344"/>
      <c r="AJ237" s="344"/>
      <c r="AK237" s="344"/>
      <c r="AL237" s="344"/>
      <c r="AM237" s="344"/>
      <c r="AN237" s="344"/>
      <c r="AO237" s="344"/>
      <c r="AP237" s="344"/>
      <c r="AQ237" s="344"/>
      <c r="AR237" s="344"/>
      <c r="AS237" s="344"/>
      <c r="AT237" s="344"/>
      <c r="AU237" s="344"/>
      <c r="AV237" s="344"/>
      <c r="AW237" s="344"/>
      <c r="AX237" s="344"/>
      <c r="AY237" s="344"/>
      <c r="AZ237" s="344"/>
      <c r="BA237" s="344"/>
      <c r="BB237" s="344"/>
      <c r="BC237" s="344"/>
      <c r="BD237" s="344"/>
      <c r="BE237" s="344"/>
      <c r="BF237" s="344"/>
      <c r="BG237" s="344"/>
    </row>
    <row r="238" spans="8:59" x14ac:dyDescent="0.2">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344"/>
      <c r="AJ238" s="344"/>
      <c r="AK238" s="344"/>
      <c r="AL238" s="344"/>
      <c r="AM238" s="344"/>
      <c r="AN238" s="344"/>
      <c r="AO238" s="344"/>
      <c r="AP238" s="344"/>
      <c r="AQ238" s="344"/>
      <c r="AR238" s="344"/>
      <c r="AS238" s="344"/>
      <c r="AT238" s="344"/>
      <c r="AU238" s="344"/>
      <c r="AV238" s="344"/>
      <c r="AW238" s="344"/>
      <c r="AX238" s="344"/>
      <c r="AY238" s="344"/>
      <c r="AZ238" s="344"/>
      <c r="BA238" s="344"/>
      <c r="BB238" s="344"/>
      <c r="BC238" s="344"/>
      <c r="BD238" s="344"/>
      <c r="BE238" s="344"/>
      <c r="BF238" s="344"/>
      <c r="BG238" s="344"/>
    </row>
    <row r="239" spans="8:59" x14ac:dyDescent="0.2">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344"/>
      <c r="AJ239" s="344"/>
      <c r="AK239" s="344"/>
      <c r="AL239" s="344"/>
      <c r="AM239" s="344"/>
      <c r="AN239" s="344"/>
      <c r="AO239" s="344"/>
      <c r="AP239" s="344"/>
      <c r="AQ239" s="344"/>
      <c r="AR239" s="344"/>
      <c r="AS239" s="344"/>
      <c r="AT239" s="344"/>
      <c r="AU239" s="344"/>
      <c r="AV239" s="344"/>
      <c r="AW239" s="344"/>
      <c r="AX239" s="344"/>
      <c r="AY239" s="344"/>
      <c r="AZ239" s="344"/>
      <c r="BA239" s="344"/>
      <c r="BB239" s="344"/>
      <c r="BC239" s="344"/>
      <c r="BD239" s="344"/>
      <c r="BE239" s="344"/>
      <c r="BF239" s="344"/>
      <c r="BG239" s="344"/>
    </row>
    <row r="240" spans="8:59" x14ac:dyDescent="0.2">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344"/>
      <c r="AJ240" s="344"/>
      <c r="AK240" s="344"/>
      <c r="AL240" s="344"/>
      <c r="AM240" s="344"/>
      <c r="AN240" s="344"/>
      <c r="AO240" s="344"/>
      <c r="AP240" s="344"/>
      <c r="AQ240" s="344"/>
      <c r="AR240" s="344"/>
      <c r="AS240" s="344"/>
      <c r="AT240" s="344"/>
      <c r="AU240" s="344"/>
      <c r="AV240" s="344"/>
      <c r="AW240" s="344"/>
      <c r="AX240" s="344"/>
      <c r="AY240" s="344"/>
      <c r="AZ240" s="344"/>
      <c r="BA240" s="344"/>
      <c r="BB240" s="344"/>
      <c r="BC240" s="344"/>
      <c r="BD240" s="344"/>
      <c r="BE240" s="344"/>
      <c r="BF240" s="344"/>
      <c r="BG240" s="344"/>
    </row>
    <row r="241" spans="8:59" x14ac:dyDescent="0.2">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344"/>
      <c r="AJ241" s="344"/>
      <c r="AK241" s="344"/>
      <c r="AL241" s="344"/>
      <c r="AM241" s="344"/>
      <c r="AN241" s="344"/>
      <c r="AO241" s="344"/>
      <c r="AP241" s="344"/>
      <c r="AQ241" s="344"/>
      <c r="AR241" s="344"/>
      <c r="AS241" s="344"/>
      <c r="AT241" s="344"/>
      <c r="AU241" s="344"/>
      <c r="AV241" s="344"/>
      <c r="AW241" s="344"/>
      <c r="AX241" s="344"/>
      <c r="AY241" s="344"/>
      <c r="AZ241" s="344"/>
      <c r="BA241" s="344"/>
      <c r="BB241" s="344"/>
      <c r="BC241" s="344"/>
      <c r="BD241" s="344"/>
      <c r="BE241" s="344"/>
      <c r="BF241" s="344"/>
      <c r="BG241" s="344"/>
    </row>
    <row r="242" spans="8:59" x14ac:dyDescent="0.2">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344"/>
      <c r="AJ242" s="344"/>
      <c r="AK242" s="344"/>
      <c r="AL242" s="344"/>
      <c r="AM242" s="344"/>
      <c r="AN242" s="344"/>
      <c r="AO242" s="344"/>
      <c r="AP242" s="344"/>
      <c r="AQ242" s="344"/>
      <c r="AR242" s="344"/>
      <c r="AS242" s="344"/>
      <c r="AT242" s="344"/>
      <c r="AU242" s="344"/>
      <c r="AV242" s="344"/>
      <c r="AW242" s="344"/>
      <c r="AX242" s="344"/>
      <c r="AY242" s="344"/>
      <c r="AZ242" s="344"/>
      <c r="BA242" s="344"/>
      <c r="BB242" s="344"/>
      <c r="BC242" s="344"/>
      <c r="BD242" s="344"/>
      <c r="BE242" s="344"/>
      <c r="BF242" s="344"/>
      <c r="BG242" s="344"/>
    </row>
    <row r="243" spans="8:59" x14ac:dyDescent="0.2">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344"/>
      <c r="AJ243" s="344"/>
      <c r="AK243" s="344"/>
      <c r="AL243" s="344"/>
      <c r="AM243" s="344"/>
      <c r="AN243" s="344"/>
      <c r="AO243" s="344"/>
      <c r="AP243" s="344"/>
      <c r="AQ243" s="344"/>
      <c r="AR243" s="344"/>
      <c r="AS243" s="344"/>
      <c r="AT243" s="344"/>
      <c r="AU243" s="344"/>
      <c r="AV243" s="344"/>
      <c r="AW243" s="344"/>
      <c r="AX243" s="344"/>
      <c r="AY243" s="344"/>
      <c r="AZ243" s="344"/>
      <c r="BA243" s="344"/>
      <c r="BB243" s="344"/>
      <c r="BC243" s="344"/>
      <c r="BD243" s="344"/>
      <c r="BE243" s="344"/>
      <c r="BF243" s="344"/>
      <c r="BG243" s="344"/>
    </row>
    <row r="244" spans="8:59" x14ac:dyDescent="0.2">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344"/>
      <c r="AJ244" s="344"/>
      <c r="AK244" s="344"/>
      <c r="AL244" s="344"/>
      <c r="AM244" s="344"/>
      <c r="AN244" s="344"/>
      <c r="AO244" s="344"/>
      <c r="AP244" s="344"/>
      <c r="AQ244" s="344"/>
      <c r="AR244" s="344"/>
      <c r="AS244" s="344"/>
      <c r="AT244" s="344"/>
      <c r="AU244" s="344"/>
      <c r="AV244" s="344"/>
      <c r="AW244" s="344"/>
      <c r="AX244" s="344"/>
      <c r="AY244" s="344"/>
      <c r="AZ244" s="344"/>
      <c r="BA244" s="344"/>
      <c r="BB244" s="344"/>
      <c r="BC244" s="344"/>
      <c r="BD244" s="344"/>
      <c r="BE244" s="344"/>
      <c r="BF244" s="344"/>
      <c r="BG244" s="344"/>
    </row>
    <row r="245" spans="8:59" x14ac:dyDescent="0.2">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344"/>
      <c r="AJ245" s="344"/>
      <c r="AK245" s="344"/>
      <c r="AL245" s="344"/>
      <c r="AM245" s="344"/>
      <c r="AN245" s="344"/>
      <c r="AO245" s="344"/>
      <c r="AP245" s="344"/>
      <c r="AQ245" s="344"/>
      <c r="AR245" s="344"/>
      <c r="AS245" s="344"/>
      <c r="AT245" s="344"/>
      <c r="AU245" s="344"/>
      <c r="AV245" s="344"/>
      <c r="AW245" s="344"/>
      <c r="AX245" s="344"/>
      <c r="AY245" s="344"/>
      <c r="AZ245" s="344"/>
      <c r="BA245" s="344"/>
      <c r="BB245" s="344"/>
      <c r="BC245" s="344"/>
      <c r="BD245" s="344"/>
      <c r="BE245" s="344"/>
      <c r="BF245" s="344"/>
      <c r="BG245" s="344"/>
    </row>
    <row r="246" spans="8:59" x14ac:dyDescent="0.2">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344"/>
      <c r="AJ246" s="344"/>
      <c r="AK246" s="344"/>
      <c r="AL246" s="344"/>
      <c r="AM246" s="344"/>
      <c r="AN246" s="344"/>
      <c r="AO246" s="344"/>
      <c r="AP246" s="344"/>
      <c r="AQ246" s="344"/>
      <c r="AR246" s="344"/>
      <c r="AS246" s="344"/>
      <c r="AT246" s="344"/>
      <c r="AU246" s="344"/>
      <c r="AV246" s="344"/>
      <c r="AW246" s="344"/>
      <c r="AX246" s="344"/>
      <c r="AY246" s="344"/>
      <c r="AZ246" s="344"/>
      <c r="BA246" s="344"/>
      <c r="BB246" s="344"/>
      <c r="BC246" s="344"/>
      <c r="BD246" s="344"/>
      <c r="BE246" s="344"/>
      <c r="BF246" s="344"/>
      <c r="BG246" s="344"/>
    </row>
  </sheetData>
  <mergeCells count="5">
    <mergeCell ref="B21:B23"/>
    <mergeCell ref="C21:D22"/>
    <mergeCell ref="E21:F22"/>
    <mergeCell ref="C10:E10"/>
    <mergeCell ref="C11:E11"/>
  </mergeCells>
  <conditionalFormatting sqref="B24:F123 H24:BG123">
    <cfRule type="expression" dxfId="28" priority="16">
      <formula>IF($B24="",FALSE,TRUE)</formula>
    </cfRule>
  </conditionalFormatting>
  <conditionalFormatting sqref="B24:F123">
    <cfRule type="expression" dxfId="27" priority="2">
      <formula>IF(AND($BI24="",$B24&lt;&gt;""),TRUE,FALSE)</formula>
    </cfRule>
    <cfRule type="expression" dxfId="26" priority="15">
      <formula>IF($B24&lt;&gt;"",TRUE,FALSE)</formula>
    </cfRule>
  </conditionalFormatting>
  <conditionalFormatting sqref="C23:F23 C21 E21">
    <cfRule type="expression" dxfId="25" priority="14">
      <formula>IF($B$21="Core session",TRUE,FALSE)</formula>
    </cfRule>
  </conditionalFormatting>
  <conditionalFormatting sqref="B124:D223 F124:F223">
    <cfRule type="expression" dxfId="24" priority="12">
      <formula>IF($B124&lt;&gt;"",TRUE,FALSE)</formula>
    </cfRule>
    <cfRule type="expression" dxfId="23" priority="13">
      <formula>IF($B124="",FALSE,TRUE)</formula>
    </cfRule>
  </conditionalFormatting>
  <conditionalFormatting sqref="H124:BG223">
    <cfRule type="expression" dxfId="22" priority="11">
      <formula>IF($B124="", FALSE, TRUE)</formula>
    </cfRule>
  </conditionalFormatting>
  <conditionalFormatting sqref="E124:E223">
    <cfRule type="expression" dxfId="21" priority="9">
      <formula>IF($B124="",FALSE,TRUE)</formula>
    </cfRule>
  </conditionalFormatting>
  <conditionalFormatting sqref="E124:E223">
    <cfRule type="expression" dxfId="20" priority="8">
      <formula>IF($B124&lt;&gt;"",TRUE,FALSE)</formula>
    </cfRule>
  </conditionalFormatting>
  <conditionalFormatting sqref="BI23">
    <cfRule type="expression" dxfId="19" priority="7">
      <formula>IF($B$21="Core session",TRUE,FALSE)</formula>
    </cfRule>
  </conditionalFormatting>
  <conditionalFormatting sqref="BI24:BI124">
    <cfRule type="expression" dxfId="18" priority="5">
      <formula>IF($B24="",FALSE,TRUE)</formula>
    </cfRule>
  </conditionalFormatting>
  <conditionalFormatting sqref="BI125:BI223">
    <cfRule type="expression" dxfId="17" priority="3">
      <formula>IF($B125="",FALSE,TRUE)</formula>
    </cfRule>
  </conditionalFormatting>
  <conditionalFormatting sqref="B124:F124">
    <cfRule type="expression" dxfId="16"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247650</xdr:colOff>
                    <xdr:row>5</xdr:row>
                    <xdr:rowOff>171450</xdr:rowOff>
                  </from>
                  <to>
                    <xdr:col>2</xdr:col>
                    <xdr:colOff>552450</xdr:colOff>
                    <xdr:row>7</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F58" sqref="F58"/>
    </sheetView>
  </sheetViews>
  <sheetFormatPr defaultColWidth="9" defaultRowHeight="14.25" x14ac:dyDescent="0.2"/>
  <cols>
    <col min="1" max="1" width="9.75" style="67" bestFit="1" customWidth="1"/>
    <col min="2" max="2" width="17.75" style="67" bestFit="1" customWidth="1"/>
    <col min="3" max="6" width="10.25" style="67" customWidth="1"/>
    <col min="7" max="7" width="16.625" style="67" customWidth="1"/>
    <col min="8" max="9" width="10.25" style="67" customWidth="1"/>
    <col min="10" max="19" width="9" style="67" customWidth="1"/>
    <col min="20" max="20" width="14.75" style="67" customWidth="1"/>
    <col min="21" max="100" width="9" style="67" customWidth="1"/>
    <col min="101" max="101" width="9.75" style="67" bestFit="1" customWidth="1"/>
    <col min="102" max="103" width="9" style="67"/>
    <col min="104" max="104" width="10" style="67" bestFit="1" customWidth="1"/>
    <col min="105" max="208" width="9" style="67" customWidth="1"/>
    <col min="209" max="16384" width="9" style="67"/>
  </cols>
  <sheetData>
    <row r="1" spans="1:72" x14ac:dyDescent="0.2">
      <c r="B1" s="67" t="s">
        <v>292</v>
      </c>
      <c r="C1" s="67">
        <v>1</v>
      </c>
    </row>
    <row r="2" spans="1:72" x14ac:dyDescent="0.2">
      <c r="A2" s="67" t="s">
        <v>442</v>
      </c>
      <c r="H2" s="67" t="s">
        <v>1164</v>
      </c>
      <c r="I2" s="67">
        <f t="array" aca="1" ref="I2" ca="1">IF(OR(I6:I105-H6:H105&lt;0,K6:K105-J6:J105&lt;0,M6:M105-L6:L105&lt;0,O6:O105-N6:N105&lt;0,Q6:Q105-P6:P105&lt;0),1,0)</f>
        <v>0</v>
      </c>
    </row>
    <row r="3" spans="1:72" x14ac:dyDescent="0.2">
      <c r="T3" s="67" t="s">
        <v>449</v>
      </c>
    </row>
    <row r="4" spans="1:72" ht="15" x14ac:dyDescent="0.25">
      <c r="B4" s="2"/>
      <c r="C4" s="2"/>
      <c r="D4" s="2" t="s">
        <v>468</v>
      </c>
      <c r="E4" s="2"/>
      <c r="F4" s="2"/>
      <c r="G4" s="115"/>
      <c r="H4" s="2" t="s">
        <v>444</v>
      </c>
      <c r="I4" s="2"/>
      <c r="J4" s="2" t="s">
        <v>445</v>
      </c>
      <c r="K4" s="2"/>
      <c r="L4" s="2" t="s">
        <v>446</v>
      </c>
      <c r="M4" s="2"/>
      <c r="N4" s="2" t="s">
        <v>447</v>
      </c>
      <c r="O4" s="2"/>
      <c r="P4" s="2" t="s">
        <v>448</v>
      </c>
      <c r="Q4" s="2"/>
      <c r="U4" s="2" t="s">
        <v>248</v>
      </c>
    </row>
    <row r="5" spans="1:72" ht="15" x14ac:dyDescent="0.25">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
      <c r="A6" s="317">
        <f ca="1">B6+6</f>
        <v>44514</v>
      </c>
      <c r="B6" s="87">
        <f ca="1">IF('Critical resources'!$D$3="",TODAY()-WEEKDAY(TODAY(),3)+7,'Critical resources'!D3-WEEKDAY('Critical resources'!D3,3))</f>
        <v>44508</v>
      </c>
      <c r="C6" s="67">
        <v>1</v>
      </c>
      <c r="D6" s="67">
        <f ca="1">YEAR(B6)</f>
        <v>2021</v>
      </c>
      <c r="E6" s="67" t="str">
        <f t="shared" ref="E6:E54" ca="1" si="0">IF(TEXT(B6,"MMM")=TEXT(B5,"MMM")," ",TEXT(B6,"MMM"))</f>
        <v>Nov</v>
      </c>
      <c r="F6" s="67">
        <f ca="1">WEEKNUM(B6,21)</f>
        <v>45</v>
      </c>
      <c r="G6" s="67" t="str">
        <f>ROW(A1)&amp;". "&amp;'Critical resources'!B12</f>
        <v>1. Consultant: Mr Smith</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
      <c r="A7" s="317">
        <f t="shared" ref="A7:A58" ca="1" si="6">B7+6</f>
        <v>44521</v>
      </c>
      <c r="B7" s="87">
        <f ca="1">B6+7</f>
        <v>44515</v>
      </c>
      <c r="C7" s="67">
        <v>2</v>
      </c>
      <c r="D7" s="67" t="str">
        <f ca="1">IF(YEAR(B7)=YEAR(B6),"",YEAR(B7))</f>
        <v/>
      </c>
      <c r="E7" s="67" t="str">
        <f t="shared" ca="1" si="0"/>
        <v xml:space="preserve"> </v>
      </c>
      <c r="F7" s="67">
        <f t="shared" ref="F7:F58" ca="1" si="7">WEEKNUM(B7,21)</f>
        <v>46</v>
      </c>
      <c r="G7" s="67" t="str">
        <f>ROW(A2)&amp;". "&amp;'Critical resources'!B13</f>
        <v>2. Consultant: Ms Taylor</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
      <c r="A8" s="317">
        <f t="shared" ca="1" si="6"/>
        <v>44528</v>
      </c>
      <c r="B8" s="87">
        <f t="shared" ref="B8:B58" ca="1" si="9">B7+7</f>
        <v>44522</v>
      </c>
      <c r="C8" s="67">
        <v>3</v>
      </c>
      <c r="D8" s="67" t="str">
        <f t="shared" ref="D8:D57" ca="1" si="10">IF(YEAR(B8)=YEAR(B7),"",YEAR(B8))</f>
        <v/>
      </c>
      <c r="E8" s="67" t="str">
        <f t="shared" ca="1" si="0"/>
        <v xml:space="preserve"> </v>
      </c>
      <c r="F8" s="67">
        <f t="shared" ca="1" si="7"/>
        <v>47</v>
      </c>
      <c r="G8" s="67" t="str">
        <f>ROW(A3)&amp;". "&amp;'Critical resources'!B14</f>
        <v>3. CT Scanner 1</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
      <c r="A9" s="317">
        <f t="shared" ca="1" si="6"/>
        <v>44535</v>
      </c>
      <c r="B9" s="87">
        <f t="shared" ca="1" si="9"/>
        <v>44529</v>
      </c>
      <c r="C9" s="67">
        <v>4</v>
      </c>
      <c r="D9" s="67" t="str">
        <f t="shared" ca="1" si="10"/>
        <v/>
      </c>
      <c r="E9" s="67" t="str">
        <f t="shared" ca="1" si="0"/>
        <v xml:space="preserve"> </v>
      </c>
      <c r="F9" s="67">
        <f t="shared" ca="1" si="7"/>
        <v>48</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
      <c r="A10" s="317">
        <f t="shared" ca="1" si="6"/>
        <v>44542</v>
      </c>
      <c r="B10" s="87">
        <f t="shared" ca="1" si="9"/>
        <v>44536</v>
      </c>
      <c r="C10" s="67">
        <v>5</v>
      </c>
      <c r="D10" s="67" t="str">
        <f t="shared" ca="1" si="10"/>
        <v/>
      </c>
      <c r="E10" s="67" t="str">
        <f t="shared" ca="1" si="0"/>
        <v>Dec</v>
      </c>
      <c r="F10" s="67">
        <f t="shared" ca="1" si="7"/>
        <v>49</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
      <c r="A11" s="317">
        <f t="shared" ca="1" si="6"/>
        <v>44549</v>
      </c>
      <c r="B11" s="87">
        <f t="shared" ca="1" si="9"/>
        <v>44543</v>
      </c>
      <c r="C11" s="67">
        <v>6</v>
      </c>
      <c r="D11" s="67" t="str">
        <f t="shared" ca="1" si="10"/>
        <v/>
      </c>
      <c r="E11" s="67" t="str">
        <f t="shared" ca="1" si="0"/>
        <v xml:space="preserve"> </v>
      </c>
      <c r="F11" s="67">
        <f t="shared" ca="1" si="7"/>
        <v>50</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
      <c r="A12" s="317">
        <f t="shared" ca="1" si="6"/>
        <v>44556</v>
      </c>
      <c r="B12" s="87">
        <f t="shared" ca="1" si="9"/>
        <v>44550</v>
      </c>
      <c r="C12" s="67">
        <v>7</v>
      </c>
      <c r="D12" s="67" t="str">
        <f t="shared" ca="1" si="10"/>
        <v/>
      </c>
      <c r="E12" s="67" t="str">
        <f t="shared" ca="1" si="0"/>
        <v xml:space="preserve"> </v>
      </c>
      <c r="F12" s="67">
        <f t="shared" ca="1" si="7"/>
        <v>51</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
      <c r="A13" s="317">
        <f t="shared" ca="1" si="6"/>
        <v>44563</v>
      </c>
      <c r="B13" s="87">
        <f t="shared" ca="1" si="9"/>
        <v>44557</v>
      </c>
      <c r="C13" s="67">
        <v>8</v>
      </c>
      <c r="D13" s="67" t="str">
        <f t="shared" ca="1" si="10"/>
        <v/>
      </c>
      <c r="E13" s="67" t="str">
        <f t="shared" ca="1" si="0"/>
        <v xml:space="preserve"> </v>
      </c>
      <c r="F13" s="67">
        <f t="shared" ca="1" si="7"/>
        <v>52</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
      <c r="A14" s="317">
        <f t="shared" ca="1" si="6"/>
        <v>44570</v>
      </c>
      <c r="B14" s="87">
        <f t="shared" ca="1" si="9"/>
        <v>44564</v>
      </c>
      <c r="C14" s="67">
        <v>9</v>
      </c>
      <c r="D14" s="67">
        <f t="shared" ca="1" si="10"/>
        <v>2022</v>
      </c>
      <c r="E14" s="67" t="str">
        <f t="shared" ca="1" si="0"/>
        <v>Jan</v>
      </c>
      <c r="F14" s="67">
        <f t="shared" ca="1" si="7"/>
        <v>1</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
      <c r="A15" s="317">
        <f t="shared" ca="1" si="6"/>
        <v>44577</v>
      </c>
      <c r="B15" s="87">
        <f t="shared" ca="1" si="9"/>
        <v>44571</v>
      </c>
      <c r="C15" s="67">
        <v>10</v>
      </c>
      <c r="D15" s="67" t="str">
        <f t="shared" ca="1" si="10"/>
        <v/>
      </c>
      <c r="E15" s="67" t="str">
        <f t="shared" ca="1" si="0"/>
        <v xml:space="preserve"> </v>
      </c>
      <c r="F15" s="67">
        <f t="shared" ca="1" si="7"/>
        <v>2</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
      <c r="A16" s="317">
        <f t="shared" ca="1" si="6"/>
        <v>44584</v>
      </c>
      <c r="B16" s="87">
        <f t="shared" ca="1" si="9"/>
        <v>44578</v>
      </c>
      <c r="C16" s="67">
        <v>11</v>
      </c>
      <c r="D16" s="67" t="str">
        <f t="shared" ca="1" si="10"/>
        <v/>
      </c>
      <c r="E16" s="67" t="str">
        <f t="shared" ca="1" si="0"/>
        <v xml:space="preserve"> </v>
      </c>
      <c r="F16" s="67">
        <f t="shared" ca="1" si="7"/>
        <v>3</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
      <c r="A17" s="317">
        <f t="shared" ca="1" si="6"/>
        <v>44591</v>
      </c>
      <c r="B17" s="87">
        <f t="shared" ca="1" si="9"/>
        <v>44585</v>
      </c>
      <c r="C17" s="67">
        <v>12</v>
      </c>
      <c r="D17" s="67" t="str">
        <f t="shared" ca="1" si="10"/>
        <v/>
      </c>
      <c r="E17" s="67" t="str">
        <f t="shared" ca="1" si="0"/>
        <v xml:space="preserve"> </v>
      </c>
      <c r="F17" s="67">
        <f t="shared" ca="1" si="7"/>
        <v>4</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
      <c r="A18" s="317">
        <f t="shared" ca="1" si="6"/>
        <v>44598</v>
      </c>
      <c r="B18" s="87">
        <f t="shared" ca="1" si="9"/>
        <v>44592</v>
      </c>
      <c r="C18" s="67">
        <v>13</v>
      </c>
      <c r="D18" s="67" t="str">
        <f t="shared" ca="1" si="10"/>
        <v/>
      </c>
      <c r="E18" s="67" t="str">
        <f t="shared" ca="1" si="0"/>
        <v xml:space="preserve"> </v>
      </c>
      <c r="F18" s="67">
        <f t="shared" ca="1" si="7"/>
        <v>5</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
      <c r="A19" s="317">
        <f t="shared" ca="1" si="6"/>
        <v>44605</v>
      </c>
      <c r="B19" s="87">
        <f t="shared" ca="1" si="9"/>
        <v>44599</v>
      </c>
      <c r="C19" s="67">
        <v>14</v>
      </c>
      <c r="D19" s="67" t="str">
        <f t="shared" ca="1" si="10"/>
        <v/>
      </c>
      <c r="E19" s="67" t="str">
        <f t="shared" ca="1" si="0"/>
        <v>Feb</v>
      </c>
      <c r="F19" s="67">
        <f t="shared" ca="1" si="7"/>
        <v>6</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
      <c r="A20" s="317">
        <f t="shared" ca="1" si="6"/>
        <v>44612</v>
      </c>
      <c r="B20" s="87">
        <f t="shared" ca="1" si="9"/>
        <v>44606</v>
      </c>
      <c r="C20" s="67">
        <v>15</v>
      </c>
      <c r="D20" s="67" t="str">
        <f t="shared" ca="1" si="10"/>
        <v/>
      </c>
      <c r="E20" s="67" t="str">
        <f t="shared" ca="1" si="0"/>
        <v xml:space="preserve"> </v>
      </c>
      <c r="F20" s="67">
        <f t="shared" ca="1" si="7"/>
        <v>7</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
      <c r="A21" s="317">
        <f t="shared" ca="1" si="6"/>
        <v>44619</v>
      </c>
      <c r="B21" s="87">
        <f t="shared" ca="1" si="9"/>
        <v>44613</v>
      </c>
      <c r="C21" s="67">
        <v>16</v>
      </c>
      <c r="D21" s="67" t="str">
        <f t="shared" ca="1" si="10"/>
        <v/>
      </c>
      <c r="E21" s="67" t="str">
        <f t="shared" ca="1" si="0"/>
        <v xml:space="preserve"> </v>
      </c>
      <c r="F21" s="67">
        <f t="shared" ca="1" si="7"/>
        <v>8</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
      <c r="A22" s="317">
        <f t="shared" ca="1" si="6"/>
        <v>44626</v>
      </c>
      <c r="B22" s="87">
        <f t="shared" ca="1" si="9"/>
        <v>44620</v>
      </c>
      <c r="C22" s="67">
        <v>17</v>
      </c>
      <c r="D22" s="67" t="str">
        <f t="shared" ca="1" si="10"/>
        <v/>
      </c>
      <c r="E22" s="67" t="str">
        <f t="shared" ca="1" si="0"/>
        <v xml:space="preserve"> </v>
      </c>
      <c r="F22" s="67">
        <f t="shared" ca="1" si="7"/>
        <v>9</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
      <c r="A23" s="317">
        <f t="shared" ca="1" si="6"/>
        <v>44633</v>
      </c>
      <c r="B23" s="87">
        <f t="shared" ca="1" si="9"/>
        <v>44627</v>
      </c>
      <c r="C23" s="67">
        <v>18</v>
      </c>
      <c r="D23" s="67" t="str">
        <f t="shared" ca="1" si="10"/>
        <v/>
      </c>
      <c r="E23" s="67" t="str">
        <f t="shared" ca="1" si="0"/>
        <v>Mar</v>
      </c>
      <c r="F23" s="67">
        <f t="shared" ca="1" si="7"/>
        <v>10</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
      <c r="A24" s="317">
        <f t="shared" ca="1" si="6"/>
        <v>44640</v>
      </c>
      <c r="B24" s="87">
        <f t="shared" ca="1" si="9"/>
        <v>44634</v>
      </c>
      <c r="C24" s="67">
        <v>19</v>
      </c>
      <c r="D24" s="67" t="str">
        <f t="shared" ca="1" si="10"/>
        <v/>
      </c>
      <c r="E24" s="67" t="str">
        <f t="shared" ca="1" si="0"/>
        <v xml:space="preserve"> </v>
      </c>
      <c r="F24" s="67">
        <f t="shared" ca="1" si="7"/>
        <v>11</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
      <c r="A25" s="317">
        <f t="shared" ca="1" si="6"/>
        <v>44647</v>
      </c>
      <c r="B25" s="87">
        <f t="shared" ca="1" si="9"/>
        <v>44641</v>
      </c>
      <c r="C25" s="67">
        <v>20</v>
      </c>
      <c r="D25" s="67" t="str">
        <f t="shared" ca="1" si="10"/>
        <v/>
      </c>
      <c r="E25" s="67" t="str">
        <f t="shared" ca="1" si="0"/>
        <v xml:space="preserve"> </v>
      </c>
      <c r="F25" s="67">
        <f t="shared" ca="1" si="7"/>
        <v>12</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
      <c r="A26" s="317">
        <f t="shared" ca="1" si="6"/>
        <v>44654</v>
      </c>
      <c r="B26" s="87">
        <f t="shared" ca="1" si="9"/>
        <v>44648</v>
      </c>
      <c r="C26" s="67">
        <v>21</v>
      </c>
      <c r="D26" s="67" t="str">
        <f t="shared" ca="1" si="10"/>
        <v/>
      </c>
      <c r="E26" s="67" t="str">
        <f t="shared" ca="1" si="0"/>
        <v xml:space="preserve"> </v>
      </c>
      <c r="F26" s="67">
        <f t="shared" ca="1" si="7"/>
        <v>13</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
      <c r="A27" s="317">
        <f t="shared" ca="1" si="6"/>
        <v>44661</v>
      </c>
      <c r="B27" s="87">
        <f t="shared" ca="1" si="9"/>
        <v>44655</v>
      </c>
      <c r="C27" s="67">
        <v>22</v>
      </c>
      <c r="D27" s="67" t="str">
        <f t="shared" ca="1" si="10"/>
        <v/>
      </c>
      <c r="E27" s="67" t="str">
        <f t="shared" ca="1" si="0"/>
        <v>Apr</v>
      </c>
      <c r="F27" s="67">
        <f t="shared" ca="1" si="7"/>
        <v>14</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
      <c r="A28" s="317">
        <f t="shared" ca="1" si="6"/>
        <v>44668</v>
      </c>
      <c r="B28" s="87">
        <f t="shared" ca="1" si="9"/>
        <v>44662</v>
      </c>
      <c r="C28" s="67">
        <v>23</v>
      </c>
      <c r="D28" s="67" t="str">
        <f t="shared" ca="1" si="10"/>
        <v/>
      </c>
      <c r="E28" s="67" t="str">
        <f t="shared" ca="1" si="0"/>
        <v xml:space="preserve"> </v>
      </c>
      <c r="F28" s="67">
        <f t="shared" ca="1" si="7"/>
        <v>15</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
      <c r="A29" s="317">
        <f t="shared" ca="1" si="6"/>
        <v>44675</v>
      </c>
      <c r="B29" s="87">
        <f t="shared" ca="1" si="9"/>
        <v>44669</v>
      </c>
      <c r="C29" s="67">
        <v>24</v>
      </c>
      <c r="D29" s="67" t="str">
        <f t="shared" ca="1" si="10"/>
        <v/>
      </c>
      <c r="E29" s="67" t="str">
        <f t="shared" ca="1" si="0"/>
        <v xml:space="preserve"> </v>
      </c>
      <c r="F29" s="67">
        <f t="shared" ca="1" si="7"/>
        <v>16</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
      <c r="A30" s="317">
        <f t="shared" ca="1" si="6"/>
        <v>44682</v>
      </c>
      <c r="B30" s="87">
        <f t="shared" ca="1" si="9"/>
        <v>44676</v>
      </c>
      <c r="C30" s="67">
        <v>25</v>
      </c>
      <c r="D30" s="67" t="str">
        <f t="shared" ca="1" si="10"/>
        <v/>
      </c>
      <c r="E30" s="67" t="str">
        <f t="shared" ca="1" si="0"/>
        <v xml:space="preserve"> </v>
      </c>
      <c r="F30" s="67">
        <f t="shared" ca="1" si="7"/>
        <v>17</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
      <c r="A31" s="317">
        <f t="shared" ca="1" si="6"/>
        <v>44689</v>
      </c>
      <c r="B31" s="87">
        <f t="shared" ca="1" si="9"/>
        <v>44683</v>
      </c>
      <c r="C31" s="67">
        <v>26</v>
      </c>
      <c r="D31" s="67" t="str">
        <f t="shared" ca="1" si="10"/>
        <v/>
      </c>
      <c r="E31" s="67" t="str">
        <f t="shared" ca="1" si="0"/>
        <v>May</v>
      </c>
      <c r="F31" s="67">
        <f t="shared" ca="1" si="7"/>
        <v>18</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
      <c r="A32" s="317">
        <f t="shared" ca="1" si="6"/>
        <v>44696</v>
      </c>
      <c r="B32" s="87">
        <f t="shared" ca="1" si="9"/>
        <v>44690</v>
      </c>
      <c r="C32" s="67">
        <v>27</v>
      </c>
      <c r="D32" s="67" t="str">
        <f t="shared" ca="1" si="10"/>
        <v/>
      </c>
      <c r="E32" s="67" t="str">
        <f t="shared" ca="1" si="0"/>
        <v xml:space="preserve"> </v>
      </c>
      <c r="F32" s="67">
        <f t="shared" ca="1" si="7"/>
        <v>19</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
      <c r="A33" s="317">
        <f t="shared" ca="1" si="6"/>
        <v>44703</v>
      </c>
      <c r="B33" s="87">
        <f t="shared" ca="1" si="9"/>
        <v>44697</v>
      </c>
      <c r="C33" s="67">
        <v>28</v>
      </c>
      <c r="D33" s="67" t="str">
        <f t="shared" ca="1" si="10"/>
        <v/>
      </c>
      <c r="E33" s="67" t="str">
        <f t="shared" ca="1" si="0"/>
        <v xml:space="preserve"> </v>
      </c>
      <c r="F33" s="67">
        <f t="shared" ca="1" si="7"/>
        <v>20</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
      <c r="A34" s="317">
        <f t="shared" ca="1" si="6"/>
        <v>44710</v>
      </c>
      <c r="B34" s="87">
        <f t="shared" ca="1" si="9"/>
        <v>44704</v>
      </c>
      <c r="C34" s="67">
        <v>29</v>
      </c>
      <c r="D34" s="67" t="str">
        <f t="shared" ca="1" si="10"/>
        <v/>
      </c>
      <c r="E34" s="67" t="str">
        <f t="shared" ca="1" si="0"/>
        <v xml:space="preserve"> </v>
      </c>
      <c r="F34" s="67">
        <f t="shared" ca="1" si="7"/>
        <v>21</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
      <c r="A35" s="317">
        <f t="shared" ca="1" si="6"/>
        <v>44717</v>
      </c>
      <c r="B35" s="87">
        <f t="shared" ca="1" si="9"/>
        <v>44711</v>
      </c>
      <c r="C35" s="67">
        <v>30</v>
      </c>
      <c r="D35" s="67" t="str">
        <f t="shared" ca="1" si="10"/>
        <v/>
      </c>
      <c r="E35" s="67" t="str">
        <f t="shared" ca="1" si="0"/>
        <v xml:space="preserve"> </v>
      </c>
      <c r="F35" s="67">
        <f t="shared" ca="1" si="7"/>
        <v>22</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
      <c r="A36" s="317">
        <f t="shared" ca="1" si="6"/>
        <v>44724</v>
      </c>
      <c r="B36" s="87">
        <f t="shared" ca="1" si="9"/>
        <v>44718</v>
      </c>
      <c r="C36" s="67">
        <v>31</v>
      </c>
      <c r="D36" s="67" t="str">
        <f t="shared" ca="1" si="10"/>
        <v/>
      </c>
      <c r="E36" s="67" t="str">
        <f t="shared" ca="1" si="0"/>
        <v>Jun</v>
      </c>
      <c r="F36" s="67">
        <f t="shared" ca="1" si="7"/>
        <v>23</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
      <c r="A37" s="317">
        <f t="shared" ca="1" si="6"/>
        <v>44731</v>
      </c>
      <c r="B37" s="87">
        <f t="shared" ca="1" si="9"/>
        <v>44725</v>
      </c>
      <c r="C37" s="67">
        <v>32</v>
      </c>
      <c r="D37" s="67" t="str">
        <f t="shared" ca="1" si="10"/>
        <v/>
      </c>
      <c r="E37" s="67" t="str">
        <f t="shared" ca="1" si="0"/>
        <v xml:space="preserve"> </v>
      </c>
      <c r="F37" s="67">
        <f t="shared" ca="1" si="7"/>
        <v>24</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
      <c r="A38" s="317">
        <f t="shared" ca="1" si="6"/>
        <v>44738</v>
      </c>
      <c r="B38" s="87">
        <f t="shared" ca="1" si="9"/>
        <v>44732</v>
      </c>
      <c r="C38" s="67">
        <v>33</v>
      </c>
      <c r="D38" s="67" t="str">
        <f t="shared" ca="1" si="10"/>
        <v/>
      </c>
      <c r="E38" s="67" t="str">
        <f t="shared" ca="1" si="0"/>
        <v xml:space="preserve"> </v>
      </c>
      <c r="F38" s="67">
        <f t="shared" ca="1" si="7"/>
        <v>25</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
      <c r="A39" s="317">
        <f t="shared" ca="1" si="6"/>
        <v>44745</v>
      </c>
      <c r="B39" s="87">
        <f t="shared" ca="1" si="9"/>
        <v>44739</v>
      </c>
      <c r="C39" s="67">
        <v>34</v>
      </c>
      <c r="D39" s="67" t="str">
        <f t="shared" ca="1" si="10"/>
        <v/>
      </c>
      <c r="E39" s="67" t="str">
        <f t="shared" ca="1" si="0"/>
        <v xml:space="preserve"> </v>
      </c>
      <c r="F39" s="67">
        <f t="shared" ca="1" si="7"/>
        <v>26</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
      <c r="A40" s="317">
        <f t="shared" ca="1" si="6"/>
        <v>44752</v>
      </c>
      <c r="B40" s="87">
        <f t="shared" ca="1" si="9"/>
        <v>44746</v>
      </c>
      <c r="C40" s="67">
        <v>35</v>
      </c>
      <c r="D40" s="67" t="str">
        <f t="shared" ca="1" si="10"/>
        <v/>
      </c>
      <c r="E40" s="67" t="str">
        <f t="shared" ca="1" si="0"/>
        <v>Jul</v>
      </c>
      <c r="F40" s="67">
        <f t="shared" ca="1" si="7"/>
        <v>27</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
      <c r="A41" s="317">
        <f t="shared" ca="1" si="6"/>
        <v>44759</v>
      </c>
      <c r="B41" s="87">
        <f t="shared" ca="1" si="9"/>
        <v>44753</v>
      </c>
      <c r="C41" s="67">
        <v>36</v>
      </c>
      <c r="D41" s="67" t="str">
        <f t="shared" ca="1" si="10"/>
        <v/>
      </c>
      <c r="E41" s="67" t="str">
        <f t="shared" ca="1" si="0"/>
        <v xml:space="preserve"> </v>
      </c>
      <c r="F41" s="67">
        <f t="shared" ca="1" si="7"/>
        <v>28</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
      <c r="A42" s="317">
        <f t="shared" ca="1" si="6"/>
        <v>44766</v>
      </c>
      <c r="B42" s="87">
        <f t="shared" ca="1" si="9"/>
        <v>44760</v>
      </c>
      <c r="C42" s="67">
        <v>37</v>
      </c>
      <c r="D42" s="67" t="str">
        <f t="shared" ca="1" si="10"/>
        <v/>
      </c>
      <c r="E42" s="67" t="str">
        <f t="shared" ca="1" si="0"/>
        <v xml:space="preserve"> </v>
      </c>
      <c r="F42" s="67">
        <f t="shared" ca="1" si="7"/>
        <v>29</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
      <c r="A43" s="317">
        <f t="shared" ca="1" si="6"/>
        <v>44773</v>
      </c>
      <c r="B43" s="87">
        <f t="shared" ca="1" si="9"/>
        <v>44767</v>
      </c>
      <c r="C43" s="67">
        <v>38</v>
      </c>
      <c r="D43" s="67" t="str">
        <f t="shared" ca="1" si="10"/>
        <v/>
      </c>
      <c r="E43" s="67" t="str">
        <f t="shared" ca="1" si="0"/>
        <v xml:space="preserve"> </v>
      </c>
      <c r="F43" s="67">
        <f t="shared" ca="1" si="7"/>
        <v>30</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
      <c r="A44" s="317">
        <f t="shared" ca="1" si="6"/>
        <v>44780</v>
      </c>
      <c r="B44" s="87">
        <f t="shared" ca="1" si="9"/>
        <v>44774</v>
      </c>
      <c r="C44" s="67">
        <v>39</v>
      </c>
      <c r="D44" s="67" t="str">
        <f t="shared" ca="1" si="10"/>
        <v/>
      </c>
      <c r="E44" s="67" t="str">
        <f t="shared" ca="1" si="0"/>
        <v>Aug</v>
      </c>
      <c r="F44" s="67">
        <f t="shared" ca="1" si="7"/>
        <v>31</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
      <c r="A45" s="317">
        <f t="shared" ca="1" si="6"/>
        <v>44787</v>
      </c>
      <c r="B45" s="87">
        <f t="shared" ca="1" si="9"/>
        <v>44781</v>
      </c>
      <c r="C45" s="67">
        <v>40</v>
      </c>
      <c r="D45" s="67" t="str">
        <f t="shared" ca="1" si="10"/>
        <v/>
      </c>
      <c r="E45" s="67" t="str">
        <f t="shared" ca="1" si="0"/>
        <v xml:space="preserve"> </v>
      </c>
      <c r="F45" s="67">
        <f t="shared" ca="1" si="7"/>
        <v>32</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
      <c r="A46" s="317">
        <f t="shared" ca="1" si="6"/>
        <v>44794</v>
      </c>
      <c r="B46" s="87">
        <f t="shared" ca="1" si="9"/>
        <v>44788</v>
      </c>
      <c r="C46" s="67">
        <v>41</v>
      </c>
      <c r="D46" s="67" t="str">
        <f t="shared" ca="1" si="10"/>
        <v/>
      </c>
      <c r="E46" s="67" t="str">
        <f t="shared" ca="1" si="0"/>
        <v xml:space="preserve"> </v>
      </c>
      <c r="F46" s="67">
        <f t="shared" ca="1" si="7"/>
        <v>33</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
      <c r="A47" s="317">
        <f t="shared" ca="1" si="6"/>
        <v>44801</v>
      </c>
      <c r="B47" s="87">
        <f t="shared" ca="1" si="9"/>
        <v>44795</v>
      </c>
      <c r="C47" s="67">
        <v>42</v>
      </c>
      <c r="D47" s="67" t="str">
        <f t="shared" ca="1" si="10"/>
        <v/>
      </c>
      <c r="E47" s="67" t="str">
        <f t="shared" ca="1" si="0"/>
        <v xml:space="preserve"> </v>
      </c>
      <c r="F47" s="67">
        <f t="shared" ca="1" si="7"/>
        <v>34</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
      <c r="A48" s="317">
        <f t="shared" ca="1" si="6"/>
        <v>44808</v>
      </c>
      <c r="B48" s="87">
        <f t="shared" ca="1" si="9"/>
        <v>44802</v>
      </c>
      <c r="C48" s="67">
        <v>43</v>
      </c>
      <c r="D48" s="67" t="str">
        <f t="shared" ca="1" si="10"/>
        <v/>
      </c>
      <c r="E48" s="67" t="str">
        <f t="shared" ca="1" si="0"/>
        <v xml:space="preserve"> </v>
      </c>
      <c r="F48" s="67">
        <f t="shared" ca="1" si="7"/>
        <v>35</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
      <c r="A49" s="317">
        <f t="shared" ca="1" si="6"/>
        <v>44815</v>
      </c>
      <c r="B49" s="87">
        <f t="shared" ca="1" si="9"/>
        <v>44809</v>
      </c>
      <c r="C49" s="67">
        <v>44</v>
      </c>
      <c r="D49" s="67" t="str">
        <f t="shared" ca="1" si="10"/>
        <v/>
      </c>
      <c r="E49" s="67" t="str">
        <f t="shared" ca="1" si="0"/>
        <v>Sep</v>
      </c>
      <c r="F49" s="67">
        <f t="shared" ca="1" si="7"/>
        <v>36</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
      <c r="A50" s="317">
        <f t="shared" ca="1" si="6"/>
        <v>44822</v>
      </c>
      <c r="B50" s="87">
        <f t="shared" ca="1" si="9"/>
        <v>44816</v>
      </c>
      <c r="C50" s="67">
        <v>45</v>
      </c>
      <c r="D50" s="67" t="str">
        <f t="shared" ca="1" si="10"/>
        <v/>
      </c>
      <c r="E50" s="67" t="str">
        <f t="shared" ca="1" si="0"/>
        <v xml:space="preserve"> </v>
      </c>
      <c r="F50" s="67">
        <f t="shared" ca="1" si="7"/>
        <v>37</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
      <c r="A51" s="317">
        <f t="shared" ca="1" si="6"/>
        <v>44829</v>
      </c>
      <c r="B51" s="87">
        <f t="shared" ca="1" si="9"/>
        <v>44823</v>
      </c>
      <c r="C51" s="67">
        <v>46</v>
      </c>
      <c r="D51" s="67" t="str">
        <f t="shared" ca="1" si="10"/>
        <v/>
      </c>
      <c r="E51" s="67" t="str">
        <f t="shared" ca="1" si="0"/>
        <v xml:space="preserve"> </v>
      </c>
      <c r="F51" s="67">
        <f t="shared" ca="1" si="7"/>
        <v>38</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
      <c r="A52" s="317">
        <f t="shared" ca="1" si="6"/>
        <v>44836</v>
      </c>
      <c r="B52" s="87">
        <f t="shared" ca="1" si="9"/>
        <v>44830</v>
      </c>
      <c r="C52" s="67">
        <v>47</v>
      </c>
      <c r="D52" s="67" t="str">
        <f t="shared" ca="1" si="10"/>
        <v/>
      </c>
      <c r="E52" s="67" t="str">
        <f t="shared" ca="1" si="0"/>
        <v xml:space="preserve"> </v>
      </c>
      <c r="F52" s="67">
        <f t="shared" ca="1" si="7"/>
        <v>39</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
      <c r="A53" s="317">
        <f t="shared" ca="1" si="6"/>
        <v>44843</v>
      </c>
      <c r="B53" s="87">
        <f t="shared" ca="1" si="9"/>
        <v>44837</v>
      </c>
      <c r="C53" s="67">
        <v>48</v>
      </c>
      <c r="D53" s="67" t="str">
        <f t="shared" ca="1" si="10"/>
        <v/>
      </c>
      <c r="E53" s="67" t="str">
        <f t="shared" ca="1" si="0"/>
        <v>Oct</v>
      </c>
      <c r="F53" s="67">
        <f t="shared" ca="1" si="7"/>
        <v>40</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
      <c r="A54" s="317">
        <f t="shared" ca="1" si="6"/>
        <v>44850</v>
      </c>
      <c r="B54" s="87">
        <f t="shared" ca="1" si="9"/>
        <v>44844</v>
      </c>
      <c r="C54" s="67">
        <v>49</v>
      </c>
      <c r="D54" s="67" t="str">
        <f t="shared" ca="1" si="10"/>
        <v/>
      </c>
      <c r="E54" s="67" t="str">
        <f t="shared" ca="1" si="0"/>
        <v xml:space="preserve"> </v>
      </c>
      <c r="F54" s="67">
        <f t="shared" ca="1" si="7"/>
        <v>41</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
      <c r="A55" s="317">
        <f t="shared" ca="1" si="6"/>
        <v>44857</v>
      </c>
      <c r="B55" s="87">
        <f t="shared" ca="1" si="9"/>
        <v>44851</v>
      </c>
      <c r="C55" s="67">
        <v>50</v>
      </c>
      <c r="D55" s="67" t="str">
        <f t="shared" ca="1" si="10"/>
        <v/>
      </c>
      <c r="E55" s="67" t="str">
        <f ca="1">IF(TEXT(B55,"MMM")=TEXT(B54,"MMM")," ",TEXT(B55,"MMM"))</f>
        <v xml:space="preserve"> </v>
      </c>
      <c r="F55" s="67">
        <f t="shared" ca="1" si="7"/>
        <v>42</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
      <c r="A56" s="317">
        <f t="shared" ca="1" si="6"/>
        <v>44864</v>
      </c>
      <c r="B56" s="87">
        <f t="shared" ca="1" si="9"/>
        <v>44858</v>
      </c>
      <c r="C56" s="67">
        <v>51</v>
      </c>
      <c r="D56" s="67" t="str">
        <f t="shared" ca="1" si="10"/>
        <v/>
      </c>
      <c r="E56" s="67" t="str">
        <f t="shared" ref="E56:E58" ca="1" si="25">IF(TEXT(B56,"MMM")=TEXT(B55,"MMM")," ",TEXT(B56,"MMM"))</f>
        <v xml:space="preserve"> </v>
      </c>
      <c r="F56" s="67">
        <f t="shared" ca="1" si="7"/>
        <v>43</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
      <c r="A57" s="317">
        <f t="shared" ca="1" si="6"/>
        <v>44871</v>
      </c>
      <c r="B57" s="87">
        <f t="shared" ca="1" si="9"/>
        <v>44865</v>
      </c>
      <c r="C57" s="67">
        <v>52</v>
      </c>
      <c r="D57" s="67" t="str">
        <f t="shared" ca="1" si="10"/>
        <v/>
      </c>
      <c r="E57" s="67" t="str">
        <f t="shared" ca="1" si="25"/>
        <v xml:space="preserve"> </v>
      </c>
      <c r="F57" s="67">
        <f t="shared" ca="1" si="7"/>
        <v>44</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
      <c r="A58" s="317">
        <f t="shared" ca="1" si="6"/>
        <v>44878</v>
      </c>
      <c r="B58" s="317">
        <f t="shared" ca="1" si="9"/>
        <v>44872</v>
      </c>
      <c r="C58" s="67">
        <v>53</v>
      </c>
      <c r="E58" s="67" t="str">
        <f t="shared" ca="1" si="25"/>
        <v>Nov</v>
      </c>
      <c r="F58" s="67">
        <f t="shared" ca="1" si="7"/>
        <v>45</v>
      </c>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
      <c r="B106" s="87"/>
    </row>
    <row r="107" spans="2:72" x14ac:dyDescent="0.2">
      <c r="B107" s="87"/>
    </row>
    <row r="108" spans="2:72" x14ac:dyDescent="0.2">
      <c r="B108" s="87"/>
    </row>
    <row r="109" spans="2:72" x14ac:dyDescent="0.2">
      <c r="B109" s="87"/>
    </row>
    <row r="110" spans="2:72" x14ac:dyDescent="0.2">
      <c r="B110" s="87"/>
    </row>
    <row r="111" spans="2:72" x14ac:dyDescent="0.2">
      <c r="B111" s="87"/>
    </row>
    <row r="112" spans="2:72" x14ac:dyDescent="0.2">
      <c r="B112" s="87"/>
    </row>
    <row r="113" spans="2:207" x14ac:dyDescent="0.2">
      <c r="B113" s="87"/>
    </row>
    <row r="114" spans="2:207" x14ac:dyDescent="0.2">
      <c r="B114" s="87"/>
    </row>
    <row r="115" spans="2:207" x14ac:dyDescent="0.2">
      <c r="B115" s="87"/>
    </row>
    <row r="116" spans="2:207" x14ac:dyDescent="0.2">
      <c r="B116" s="87"/>
    </row>
    <row r="117" spans="2:207" x14ac:dyDescent="0.2">
      <c r="B117" s="87"/>
    </row>
    <row r="118" spans="2:207" x14ac:dyDescent="0.2">
      <c r="B118" s="87"/>
    </row>
    <row r="119" spans="2:207" x14ac:dyDescent="0.2">
      <c r="B119" s="87"/>
    </row>
    <row r="120" spans="2:207" x14ac:dyDescent="0.2">
      <c r="B120" s="87"/>
    </row>
    <row r="121" spans="2:207" x14ac:dyDescent="0.2">
      <c r="B121" s="87"/>
    </row>
    <row r="123" spans="2:207" x14ac:dyDescent="0.2">
      <c r="B123" s="87"/>
      <c r="CW123" s="70"/>
      <c r="CZ123" s="87"/>
      <c r="GY123" s="70"/>
    </row>
    <row r="124" spans="2:207" x14ac:dyDescent="0.2">
      <c r="B124" s="87"/>
      <c r="CW124" s="70"/>
      <c r="CZ124" s="87"/>
      <c r="GY124" s="70"/>
    </row>
    <row r="125" spans="2:207" x14ac:dyDescent="0.2">
      <c r="B125" s="87"/>
      <c r="CW125" s="70"/>
      <c r="CZ125" s="87"/>
      <c r="GY125" s="70"/>
    </row>
    <row r="126" spans="2:207" x14ac:dyDescent="0.2">
      <c r="B126" s="87"/>
      <c r="CW126" s="70"/>
      <c r="CZ126" s="87"/>
      <c r="GY126" s="70"/>
    </row>
    <row r="127" spans="2:207" x14ac:dyDescent="0.2">
      <c r="B127" s="87"/>
      <c r="CW127" s="70"/>
      <c r="CZ127" s="87"/>
      <c r="GY127" s="70"/>
    </row>
    <row r="128" spans="2:207" x14ac:dyDescent="0.2">
      <c r="B128" s="87"/>
      <c r="CW128" s="70"/>
      <c r="CZ128" s="87"/>
      <c r="GY128" s="70"/>
    </row>
    <row r="129" spans="2:207" x14ac:dyDescent="0.2">
      <c r="B129" s="87"/>
      <c r="CW129" s="70"/>
      <c r="CZ129" s="87"/>
      <c r="GY129" s="70"/>
    </row>
    <row r="130" spans="2:207" x14ac:dyDescent="0.2">
      <c r="B130" s="87"/>
      <c r="CW130" s="70"/>
      <c r="CZ130" s="87"/>
      <c r="GY130" s="70"/>
    </row>
    <row r="131" spans="2:207" x14ac:dyDescent="0.2">
      <c r="B131" s="87"/>
      <c r="CW131" s="70"/>
      <c r="CZ131" s="87"/>
      <c r="GY131" s="70"/>
    </row>
    <row r="132" spans="2:207" x14ac:dyDescent="0.2">
      <c r="B132" s="87"/>
      <c r="CW132" s="70"/>
      <c r="CZ132" s="87"/>
      <c r="GY132" s="70"/>
    </row>
    <row r="133" spans="2:207" x14ac:dyDescent="0.2">
      <c r="B133" s="87"/>
      <c r="CW133" s="70"/>
      <c r="CZ133" s="87"/>
      <c r="GY133" s="70"/>
    </row>
    <row r="134" spans="2:207" x14ac:dyDescent="0.2">
      <c r="B134" s="87"/>
      <c r="CW134" s="70"/>
      <c r="CZ134" s="87"/>
      <c r="GY134" s="70"/>
    </row>
    <row r="135" spans="2:207" x14ac:dyDescent="0.2">
      <c r="B135" s="87"/>
      <c r="CW135" s="70"/>
      <c r="CZ135" s="87"/>
      <c r="GY135" s="70"/>
    </row>
    <row r="136" spans="2:207" x14ac:dyDescent="0.2">
      <c r="B136" s="87"/>
      <c r="CW136" s="70"/>
      <c r="CZ136" s="87"/>
      <c r="GY136" s="70"/>
    </row>
    <row r="137" spans="2:207" x14ac:dyDescent="0.2">
      <c r="B137" s="87"/>
      <c r="CW137" s="70"/>
      <c r="CZ137" s="87"/>
      <c r="GY137" s="70"/>
    </row>
    <row r="138" spans="2:207" x14ac:dyDescent="0.2">
      <c r="B138" s="87"/>
      <c r="CW138" s="70"/>
      <c r="CZ138" s="87"/>
      <c r="GY138" s="70"/>
    </row>
    <row r="139" spans="2:207" x14ac:dyDescent="0.2">
      <c r="B139" s="87"/>
      <c r="CW139" s="70"/>
      <c r="CZ139" s="87"/>
      <c r="GY139" s="70"/>
    </row>
    <row r="140" spans="2:207" x14ac:dyDescent="0.2">
      <c r="B140" s="87"/>
      <c r="CW140" s="70"/>
      <c r="CZ140" s="87"/>
      <c r="GY140" s="70"/>
    </row>
    <row r="141" spans="2:207" x14ac:dyDescent="0.2">
      <c r="B141" s="87"/>
      <c r="CW141" s="70"/>
      <c r="CZ141" s="87"/>
      <c r="GY141" s="70"/>
    </row>
    <row r="142" spans="2:207" x14ac:dyDescent="0.2">
      <c r="B142" s="87"/>
      <c r="CW142" s="70"/>
      <c r="CZ142" s="87"/>
      <c r="GY142" s="70"/>
    </row>
    <row r="143" spans="2:207" x14ac:dyDescent="0.2">
      <c r="B143" s="87"/>
      <c r="CW143" s="70"/>
      <c r="CZ143" s="87"/>
      <c r="GY143" s="70"/>
    </row>
    <row r="144" spans="2:207" x14ac:dyDescent="0.2">
      <c r="B144" s="87"/>
      <c r="CW144" s="70"/>
      <c r="CZ144" s="87"/>
      <c r="GY144" s="70"/>
    </row>
    <row r="145" spans="2:207" x14ac:dyDescent="0.2">
      <c r="B145" s="87"/>
      <c r="CW145" s="70"/>
      <c r="CZ145" s="87"/>
      <c r="GY145" s="70"/>
    </row>
    <row r="146" spans="2:207" x14ac:dyDescent="0.2">
      <c r="B146" s="87"/>
      <c r="CW146" s="70"/>
      <c r="CZ146" s="87"/>
      <c r="GY146" s="70"/>
    </row>
    <row r="147" spans="2:207" x14ac:dyDescent="0.2">
      <c r="B147" s="87"/>
      <c r="CW147" s="70"/>
      <c r="CZ147" s="87"/>
      <c r="GY147" s="70"/>
    </row>
    <row r="148" spans="2:207" x14ac:dyDescent="0.2">
      <c r="B148" s="87"/>
      <c r="CW148" s="70"/>
      <c r="CZ148" s="87"/>
      <c r="GY148" s="70"/>
    </row>
    <row r="149" spans="2:207" x14ac:dyDescent="0.2">
      <c r="B149" s="87"/>
      <c r="CW149" s="70"/>
      <c r="CZ149" s="87"/>
      <c r="GY149" s="70"/>
    </row>
    <row r="150" spans="2:207" x14ac:dyDescent="0.2">
      <c r="B150" s="87"/>
      <c r="CW150" s="70"/>
      <c r="CZ150" s="87"/>
      <c r="GY150" s="70"/>
    </row>
    <row r="151" spans="2:207" x14ac:dyDescent="0.2">
      <c r="B151" s="87"/>
      <c r="CW151" s="70"/>
      <c r="CZ151" s="87"/>
      <c r="GY151" s="70"/>
    </row>
    <row r="152" spans="2:207" x14ac:dyDescent="0.2">
      <c r="B152" s="87"/>
      <c r="CW152" s="70"/>
      <c r="CZ152" s="87"/>
      <c r="GY152" s="70"/>
    </row>
    <row r="153" spans="2:207" x14ac:dyDescent="0.2">
      <c r="B153" s="87"/>
      <c r="CW153" s="70"/>
      <c r="CZ153" s="87"/>
      <c r="GY153" s="70"/>
    </row>
    <row r="154" spans="2:207" x14ac:dyDescent="0.2">
      <c r="B154" s="87"/>
      <c r="CW154" s="70"/>
      <c r="CZ154" s="87"/>
      <c r="GY154" s="70"/>
    </row>
    <row r="155" spans="2:207" x14ac:dyDescent="0.2">
      <c r="B155" s="87"/>
      <c r="CW155" s="70"/>
      <c r="CZ155" s="87"/>
      <c r="GY155" s="70"/>
    </row>
    <row r="156" spans="2:207" x14ac:dyDescent="0.2">
      <c r="B156" s="87"/>
      <c r="CW156" s="70"/>
      <c r="CZ156" s="87"/>
      <c r="GY156" s="70"/>
    </row>
    <row r="157" spans="2:207" x14ac:dyDescent="0.2">
      <c r="B157" s="87"/>
      <c r="CW157" s="70"/>
      <c r="CZ157" s="87"/>
      <c r="GY157" s="70"/>
    </row>
    <row r="158" spans="2:207" x14ac:dyDescent="0.2">
      <c r="B158" s="87"/>
      <c r="CW158" s="70"/>
      <c r="CZ158" s="87"/>
      <c r="GY158" s="70"/>
    </row>
    <row r="159" spans="2:207" x14ac:dyDescent="0.2">
      <c r="B159" s="87"/>
      <c r="CW159" s="70"/>
      <c r="CZ159" s="87"/>
      <c r="GY159" s="70"/>
    </row>
    <row r="160" spans="2:207" x14ac:dyDescent="0.2">
      <c r="B160" s="87"/>
      <c r="CW160" s="70"/>
      <c r="CZ160" s="87"/>
      <c r="GY160" s="70"/>
    </row>
    <row r="161" spans="2:207" x14ac:dyDescent="0.2">
      <c r="B161" s="87"/>
      <c r="CW161" s="70"/>
      <c r="CZ161" s="87"/>
      <c r="GY161" s="70"/>
    </row>
    <row r="162" spans="2:207" x14ac:dyDescent="0.2">
      <c r="B162" s="87"/>
      <c r="CW162" s="70"/>
      <c r="CZ162" s="87"/>
      <c r="GY162" s="70"/>
    </row>
    <row r="163" spans="2:207" x14ac:dyDescent="0.2">
      <c r="B163" s="87"/>
      <c r="CW163" s="70"/>
      <c r="CZ163" s="87"/>
      <c r="GY163" s="70"/>
    </row>
    <row r="164" spans="2:207" x14ac:dyDescent="0.2">
      <c r="B164" s="87"/>
      <c r="CW164" s="70"/>
      <c r="CZ164" s="87"/>
      <c r="GY164" s="70"/>
    </row>
    <row r="165" spans="2:207" x14ac:dyDescent="0.2">
      <c r="B165" s="87"/>
      <c r="CW165" s="70"/>
      <c r="CZ165" s="87"/>
      <c r="GY165" s="70"/>
    </row>
    <row r="166" spans="2:207" x14ac:dyDescent="0.2">
      <c r="B166" s="87"/>
      <c r="CW166" s="70"/>
      <c r="CZ166" s="87"/>
      <c r="GY166" s="70"/>
    </row>
    <row r="167" spans="2:207" x14ac:dyDescent="0.2">
      <c r="B167" s="87"/>
      <c r="CW167" s="70"/>
      <c r="CZ167" s="87"/>
      <c r="GY167" s="70"/>
    </row>
    <row r="168" spans="2:207" x14ac:dyDescent="0.2">
      <c r="B168" s="87"/>
      <c r="CW168" s="70"/>
      <c r="CZ168" s="87"/>
      <c r="GY168" s="70"/>
    </row>
    <row r="169" spans="2:207" x14ac:dyDescent="0.2">
      <c r="B169" s="87"/>
      <c r="CW169" s="70"/>
      <c r="CZ169" s="87"/>
      <c r="GY169" s="70"/>
    </row>
    <row r="170" spans="2:207" x14ac:dyDescent="0.2">
      <c r="B170" s="87"/>
      <c r="CW170" s="70"/>
      <c r="CZ170" s="87"/>
      <c r="GY170" s="70"/>
    </row>
    <row r="171" spans="2:207" x14ac:dyDescent="0.2">
      <c r="B171" s="87"/>
      <c r="CW171" s="70"/>
      <c r="CZ171" s="87"/>
      <c r="GY171" s="70"/>
    </row>
    <row r="172" spans="2:207" x14ac:dyDescent="0.2">
      <c r="B172" s="87"/>
      <c r="CW172" s="70"/>
      <c r="CZ172" s="87"/>
      <c r="GY172" s="70"/>
    </row>
    <row r="173" spans="2:207" x14ac:dyDescent="0.2">
      <c r="B173" s="87"/>
      <c r="CW173" s="70"/>
      <c r="CZ173" s="87"/>
      <c r="GY173" s="70"/>
    </row>
    <row r="174" spans="2:207" x14ac:dyDescent="0.2">
      <c r="B174" s="87"/>
      <c r="CW174" s="70"/>
      <c r="CZ174" s="87"/>
      <c r="GY174" s="70"/>
    </row>
    <row r="175" spans="2:207" x14ac:dyDescent="0.2">
      <c r="B175" s="87"/>
      <c r="CZ175" s="87"/>
    </row>
    <row r="176" spans="2:207" x14ac:dyDescent="0.2">
      <c r="B176" s="87"/>
      <c r="CW176" s="70"/>
      <c r="CZ176" s="87"/>
      <c r="GY176" s="70"/>
    </row>
    <row r="177" spans="2:102" x14ac:dyDescent="0.2">
      <c r="B177" s="87"/>
      <c r="CX177" s="70"/>
    </row>
    <row r="189" spans="2:102" x14ac:dyDescent="0.2">
      <c r="B189" s="87"/>
    </row>
    <row r="190" spans="2:102" x14ac:dyDescent="0.2">
      <c r="B190" s="87"/>
    </row>
    <row r="191" spans="2:102" x14ac:dyDescent="0.2">
      <c r="B191" s="87"/>
    </row>
    <row r="192" spans="2:102" x14ac:dyDescent="0.2">
      <c r="B192" s="87"/>
    </row>
    <row r="193" spans="2:2" x14ac:dyDescent="0.2">
      <c r="B193" s="87"/>
    </row>
    <row r="194" spans="2:2" x14ac:dyDescent="0.2">
      <c r="B194" s="87"/>
    </row>
    <row r="195" spans="2:2" x14ac:dyDescent="0.2">
      <c r="B195" s="87"/>
    </row>
    <row r="196" spans="2:2" x14ac:dyDescent="0.2">
      <c r="B196" s="87"/>
    </row>
    <row r="197" spans="2:2" x14ac:dyDescent="0.2">
      <c r="B197" s="87"/>
    </row>
    <row r="198" spans="2:2" x14ac:dyDescent="0.2">
      <c r="B198" s="87"/>
    </row>
    <row r="199" spans="2:2" x14ac:dyDescent="0.2">
      <c r="B199" s="87"/>
    </row>
    <row r="200" spans="2:2" x14ac:dyDescent="0.2">
      <c r="B200" s="87"/>
    </row>
    <row r="201" spans="2:2" x14ac:dyDescent="0.2">
      <c r="B201" s="87"/>
    </row>
    <row r="202" spans="2:2" x14ac:dyDescent="0.2">
      <c r="B202" s="87"/>
    </row>
    <row r="203" spans="2:2" x14ac:dyDescent="0.2">
      <c r="B203" s="87"/>
    </row>
    <row r="204" spans="2:2" x14ac:dyDescent="0.2">
      <c r="B204" s="87"/>
    </row>
    <row r="205" spans="2:2" x14ac:dyDescent="0.2">
      <c r="B205" s="87"/>
    </row>
    <row r="206" spans="2:2" x14ac:dyDescent="0.2">
      <c r="B206" s="87"/>
    </row>
    <row r="207" spans="2:2" x14ac:dyDescent="0.2">
      <c r="B207" s="87"/>
    </row>
    <row r="208" spans="2:2" x14ac:dyDescent="0.2">
      <c r="B208" s="87"/>
    </row>
    <row r="209" spans="2:2" x14ac:dyDescent="0.2">
      <c r="B209" s="87"/>
    </row>
    <row r="210" spans="2:2" x14ac:dyDescent="0.2">
      <c r="B210" s="87"/>
    </row>
    <row r="211" spans="2:2" x14ac:dyDescent="0.2">
      <c r="B211" s="87"/>
    </row>
    <row r="212" spans="2:2" x14ac:dyDescent="0.2">
      <c r="B212" s="87"/>
    </row>
    <row r="213" spans="2:2" x14ac:dyDescent="0.2">
      <c r="B213" s="87"/>
    </row>
    <row r="214" spans="2:2" x14ac:dyDescent="0.2">
      <c r="B214" s="87"/>
    </row>
    <row r="215" spans="2:2" x14ac:dyDescent="0.2">
      <c r="B215" s="87"/>
    </row>
    <row r="216" spans="2:2" x14ac:dyDescent="0.2">
      <c r="B216" s="87"/>
    </row>
    <row r="217" spans="2:2" x14ac:dyDescent="0.2">
      <c r="B217" s="87"/>
    </row>
    <row r="218" spans="2:2" x14ac:dyDescent="0.2">
      <c r="B218" s="87"/>
    </row>
    <row r="219" spans="2:2" x14ac:dyDescent="0.2">
      <c r="B219" s="87"/>
    </row>
    <row r="220" spans="2:2" x14ac:dyDescent="0.2">
      <c r="B220" s="87"/>
    </row>
    <row r="221" spans="2:2" x14ac:dyDescent="0.2">
      <c r="B221" s="87"/>
    </row>
    <row r="222" spans="2:2" x14ac:dyDescent="0.2">
      <c r="B222" s="87"/>
    </row>
    <row r="223" spans="2:2" x14ac:dyDescent="0.2">
      <c r="B223" s="87"/>
    </row>
    <row r="224" spans="2:2" x14ac:dyDescent="0.2">
      <c r="B224" s="87"/>
    </row>
    <row r="225" spans="2:2" x14ac:dyDescent="0.2">
      <c r="B225" s="87"/>
    </row>
    <row r="226" spans="2:2" x14ac:dyDescent="0.2">
      <c r="B226" s="87"/>
    </row>
    <row r="227" spans="2:2" x14ac:dyDescent="0.2">
      <c r="B227" s="87"/>
    </row>
    <row r="228" spans="2:2" x14ac:dyDescent="0.2">
      <c r="B228" s="87"/>
    </row>
    <row r="229" spans="2:2" x14ac:dyDescent="0.2">
      <c r="B229" s="87"/>
    </row>
    <row r="230" spans="2:2" x14ac:dyDescent="0.2">
      <c r="B230" s="87"/>
    </row>
    <row r="231" spans="2:2" x14ac:dyDescent="0.2">
      <c r="B231" s="87"/>
    </row>
    <row r="232" spans="2:2" x14ac:dyDescent="0.2">
      <c r="B232" s="87"/>
    </row>
    <row r="233" spans="2:2" x14ac:dyDescent="0.2">
      <c r="B233" s="87"/>
    </row>
    <row r="234" spans="2:2" x14ac:dyDescent="0.2">
      <c r="B234" s="87"/>
    </row>
    <row r="235" spans="2:2" x14ac:dyDescent="0.2">
      <c r="B235" s="87"/>
    </row>
    <row r="236" spans="2:2" x14ac:dyDescent="0.2">
      <c r="B236" s="87"/>
    </row>
    <row r="237" spans="2:2" x14ac:dyDescent="0.2">
      <c r="B237" s="87"/>
    </row>
    <row r="238" spans="2:2" x14ac:dyDescent="0.2">
      <c r="B238" s="87"/>
    </row>
    <row r="239" spans="2:2" x14ac:dyDescent="0.2">
      <c r="B239" s="87"/>
    </row>
    <row r="240" spans="2:2" x14ac:dyDescent="0.2">
      <c r="B240" s="87"/>
    </row>
    <row r="241" spans="2:2" x14ac:dyDescent="0.2">
      <c r="B241" s="87"/>
    </row>
    <row r="245" spans="2:2" x14ac:dyDescent="0.2">
      <c r="B245" s="87"/>
    </row>
    <row r="246" spans="2:2" x14ac:dyDescent="0.2">
      <c r="B246" s="87"/>
    </row>
    <row r="247" spans="2:2" x14ac:dyDescent="0.2">
      <c r="B247" s="87"/>
    </row>
    <row r="248" spans="2:2" x14ac:dyDescent="0.2">
      <c r="B248" s="87"/>
    </row>
    <row r="249" spans="2:2" x14ac:dyDescent="0.2">
      <c r="B249" s="87"/>
    </row>
    <row r="250" spans="2:2" x14ac:dyDescent="0.2">
      <c r="B250" s="87"/>
    </row>
    <row r="251" spans="2:2" x14ac:dyDescent="0.2">
      <c r="B251" s="87"/>
    </row>
    <row r="252" spans="2:2" x14ac:dyDescent="0.2">
      <c r="B252" s="87"/>
    </row>
    <row r="253" spans="2:2" x14ac:dyDescent="0.2">
      <c r="B253" s="87"/>
    </row>
    <row r="254" spans="2:2" x14ac:dyDescent="0.2">
      <c r="B254" s="87"/>
    </row>
    <row r="255" spans="2:2" x14ac:dyDescent="0.2">
      <c r="B255" s="87"/>
    </row>
    <row r="256" spans="2:2" x14ac:dyDescent="0.2">
      <c r="B256" s="87"/>
    </row>
    <row r="257" spans="2:2" x14ac:dyDescent="0.2">
      <c r="B257" s="87"/>
    </row>
    <row r="258" spans="2:2" x14ac:dyDescent="0.2">
      <c r="B258" s="87"/>
    </row>
    <row r="259" spans="2:2" x14ac:dyDescent="0.2">
      <c r="B259" s="87"/>
    </row>
    <row r="260" spans="2:2" x14ac:dyDescent="0.2">
      <c r="B260" s="87"/>
    </row>
    <row r="261" spans="2:2" x14ac:dyDescent="0.2">
      <c r="B261" s="87"/>
    </row>
    <row r="262" spans="2:2" x14ac:dyDescent="0.2">
      <c r="B262" s="87"/>
    </row>
    <row r="263" spans="2:2" x14ac:dyDescent="0.2">
      <c r="B263" s="87"/>
    </row>
    <row r="264" spans="2:2" x14ac:dyDescent="0.2">
      <c r="B264" s="87"/>
    </row>
    <row r="265" spans="2:2" x14ac:dyDescent="0.2">
      <c r="B265" s="87"/>
    </row>
    <row r="266" spans="2:2" x14ac:dyDescent="0.2">
      <c r="B266" s="87"/>
    </row>
    <row r="267" spans="2:2" x14ac:dyDescent="0.2">
      <c r="B267" s="87"/>
    </row>
    <row r="268" spans="2:2" x14ac:dyDescent="0.2">
      <c r="B268" s="87"/>
    </row>
    <row r="269" spans="2:2" x14ac:dyDescent="0.2">
      <c r="B269" s="87"/>
    </row>
    <row r="270" spans="2:2" x14ac:dyDescent="0.2">
      <c r="B270" s="87"/>
    </row>
    <row r="271" spans="2:2" x14ac:dyDescent="0.2">
      <c r="B271" s="87"/>
    </row>
    <row r="272" spans="2:2" x14ac:dyDescent="0.2">
      <c r="B272" s="87"/>
    </row>
    <row r="273" spans="2:2" x14ac:dyDescent="0.2">
      <c r="B273" s="87"/>
    </row>
    <row r="274" spans="2:2" x14ac:dyDescent="0.2">
      <c r="B274" s="87"/>
    </row>
    <row r="275" spans="2:2" x14ac:dyDescent="0.2">
      <c r="B275" s="87"/>
    </row>
    <row r="276" spans="2:2" x14ac:dyDescent="0.2">
      <c r="B276" s="87"/>
    </row>
    <row r="277" spans="2:2" x14ac:dyDescent="0.2">
      <c r="B277" s="87"/>
    </row>
    <row r="278" spans="2:2" x14ac:dyDescent="0.2">
      <c r="B278" s="87"/>
    </row>
    <row r="279" spans="2:2" x14ac:dyDescent="0.2">
      <c r="B279" s="87"/>
    </row>
    <row r="280" spans="2:2" x14ac:dyDescent="0.2">
      <c r="B280" s="87"/>
    </row>
    <row r="281" spans="2:2" x14ac:dyDescent="0.2">
      <c r="B281" s="87"/>
    </row>
    <row r="282" spans="2:2" x14ac:dyDescent="0.2">
      <c r="B282" s="87"/>
    </row>
    <row r="283" spans="2:2" x14ac:dyDescent="0.2">
      <c r="B283" s="87"/>
    </row>
    <row r="284" spans="2:2" x14ac:dyDescent="0.2">
      <c r="B284" s="87"/>
    </row>
    <row r="285" spans="2:2" x14ac:dyDescent="0.2">
      <c r="B285" s="87"/>
    </row>
    <row r="286" spans="2:2" x14ac:dyDescent="0.2">
      <c r="B286" s="87"/>
    </row>
    <row r="287" spans="2:2" x14ac:dyDescent="0.2">
      <c r="B287" s="87"/>
    </row>
    <row r="288" spans="2:2" x14ac:dyDescent="0.2">
      <c r="B288" s="87"/>
    </row>
    <row r="289" spans="2:2" x14ac:dyDescent="0.2">
      <c r="B289" s="87"/>
    </row>
    <row r="290" spans="2:2" x14ac:dyDescent="0.2">
      <c r="B290" s="87"/>
    </row>
    <row r="291" spans="2:2" x14ac:dyDescent="0.2">
      <c r="B291" s="87"/>
    </row>
    <row r="292" spans="2:2" x14ac:dyDescent="0.2">
      <c r="B292" s="87"/>
    </row>
    <row r="293" spans="2:2" x14ac:dyDescent="0.2">
      <c r="B293" s="87"/>
    </row>
    <row r="294" spans="2:2" x14ac:dyDescent="0.2">
      <c r="B294" s="87"/>
    </row>
    <row r="295" spans="2:2" x14ac:dyDescent="0.2">
      <c r="B295" s="87"/>
    </row>
    <row r="296" spans="2:2" x14ac:dyDescent="0.2">
      <c r="B296" s="87"/>
    </row>
    <row r="297" spans="2:2" x14ac:dyDescent="0.2">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Q220"/>
  <sheetViews>
    <sheetView topLeftCell="CQ1" workbookViewId="0">
      <selection activeCell="DJ3" sqref="DJ3"/>
    </sheetView>
  </sheetViews>
  <sheetFormatPr defaultRowHeight="14.25" x14ac:dyDescent="0.2"/>
  <cols>
    <col min="1" max="1" width="9" style="67"/>
    <col min="2" max="2" width="12.125" customWidth="1"/>
    <col min="3" max="3" width="22.25" style="67" bestFit="1" customWidth="1"/>
    <col min="4" max="4" width="11.125" customWidth="1"/>
    <col min="60" max="61" width="9.625" customWidth="1"/>
    <col min="62" max="62" width="9.625" style="67" customWidth="1"/>
    <col min="63" max="114" width="9.75" bestFit="1" customWidth="1"/>
    <col min="115" max="115" width="9.75" style="67" bestFit="1" customWidth="1"/>
  </cols>
  <sheetData>
    <row r="1" spans="1:121" ht="15" x14ac:dyDescent="0.25">
      <c r="A1" s="67" t="s">
        <v>1244</v>
      </c>
      <c r="C1" s="2" t="s">
        <v>459</v>
      </c>
      <c r="D1" t="s">
        <v>467</v>
      </c>
      <c r="E1">
        <v>1</v>
      </c>
      <c r="H1" t="s">
        <v>433</v>
      </c>
      <c r="I1" t="str">
        <f>"Capacity summary ("&amp;LOWER('Capacity summary'!$C$16)&amp;")"&amp;IF(Capacity!C12&lt;&gt;"[Not Saved]"," - " &amp;Capacity!C12,"")</f>
        <v>Capacity summary (patients)</v>
      </c>
      <c r="BJ1" s="67" t="s">
        <v>458</v>
      </c>
      <c r="BK1" s="317">
        <f ca="1">INDEX('Critical resources (hide)'!$B$6:$F$58,MATCH('Capacity calculation (hide)'!BK$3,'Critical resources (hide)'!$F$6:$F$58,0),1)</f>
        <v>44508</v>
      </c>
      <c r="BL1" s="317">
        <f ca="1">INDEX('Critical resources (hide)'!$B$6:$F$58,MATCH('Capacity calculation (hide)'!BL$3,'Critical resources (hide)'!$F$6:$F$58,0),1)</f>
        <v>44515</v>
      </c>
      <c r="BM1" s="317">
        <f ca="1">INDEX('Critical resources (hide)'!$B$6:$F$58,MATCH('Capacity calculation (hide)'!BM$3,'Critical resources (hide)'!$F$6:$F$58,0),1)</f>
        <v>44522</v>
      </c>
      <c r="BN1" s="317">
        <f ca="1">INDEX('Critical resources (hide)'!$B$6:$F$58,MATCH('Capacity calculation (hide)'!BN$3,'Critical resources (hide)'!$F$6:$F$58,0),1)</f>
        <v>44529</v>
      </c>
      <c r="BO1" s="317">
        <f ca="1">INDEX('Critical resources (hide)'!$B$6:$F$58,MATCH('Capacity calculation (hide)'!BO$3,'Critical resources (hide)'!$F$6:$F$58,0),1)</f>
        <v>44536</v>
      </c>
      <c r="BP1" s="317">
        <f ca="1">INDEX('Critical resources (hide)'!$B$6:$F$58,MATCH('Capacity calculation (hide)'!BP$3,'Critical resources (hide)'!$F$6:$F$58,0),1)</f>
        <v>44543</v>
      </c>
      <c r="BQ1" s="317">
        <f ca="1">INDEX('Critical resources (hide)'!$B$6:$F$58,MATCH('Capacity calculation (hide)'!BQ$3,'Critical resources (hide)'!$F$6:$F$58,0),1)</f>
        <v>44550</v>
      </c>
      <c r="BR1" s="317">
        <f ca="1">INDEX('Critical resources (hide)'!$B$6:$F$58,MATCH('Capacity calculation (hide)'!BR$3,'Critical resources (hide)'!$F$6:$F$58,0),1)</f>
        <v>44557</v>
      </c>
      <c r="BS1" s="317">
        <f ca="1">INDEX('Critical resources (hide)'!$B$6:$F$58,MATCH('Capacity calculation (hide)'!BS$3,'Critical resources (hide)'!$F$6:$F$58,0),1)</f>
        <v>44564</v>
      </c>
      <c r="BT1" s="317">
        <f ca="1">INDEX('Critical resources (hide)'!$B$6:$F$58,MATCH('Capacity calculation (hide)'!BT$3,'Critical resources (hide)'!$F$6:$F$58,0),1)</f>
        <v>44571</v>
      </c>
      <c r="BU1" s="317">
        <f ca="1">INDEX('Critical resources (hide)'!$B$6:$F$58,MATCH('Capacity calculation (hide)'!BU$3,'Critical resources (hide)'!$F$6:$F$58,0),1)</f>
        <v>44578</v>
      </c>
      <c r="BV1" s="317">
        <f ca="1">INDEX('Critical resources (hide)'!$B$6:$F$58,MATCH('Capacity calculation (hide)'!BV$3,'Critical resources (hide)'!$F$6:$F$58,0),1)</f>
        <v>44585</v>
      </c>
      <c r="BW1" s="317">
        <f ca="1">INDEX('Critical resources (hide)'!$B$6:$F$58,MATCH('Capacity calculation (hide)'!BW$3,'Critical resources (hide)'!$F$6:$F$58,0),1)</f>
        <v>44592</v>
      </c>
      <c r="BX1" s="317">
        <f ca="1">INDEX('Critical resources (hide)'!$B$6:$F$58,MATCH('Capacity calculation (hide)'!BX$3,'Critical resources (hide)'!$F$6:$F$58,0),1)</f>
        <v>44599</v>
      </c>
      <c r="BY1" s="317">
        <f ca="1">INDEX('Critical resources (hide)'!$B$6:$F$58,MATCH('Capacity calculation (hide)'!BY$3,'Critical resources (hide)'!$F$6:$F$58,0),1)</f>
        <v>44606</v>
      </c>
      <c r="BZ1" s="317">
        <f ca="1">INDEX('Critical resources (hide)'!$B$6:$F$58,MATCH('Capacity calculation (hide)'!BZ$3,'Critical resources (hide)'!$F$6:$F$58,0),1)</f>
        <v>44613</v>
      </c>
      <c r="CA1" s="317">
        <f ca="1">INDEX('Critical resources (hide)'!$B$6:$F$58,MATCH('Capacity calculation (hide)'!CA$3,'Critical resources (hide)'!$F$6:$F$58,0),1)</f>
        <v>44620</v>
      </c>
      <c r="CB1" s="317">
        <f ca="1">INDEX('Critical resources (hide)'!$B$6:$F$58,MATCH('Capacity calculation (hide)'!CB$3,'Critical resources (hide)'!$F$6:$F$58,0),1)</f>
        <v>44627</v>
      </c>
      <c r="CC1" s="317">
        <f ca="1">INDEX('Critical resources (hide)'!$B$6:$F$58,MATCH('Capacity calculation (hide)'!CC$3,'Critical resources (hide)'!$F$6:$F$58,0),1)</f>
        <v>44634</v>
      </c>
      <c r="CD1" s="317">
        <f ca="1">INDEX('Critical resources (hide)'!$B$6:$F$58,MATCH('Capacity calculation (hide)'!CD$3,'Critical resources (hide)'!$F$6:$F$58,0),1)</f>
        <v>44641</v>
      </c>
      <c r="CE1" s="317">
        <f ca="1">INDEX('Critical resources (hide)'!$B$6:$F$58,MATCH('Capacity calculation (hide)'!CE$3,'Critical resources (hide)'!$F$6:$F$58,0),1)</f>
        <v>44648</v>
      </c>
      <c r="CF1" s="317">
        <f ca="1">INDEX('Critical resources (hide)'!$B$6:$F$58,MATCH('Capacity calculation (hide)'!CF$3,'Critical resources (hide)'!$F$6:$F$58,0),1)</f>
        <v>44655</v>
      </c>
      <c r="CG1" s="317">
        <f ca="1">INDEX('Critical resources (hide)'!$B$6:$F$58,MATCH('Capacity calculation (hide)'!CG$3,'Critical resources (hide)'!$F$6:$F$58,0),1)</f>
        <v>44662</v>
      </c>
      <c r="CH1" s="317">
        <f ca="1">INDEX('Critical resources (hide)'!$B$6:$F$58,MATCH('Capacity calculation (hide)'!CH$3,'Critical resources (hide)'!$F$6:$F$58,0),1)</f>
        <v>44669</v>
      </c>
      <c r="CI1" s="317">
        <f ca="1">INDEX('Critical resources (hide)'!$B$6:$F$58,MATCH('Capacity calculation (hide)'!CI$3,'Critical resources (hide)'!$F$6:$F$58,0),1)</f>
        <v>44676</v>
      </c>
      <c r="CJ1" s="317">
        <f ca="1">INDEX('Critical resources (hide)'!$B$6:$F$58,MATCH('Capacity calculation (hide)'!CJ$3,'Critical resources (hide)'!$F$6:$F$58,0),1)</f>
        <v>44683</v>
      </c>
      <c r="CK1" s="317">
        <f ca="1">INDEX('Critical resources (hide)'!$B$6:$F$58,MATCH('Capacity calculation (hide)'!CK$3,'Critical resources (hide)'!$F$6:$F$58,0),1)</f>
        <v>44690</v>
      </c>
      <c r="CL1" s="317">
        <f ca="1">INDEX('Critical resources (hide)'!$B$6:$F$58,MATCH('Capacity calculation (hide)'!CL$3,'Critical resources (hide)'!$F$6:$F$58,0),1)</f>
        <v>44697</v>
      </c>
      <c r="CM1" s="317">
        <f ca="1">INDEX('Critical resources (hide)'!$B$6:$F$58,MATCH('Capacity calculation (hide)'!CM$3,'Critical resources (hide)'!$F$6:$F$58,0),1)</f>
        <v>44704</v>
      </c>
      <c r="CN1" s="317">
        <f ca="1">INDEX('Critical resources (hide)'!$B$6:$F$58,MATCH('Capacity calculation (hide)'!CN$3,'Critical resources (hide)'!$F$6:$F$58,0),1)</f>
        <v>44711</v>
      </c>
      <c r="CO1" s="317">
        <f ca="1">INDEX('Critical resources (hide)'!$B$6:$F$58,MATCH('Capacity calculation (hide)'!CO$3,'Critical resources (hide)'!$F$6:$F$58,0),1)</f>
        <v>44718</v>
      </c>
      <c r="CP1" s="317">
        <f ca="1">INDEX('Critical resources (hide)'!$B$6:$F$58,MATCH('Capacity calculation (hide)'!CP$3,'Critical resources (hide)'!$F$6:$F$58,0),1)</f>
        <v>44725</v>
      </c>
      <c r="CQ1" s="317">
        <f ca="1">INDEX('Critical resources (hide)'!$B$6:$F$58,MATCH('Capacity calculation (hide)'!CQ$3,'Critical resources (hide)'!$F$6:$F$58,0),1)</f>
        <v>44732</v>
      </c>
      <c r="CR1" s="317">
        <f ca="1">INDEX('Critical resources (hide)'!$B$6:$F$58,MATCH('Capacity calculation (hide)'!CR$3,'Critical resources (hide)'!$F$6:$F$58,0),1)</f>
        <v>44739</v>
      </c>
      <c r="CS1" s="317">
        <f ca="1">INDEX('Critical resources (hide)'!$B$6:$F$58,MATCH('Capacity calculation (hide)'!CS$3,'Critical resources (hide)'!$F$6:$F$58,0),1)</f>
        <v>44746</v>
      </c>
      <c r="CT1" s="317">
        <f ca="1">INDEX('Critical resources (hide)'!$B$6:$F$58,MATCH('Capacity calculation (hide)'!CT$3,'Critical resources (hide)'!$F$6:$F$58,0),1)</f>
        <v>44753</v>
      </c>
      <c r="CU1" s="317">
        <f ca="1">INDEX('Critical resources (hide)'!$B$6:$F$58,MATCH('Capacity calculation (hide)'!CU$3,'Critical resources (hide)'!$F$6:$F$58,0),1)</f>
        <v>44760</v>
      </c>
      <c r="CV1" s="317">
        <f ca="1">INDEX('Critical resources (hide)'!$B$6:$F$58,MATCH('Capacity calculation (hide)'!CV$3,'Critical resources (hide)'!$F$6:$F$58,0),1)</f>
        <v>44767</v>
      </c>
      <c r="CW1" s="317">
        <f ca="1">INDEX('Critical resources (hide)'!$B$6:$F$58,MATCH('Capacity calculation (hide)'!CW$3,'Critical resources (hide)'!$F$6:$F$58,0),1)</f>
        <v>44774</v>
      </c>
      <c r="CX1" s="317">
        <f ca="1">INDEX('Critical resources (hide)'!$B$6:$F$58,MATCH('Capacity calculation (hide)'!CX$3,'Critical resources (hide)'!$F$6:$F$58,0),1)</f>
        <v>44781</v>
      </c>
      <c r="CY1" s="317">
        <f ca="1">INDEX('Critical resources (hide)'!$B$6:$F$58,MATCH('Capacity calculation (hide)'!CY$3,'Critical resources (hide)'!$F$6:$F$58,0),1)</f>
        <v>44788</v>
      </c>
      <c r="CZ1" s="317">
        <f ca="1">INDEX('Critical resources (hide)'!$B$6:$F$58,MATCH('Capacity calculation (hide)'!CZ$3,'Critical resources (hide)'!$F$6:$F$58,0),1)</f>
        <v>44795</v>
      </c>
      <c r="DA1" s="317">
        <f ca="1">INDEX('Critical resources (hide)'!$B$6:$F$58,MATCH('Capacity calculation (hide)'!DA$3,'Critical resources (hide)'!$F$6:$F$58,0),1)</f>
        <v>44802</v>
      </c>
      <c r="DB1" s="317">
        <f ca="1">INDEX('Critical resources (hide)'!$B$6:$F$58,MATCH('Capacity calculation (hide)'!DB$3,'Critical resources (hide)'!$F$6:$F$58,0),1)</f>
        <v>44809</v>
      </c>
      <c r="DC1" s="317">
        <f ca="1">INDEX('Critical resources (hide)'!$B$6:$F$58,MATCH('Capacity calculation (hide)'!DC$3,'Critical resources (hide)'!$F$6:$F$58,0),1)</f>
        <v>44816</v>
      </c>
      <c r="DD1" s="317">
        <f ca="1">INDEX('Critical resources (hide)'!$B$6:$F$58,MATCH('Capacity calculation (hide)'!DD$3,'Critical resources (hide)'!$F$6:$F$58,0),1)</f>
        <v>44823</v>
      </c>
      <c r="DE1" s="317">
        <f ca="1">INDEX('Critical resources (hide)'!$B$6:$F$58,MATCH('Capacity calculation (hide)'!DE$3,'Critical resources (hide)'!$F$6:$F$58,0),1)</f>
        <v>44830</v>
      </c>
      <c r="DF1" s="317">
        <f ca="1">INDEX('Critical resources (hide)'!$B$6:$F$58,MATCH('Capacity calculation (hide)'!DF$3,'Critical resources (hide)'!$F$6:$F$58,0),1)</f>
        <v>44837</v>
      </c>
      <c r="DG1" s="317">
        <f ca="1">INDEX('Critical resources (hide)'!$B$6:$F$58,MATCH('Capacity calculation (hide)'!DG$3,'Critical resources (hide)'!$F$6:$F$58,0),1)</f>
        <v>44844</v>
      </c>
      <c r="DH1" s="317">
        <f ca="1">INDEX('Critical resources (hide)'!$B$6:$F$58,MATCH('Capacity calculation (hide)'!DH$3,'Critical resources (hide)'!$F$6:$F$58,0),1)</f>
        <v>44851</v>
      </c>
      <c r="DI1" s="317">
        <f ca="1">INDEX('Critical resources (hide)'!$B$6:$F$58,MATCH('Capacity calculation (hide)'!DI$3,'Critical resources (hide)'!$F$6:$F$58,0),1)</f>
        <v>44858</v>
      </c>
      <c r="DJ1" s="317">
        <f ca="1">INDEX('Critical resources (hide)'!$B$6:$F$58,MATCH('Capacity calculation (hide)'!DJ$3,'Critical resources (hide)'!$F$6:$F$58,0),1)</f>
        <v>44865</v>
      </c>
      <c r="DK1" s="317">
        <f ca="1">INDEX('Critical resources (hide)'!$B$6:$F$58,MATCH('Capacity calculation (hide)'!DK$3,'Critical resources (hide)'!$F$6:$F$58,0),1)</f>
        <v>44508</v>
      </c>
    </row>
    <row r="2" spans="1:121" ht="15"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c r="DK2" s="390">
        <v>53</v>
      </c>
    </row>
    <row r="3" spans="1:121" ht="15"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45</v>
      </c>
      <c r="BL3" s="59">
        <f ca="1">OFFSET('Critical resources (hide)'!$F$6,COLUMN(B1)-1,0,1,1)</f>
        <v>46</v>
      </c>
      <c r="BM3" s="59">
        <f ca="1">OFFSET('Critical resources (hide)'!$F$6,COLUMN(C1)-1,0,1,1)</f>
        <v>47</v>
      </c>
      <c r="BN3" s="59">
        <f ca="1">OFFSET('Critical resources (hide)'!$F$6,COLUMN(D1)-1,0,1,1)</f>
        <v>48</v>
      </c>
      <c r="BO3" s="59">
        <f ca="1">OFFSET('Critical resources (hide)'!$F$6,COLUMN(E1)-1,0,1,1)</f>
        <v>49</v>
      </c>
      <c r="BP3" s="59">
        <f ca="1">OFFSET('Critical resources (hide)'!$F$6,COLUMN(F1)-1,0,1,1)</f>
        <v>50</v>
      </c>
      <c r="BQ3" s="59">
        <f ca="1">OFFSET('Critical resources (hide)'!$F$6,COLUMN(G1)-1,0,1,1)</f>
        <v>51</v>
      </c>
      <c r="BR3" s="59">
        <f ca="1">OFFSET('Critical resources (hide)'!$F$6,COLUMN(H1)-1,0,1,1)</f>
        <v>52</v>
      </c>
      <c r="BS3" s="59">
        <f ca="1">OFFSET('Critical resources (hide)'!$F$6,COLUMN(I1)-1,0,1,1)</f>
        <v>1</v>
      </c>
      <c r="BT3" s="59">
        <f ca="1">OFFSET('Critical resources (hide)'!$F$6,COLUMN(J1)-1,0,1,1)</f>
        <v>2</v>
      </c>
      <c r="BU3" s="59">
        <f ca="1">OFFSET('Critical resources (hide)'!$F$6,COLUMN(K1)-1,0,1,1)</f>
        <v>3</v>
      </c>
      <c r="BV3" s="59">
        <f ca="1">OFFSET('Critical resources (hide)'!$F$6,COLUMN(L1)-1,0,1,1)</f>
        <v>4</v>
      </c>
      <c r="BW3" s="59">
        <f ca="1">OFFSET('Critical resources (hide)'!$F$6,COLUMN(M1)-1,0,1,1)</f>
        <v>5</v>
      </c>
      <c r="BX3" s="59">
        <f ca="1">OFFSET('Critical resources (hide)'!$F$6,COLUMN(N1)-1,0,1,1)</f>
        <v>6</v>
      </c>
      <c r="BY3" s="59">
        <f ca="1">OFFSET('Critical resources (hide)'!$F$6,COLUMN(O1)-1,0,1,1)</f>
        <v>7</v>
      </c>
      <c r="BZ3" s="59">
        <f ca="1">OFFSET('Critical resources (hide)'!$F$6,COLUMN(P1)-1,0,1,1)</f>
        <v>8</v>
      </c>
      <c r="CA3" s="59">
        <f ca="1">OFFSET('Critical resources (hide)'!$F$6,COLUMN(Q1)-1,0,1,1)</f>
        <v>9</v>
      </c>
      <c r="CB3" s="59">
        <f ca="1">OFFSET('Critical resources (hide)'!$F$6,COLUMN(R1)-1,0,1,1)</f>
        <v>10</v>
      </c>
      <c r="CC3" s="59">
        <f ca="1">OFFSET('Critical resources (hide)'!$F$6,COLUMN(S1)-1,0,1,1)</f>
        <v>11</v>
      </c>
      <c r="CD3" s="59">
        <f ca="1">OFFSET('Critical resources (hide)'!$F$6,COLUMN(T1)-1,0,1,1)</f>
        <v>12</v>
      </c>
      <c r="CE3" s="59">
        <f ca="1">OFFSET('Critical resources (hide)'!$F$6,COLUMN(U1)-1,0,1,1)</f>
        <v>13</v>
      </c>
      <c r="CF3" s="59">
        <f ca="1">OFFSET('Critical resources (hide)'!$F$6,COLUMN(V1)-1,0,1,1)</f>
        <v>14</v>
      </c>
      <c r="CG3" s="59">
        <f ca="1">OFFSET('Critical resources (hide)'!$F$6,COLUMN(W1)-1,0,1,1)</f>
        <v>15</v>
      </c>
      <c r="CH3" s="59">
        <f ca="1">OFFSET('Critical resources (hide)'!$F$6,COLUMN(X1)-1,0,1,1)</f>
        <v>16</v>
      </c>
      <c r="CI3" s="59">
        <f ca="1">OFFSET('Critical resources (hide)'!$F$6,COLUMN(Y1)-1,0,1,1)</f>
        <v>17</v>
      </c>
      <c r="CJ3" s="59">
        <f ca="1">OFFSET('Critical resources (hide)'!$F$6,COLUMN(Z1)-1,0,1,1)</f>
        <v>18</v>
      </c>
      <c r="CK3" s="59">
        <f ca="1">OFFSET('Critical resources (hide)'!$F$6,COLUMN(AA1)-1,0,1,1)</f>
        <v>19</v>
      </c>
      <c r="CL3" s="59">
        <f ca="1">OFFSET('Critical resources (hide)'!$F$6,COLUMN(AB1)-1,0,1,1)</f>
        <v>20</v>
      </c>
      <c r="CM3" s="59">
        <f ca="1">OFFSET('Critical resources (hide)'!$F$6,COLUMN(AC1)-1,0,1,1)</f>
        <v>21</v>
      </c>
      <c r="CN3" s="59">
        <f ca="1">OFFSET('Critical resources (hide)'!$F$6,COLUMN(AD1)-1,0,1,1)</f>
        <v>22</v>
      </c>
      <c r="CO3" s="59">
        <f ca="1">OFFSET('Critical resources (hide)'!$F$6,COLUMN(AE1)-1,0,1,1)</f>
        <v>23</v>
      </c>
      <c r="CP3" s="59">
        <f ca="1">OFFSET('Critical resources (hide)'!$F$6,COLUMN(AF1)-1,0,1,1)</f>
        <v>24</v>
      </c>
      <c r="CQ3" s="59">
        <f ca="1">OFFSET('Critical resources (hide)'!$F$6,COLUMN(AG1)-1,0,1,1)</f>
        <v>25</v>
      </c>
      <c r="CR3" s="59">
        <f ca="1">OFFSET('Critical resources (hide)'!$F$6,COLUMN(AH1)-1,0,1,1)</f>
        <v>26</v>
      </c>
      <c r="CS3" s="59">
        <f ca="1">OFFSET('Critical resources (hide)'!$F$6,COLUMN(AI1)-1,0,1,1)</f>
        <v>27</v>
      </c>
      <c r="CT3" s="59">
        <f ca="1">OFFSET('Critical resources (hide)'!$F$6,COLUMN(AJ1)-1,0,1,1)</f>
        <v>28</v>
      </c>
      <c r="CU3" s="59">
        <f ca="1">OFFSET('Critical resources (hide)'!$F$6,COLUMN(AK1)-1,0,1,1)</f>
        <v>29</v>
      </c>
      <c r="CV3" s="59">
        <f ca="1">OFFSET('Critical resources (hide)'!$F$6,COLUMN(AL1)-1,0,1,1)</f>
        <v>30</v>
      </c>
      <c r="CW3" s="59">
        <f ca="1">OFFSET('Critical resources (hide)'!$F$6,COLUMN(AM1)-1,0,1,1)</f>
        <v>31</v>
      </c>
      <c r="CX3" s="59">
        <f ca="1">OFFSET('Critical resources (hide)'!$F$6,COLUMN(AN1)-1,0,1,1)</f>
        <v>32</v>
      </c>
      <c r="CY3" s="59">
        <f ca="1">OFFSET('Critical resources (hide)'!$F$6,COLUMN(AO1)-1,0,1,1)</f>
        <v>33</v>
      </c>
      <c r="CZ3" s="59">
        <f ca="1">OFFSET('Critical resources (hide)'!$F$6,COLUMN(AP1)-1,0,1,1)</f>
        <v>34</v>
      </c>
      <c r="DA3" s="59">
        <f ca="1">OFFSET('Critical resources (hide)'!$F$6,COLUMN(AQ1)-1,0,1,1)</f>
        <v>35</v>
      </c>
      <c r="DB3" s="59">
        <f ca="1">OFFSET('Critical resources (hide)'!$F$6,COLUMN(AR1)-1,0,1,1)</f>
        <v>36</v>
      </c>
      <c r="DC3" s="59">
        <f ca="1">OFFSET('Critical resources (hide)'!$F$6,COLUMN(AS1)-1,0,1,1)</f>
        <v>37</v>
      </c>
      <c r="DD3" s="59">
        <f ca="1">OFFSET('Critical resources (hide)'!$F$6,COLUMN(AT1)-1,0,1,1)</f>
        <v>38</v>
      </c>
      <c r="DE3" s="59">
        <f ca="1">OFFSET('Critical resources (hide)'!$F$6,COLUMN(AU1)-1,0,1,1)</f>
        <v>39</v>
      </c>
      <c r="DF3" s="59">
        <f ca="1">OFFSET('Critical resources (hide)'!$F$6,COLUMN(AV1)-1,0,1,1)</f>
        <v>40</v>
      </c>
      <c r="DG3" s="59">
        <f ca="1">OFFSET('Critical resources (hide)'!$F$6,COLUMN(AW1)-1,0,1,1)</f>
        <v>41</v>
      </c>
      <c r="DH3" s="59">
        <f ca="1">OFFSET('Critical resources (hide)'!$F$6,COLUMN(AX1)-1,0,1,1)</f>
        <v>42</v>
      </c>
      <c r="DI3" s="59">
        <f ca="1">OFFSET('Critical resources (hide)'!$F$6,COLUMN(AY1)-1,0,1,1)</f>
        <v>43</v>
      </c>
      <c r="DJ3" s="59">
        <f ca="1">OFFSET('Critical resources (hide)'!$F$6,COLUMN(AZ1)-1,0,1,1)</f>
        <v>44</v>
      </c>
      <c r="DK3" s="375">
        <f ca="1">DJ3+1</f>
        <v>45</v>
      </c>
      <c r="DL3" s="2" t="s">
        <v>462</v>
      </c>
      <c r="DM3" t="s">
        <v>463</v>
      </c>
    </row>
    <row r="4" spans="1:121" s="67" customFormat="1" ht="15"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1">
        <f t="shared" ref="BK4:CP4" si="0">SUM(BK5:BK104)</f>
        <v>0</v>
      </c>
      <c r="BL4" s="311">
        <f t="shared" si="0"/>
        <v>0</v>
      </c>
      <c r="BM4" s="311">
        <f t="shared" si="0"/>
        <v>0</v>
      </c>
      <c r="BN4" s="311">
        <f t="shared" si="0"/>
        <v>0</v>
      </c>
      <c r="BO4" s="311">
        <f t="shared" si="0"/>
        <v>0</v>
      </c>
      <c r="BP4" s="311">
        <f t="shared" si="0"/>
        <v>0</v>
      </c>
      <c r="BQ4" s="311">
        <f t="shared" si="0"/>
        <v>0</v>
      </c>
      <c r="BR4" s="311">
        <f t="shared" si="0"/>
        <v>0</v>
      </c>
      <c r="BS4" s="311">
        <f t="shared" si="0"/>
        <v>0</v>
      </c>
      <c r="BT4" s="311">
        <f t="shared" si="0"/>
        <v>0</v>
      </c>
      <c r="BU4" s="311">
        <f t="shared" si="0"/>
        <v>0</v>
      </c>
      <c r="BV4" s="311">
        <f t="shared" si="0"/>
        <v>0</v>
      </c>
      <c r="BW4" s="311">
        <f t="shared" si="0"/>
        <v>0</v>
      </c>
      <c r="BX4" s="311">
        <f t="shared" si="0"/>
        <v>0</v>
      </c>
      <c r="BY4" s="311">
        <f t="shared" si="0"/>
        <v>0</v>
      </c>
      <c r="BZ4" s="311">
        <f t="shared" si="0"/>
        <v>0</v>
      </c>
      <c r="CA4" s="311">
        <f t="shared" si="0"/>
        <v>0</v>
      </c>
      <c r="CB4" s="311">
        <f t="shared" si="0"/>
        <v>0</v>
      </c>
      <c r="CC4" s="311">
        <f t="shared" si="0"/>
        <v>0</v>
      </c>
      <c r="CD4" s="311">
        <f t="shared" si="0"/>
        <v>0</v>
      </c>
      <c r="CE4" s="311">
        <f t="shared" si="0"/>
        <v>0</v>
      </c>
      <c r="CF4" s="311">
        <f t="shared" si="0"/>
        <v>0</v>
      </c>
      <c r="CG4" s="311">
        <f t="shared" si="0"/>
        <v>0</v>
      </c>
      <c r="CH4" s="311">
        <f t="shared" si="0"/>
        <v>0</v>
      </c>
      <c r="CI4" s="311">
        <f t="shared" si="0"/>
        <v>0</v>
      </c>
      <c r="CJ4" s="311">
        <f t="shared" si="0"/>
        <v>0</v>
      </c>
      <c r="CK4" s="311">
        <f t="shared" si="0"/>
        <v>0</v>
      </c>
      <c r="CL4" s="311">
        <f t="shared" si="0"/>
        <v>0</v>
      </c>
      <c r="CM4" s="311">
        <f t="shared" si="0"/>
        <v>0</v>
      </c>
      <c r="CN4" s="311">
        <f t="shared" si="0"/>
        <v>0</v>
      </c>
      <c r="CO4" s="311">
        <f t="shared" si="0"/>
        <v>0</v>
      </c>
      <c r="CP4" s="311">
        <f t="shared" si="0"/>
        <v>0</v>
      </c>
      <c r="CQ4" s="311">
        <f t="shared" ref="CQ4:DJ4" si="1">SUM(CQ5:CQ104)</f>
        <v>0</v>
      </c>
      <c r="CR4" s="311">
        <f t="shared" si="1"/>
        <v>0</v>
      </c>
      <c r="CS4" s="311">
        <f t="shared" si="1"/>
        <v>0</v>
      </c>
      <c r="CT4" s="311">
        <f t="shared" si="1"/>
        <v>0</v>
      </c>
      <c r="CU4" s="311">
        <f t="shared" si="1"/>
        <v>0</v>
      </c>
      <c r="CV4" s="311">
        <f t="shared" si="1"/>
        <v>0</v>
      </c>
      <c r="CW4" s="311">
        <f t="shared" si="1"/>
        <v>0</v>
      </c>
      <c r="CX4" s="311">
        <f t="shared" si="1"/>
        <v>0</v>
      </c>
      <c r="CY4" s="311">
        <f t="shared" si="1"/>
        <v>0</v>
      </c>
      <c r="CZ4" s="311">
        <f t="shared" si="1"/>
        <v>0</v>
      </c>
      <c r="DA4" s="311">
        <f t="shared" si="1"/>
        <v>0</v>
      </c>
      <c r="DB4" s="311">
        <f t="shared" si="1"/>
        <v>0</v>
      </c>
      <c r="DC4" s="311">
        <f t="shared" si="1"/>
        <v>0</v>
      </c>
      <c r="DD4" s="311">
        <f t="shared" si="1"/>
        <v>0</v>
      </c>
      <c r="DE4" s="311">
        <f t="shared" si="1"/>
        <v>0</v>
      </c>
      <c r="DF4" s="311">
        <f t="shared" si="1"/>
        <v>0</v>
      </c>
      <c r="DG4" s="311">
        <f t="shared" si="1"/>
        <v>0</v>
      </c>
      <c r="DH4" s="311">
        <f t="shared" si="1"/>
        <v>0</v>
      </c>
      <c r="DI4" s="311">
        <f t="shared" si="1"/>
        <v>0</v>
      </c>
      <c r="DJ4" s="311">
        <f t="shared" si="1"/>
        <v>0</v>
      </c>
      <c r="DK4" s="391">
        <f>DJ4</f>
        <v>0</v>
      </c>
      <c r="DL4" s="136">
        <f>SUM(BK4:DK4)</f>
        <v>0</v>
      </c>
      <c r="DM4" s="5">
        <f>SUM(DM5:DM104)</f>
        <v>0</v>
      </c>
    </row>
    <row r="5" spans="1:121" x14ac:dyDescent="0.2">
      <c r="A5" s="67">
        <f>IF(Capacity!L17='Capacity summary'!BI124,1,0)</f>
        <v>1</v>
      </c>
      <c r="B5">
        <f>IF(Capacity!V17='Capacity summary'!BI24,1,0)</f>
        <v>1</v>
      </c>
      <c r="C5" s="67" t="str">
        <f>ROW(A1)&amp;". "&amp;Capacity!B17</f>
        <v xml:space="preserve">1. </v>
      </c>
      <c r="D5" t="str">
        <f>'Capacity setup'!C12</f>
        <v>1. Consultant: Mr Smith</v>
      </c>
      <c r="E5" s="67">
        <f>'Capacity setup'!D12</f>
        <v>0</v>
      </c>
      <c r="F5" s="67">
        <f>'Capacity setup'!E12</f>
        <v>0</v>
      </c>
      <c r="H5" cm="1">
        <f t="array" aca="1" ref="H5"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IF(ROW(C1)&lt;=Capacity!$A$16,IF('Capacity summary'!$D$14="No",SUM(H5:BG5),'Capacity summary'!$E124),0)</f>
        <v>0</v>
      </c>
      <c r="BI5" s="5" t="str">
        <f>IF(BH5&gt;0,IF(BH5&lt;Capacity!E17,Capacity!F17,Capacity!H17/'Capacity calculation (hide)'!BH5),"")</f>
        <v/>
      </c>
      <c r="BK5" s="311">
        <f>IF($BI5&lt;&gt;"",IF('Capacity summary'!$D$14="Yes",IF(COUNTBLANK('Capacity summary'!$H124:$BG124)&lt;52,IF('Capacity summary'!H124&lt;&gt;"",IF(LOWER('Capacity summary'!H124)="x",$BI5*H5,VALUE('Capacity summary'!H124)),0),H5*$BI5),H5*$BI5),0)</f>
        <v>0</v>
      </c>
      <c r="BL5" s="311">
        <f>IF($BI5&lt;&gt;"",IF('Capacity summary'!$D$14="Yes",IF(COUNTBLANK('Capacity summary'!$H124:$BG124)&lt;52,IF('Capacity summary'!I124&lt;&gt;"",IF(LOWER('Capacity summary'!I124)="x",$BI5*I5,VALUE('Capacity summary'!I124)),0),I5*$BI5),I5*$BI5),0)</f>
        <v>0</v>
      </c>
      <c r="BM5" s="311">
        <f>IF($BI5&lt;&gt;"",IF('Capacity summary'!$D$14="Yes",IF(COUNTBLANK('Capacity summary'!$H124:$BG124)&lt;52,IF('Capacity summary'!J124&lt;&gt;"",IF(LOWER('Capacity summary'!J124)="x",$BI5*J5,VALUE('Capacity summary'!J124)),0),J5*$BI5),J5*$BI5),0)</f>
        <v>0</v>
      </c>
      <c r="BN5" s="311">
        <f>IF($BI5&lt;&gt;"",IF('Capacity summary'!$D$14="Yes",IF(COUNTBLANK('Capacity summary'!$H124:$BG124)&lt;52,IF('Capacity summary'!K124&lt;&gt;"",IF(LOWER('Capacity summary'!K124)="x",$BI5*K5,VALUE('Capacity summary'!K124)),0),K5*$BI5),K5*$BI5),0)</f>
        <v>0</v>
      </c>
      <c r="BO5" s="311">
        <f>IF($BI5&lt;&gt;"",IF('Capacity summary'!$D$14="Yes",IF(COUNTBLANK('Capacity summary'!$H124:$BG124)&lt;52,IF('Capacity summary'!L124&lt;&gt;"",IF(LOWER('Capacity summary'!L124)="x",$BI5*L5,VALUE('Capacity summary'!L124)),0),L5*$BI5),L5*$BI5),0)</f>
        <v>0</v>
      </c>
      <c r="BP5" s="311">
        <f>IF($BI5&lt;&gt;"",IF('Capacity summary'!$D$14="Yes",IF(COUNTBLANK('Capacity summary'!$H124:$BG124)&lt;52,IF('Capacity summary'!M124&lt;&gt;"",IF(LOWER('Capacity summary'!M124)="x",$BI5*M5,VALUE('Capacity summary'!M124)),0),M5*$BI5),M5*$BI5),0)</f>
        <v>0</v>
      </c>
      <c r="BQ5" s="311">
        <f>IF($BI5&lt;&gt;"",IF('Capacity summary'!$D$14="Yes",IF(COUNTBLANK('Capacity summary'!$H124:$BG124)&lt;52,IF('Capacity summary'!N124&lt;&gt;"",IF(LOWER('Capacity summary'!N124)="x",$BI5*N5,VALUE('Capacity summary'!N124)),0),N5*$BI5),N5*$BI5),0)</f>
        <v>0</v>
      </c>
      <c r="BR5" s="311">
        <f>IF($BI5&lt;&gt;"",IF('Capacity summary'!$D$14="Yes",IF(COUNTBLANK('Capacity summary'!$H124:$BG124)&lt;52,IF('Capacity summary'!O124&lt;&gt;"",IF(LOWER('Capacity summary'!O124)="x",$BI5*O5,VALUE('Capacity summary'!O124)),0),O5*$BI5),O5*$BI5),0)</f>
        <v>0</v>
      </c>
      <c r="BS5" s="311">
        <f>IF($BI5&lt;&gt;"",IF('Capacity summary'!$D$14="Yes",IF(COUNTBLANK('Capacity summary'!$H124:$BG124)&lt;52,IF('Capacity summary'!P124&lt;&gt;"",IF(LOWER('Capacity summary'!P124)="x",$BI5*P5,VALUE('Capacity summary'!P124)),0),P5*$BI5),P5*$BI5),0)</f>
        <v>0</v>
      </c>
      <c r="BT5" s="311">
        <f>IF($BI5&lt;&gt;"",IF('Capacity summary'!$D$14="Yes",IF(COUNTBLANK('Capacity summary'!$H124:$BG124)&lt;52,IF('Capacity summary'!Q124&lt;&gt;"",IF(LOWER('Capacity summary'!Q124)="x",$BI5*Q5,VALUE('Capacity summary'!Q124)),0),Q5*$BI5),Q5*$BI5),0)</f>
        <v>0</v>
      </c>
      <c r="BU5" s="311">
        <f>IF($BI5&lt;&gt;"",IF('Capacity summary'!$D$14="Yes",IF(COUNTBLANK('Capacity summary'!$H124:$BG124)&lt;52,IF('Capacity summary'!R124&lt;&gt;"",IF(LOWER('Capacity summary'!R124)="x",$BI5*R5,VALUE('Capacity summary'!R124)),0),R5*$BI5),R5*$BI5),0)</f>
        <v>0</v>
      </c>
      <c r="BV5" s="311">
        <f>IF($BI5&lt;&gt;"",IF('Capacity summary'!$D$14="Yes",IF(COUNTBLANK('Capacity summary'!$H124:$BG124)&lt;52,IF('Capacity summary'!S124&lt;&gt;"",IF(LOWER('Capacity summary'!S124)="x",$BI5*S5,VALUE('Capacity summary'!S124)),0),S5*$BI5),S5*$BI5),0)</f>
        <v>0</v>
      </c>
      <c r="BW5" s="311">
        <f>IF($BI5&lt;&gt;"",IF('Capacity summary'!$D$14="Yes",IF(COUNTBLANK('Capacity summary'!$H124:$BG124)&lt;52,IF('Capacity summary'!T124&lt;&gt;"",IF(LOWER('Capacity summary'!T124)="x",$BI5*T5,VALUE('Capacity summary'!T124)),0),T5*$BI5),T5*$BI5),0)</f>
        <v>0</v>
      </c>
      <c r="BX5" s="311">
        <f>IF($BI5&lt;&gt;"",IF('Capacity summary'!$D$14="Yes",IF(COUNTBLANK('Capacity summary'!$H124:$BG124)&lt;52,IF('Capacity summary'!U124&lt;&gt;"",IF(LOWER('Capacity summary'!U124)="x",$BI5*U5,VALUE('Capacity summary'!U124)),0),U5*$BI5),U5*$BI5),0)</f>
        <v>0</v>
      </c>
      <c r="BY5" s="311">
        <f>IF($BI5&lt;&gt;"",IF('Capacity summary'!$D$14="Yes",IF(COUNTBLANK('Capacity summary'!$H124:$BG124)&lt;52,IF('Capacity summary'!V124&lt;&gt;"",IF(LOWER('Capacity summary'!V124)="x",$BI5*V5,VALUE('Capacity summary'!V124)),0),V5*$BI5),V5*$BI5),0)</f>
        <v>0</v>
      </c>
      <c r="BZ5" s="311">
        <f>IF($BI5&lt;&gt;"",IF('Capacity summary'!$D$14="Yes",IF(COUNTBLANK('Capacity summary'!$H124:$BG124)&lt;52,IF('Capacity summary'!W124&lt;&gt;"",IF(LOWER('Capacity summary'!W124)="x",$BI5*W5,VALUE('Capacity summary'!W124)),0),W5*$BI5),W5*$BI5),0)</f>
        <v>0</v>
      </c>
      <c r="CA5" s="311">
        <f>IF($BI5&lt;&gt;"",IF('Capacity summary'!$D$14="Yes",IF(COUNTBLANK('Capacity summary'!$H124:$BG124)&lt;52,IF('Capacity summary'!X124&lt;&gt;"",IF(LOWER('Capacity summary'!X124)="x",$BI5*X5,VALUE('Capacity summary'!X124)),0),X5*$BI5),X5*$BI5),0)</f>
        <v>0</v>
      </c>
      <c r="CB5" s="311">
        <f>IF($BI5&lt;&gt;"",IF('Capacity summary'!$D$14="Yes",IF(COUNTBLANK('Capacity summary'!$H124:$BG124)&lt;52,IF('Capacity summary'!Y124&lt;&gt;"",IF(LOWER('Capacity summary'!Y124)="x",$BI5*Y5,VALUE('Capacity summary'!Y124)),0),Y5*$BI5),Y5*$BI5),0)</f>
        <v>0</v>
      </c>
      <c r="CC5" s="311">
        <f>IF($BI5&lt;&gt;"",IF('Capacity summary'!$D$14="Yes",IF(COUNTBLANK('Capacity summary'!$H124:$BG124)&lt;52,IF('Capacity summary'!Z124&lt;&gt;"",IF(LOWER('Capacity summary'!Z124)="x",$BI5*Z5,VALUE('Capacity summary'!Z124)),0),Z5*$BI5),Z5*$BI5),0)</f>
        <v>0</v>
      </c>
      <c r="CD5" s="311">
        <f>IF($BI5&lt;&gt;"",IF('Capacity summary'!$D$14="Yes",IF(COUNTBLANK('Capacity summary'!$H124:$BG124)&lt;52,IF('Capacity summary'!AA124&lt;&gt;"",IF(LOWER('Capacity summary'!AA124)="x",$BI5*AA5,VALUE('Capacity summary'!AA124)),0),AA5*$BI5),AA5*$BI5),0)</f>
        <v>0</v>
      </c>
      <c r="CE5" s="311">
        <f>IF($BI5&lt;&gt;"",IF('Capacity summary'!$D$14="Yes",IF(COUNTBLANK('Capacity summary'!$H124:$BG124)&lt;52,IF('Capacity summary'!AB124&lt;&gt;"",IF(LOWER('Capacity summary'!AB124)="x",$BI5*AB5,VALUE('Capacity summary'!AB124)),0),AB5*$BI5),AB5*$BI5),0)</f>
        <v>0</v>
      </c>
      <c r="CF5" s="311">
        <f>IF($BI5&lt;&gt;"",IF('Capacity summary'!$D$14="Yes",IF(COUNTBLANK('Capacity summary'!$H124:$BG124)&lt;52,IF('Capacity summary'!AC124&lt;&gt;"",IF(LOWER('Capacity summary'!AC124)="x",$BI5*AC5,VALUE('Capacity summary'!AC124)),0),AC5*$BI5),AC5*$BI5),0)</f>
        <v>0</v>
      </c>
      <c r="CG5" s="311">
        <f>IF($BI5&lt;&gt;"",IF('Capacity summary'!$D$14="Yes",IF(COUNTBLANK('Capacity summary'!$H124:$BG124)&lt;52,IF('Capacity summary'!AD124&lt;&gt;"",IF(LOWER('Capacity summary'!AD124)="x",$BI5*AD5,VALUE('Capacity summary'!AD124)),0),AD5*$BI5),AD5*$BI5),0)</f>
        <v>0</v>
      </c>
      <c r="CH5" s="311">
        <f>IF($BI5&lt;&gt;"",IF('Capacity summary'!$D$14="Yes",IF(COUNTBLANK('Capacity summary'!$H124:$BG124)&lt;52,IF('Capacity summary'!AE124&lt;&gt;"",IF(LOWER('Capacity summary'!AE124)="x",$BI5*AE5,VALUE('Capacity summary'!AE124)),0),AE5*$BI5),AE5*$BI5),0)</f>
        <v>0</v>
      </c>
      <c r="CI5" s="311">
        <f>IF($BI5&lt;&gt;"",IF('Capacity summary'!$D$14="Yes",IF(COUNTBLANK('Capacity summary'!$H124:$BG124)&lt;52,IF('Capacity summary'!AF124&lt;&gt;"",IF(LOWER('Capacity summary'!AF124)="x",$BI5*AF5,VALUE('Capacity summary'!AF124)),0),AF5*$BI5),AF5*$BI5),0)</f>
        <v>0</v>
      </c>
      <c r="CJ5" s="311">
        <f>IF($BI5&lt;&gt;"",IF('Capacity summary'!$D$14="Yes",IF(COUNTBLANK('Capacity summary'!$H124:$BG124)&lt;52,IF('Capacity summary'!AG124&lt;&gt;"",IF(LOWER('Capacity summary'!AG124)="x",$BI5*AG5,VALUE('Capacity summary'!AG124)),0),AG5*$BI5),AG5*$BI5),0)</f>
        <v>0</v>
      </c>
      <c r="CK5" s="311">
        <f>IF($BI5&lt;&gt;"",IF('Capacity summary'!$D$14="Yes",IF(COUNTBLANK('Capacity summary'!$H124:$BG124)&lt;52,IF('Capacity summary'!AH124&lt;&gt;"",IF(LOWER('Capacity summary'!AH124)="x",$BI5*AH5,VALUE('Capacity summary'!AH124)),0),AH5*$BI5),AH5*$BI5),0)</f>
        <v>0</v>
      </c>
      <c r="CL5" s="311">
        <f>IF($BI5&lt;&gt;"",IF('Capacity summary'!$D$14="Yes",IF(COUNTBLANK('Capacity summary'!$H124:$BG124)&lt;52,IF('Capacity summary'!AI124&lt;&gt;"",IF(LOWER('Capacity summary'!AI124)="x",$BI5*AI5,VALUE('Capacity summary'!AI124)),0),AI5*$BI5),AI5*$BI5),0)</f>
        <v>0</v>
      </c>
      <c r="CM5" s="311">
        <f>IF($BI5&lt;&gt;"",IF('Capacity summary'!$D$14="Yes",IF(COUNTBLANK('Capacity summary'!$H124:$BG124)&lt;52,IF('Capacity summary'!AJ124&lt;&gt;"",IF(LOWER('Capacity summary'!AJ124)="x",$BI5*AJ5,VALUE('Capacity summary'!AJ124)),0),AJ5*$BI5),AJ5*$BI5),0)</f>
        <v>0</v>
      </c>
      <c r="CN5" s="311">
        <f>IF($BI5&lt;&gt;"",IF('Capacity summary'!$D$14="Yes",IF(COUNTBLANK('Capacity summary'!$H124:$BG124)&lt;52,IF('Capacity summary'!AK124&lt;&gt;"",IF(LOWER('Capacity summary'!AK124)="x",$BI5*AK5,VALUE('Capacity summary'!AK124)),0),AK5*$BI5),AK5*$BI5),0)</f>
        <v>0</v>
      </c>
      <c r="CO5" s="311">
        <f>IF($BI5&lt;&gt;"",IF('Capacity summary'!$D$14="Yes",IF(COUNTBLANK('Capacity summary'!$H124:$BG124)&lt;52,IF('Capacity summary'!AL124&lt;&gt;"",IF(LOWER('Capacity summary'!AL124)="x",$BI5*AL5,VALUE('Capacity summary'!AL124)),0),AL5*$BI5),AL5*$BI5),0)</f>
        <v>0</v>
      </c>
      <c r="CP5" s="311">
        <f>IF($BI5&lt;&gt;"",IF('Capacity summary'!$D$14="Yes",IF(COUNTBLANK('Capacity summary'!$H124:$BG124)&lt;52,IF('Capacity summary'!AM124&lt;&gt;"",IF(LOWER('Capacity summary'!AM124)="x",$BI5*AM5,VALUE('Capacity summary'!AM124)),0),AM5*$BI5),AM5*$BI5),0)</f>
        <v>0</v>
      </c>
      <c r="CQ5" s="311">
        <f>IF($BI5&lt;&gt;"",IF('Capacity summary'!$D$14="Yes",IF(COUNTBLANK('Capacity summary'!$H124:$BG124)&lt;52,IF('Capacity summary'!AN124&lt;&gt;"",IF(LOWER('Capacity summary'!AN124)="x",$BI5*AN5,VALUE('Capacity summary'!AN124)),0),AN5*$BI5),AN5*$BI5),0)</f>
        <v>0</v>
      </c>
      <c r="CR5" s="311">
        <f>IF($BI5&lt;&gt;"",IF('Capacity summary'!$D$14="Yes",IF(COUNTBLANK('Capacity summary'!$H124:$BG124)&lt;52,IF('Capacity summary'!AO124&lt;&gt;"",IF(LOWER('Capacity summary'!AO124)="x",$BI5*AO5,VALUE('Capacity summary'!AO124)),0),AO5*$BI5),AO5*$BI5),0)</f>
        <v>0</v>
      </c>
      <c r="CS5" s="311">
        <f>IF($BI5&lt;&gt;"",IF('Capacity summary'!$D$14="Yes",IF(COUNTBLANK('Capacity summary'!$H124:$BG124)&lt;52,IF('Capacity summary'!AP124&lt;&gt;"",IF(LOWER('Capacity summary'!AP124)="x",$BI5*AP5,VALUE('Capacity summary'!AP124)),0),AP5*$BI5),AP5*$BI5),0)</f>
        <v>0</v>
      </c>
      <c r="CT5" s="311">
        <f>IF($BI5&lt;&gt;"",IF('Capacity summary'!$D$14="Yes",IF(COUNTBLANK('Capacity summary'!$H124:$BG124)&lt;52,IF('Capacity summary'!AQ124&lt;&gt;"",IF(LOWER('Capacity summary'!AQ124)="x",$BI5*AQ5,VALUE('Capacity summary'!AQ124)),0),AQ5*$BI5),AQ5*$BI5),0)</f>
        <v>0</v>
      </c>
      <c r="CU5" s="311">
        <f>IF($BI5&lt;&gt;"",IF('Capacity summary'!$D$14="Yes",IF(COUNTBLANK('Capacity summary'!$H124:$BG124)&lt;52,IF('Capacity summary'!AR124&lt;&gt;"",IF(LOWER('Capacity summary'!AR124)="x",$BI5*AR5,VALUE('Capacity summary'!AR124)),0),AR5*$BI5),AR5*$BI5),0)</f>
        <v>0</v>
      </c>
      <c r="CV5" s="311">
        <f>IF($BI5&lt;&gt;"",IF('Capacity summary'!$D$14="Yes",IF(COUNTBLANK('Capacity summary'!$H124:$BG124)&lt;52,IF('Capacity summary'!AS124&lt;&gt;"",IF(LOWER('Capacity summary'!AS124)="x",$BI5*AS5,VALUE('Capacity summary'!AS124)),0),AS5*$BI5),AS5*$BI5),0)</f>
        <v>0</v>
      </c>
      <c r="CW5" s="311">
        <f>IF($BI5&lt;&gt;"",IF('Capacity summary'!$D$14="Yes",IF(COUNTBLANK('Capacity summary'!$H124:$BG124)&lt;52,IF('Capacity summary'!AT124&lt;&gt;"",IF(LOWER('Capacity summary'!AT124)="x",$BI5*AT5,VALUE('Capacity summary'!AT124)),0),AT5*$BI5),AT5*$BI5),0)</f>
        <v>0</v>
      </c>
      <c r="CX5" s="311">
        <f>IF($BI5&lt;&gt;"",IF('Capacity summary'!$D$14="Yes",IF(COUNTBLANK('Capacity summary'!$H124:$BG124)&lt;52,IF('Capacity summary'!AU124&lt;&gt;"",IF(LOWER('Capacity summary'!AU124)="x",$BI5*AU5,VALUE('Capacity summary'!AU124)),0),AU5*$BI5),AU5*$BI5),0)</f>
        <v>0</v>
      </c>
      <c r="CY5" s="311">
        <f>IF($BI5&lt;&gt;"",IF('Capacity summary'!$D$14="Yes",IF(COUNTBLANK('Capacity summary'!$H124:$BG124)&lt;52,IF('Capacity summary'!AV124&lt;&gt;"",IF(LOWER('Capacity summary'!AV124)="x",$BI5*AV5,VALUE('Capacity summary'!AV124)),0),AV5*$BI5),AV5*$BI5),0)</f>
        <v>0</v>
      </c>
      <c r="CZ5" s="311">
        <f>IF($BI5&lt;&gt;"",IF('Capacity summary'!$D$14="Yes",IF(COUNTBLANK('Capacity summary'!$H124:$BG124)&lt;52,IF('Capacity summary'!AW124&lt;&gt;"",IF(LOWER('Capacity summary'!AW124)="x",$BI5*AW5,VALUE('Capacity summary'!AW124)),0),AW5*$BI5),AW5*$BI5),0)</f>
        <v>0</v>
      </c>
      <c r="DA5" s="311">
        <f>IF($BI5&lt;&gt;"",IF('Capacity summary'!$D$14="Yes",IF(COUNTBLANK('Capacity summary'!$H124:$BG124)&lt;52,IF('Capacity summary'!AX124&lt;&gt;"",IF(LOWER('Capacity summary'!AX124)="x",$BI5*AX5,VALUE('Capacity summary'!AX124)),0),AX5*$BI5),AX5*$BI5),0)</f>
        <v>0</v>
      </c>
      <c r="DB5" s="311">
        <f>IF($BI5&lt;&gt;"",IF('Capacity summary'!$D$14="Yes",IF(COUNTBLANK('Capacity summary'!$H124:$BG124)&lt;52,IF('Capacity summary'!AY124&lt;&gt;"",IF(LOWER('Capacity summary'!AY124)="x",$BI5*AY5,VALUE('Capacity summary'!AY124)),0),AY5*$BI5),AY5*$BI5),0)</f>
        <v>0</v>
      </c>
      <c r="DC5" s="311">
        <f>IF($BI5&lt;&gt;"",IF('Capacity summary'!$D$14="Yes",IF(COUNTBLANK('Capacity summary'!$H124:$BG124)&lt;52,IF('Capacity summary'!AZ124&lt;&gt;"",IF(LOWER('Capacity summary'!AZ124)="x",$BI5*AZ5,VALUE('Capacity summary'!AZ124)),0),AZ5*$BI5),AZ5*$BI5),0)</f>
        <v>0</v>
      </c>
      <c r="DD5" s="311">
        <f>IF($BI5&lt;&gt;"",IF('Capacity summary'!$D$14="Yes",IF(COUNTBLANK('Capacity summary'!$H124:$BG124)&lt;52,IF('Capacity summary'!BA124&lt;&gt;"",IF(LOWER('Capacity summary'!BA124)="x",$BI5*BA5,VALUE('Capacity summary'!BA124)),0),BA5*$BI5),BA5*$BI5),0)</f>
        <v>0</v>
      </c>
      <c r="DE5" s="311">
        <f>IF($BI5&lt;&gt;"",IF('Capacity summary'!$D$14="Yes",IF(COUNTBLANK('Capacity summary'!$H124:$BG124)&lt;52,IF('Capacity summary'!BB124&lt;&gt;"",IF(LOWER('Capacity summary'!BB124)="x",$BI5*BB5,VALUE('Capacity summary'!BB124)),0),BB5*$BI5),BB5*$BI5),0)</f>
        <v>0</v>
      </c>
      <c r="DF5" s="311">
        <f>IF($BI5&lt;&gt;"",IF('Capacity summary'!$D$14="Yes",IF(COUNTBLANK('Capacity summary'!$H124:$BG124)&lt;52,IF('Capacity summary'!BC124&lt;&gt;"",IF(LOWER('Capacity summary'!BC124)="x",$BI5*BC5,VALUE('Capacity summary'!BC124)),0),BC5*$BI5),BC5*$BI5),0)</f>
        <v>0</v>
      </c>
      <c r="DG5" s="311">
        <f>IF($BI5&lt;&gt;"",IF('Capacity summary'!$D$14="Yes",IF(COUNTBLANK('Capacity summary'!$H124:$BG124)&lt;52,IF('Capacity summary'!BD124&lt;&gt;"",IF(LOWER('Capacity summary'!BD124)="x",$BI5*BD5,VALUE('Capacity summary'!BD124)),0),BD5*$BI5),BD5*$BI5),0)</f>
        <v>0</v>
      </c>
      <c r="DH5" s="311">
        <f>IF($BI5&lt;&gt;"",IF('Capacity summary'!$D$14="Yes",IF(COUNTBLANK('Capacity summary'!$H124:$BG124)&lt;52,IF('Capacity summary'!BE124&lt;&gt;"",IF(LOWER('Capacity summary'!BE124)="x",$BI5*BE5,VALUE('Capacity summary'!BE124)),0),BE5*$BI5),BE5*$BI5),0)</f>
        <v>0</v>
      </c>
      <c r="DI5" s="311">
        <f>IF($BI5&lt;&gt;"",IF('Capacity summary'!$D$14="Yes",IF(COUNTBLANK('Capacity summary'!$H124:$BG124)&lt;52,IF('Capacity summary'!BF124&lt;&gt;"",IF(LOWER('Capacity summary'!BF124)="x",$BI5*BF5,VALUE('Capacity summary'!BF124)),0),BF5*$BI5),BF5*$BI5),0)</f>
        <v>0</v>
      </c>
      <c r="DJ5" s="311">
        <f>IF($BI5&lt;&gt;"",IF('Capacity summary'!$D$14="Yes",IF(COUNTBLANK('Capacity summary'!$H124:$BG124)&lt;52,IF('Capacity summary'!BG124&lt;&gt;"",IF(LOWER('Capacity summary'!BG124)="x",$BI5*BG5,VALUE('Capacity summary'!BG124)),0),BG5*$BI5),BG5*$BI5),0)</f>
        <v>0</v>
      </c>
      <c r="DK5" s="391">
        <f t="shared" ref="DK5:DK68" si="2">DJ5</f>
        <v>0</v>
      </c>
      <c r="DL5" s="136">
        <f t="shared" ref="DL5:DL68" si="3">SUM(BK5:DJ5)</f>
        <v>0</v>
      </c>
      <c r="DM5" s="311" t="str">
        <f>Capacity!H17</f>
        <v/>
      </c>
      <c r="DQ5" s="5"/>
    </row>
    <row r="6" spans="1:121" x14ac:dyDescent="0.2">
      <c r="A6" s="67">
        <f>IF(Capacity!L18='Capacity summary'!BI125,1,0)</f>
        <v>1</v>
      </c>
      <c r="B6" s="67">
        <f>IF(Capacity!V18='Capacity summary'!BI25,1,0)</f>
        <v>1</v>
      </c>
      <c r="C6" s="67" t="str">
        <f>ROW(A2)&amp;". "&amp;Capacity!B18</f>
        <v xml:space="preserve">2. </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IF(ROW(C2)&lt;=Capacity!$A$16,IF('Capacity summary'!$D$14="No",SUM(H6:BG6),'Capacity summary'!$E125),0)</f>
        <v>0</v>
      </c>
      <c r="BI6" s="5" t="str">
        <f>IF(BH6&gt;0,IF(BH6&lt;Capacity!E18,Capacity!F18,Capacity!H18/'Capacity calculation (hide)'!BH6),"")</f>
        <v/>
      </c>
      <c r="BK6" s="311">
        <f>IF($BI6&lt;&gt;"",IF('Capacity summary'!$D$14="Yes",IF(COUNTBLANK('Capacity summary'!$H125:$BG125)&lt;52,IF('Capacity summary'!H125&lt;&gt;"",IF(LOWER('Capacity summary'!H125)="x",$BI6*H6,VALUE('Capacity summary'!H125)),0),H6*$BI6),H6*$BI6),0)</f>
        <v>0</v>
      </c>
      <c r="BL6" s="311">
        <f>IF($BI6&lt;&gt;"",IF('Capacity summary'!$D$14="Yes",IF(COUNTBLANK('Capacity summary'!$H125:$BG125)&lt;52,IF('Capacity summary'!I125&lt;&gt;"",IF(LOWER('Capacity summary'!I125)="x",$BI6*I6,VALUE('Capacity summary'!I125)),0),I6*$BI6),I6*$BI6),0)</f>
        <v>0</v>
      </c>
      <c r="BM6" s="311">
        <f>IF($BI6&lt;&gt;"",IF('Capacity summary'!$D$14="Yes",IF(COUNTBLANK('Capacity summary'!$H125:$BG125)&lt;52,IF('Capacity summary'!J125&lt;&gt;"",IF(LOWER('Capacity summary'!J125)="x",$BI6*J6,VALUE('Capacity summary'!J125)),0),J6*$BI6),J6*$BI6),0)</f>
        <v>0</v>
      </c>
      <c r="BN6" s="311">
        <f>IF($BI6&lt;&gt;"",IF('Capacity summary'!$D$14="Yes",IF(COUNTBLANK('Capacity summary'!$H125:$BG125)&lt;52,IF('Capacity summary'!K125&lt;&gt;"",IF(LOWER('Capacity summary'!K125)="x",$BI6*K6,VALUE('Capacity summary'!K125)),0),K6*$BI6),K6*$BI6),0)</f>
        <v>0</v>
      </c>
      <c r="BO6" s="311">
        <f>IF($BI6&lt;&gt;"",IF('Capacity summary'!$D$14="Yes",IF(COUNTBLANK('Capacity summary'!$H125:$BG125)&lt;52,IF('Capacity summary'!L125&lt;&gt;"",IF(LOWER('Capacity summary'!L125)="x",$BI6*L6,VALUE('Capacity summary'!L125)),0),L6*$BI6),L6*$BI6),0)</f>
        <v>0</v>
      </c>
      <c r="BP6" s="311">
        <f>IF($BI6&lt;&gt;"",IF('Capacity summary'!$D$14="Yes",IF(COUNTBLANK('Capacity summary'!$H125:$BG125)&lt;52,IF('Capacity summary'!M125&lt;&gt;"",IF(LOWER('Capacity summary'!M125)="x",$BI6*M6,VALUE('Capacity summary'!M125)),0),M6*$BI6),M6*$BI6),0)</f>
        <v>0</v>
      </c>
      <c r="BQ6" s="311">
        <f>IF($BI6&lt;&gt;"",IF('Capacity summary'!$D$14="Yes",IF(COUNTBLANK('Capacity summary'!$H125:$BG125)&lt;52,IF('Capacity summary'!N125&lt;&gt;"",IF(LOWER('Capacity summary'!N125)="x",$BI6*N6,VALUE('Capacity summary'!N125)),0),N6*$BI6),N6*$BI6),0)</f>
        <v>0</v>
      </c>
      <c r="BR6" s="311">
        <f>IF($BI6&lt;&gt;"",IF('Capacity summary'!$D$14="Yes",IF(COUNTBLANK('Capacity summary'!$H125:$BG125)&lt;52,IF('Capacity summary'!O125&lt;&gt;"",IF(LOWER('Capacity summary'!O125)="x",$BI6*O6,VALUE('Capacity summary'!O125)),0),O6*$BI6),O6*$BI6),0)</f>
        <v>0</v>
      </c>
      <c r="BS6" s="311">
        <f>IF($BI6&lt;&gt;"",IF('Capacity summary'!$D$14="Yes",IF(COUNTBLANK('Capacity summary'!$H125:$BG125)&lt;52,IF('Capacity summary'!P125&lt;&gt;"",IF(LOWER('Capacity summary'!P125)="x",$BI6*P6,VALUE('Capacity summary'!P125)),0),P6*$BI6),P6*$BI6),0)</f>
        <v>0</v>
      </c>
      <c r="BT6" s="311">
        <f>IF($BI6&lt;&gt;"",IF('Capacity summary'!$D$14="Yes",IF(COUNTBLANK('Capacity summary'!$H125:$BG125)&lt;52,IF('Capacity summary'!Q125&lt;&gt;"",IF(LOWER('Capacity summary'!Q125)="x",$BI6*Q6,VALUE('Capacity summary'!Q125)),0),Q6*$BI6),Q6*$BI6),0)</f>
        <v>0</v>
      </c>
      <c r="BU6" s="311">
        <f>IF($BI6&lt;&gt;"",IF('Capacity summary'!$D$14="Yes",IF(COUNTBLANK('Capacity summary'!$H125:$BG125)&lt;52,IF('Capacity summary'!R125&lt;&gt;"",IF(LOWER('Capacity summary'!R125)="x",$BI6*R6,VALUE('Capacity summary'!R125)),0),R6*$BI6),R6*$BI6),0)</f>
        <v>0</v>
      </c>
      <c r="BV6" s="311">
        <f>IF($BI6&lt;&gt;"",IF('Capacity summary'!$D$14="Yes",IF(COUNTBLANK('Capacity summary'!$H125:$BG125)&lt;52,IF('Capacity summary'!S125&lt;&gt;"",IF(LOWER('Capacity summary'!S125)="x",$BI6*S6,VALUE('Capacity summary'!S125)),0),S6*$BI6),S6*$BI6),0)</f>
        <v>0</v>
      </c>
      <c r="BW6" s="311">
        <f>IF($BI6&lt;&gt;"",IF('Capacity summary'!$D$14="Yes",IF(COUNTBLANK('Capacity summary'!$H125:$BG125)&lt;52,IF('Capacity summary'!T125&lt;&gt;"",IF(LOWER('Capacity summary'!T125)="x",$BI6*T6,VALUE('Capacity summary'!T125)),0),T6*$BI6),T6*$BI6),0)</f>
        <v>0</v>
      </c>
      <c r="BX6" s="311">
        <f>IF($BI6&lt;&gt;"",IF('Capacity summary'!$D$14="Yes",IF(COUNTBLANK('Capacity summary'!$H125:$BG125)&lt;52,IF('Capacity summary'!U125&lt;&gt;"",IF(LOWER('Capacity summary'!U125)="x",$BI6*U6,VALUE('Capacity summary'!U125)),0),U6*$BI6),U6*$BI6),0)</f>
        <v>0</v>
      </c>
      <c r="BY6" s="311">
        <f>IF($BI6&lt;&gt;"",IF('Capacity summary'!$D$14="Yes",IF(COUNTBLANK('Capacity summary'!$H125:$BG125)&lt;52,IF('Capacity summary'!V125&lt;&gt;"",IF(LOWER('Capacity summary'!V125)="x",$BI6*V6,VALUE('Capacity summary'!V125)),0),V6*$BI6),V6*$BI6),0)</f>
        <v>0</v>
      </c>
      <c r="BZ6" s="311">
        <f>IF($BI6&lt;&gt;"",IF('Capacity summary'!$D$14="Yes",IF(COUNTBLANK('Capacity summary'!$H125:$BG125)&lt;52,IF('Capacity summary'!W125&lt;&gt;"",IF(LOWER('Capacity summary'!W125)="x",$BI6*W6,VALUE('Capacity summary'!W125)),0),W6*$BI6),W6*$BI6),0)</f>
        <v>0</v>
      </c>
      <c r="CA6" s="311">
        <f>IF($BI6&lt;&gt;"",IF('Capacity summary'!$D$14="Yes",IF(COUNTBLANK('Capacity summary'!$H125:$BG125)&lt;52,IF('Capacity summary'!X125&lt;&gt;"",IF(LOWER('Capacity summary'!X125)="x",$BI6*X6,VALUE('Capacity summary'!X125)),0),X6*$BI6),X6*$BI6),0)</f>
        <v>0</v>
      </c>
      <c r="CB6" s="311">
        <f>IF($BI6&lt;&gt;"",IF('Capacity summary'!$D$14="Yes",IF(COUNTBLANK('Capacity summary'!$H125:$BG125)&lt;52,IF('Capacity summary'!Y125&lt;&gt;"",IF(LOWER('Capacity summary'!Y125)="x",$BI6*Y6,VALUE('Capacity summary'!Y125)),0),Y6*$BI6),Y6*$BI6),0)</f>
        <v>0</v>
      </c>
      <c r="CC6" s="311">
        <f>IF($BI6&lt;&gt;"",IF('Capacity summary'!$D$14="Yes",IF(COUNTBLANK('Capacity summary'!$H125:$BG125)&lt;52,IF('Capacity summary'!Z125&lt;&gt;"",IF(LOWER('Capacity summary'!Z125)="x",$BI6*Z6,VALUE('Capacity summary'!Z125)),0),Z6*$BI6),Z6*$BI6),0)</f>
        <v>0</v>
      </c>
      <c r="CD6" s="311">
        <f>IF($BI6&lt;&gt;"",IF('Capacity summary'!$D$14="Yes",IF(COUNTBLANK('Capacity summary'!$H125:$BG125)&lt;52,IF('Capacity summary'!AA125&lt;&gt;"",IF(LOWER('Capacity summary'!AA125)="x",$BI6*AA6,VALUE('Capacity summary'!AA125)),0),AA6*$BI6),AA6*$BI6),0)</f>
        <v>0</v>
      </c>
      <c r="CE6" s="311">
        <f>IF($BI6&lt;&gt;"",IF('Capacity summary'!$D$14="Yes",IF(COUNTBLANK('Capacity summary'!$H125:$BG125)&lt;52,IF('Capacity summary'!AB125&lt;&gt;"",IF(LOWER('Capacity summary'!AB125)="x",$BI6*AB6,VALUE('Capacity summary'!AB125)),0),AB6*$BI6),AB6*$BI6),0)</f>
        <v>0</v>
      </c>
      <c r="CF6" s="311">
        <f>IF($BI6&lt;&gt;"",IF('Capacity summary'!$D$14="Yes",IF(COUNTBLANK('Capacity summary'!$H125:$BG125)&lt;52,IF('Capacity summary'!AC125&lt;&gt;"",IF(LOWER('Capacity summary'!AC125)="x",$BI6*AC6,VALUE('Capacity summary'!AC125)),0),AC6*$BI6),AC6*$BI6),0)</f>
        <v>0</v>
      </c>
      <c r="CG6" s="311">
        <f>IF($BI6&lt;&gt;"",IF('Capacity summary'!$D$14="Yes",IF(COUNTBLANK('Capacity summary'!$H125:$BG125)&lt;52,IF('Capacity summary'!AD125&lt;&gt;"",IF(LOWER('Capacity summary'!AD125)="x",$BI6*AD6,VALUE('Capacity summary'!AD125)),0),AD6*$BI6),AD6*$BI6),0)</f>
        <v>0</v>
      </c>
      <c r="CH6" s="311">
        <f>IF($BI6&lt;&gt;"",IF('Capacity summary'!$D$14="Yes",IF(COUNTBLANK('Capacity summary'!$H125:$BG125)&lt;52,IF('Capacity summary'!AE125&lt;&gt;"",IF(LOWER('Capacity summary'!AE125)="x",$BI6*AE6,VALUE('Capacity summary'!AE125)),0),AE6*$BI6),AE6*$BI6),0)</f>
        <v>0</v>
      </c>
      <c r="CI6" s="311">
        <f>IF($BI6&lt;&gt;"",IF('Capacity summary'!$D$14="Yes",IF(COUNTBLANK('Capacity summary'!$H125:$BG125)&lt;52,IF('Capacity summary'!AF125&lt;&gt;"",IF(LOWER('Capacity summary'!AF125)="x",$BI6*AF6,VALUE('Capacity summary'!AF125)),0),AF6*$BI6),AF6*$BI6),0)</f>
        <v>0</v>
      </c>
      <c r="CJ6" s="311">
        <f>IF($BI6&lt;&gt;"",IF('Capacity summary'!$D$14="Yes",IF(COUNTBLANK('Capacity summary'!$H125:$BG125)&lt;52,IF('Capacity summary'!AG125&lt;&gt;"",IF(LOWER('Capacity summary'!AG125)="x",$BI6*AG6,VALUE('Capacity summary'!AG125)),0),AG6*$BI6),AG6*$BI6),0)</f>
        <v>0</v>
      </c>
      <c r="CK6" s="311">
        <f>IF($BI6&lt;&gt;"",IF('Capacity summary'!$D$14="Yes",IF(COUNTBLANK('Capacity summary'!$H125:$BG125)&lt;52,IF('Capacity summary'!AH125&lt;&gt;"",IF(LOWER('Capacity summary'!AH125)="x",$BI6*AH6,VALUE('Capacity summary'!AH125)),0),AH6*$BI6),AH6*$BI6),0)</f>
        <v>0</v>
      </c>
      <c r="CL6" s="311">
        <f>IF($BI6&lt;&gt;"",IF('Capacity summary'!$D$14="Yes",IF(COUNTBLANK('Capacity summary'!$H125:$BG125)&lt;52,IF('Capacity summary'!AI125&lt;&gt;"",IF(LOWER('Capacity summary'!AI125)="x",$BI6*AI6,VALUE('Capacity summary'!AI125)),0),AI6*$BI6),AI6*$BI6),0)</f>
        <v>0</v>
      </c>
      <c r="CM6" s="311">
        <f>IF($BI6&lt;&gt;"",IF('Capacity summary'!$D$14="Yes",IF(COUNTBLANK('Capacity summary'!$H125:$BG125)&lt;52,IF('Capacity summary'!AJ125&lt;&gt;"",IF(LOWER('Capacity summary'!AJ125)="x",$BI6*AJ6,VALUE('Capacity summary'!AJ125)),0),AJ6*$BI6),AJ6*$BI6),0)</f>
        <v>0</v>
      </c>
      <c r="CN6" s="311">
        <f>IF($BI6&lt;&gt;"",IF('Capacity summary'!$D$14="Yes",IF(COUNTBLANK('Capacity summary'!$H125:$BG125)&lt;52,IF('Capacity summary'!AK125&lt;&gt;"",IF(LOWER('Capacity summary'!AK125)="x",$BI6*AK6,VALUE('Capacity summary'!AK125)),0),AK6*$BI6),AK6*$BI6),0)</f>
        <v>0</v>
      </c>
      <c r="CO6" s="311">
        <f>IF($BI6&lt;&gt;"",IF('Capacity summary'!$D$14="Yes",IF(COUNTBLANK('Capacity summary'!$H125:$BG125)&lt;52,IF('Capacity summary'!AL125&lt;&gt;"",IF(LOWER('Capacity summary'!AL125)="x",$BI6*AL6,VALUE('Capacity summary'!AL125)),0),AL6*$BI6),AL6*$BI6),0)</f>
        <v>0</v>
      </c>
      <c r="CP6" s="311">
        <f>IF($BI6&lt;&gt;"",IF('Capacity summary'!$D$14="Yes",IF(COUNTBLANK('Capacity summary'!$H125:$BG125)&lt;52,IF('Capacity summary'!AM125&lt;&gt;"",IF(LOWER('Capacity summary'!AM125)="x",$BI6*AM6,VALUE('Capacity summary'!AM125)),0),AM6*$BI6),AM6*$BI6),0)</f>
        <v>0</v>
      </c>
      <c r="CQ6" s="311">
        <f>IF($BI6&lt;&gt;"",IF('Capacity summary'!$D$14="Yes",IF(COUNTBLANK('Capacity summary'!$H125:$BG125)&lt;52,IF('Capacity summary'!AN125&lt;&gt;"",IF(LOWER('Capacity summary'!AN125)="x",$BI6*AN6,VALUE('Capacity summary'!AN125)),0),AN6*$BI6),AN6*$BI6),0)</f>
        <v>0</v>
      </c>
      <c r="CR6" s="311">
        <f>IF($BI6&lt;&gt;"",IF('Capacity summary'!$D$14="Yes",IF(COUNTBLANK('Capacity summary'!$H125:$BG125)&lt;52,IF('Capacity summary'!AO125&lt;&gt;"",IF(LOWER('Capacity summary'!AO125)="x",$BI6*AO6,VALUE('Capacity summary'!AO125)),0),AO6*$BI6),AO6*$BI6),0)</f>
        <v>0</v>
      </c>
      <c r="CS6" s="311">
        <f>IF($BI6&lt;&gt;"",IF('Capacity summary'!$D$14="Yes",IF(COUNTBLANK('Capacity summary'!$H125:$BG125)&lt;52,IF('Capacity summary'!AP125&lt;&gt;"",IF(LOWER('Capacity summary'!AP125)="x",$BI6*AP6,VALUE('Capacity summary'!AP125)),0),AP6*$BI6),AP6*$BI6),0)</f>
        <v>0</v>
      </c>
      <c r="CT6" s="311">
        <f>IF($BI6&lt;&gt;"",IF('Capacity summary'!$D$14="Yes",IF(COUNTBLANK('Capacity summary'!$H125:$BG125)&lt;52,IF('Capacity summary'!AQ125&lt;&gt;"",IF(LOWER('Capacity summary'!AQ125)="x",$BI6*AQ6,VALUE('Capacity summary'!AQ125)),0),AQ6*$BI6),AQ6*$BI6),0)</f>
        <v>0</v>
      </c>
      <c r="CU6" s="311">
        <f>IF($BI6&lt;&gt;"",IF('Capacity summary'!$D$14="Yes",IF(COUNTBLANK('Capacity summary'!$H125:$BG125)&lt;52,IF('Capacity summary'!AR125&lt;&gt;"",IF(LOWER('Capacity summary'!AR125)="x",$BI6*AR6,VALUE('Capacity summary'!AR125)),0),AR6*$BI6),AR6*$BI6),0)</f>
        <v>0</v>
      </c>
      <c r="CV6" s="311">
        <f>IF($BI6&lt;&gt;"",IF('Capacity summary'!$D$14="Yes",IF(COUNTBLANK('Capacity summary'!$H125:$BG125)&lt;52,IF('Capacity summary'!AS125&lt;&gt;"",IF(LOWER('Capacity summary'!AS125)="x",$BI6*AS6,VALUE('Capacity summary'!AS125)),0),AS6*$BI6),AS6*$BI6),0)</f>
        <v>0</v>
      </c>
      <c r="CW6" s="311">
        <f>IF($BI6&lt;&gt;"",IF('Capacity summary'!$D$14="Yes",IF(COUNTBLANK('Capacity summary'!$H125:$BG125)&lt;52,IF('Capacity summary'!AT125&lt;&gt;"",IF(LOWER('Capacity summary'!AT125)="x",$BI6*AT6,VALUE('Capacity summary'!AT125)),0),AT6*$BI6),AT6*$BI6),0)</f>
        <v>0</v>
      </c>
      <c r="CX6" s="311">
        <f>IF($BI6&lt;&gt;"",IF('Capacity summary'!$D$14="Yes",IF(COUNTBLANK('Capacity summary'!$H125:$BG125)&lt;52,IF('Capacity summary'!AU125&lt;&gt;"",IF(LOWER('Capacity summary'!AU125)="x",$BI6*AU6,VALUE('Capacity summary'!AU125)),0),AU6*$BI6),AU6*$BI6),0)</f>
        <v>0</v>
      </c>
      <c r="CY6" s="311">
        <f>IF($BI6&lt;&gt;"",IF('Capacity summary'!$D$14="Yes",IF(COUNTBLANK('Capacity summary'!$H125:$BG125)&lt;52,IF('Capacity summary'!AV125&lt;&gt;"",IF(LOWER('Capacity summary'!AV125)="x",$BI6*AV6,VALUE('Capacity summary'!AV125)),0),AV6*$BI6),AV6*$BI6),0)</f>
        <v>0</v>
      </c>
      <c r="CZ6" s="311">
        <f>IF($BI6&lt;&gt;"",IF('Capacity summary'!$D$14="Yes",IF(COUNTBLANK('Capacity summary'!$H125:$BG125)&lt;52,IF('Capacity summary'!AW125&lt;&gt;"",IF(LOWER('Capacity summary'!AW125)="x",$BI6*AW6,VALUE('Capacity summary'!AW125)),0),AW6*$BI6),AW6*$BI6),0)</f>
        <v>0</v>
      </c>
      <c r="DA6" s="311">
        <f>IF($BI6&lt;&gt;"",IF('Capacity summary'!$D$14="Yes",IF(COUNTBLANK('Capacity summary'!$H125:$BG125)&lt;52,IF('Capacity summary'!AX125&lt;&gt;"",IF(LOWER('Capacity summary'!AX125)="x",$BI6*AX6,VALUE('Capacity summary'!AX125)),0),AX6*$BI6),AX6*$BI6),0)</f>
        <v>0</v>
      </c>
      <c r="DB6" s="311">
        <f>IF($BI6&lt;&gt;"",IF('Capacity summary'!$D$14="Yes",IF(COUNTBLANK('Capacity summary'!$H125:$BG125)&lt;52,IF('Capacity summary'!AY125&lt;&gt;"",IF(LOWER('Capacity summary'!AY125)="x",$BI6*AY6,VALUE('Capacity summary'!AY125)),0),AY6*$BI6),AY6*$BI6),0)</f>
        <v>0</v>
      </c>
      <c r="DC6" s="311">
        <f>IF($BI6&lt;&gt;"",IF('Capacity summary'!$D$14="Yes",IF(COUNTBLANK('Capacity summary'!$H125:$BG125)&lt;52,IF('Capacity summary'!AZ125&lt;&gt;"",IF(LOWER('Capacity summary'!AZ125)="x",$BI6*AZ6,VALUE('Capacity summary'!AZ125)),0),AZ6*$BI6),AZ6*$BI6),0)</f>
        <v>0</v>
      </c>
      <c r="DD6" s="311">
        <f>IF($BI6&lt;&gt;"",IF('Capacity summary'!$D$14="Yes",IF(COUNTBLANK('Capacity summary'!$H125:$BG125)&lt;52,IF('Capacity summary'!BA125&lt;&gt;"",IF(LOWER('Capacity summary'!BA125)="x",$BI6*BA6,VALUE('Capacity summary'!BA125)),0),BA6*$BI6),BA6*$BI6),0)</f>
        <v>0</v>
      </c>
      <c r="DE6" s="311">
        <f>IF($BI6&lt;&gt;"",IF('Capacity summary'!$D$14="Yes",IF(COUNTBLANK('Capacity summary'!$H125:$BG125)&lt;52,IF('Capacity summary'!BB125&lt;&gt;"",IF(LOWER('Capacity summary'!BB125)="x",$BI6*BB6,VALUE('Capacity summary'!BB125)),0),BB6*$BI6),BB6*$BI6),0)</f>
        <v>0</v>
      </c>
      <c r="DF6" s="311">
        <f>IF($BI6&lt;&gt;"",IF('Capacity summary'!$D$14="Yes",IF(COUNTBLANK('Capacity summary'!$H125:$BG125)&lt;52,IF('Capacity summary'!BC125&lt;&gt;"",IF(LOWER('Capacity summary'!BC125)="x",$BI6*BC6,VALUE('Capacity summary'!BC125)),0),BC6*$BI6),BC6*$BI6),0)</f>
        <v>0</v>
      </c>
      <c r="DG6" s="311">
        <f>IF($BI6&lt;&gt;"",IF('Capacity summary'!$D$14="Yes",IF(COUNTBLANK('Capacity summary'!$H125:$BG125)&lt;52,IF('Capacity summary'!BD125&lt;&gt;"",IF(LOWER('Capacity summary'!BD125)="x",$BI6*BD6,VALUE('Capacity summary'!BD125)),0),BD6*$BI6),BD6*$BI6),0)</f>
        <v>0</v>
      </c>
      <c r="DH6" s="311">
        <f>IF($BI6&lt;&gt;"",IF('Capacity summary'!$D$14="Yes",IF(COUNTBLANK('Capacity summary'!$H125:$BG125)&lt;52,IF('Capacity summary'!BE125&lt;&gt;"",IF(LOWER('Capacity summary'!BE125)="x",$BI6*BE6,VALUE('Capacity summary'!BE125)),0),BE6*$BI6),BE6*$BI6),0)</f>
        <v>0</v>
      </c>
      <c r="DI6" s="311">
        <f>IF($BI6&lt;&gt;"",IF('Capacity summary'!$D$14="Yes",IF(COUNTBLANK('Capacity summary'!$H125:$BG125)&lt;52,IF('Capacity summary'!BF125&lt;&gt;"",IF(LOWER('Capacity summary'!BF125)="x",$BI6*BF6,VALUE('Capacity summary'!BF125)),0),BF6*$BI6),BF6*$BI6),0)</f>
        <v>0</v>
      </c>
      <c r="DJ6" s="311">
        <f>IF($BI6&lt;&gt;"",IF('Capacity summary'!$D$14="Yes",IF(COUNTBLANK('Capacity summary'!$H125:$BG125)&lt;52,IF('Capacity summary'!BG125&lt;&gt;"",IF(LOWER('Capacity summary'!BG125)="x",$BI6*BG6,VALUE('Capacity summary'!BG125)),0),BG6*$BI6),BG6*$BI6),0)</f>
        <v>0</v>
      </c>
      <c r="DK6" s="391">
        <f t="shared" si="2"/>
        <v>0</v>
      </c>
      <c r="DL6" s="136">
        <f t="shared" si="3"/>
        <v>0</v>
      </c>
      <c r="DM6" s="311" t="str">
        <f>Capacity!H18</f>
        <v/>
      </c>
      <c r="DQ6" s="5"/>
    </row>
    <row r="7" spans="1:121" x14ac:dyDescent="0.2">
      <c r="A7" s="67">
        <f>IF(Capacity!L19='Capacity summary'!BI126,1,0)</f>
        <v>1</v>
      </c>
      <c r="B7" s="67">
        <f>IF(Capacity!V19='Capacity summary'!BI26,1,0)</f>
        <v>1</v>
      </c>
      <c r="C7" s="67" t="str">
        <f>ROW(A3)&amp;". "&amp;Capacity!B19</f>
        <v xml:space="preserve">3. </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IF(ROW(C3)&lt;=Capacity!$A$16,IF('Capacity summary'!$D$14="No",SUM(H7:BG7),'Capacity summary'!$E126),0)</f>
        <v>0</v>
      </c>
      <c r="BI7" s="5" t="str">
        <f>IF(BH7&gt;0,IF(BH7&lt;Capacity!E19,Capacity!F19,Capacity!H19/'Capacity calculation (hide)'!BH7),"")</f>
        <v/>
      </c>
      <c r="BK7" s="311">
        <f>IF($BI7&lt;&gt;"",IF('Capacity summary'!$D$14="Yes",IF(COUNTBLANK('Capacity summary'!$H126:$BG126)&lt;52,IF('Capacity summary'!H126&lt;&gt;"",IF(LOWER('Capacity summary'!H126)="x",$BI7*H7,VALUE('Capacity summary'!H126)),0),H7*$BI7),H7*$BI7),0)</f>
        <v>0</v>
      </c>
      <c r="BL7" s="311">
        <f>IF($BI7&lt;&gt;"",IF('Capacity summary'!$D$14="Yes",IF(COUNTBLANK('Capacity summary'!$H126:$BG126)&lt;52,IF('Capacity summary'!I126&lt;&gt;"",IF(LOWER('Capacity summary'!I126)="x",$BI7*I7,VALUE('Capacity summary'!I126)),0),I7*$BI7),I7*$BI7),0)</f>
        <v>0</v>
      </c>
      <c r="BM7" s="311">
        <f>IF($BI7&lt;&gt;"",IF('Capacity summary'!$D$14="Yes",IF(COUNTBLANK('Capacity summary'!$H126:$BG126)&lt;52,IF('Capacity summary'!J126&lt;&gt;"",IF(LOWER('Capacity summary'!J126)="x",$BI7*J7,VALUE('Capacity summary'!J126)),0),J7*$BI7),J7*$BI7),0)</f>
        <v>0</v>
      </c>
      <c r="BN7" s="311">
        <f>IF($BI7&lt;&gt;"",IF('Capacity summary'!$D$14="Yes",IF(COUNTBLANK('Capacity summary'!$H126:$BG126)&lt;52,IF('Capacity summary'!K126&lt;&gt;"",IF(LOWER('Capacity summary'!K126)="x",$BI7*K7,VALUE('Capacity summary'!K126)),0),K7*$BI7),K7*$BI7),0)</f>
        <v>0</v>
      </c>
      <c r="BO7" s="311">
        <f>IF($BI7&lt;&gt;"",IF('Capacity summary'!$D$14="Yes",IF(COUNTBLANK('Capacity summary'!$H126:$BG126)&lt;52,IF('Capacity summary'!L126&lt;&gt;"",IF(LOWER('Capacity summary'!L126)="x",$BI7*L7,VALUE('Capacity summary'!L126)),0),L7*$BI7),L7*$BI7),0)</f>
        <v>0</v>
      </c>
      <c r="BP7" s="311">
        <f>IF($BI7&lt;&gt;"",IF('Capacity summary'!$D$14="Yes",IF(COUNTBLANK('Capacity summary'!$H126:$BG126)&lt;52,IF('Capacity summary'!M126&lt;&gt;"",IF(LOWER('Capacity summary'!M126)="x",$BI7*M7,VALUE('Capacity summary'!M126)),0),M7*$BI7),M7*$BI7),0)</f>
        <v>0</v>
      </c>
      <c r="BQ7" s="311">
        <f>IF($BI7&lt;&gt;"",IF('Capacity summary'!$D$14="Yes",IF(COUNTBLANK('Capacity summary'!$H126:$BG126)&lt;52,IF('Capacity summary'!N126&lt;&gt;"",IF(LOWER('Capacity summary'!N126)="x",$BI7*N7,VALUE('Capacity summary'!N126)),0),N7*$BI7),N7*$BI7),0)</f>
        <v>0</v>
      </c>
      <c r="BR7" s="311">
        <f>IF($BI7&lt;&gt;"",IF('Capacity summary'!$D$14="Yes",IF(COUNTBLANK('Capacity summary'!$H126:$BG126)&lt;52,IF('Capacity summary'!O126&lt;&gt;"",IF(LOWER('Capacity summary'!O126)="x",$BI7*O7,VALUE('Capacity summary'!O126)),0),O7*$BI7),O7*$BI7),0)</f>
        <v>0</v>
      </c>
      <c r="BS7" s="311">
        <f>IF($BI7&lt;&gt;"",IF('Capacity summary'!$D$14="Yes",IF(COUNTBLANK('Capacity summary'!$H126:$BG126)&lt;52,IF('Capacity summary'!P126&lt;&gt;"",IF(LOWER('Capacity summary'!P126)="x",$BI7*P7,VALUE('Capacity summary'!P126)),0),P7*$BI7),P7*$BI7),0)</f>
        <v>0</v>
      </c>
      <c r="BT7" s="311">
        <f>IF($BI7&lt;&gt;"",IF('Capacity summary'!$D$14="Yes",IF(COUNTBLANK('Capacity summary'!$H126:$BG126)&lt;52,IF('Capacity summary'!Q126&lt;&gt;"",IF(LOWER('Capacity summary'!Q126)="x",$BI7*Q7,VALUE('Capacity summary'!Q126)),0),Q7*$BI7),Q7*$BI7),0)</f>
        <v>0</v>
      </c>
      <c r="BU7" s="311">
        <f>IF($BI7&lt;&gt;"",IF('Capacity summary'!$D$14="Yes",IF(COUNTBLANK('Capacity summary'!$H126:$BG126)&lt;52,IF('Capacity summary'!R126&lt;&gt;"",IF(LOWER('Capacity summary'!R126)="x",$BI7*R7,VALUE('Capacity summary'!R126)),0),R7*$BI7),R7*$BI7),0)</f>
        <v>0</v>
      </c>
      <c r="BV7" s="311">
        <f>IF($BI7&lt;&gt;"",IF('Capacity summary'!$D$14="Yes",IF(COUNTBLANK('Capacity summary'!$H126:$BG126)&lt;52,IF('Capacity summary'!S126&lt;&gt;"",IF(LOWER('Capacity summary'!S126)="x",$BI7*S7,VALUE('Capacity summary'!S126)),0),S7*$BI7),S7*$BI7),0)</f>
        <v>0</v>
      </c>
      <c r="BW7" s="311">
        <f>IF($BI7&lt;&gt;"",IF('Capacity summary'!$D$14="Yes",IF(COUNTBLANK('Capacity summary'!$H126:$BG126)&lt;52,IF('Capacity summary'!T126&lt;&gt;"",IF(LOWER('Capacity summary'!T126)="x",$BI7*T7,VALUE('Capacity summary'!T126)),0),T7*$BI7),T7*$BI7),0)</f>
        <v>0</v>
      </c>
      <c r="BX7" s="311">
        <f>IF($BI7&lt;&gt;"",IF('Capacity summary'!$D$14="Yes",IF(COUNTBLANK('Capacity summary'!$H126:$BG126)&lt;52,IF('Capacity summary'!U126&lt;&gt;"",IF(LOWER('Capacity summary'!U126)="x",$BI7*U7,VALUE('Capacity summary'!U126)),0),U7*$BI7),U7*$BI7),0)</f>
        <v>0</v>
      </c>
      <c r="BY7" s="311">
        <f>IF($BI7&lt;&gt;"",IF('Capacity summary'!$D$14="Yes",IF(COUNTBLANK('Capacity summary'!$H126:$BG126)&lt;52,IF('Capacity summary'!V126&lt;&gt;"",IF(LOWER('Capacity summary'!V126)="x",$BI7*V7,VALUE('Capacity summary'!V126)),0),V7*$BI7),V7*$BI7),0)</f>
        <v>0</v>
      </c>
      <c r="BZ7" s="311">
        <f>IF($BI7&lt;&gt;"",IF('Capacity summary'!$D$14="Yes",IF(COUNTBLANK('Capacity summary'!$H126:$BG126)&lt;52,IF('Capacity summary'!W126&lt;&gt;"",IF(LOWER('Capacity summary'!W126)="x",$BI7*W7,VALUE('Capacity summary'!W126)),0),W7*$BI7),W7*$BI7),0)</f>
        <v>0</v>
      </c>
      <c r="CA7" s="311">
        <f>IF($BI7&lt;&gt;"",IF('Capacity summary'!$D$14="Yes",IF(COUNTBLANK('Capacity summary'!$H126:$BG126)&lt;52,IF('Capacity summary'!X126&lt;&gt;"",IF(LOWER('Capacity summary'!X126)="x",$BI7*X7,VALUE('Capacity summary'!X126)),0),X7*$BI7),X7*$BI7),0)</f>
        <v>0</v>
      </c>
      <c r="CB7" s="311">
        <f>IF($BI7&lt;&gt;"",IF('Capacity summary'!$D$14="Yes",IF(COUNTBLANK('Capacity summary'!$H126:$BG126)&lt;52,IF('Capacity summary'!Y126&lt;&gt;"",IF(LOWER('Capacity summary'!Y126)="x",$BI7*Y7,VALUE('Capacity summary'!Y126)),0),Y7*$BI7),Y7*$BI7),0)</f>
        <v>0</v>
      </c>
      <c r="CC7" s="311">
        <f>IF($BI7&lt;&gt;"",IF('Capacity summary'!$D$14="Yes",IF(COUNTBLANK('Capacity summary'!$H126:$BG126)&lt;52,IF('Capacity summary'!Z126&lt;&gt;"",IF(LOWER('Capacity summary'!Z126)="x",$BI7*Z7,VALUE('Capacity summary'!Z126)),0),Z7*$BI7),Z7*$BI7),0)</f>
        <v>0</v>
      </c>
      <c r="CD7" s="311">
        <f>IF($BI7&lt;&gt;"",IF('Capacity summary'!$D$14="Yes",IF(COUNTBLANK('Capacity summary'!$H126:$BG126)&lt;52,IF('Capacity summary'!AA126&lt;&gt;"",IF(LOWER('Capacity summary'!AA126)="x",$BI7*AA7,VALUE('Capacity summary'!AA126)),0),AA7*$BI7),AA7*$BI7),0)</f>
        <v>0</v>
      </c>
      <c r="CE7" s="311">
        <f>IF($BI7&lt;&gt;"",IF('Capacity summary'!$D$14="Yes",IF(COUNTBLANK('Capacity summary'!$H126:$BG126)&lt;52,IF('Capacity summary'!AB126&lt;&gt;"",IF(LOWER('Capacity summary'!AB126)="x",$BI7*AB7,VALUE('Capacity summary'!AB126)),0),AB7*$BI7),AB7*$BI7),0)</f>
        <v>0</v>
      </c>
      <c r="CF7" s="311">
        <f>IF($BI7&lt;&gt;"",IF('Capacity summary'!$D$14="Yes",IF(COUNTBLANK('Capacity summary'!$H126:$BG126)&lt;52,IF('Capacity summary'!AC126&lt;&gt;"",IF(LOWER('Capacity summary'!AC126)="x",$BI7*AC7,VALUE('Capacity summary'!AC126)),0),AC7*$BI7),AC7*$BI7),0)</f>
        <v>0</v>
      </c>
      <c r="CG7" s="311">
        <f>IF($BI7&lt;&gt;"",IF('Capacity summary'!$D$14="Yes",IF(COUNTBLANK('Capacity summary'!$H126:$BG126)&lt;52,IF('Capacity summary'!AD126&lt;&gt;"",IF(LOWER('Capacity summary'!AD126)="x",$BI7*AD7,VALUE('Capacity summary'!AD126)),0),AD7*$BI7),AD7*$BI7),0)</f>
        <v>0</v>
      </c>
      <c r="CH7" s="311">
        <f>IF($BI7&lt;&gt;"",IF('Capacity summary'!$D$14="Yes",IF(COUNTBLANK('Capacity summary'!$H126:$BG126)&lt;52,IF('Capacity summary'!AE126&lt;&gt;"",IF(LOWER('Capacity summary'!AE126)="x",$BI7*AE7,VALUE('Capacity summary'!AE126)),0),AE7*$BI7),AE7*$BI7),0)</f>
        <v>0</v>
      </c>
      <c r="CI7" s="311">
        <f>IF($BI7&lt;&gt;"",IF('Capacity summary'!$D$14="Yes",IF(COUNTBLANK('Capacity summary'!$H126:$BG126)&lt;52,IF('Capacity summary'!AF126&lt;&gt;"",IF(LOWER('Capacity summary'!AF126)="x",$BI7*AF7,VALUE('Capacity summary'!AF126)),0),AF7*$BI7),AF7*$BI7),0)</f>
        <v>0</v>
      </c>
      <c r="CJ7" s="311">
        <f>IF($BI7&lt;&gt;"",IF('Capacity summary'!$D$14="Yes",IF(COUNTBLANK('Capacity summary'!$H126:$BG126)&lt;52,IF('Capacity summary'!AG126&lt;&gt;"",IF(LOWER('Capacity summary'!AG126)="x",$BI7*AG7,VALUE('Capacity summary'!AG126)),0),AG7*$BI7),AG7*$BI7),0)</f>
        <v>0</v>
      </c>
      <c r="CK7" s="311">
        <f>IF($BI7&lt;&gt;"",IF('Capacity summary'!$D$14="Yes",IF(COUNTBLANK('Capacity summary'!$H126:$BG126)&lt;52,IF('Capacity summary'!AH126&lt;&gt;"",IF(LOWER('Capacity summary'!AH126)="x",$BI7*AH7,VALUE('Capacity summary'!AH126)),0),AH7*$BI7),AH7*$BI7),0)</f>
        <v>0</v>
      </c>
      <c r="CL7" s="311">
        <f>IF($BI7&lt;&gt;"",IF('Capacity summary'!$D$14="Yes",IF(COUNTBLANK('Capacity summary'!$H126:$BG126)&lt;52,IF('Capacity summary'!AI126&lt;&gt;"",IF(LOWER('Capacity summary'!AI126)="x",$BI7*AI7,VALUE('Capacity summary'!AI126)),0),AI7*$BI7),AI7*$BI7),0)</f>
        <v>0</v>
      </c>
      <c r="CM7" s="311">
        <f>IF($BI7&lt;&gt;"",IF('Capacity summary'!$D$14="Yes",IF(COUNTBLANK('Capacity summary'!$H126:$BG126)&lt;52,IF('Capacity summary'!AJ126&lt;&gt;"",IF(LOWER('Capacity summary'!AJ126)="x",$BI7*AJ7,VALUE('Capacity summary'!AJ126)),0),AJ7*$BI7),AJ7*$BI7),0)</f>
        <v>0</v>
      </c>
      <c r="CN7" s="311">
        <f>IF($BI7&lt;&gt;"",IF('Capacity summary'!$D$14="Yes",IF(COUNTBLANK('Capacity summary'!$H126:$BG126)&lt;52,IF('Capacity summary'!AK126&lt;&gt;"",IF(LOWER('Capacity summary'!AK126)="x",$BI7*AK7,VALUE('Capacity summary'!AK126)),0),AK7*$BI7),AK7*$BI7),0)</f>
        <v>0</v>
      </c>
      <c r="CO7" s="311">
        <f>IF($BI7&lt;&gt;"",IF('Capacity summary'!$D$14="Yes",IF(COUNTBLANK('Capacity summary'!$H126:$BG126)&lt;52,IF('Capacity summary'!AL126&lt;&gt;"",IF(LOWER('Capacity summary'!AL126)="x",$BI7*AL7,VALUE('Capacity summary'!AL126)),0),AL7*$BI7),AL7*$BI7),0)</f>
        <v>0</v>
      </c>
      <c r="CP7" s="311">
        <f>IF($BI7&lt;&gt;"",IF('Capacity summary'!$D$14="Yes",IF(COUNTBLANK('Capacity summary'!$H126:$BG126)&lt;52,IF('Capacity summary'!AM126&lt;&gt;"",IF(LOWER('Capacity summary'!AM126)="x",$BI7*AM7,VALUE('Capacity summary'!AM126)),0),AM7*$BI7),AM7*$BI7),0)</f>
        <v>0</v>
      </c>
      <c r="CQ7" s="311">
        <f>IF($BI7&lt;&gt;"",IF('Capacity summary'!$D$14="Yes",IF(COUNTBLANK('Capacity summary'!$H126:$BG126)&lt;52,IF('Capacity summary'!AN126&lt;&gt;"",IF(LOWER('Capacity summary'!AN126)="x",$BI7*AN7,VALUE('Capacity summary'!AN126)),0),AN7*$BI7),AN7*$BI7),0)</f>
        <v>0</v>
      </c>
      <c r="CR7" s="311">
        <f>IF($BI7&lt;&gt;"",IF('Capacity summary'!$D$14="Yes",IF(COUNTBLANK('Capacity summary'!$H126:$BG126)&lt;52,IF('Capacity summary'!AO126&lt;&gt;"",IF(LOWER('Capacity summary'!AO126)="x",$BI7*AO7,VALUE('Capacity summary'!AO126)),0),AO7*$BI7),AO7*$BI7),0)</f>
        <v>0</v>
      </c>
      <c r="CS7" s="311">
        <f>IF($BI7&lt;&gt;"",IF('Capacity summary'!$D$14="Yes",IF(COUNTBLANK('Capacity summary'!$H126:$BG126)&lt;52,IF('Capacity summary'!AP126&lt;&gt;"",IF(LOWER('Capacity summary'!AP126)="x",$BI7*AP7,VALUE('Capacity summary'!AP126)),0),AP7*$BI7),AP7*$BI7),0)</f>
        <v>0</v>
      </c>
      <c r="CT7" s="311">
        <f>IF($BI7&lt;&gt;"",IF('Capacity summary'!$D$14="Yes",IF(COUNTBLANK('Capacity summary'!$H126:$BG126)&lt;52,IF('Capacity summary'!AQ126&lt;&gt;"",IF(LOWER('Capacity summary'!AQ126)="x",$BI7*AQ7,VALUE('Capacity summary'!AQ126)),0),AQ7*$BI7),AQ7*$BI7),0)</f>
        <v>0</v>
      </c>
      <c r="CU7" s="311">
        <f>IF($BI7&lt;&gt;"",IF('Capacity summary'!$D$14="Yes",IF(COUNTBLANK('Capacity summary'!$H126:$BG126)&lt;52,IF('Capacity summary'!AR126&lt;&gt;"",IF(LOWER('Capacity summary'!AR126)="x",$BI7*AR7,VALUE('Capacity summary'!AR126)),0),AR7*$BI7),AR7*$BI7),0)</f>
        <v>0</v>
      </c>
      <c r="CV7" s="311">
        <f>IF($BI7&lt;&gt;"",IF('Capacity summary'!$D$14="Yes",IF(COUNTBLANK('Capacity summary'!$H126:$BG126)&lt;52,IF('Capacity summary'!AS126&lt;&gt;"",IF(LOWER('Capacity summary'!AS126)="x",$BI7*AS7,VALUE('Capacity summary'!AS126)),0),AS7*$BI7),AS7*$BI7),0)</f>
        <v>0</v>
      </c>
      <c r="CW7" s="311">
        <f>IF($BI7&lt;&gt;"",IF('Capacity summary'!$D$14="Yes",IF(COUNTBLANK('Capacity summary'!$H126:$BG126)&lt;52,IF('Capacity summary'!AT126&lt;&gt;"",IF(LOWER('Capacity summary'!AT126)="x",$BI7*AT7,VALUE('Capacity summary'!AT126)),0),AT7*$BI7),AT7*$BI7),0)</f>
        <v>0</v>
      </c>
      <c r="CX7" s="311">
        <f>IF($BI7&lt;&gt;"",IF('Capacity summary'!$D$14="Yes",IF(COUNTBLANK('Capacity summary'!$H126:$BG126)&lt;52,IF('Capacity summary'!AU126&lt;&gt;"",IF(LOWER('Capacity summary'!AU126)="x",$BI7*AU7,VALUE('Capacity summary'!AU126)),0),AU7*$BI7),AU7*$BI7),0)</f>
        <v>0</v>
      </c>
      <c r="CY7" s="311">
        <f>IF($BI7&lt;&gt;"",IF('Capacity summary'!$D$14="Yes",IF(COUNTBLANK('Capacity summary'!$H126:$BG126)&lt;52,IF('Capacity summary'!AV126&lt;&gt;"",IF(LOWER('Capacity summary'!AV126)="x",$BI7*AV7,VALUE('Capacity summary'!AV126)),0),AV7*$BI7),AV7*$BI7),0)</f>
        <v>0</v>
      </c>
      <c r="CZ7" s="311">
        <f>IF($BI7&lt;&gt;"",IF('Capacity summary'!$D$14="Yes",IF(COUNTBLANK('Capacity summary'!$H126:$BG126)&lt;52,IF('Capacity summary'!AW126&lt;&gt;"",IF(LOWER('Capacity summary'!AW126)="x",$BI7*AW7,VALUE('Capacity summary'!AW126)),0),AW7*$BI7),AW7*$BI7),0)</f>
        <v>0</v>
      </c>
      <c r="DA7" s="311">
        <f>IF($BI7&lt;&gt;"",IF('Capacity summary'!$D$14="Yes",IF(COUNTBLANK('Capacity summary'!$H126:$BG126)&lt;52,IF('Capacity summary'!AX126&lt;&gt;"",IF(LOWER('Capacity summary'!AX126)="x",$BI7*AX7,VALUE('Capacity summary'!AX126)),0),AX7*$BI7),AX7*$BI7),0)</f>
        <v>0</v>
      </c>
      <c r="DB7" s="311">
        <f>IF($BI7&lt;&gt;"",IF('Capacity summary'!$D$14="Yes",IF(COUNTBLANK('Capacity summary'!$H126:$BG126)&lt;52,IF('Capacity summary'!AY126&lt;&gt;"",IF(LOWER('Capacity summary'!AY126)="x",$BI7*AY7,VALUE('Capacity summary'!AY126)),0),AY7*$BI7),AY7*$BI7),0)</f>
        <v>0</v>
      </c>
      <c r="DC7" s="311">
        <f>IF($BI7&lt;&gt;"",IF('Capacity summary'!$D$14="Yes",IF(COUNTBLANK('Capacity summary'!$H126:$BG126)&lt;52,IF('Capacity summary'!AZ126&lt;&gt;"",IF(LOWER('Capacity summary'!AZ126)="x",$BI7*AZ7,VALUE('Capacity summary'!AZ126)),0),AZ7*$BI7),AZ7*$BI7),0)</f>
        <v>0</v>
      </c>
      <c r="DD7" s="311">
        <f>IF($BI7&lt;&gt;"",IF('Capacity summary'!$D$14="Yes",IF(COUNTBLANK('Capacity summary'!$H126:$BG126)&lt;52,IF('Capacity summary'!BA126&lt;&gt;"",IF(LOWER('Capacity summary'!BA126)="x",$BI7*BA7,VALUE('Capacity summary'!BA126)),0),BA7*$BI7),BA7*$BI7),0)</f>
        <v>0</v>
      </c>
      <c r="DE7" s="311">
        <f>IF($BI7&lt;&gt;"",IF('Capacity summary'!$D$14="Yes",IF(COUNTBLANK('Capacity summary'!$H126:$BG126)&lt;52,IF('Capacity summary'!BB126&lt;&gt;"",IF(LOWER('Capacity summary'!BB126)="x",$BI7*BB7,VALUE('Capacity summary'!BB126)),0),BB7*$BI7),BB7*$BI7),0)</f>
        <v>0</v>
      </c>
      <c r="DF7" s="311">
        <f>IF($BI7&lt;&gt;"",IF('Capacity summary'!$D$14="Yes",IF(COUNTBLANK('Capacity summary'!$H126:$BG126)&lt;52,IF('Capacity summary'!BC126&lt;&gt;"",IF(LOWER('Capacity summary'!BC126)="x",$BI7*BC7,VALUE('Capacity summary'!BC126)),0),BC7*$BI7),BC7*$BI7),0)</f>
        <v>0</v>
      </c>
      <c r="DG7" s="311">
        <f>IF($BI7&lt;&gt;"",IF('Capacity summary'!$D$14="Yes",IF(COUNTBLANK('Capacity summary'!$H126:$BG126)&lt;52,IF('Capacity summary'!BD126&lt;&gt;"",IF(LOWER('Capacity summary'!BD126)="x",$BI7*BD7,VALUE('Capacity summary'!BD126)),0),BD7*$BI7),BD7*$BI7),0)</f>
        <v>0</v>
      </c>
      <c r="DH7" s="311">
        <f>IF($BI7&lt;&gt;"",IF('Capacity summary'!$D$14="Yes",IF(COUNTBLANK('Capacity summary'!$H126:$BG126)&lt;52,IF('Capacity summary'!BE126&lt;&gt;"",IF(LOWER('Capacity summary'!BE126)="x",$BI7*BE7,VALUE('Capacity summary'!BE126)),0),BE7*$BI7),BE7*$BI7),0)</f>
        <v>0</v>
      </c>
      <c r="DI7" s="311">
        <f>IF($BI7&lt;&gt;"",IF('Capacity summary'!$D$14="Yes",IF(COUNTBLANK('Capacity summary'!$H126:$BG126)&lt;52,IF('Capacity summary'!BF126&lt;&gt;"",IF(LOWER('Capacity summary'!BF126)="x",$BI7*BF7,VALUE('Capacity summary'!BF126)),0),BF7*$BI7),BF7*$BI7),0)</f>
        <v>0</v>
      </c>
      <c r="DJ7" s="311">
        <f>IF($BI7&lt;&gt;"",IF('Capacity summary'!$D$14="Yes",IF(COUNTBLANK('Capacity summary'!$H126:$BG126)&lt;52,IF('Capacity summary'!BG126&lt;&gt;"",IF(LOWER('Capacity summary'!BG126)="x",$BI7*BG7,VALUE('Capacity summary'!BG126)),0),BG7*$BI7),BG7*$BI7),0)</f>
        <v>0</v>
      </c>
      <c r="DK7" s="391">
        <f t="shared" si="2"/>
        <v>0</v>
      </c>
      <c r="DL7" s="136">
        <f t="shared" si="3"/>
        <v>0</v>
      </c>
      <c r="DM7" s="311" t="str">
        <f>Capacity!H19</f>
        <v/>
      </c>
      <c r="DQ7" s="5"/>
    </row>
    <row r="8" spans="1:121" x14ac:dyDescent="0.2">
      <c r="A8" s="67">
        <f>IF(Capacity!L20='Capacity summary'!BI127,1,0)</f>
        <v>1</v>
      </c>
      <c r="B8" s="67">
        <f>IF(Capacity!V20='Capacity summary'!BI27,1,0)</f>
        <v>1</v>
      </c>
      <c r="C8" s="67" t="str">
        <f>ROW(A4)&amp;". "&amp;Capacity!B20</f>
        <v xml:space="preserve">4. </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IF(ROW(C4)&lt;=Capacity!$A$16,IF('Capacity summary'!$D$14="No",SUM(H8:BG8),'Capacity summary'!$E127),0)</f>
        <v>0</v>
      </c>
      <c r="BI8" s="5" t="str">
        <f>IF(BH8&gt;0,IF(BH8&lt;Capacity!E20,Capacity!F20,Capacity!H20/'Capacity calculation (hide)'!BH8),"")</f>
        <v/>
      </c>
      <c r="BK8" s="311">
        <f>IF($BI8&lt;&gt;"",IF('Capacity summary'!$D$14="Yes",IF(COUNTBLANK('Capacity summary'!$H127:$BG127)&lt;52,IF('Capacity summary'!H127&lt;&gt;"",IF(LOWER('Capacity summary'!H127)="x",$BI8*H8,VALUE('Capacity summary'!H127)),0),H8*$BI8),H8*$BI8),0)</f>
        <v>0</v>
      </c>
      <c r="BL8" s="311">
        <f>IF($BI8&lt;&gt;"",IF('Capacity summary'!$D$14="Yes",IF(COUNTBLANK('Capacity summary'!$H127:$BG127)&lt;52,IF('Capacity summary'!I127&lt;&gt;"",IF(LOWER('Capacity summary'!I127)="x",$BI8*I8,VALUE('Capacity summary'!I127)),0),I8*$BI8),I8*$BI8),0)</f>
        <v>0</v>
      </c>
      <c r="BM8" s="311">
        <f>IF($BI8&lt;&gt;"",IF('Capacity summary'!$D$14="Yes",IF(COUNTBLANK('Capacity summary'!$H127:$BG127)&lt;52,IF('Capacity summary'!J127&lt;&gt;"",IF(LOWER('Capacity summary'!J127)="x",$BI8*J8,VALUE('Capacity summary'!J127)),0),J8*$BI8),J8*$BI8),0)</f>
        <v>0</v>
      </c>
      <c r="BN8" s="311">
        <f>IF($BI8&lt;&gt;"",IF('Capacity summary'!$D$14="Yes",IF(COUNTBLANK('Capacity summary'!$H127:$BG127)&lt;52,IF('Capacity summary'!K127&lt;&gt;"",IF(LOWER('Capacity summary'!K127)="x",$BI8*K8,VALUE('Capacity summary'!K127)),0),K8*$BI8),K8*$BI8),0)</f>
        <v>0</v>
      </c>
      <c r="BO8" s="311">
        <f>IF($BI8&lt;&gt;"",IF('Capacity summary'!$D$14="Yes",IF(COUNTBLANK('Capacity summary'!$H127:$BG127)&lt;52,IF('Capacity summary'!L127&lt;&gt;"",IF(LOWER('Capacity summary'!L127)="x",$BI8*L8,VALUE('Capacity summary'!L127)),0),L8*$BI8),L8*$BI8),0)</f>
        <v>0</v>
      </c>
      <c r="BP8" s="311">
        <f>IF($BI8&lt;&gt;"",IF('Capacity summary'!$D$14="Yes",IF(COUNTBLANK('Capacity summary'!$H127:$BG127)&lt;52,IF('Capacity summary'!M127&lt;&gt;"",IF(LOWER('Capacity summary'!M127)="x",$BI8*M8,VALUE('Capacity summary'!M127)),0),M8*$BI8),M8*$BI8),0)</f>
        <v>0</v>
      </c>
      <c r="BQ8" s="311">
        <f>IF($BI8&lt;&gt;"",IF('Capacity summary'!$D$14="Yes",IF(COUNTBLANK('Capacity summary'!$H127:$BG127)&lt;52,IF('Capacity summary'!N127&lt;&gt;"",IF(LOWER('Capacity summary'!N127)="x",$BI8*N8,VALUE('Capacity summary'!N127)),0),N8*$BI8),N8*$BI8),0)</f>
        <v>0</v>
      </c>
      <c r="BR8" s="311">
        <f>IF($BI8&lt;&gt;"",IF('Capacity summary'!$D$14="Yes",IF(COUNTBLANK('Capacity summary'!$H127:$BG127)&lt;52,IF('Capacity summary'!O127&lt;&gt;"",IF(LOWER('Capacity summary'!O127)="x",$BI8*O8,VALUE('Capacity summary'!O127)),0),O8*$BI8),O8*$BI8),0)</f>
        <v>0</v>
      </c>
      <c r="BS8" s="311">
        <f>IF($BI8&lt;&gt;"",IF('Capacity summary'!$D$14="Yes",IF(COUNTBLANK('Capacity summary'!$H127:$BG127)&lt;52,IF('Capacity summary'!P127&lt;&gt;"",IF(LOWER('Capacity summary'!P127)="x",$BI8*P8,VALUE('Capacity summary'!P127)),0),P8*$BI8),P8*$BI8),0)</f>
        <v>0</v>
      </c>
      <c r="BT8" s="311">
        <f>IF($BI8&lt;&gt;"",IF('Capacity summary'!$D$14="Yes",IF(COUNTBLANK('Capacity summary'!$H127:$BG127)&lt;52,IF('Capacity summary'!Q127&lt;&gt;"",IF(LOWER('Capacity summary'!Q127)="x",$BI8*Q8,VALUE('Capacity summary'!Q127)),0),Q8*$BI8),Q8*$BI8),0)</f>
        <v>0</v>
      </c>
      <c r="BU8" s="311">
        <f>IF($BI8&lt;&gt;"",IF('Capacity summary'!$D$14="Yes",IF(COUNTBLANK('Capacity summary'!$H127:$BG127)&lt;52,IF('Capacity summary'!R127&lt;&gt;"",IF(LOWER('Capacity summary'!R127)="x",$BI8*R8,VALUE('Capacity summary'!R127)),0),R8*$BI8),R8*$BI8),0)</f>
        <v>0</v>
      </c>
      <c r="BV8" s="311">
        <f>IF($BI8&lt;&gt;"",IF('Capacity summary'!$D$14="Yes",IF(COUNTBLANK('Capacity summary'!$H127:$BG127)&lt;52,IF('Capacity summary'!S127&lt;&gt;"",IF(LOWER('Capacity summary'!S127)="x",$BI8*S8,VALUE('Capacity summary'!S127)),0),S8*$BI8),S8*$BI8),0)</f>
        <v>0</v>
      </c>
      <c r="BW8" s="311">
        <f>IF($BI8&lt;&gt;"",IF('Capacity summary'!$D$14="Yes",IF(COUNTBLANK('Capacity summary'!$H127:$BG127)&lt;52,IF('Capacity summary'!T127&lt;&gt;"",IF(LOWER('Capacity summary'!T127)="x",$BI8*T8,VALUE('Capacity summary'!T127)),0),T8*$BI8),T8*$BI8),0)</f>
        <v>0</v>
      </c>
      <c r="BX8" s="311">
        <f>IF($BI8&lt;&gt;"",IF('Capacity summary'!$D$14="Yes",IF(COUNTBLANK('Capacity summary'!$H127:$BG127)&lt;52,IF('Capacity summary'!U127&lt;&gt;"",IF(LOWER('Capacity summary'!U127)="x",$BI8*U8,VALUE('Capacity summary'!U127)),0),U8*$BI8),U8*$BI8),0)</f>
        <v>0</v>
      </c>
      <c r="BY8" s="311">
        <f>IF($BI8&lt;&gt;"",IF('Capacity summary'!$D$14="Yes",IF(COUNTBLANK('Capacity summary'!$H127:$BG127)&lt;52,IF('Capacity summary'!V127&lt;&gt;"",IF(LOWER('Capacity summary'!V127)="x",$BI8*V8,VALUE('Capacity summary'!V127)),0),V8*$BI8),V8*$BI8),0)</f>
        <v>0</v>
      </c>
      <c r="BZ8" s="311">
        <f>IF($BI8&lt;&gt;"",IF('Capacity summary'!$D$14="Yes",IF(COUNTBLANK('Capacity summary'!$H127:$BG127)&lt;52,IF('Capacity summary'!W127&lt;&gt;"",IF(LOWER('Capacity summary'!W127)="x",$BI8*W8,VALUE('Capacity summary'!W127)),0),W8*$BI8),W8*$BI8),0)</f>
        <v>0</v>
      </c>
      <c r="CA8" s="311">
        <f>IF($BI8&lt;&gt;"",IF('Capacity summary'!$D$14="Yes",IF(COUNTBLANK('Capacity summary'!$H127:$BG127)&lt;52,IF('Capacity summary'!X127&lt;&gt;"",IF(LOWER('Capacity summary'!X127)="x",$BI8*X8,VALUE('Capacity summary'!X127)),0),X8*$BI8),X8*$BI8),0)</f>
        <v>0</v>
      </c>
      <c r="CB8" s="311">
        <f>IF($BI8&lt;&gt;"",IF('Capacity summary'!$D$14="Yes",IF(COUNTBLANK('Capacity summary'!$H127:$BG127)&lt;52,IF('Capacity summary'!Y127&lt;&gt;"",IF(LOWER('Capacity summary'!Y127)="x",$BI8*Y8,VALUE('Capacity summary'!Y127)),0),Y8*$BI8),Y8*$BI8),0)</f>
        <v>0</v>
      </c>
      <c r="CC8" s="311">
        <f>IF($BI8&lt;&gt;"",IF('Capacity summary'!$D$14="Yes",IF(COUNTBLANK('Capacity summary'!$H127:$BG127)&lt;52,IF('Capacity summary'!Z127&lt;&gt;"",IF(LOWER('Capacity summary'!Z127)="x",$BI8*Z8,VALUE('Capacity summary'!Z127)),0),Z8*$BI8),Z8*$BI8),0)</f>
        <v>0</v>
      </c>
      <c r="CD8" s="311">
        <f>IF($BI8&lt;&gt;"",IF('Capacity summary'!$D$14="Yes",IF(COUNTBLANK('Capacity summary'!$H127:$BG127)&lt;52,IF('Capacity summary'!AA127&lt;&gt;"",IF(LOWER('Capacity summary'!AA127)="x",$BI8*AA8,VALUE('Capacity summary'!AA127)),0),AA8*$BI8),AA8*$BI8),0)</f>
        <v>0</v>
      </c>
      <c r="CE8" s="311">
        <f>IF($BI8&lt;&gt;"",IF('Capacity summary'!$D$14="Yes",IF(COUNTBLANK('Capacity summary'!$H127:$BG127)&lt;52,IF('Capacity summary'!AB127&lt;&gt;"",IF(LOWER('Capacity summary'!AB127)="x",$BI8*AB8,VALUE('Capacity summary'!AB127)),0),AB8*$BI8),AB8*$BI8),0)</f>
        <v>0</v>
      </c>
      <c r="CF8" s="311">
        <f>IF($BI8&lt;&gt;"",IF('Capacity summary'!$D$14="Yes",IF(COUNTBLANK('Capacity summary'!$H127:$BG127)&lt;52,IF('Capacity summary'!AC127&lt;&gt;"",IF(LOWER('Capacity summary'!AC127)="x",$BI8*AC8,VALUE('Capacity summary'!AC127)),0),AC8*$BI8),AC8*$BI8),0)</f>
        <v>0</v>
      </c>
      <c r="CG8" s="311">
        <f>IF($BI8&lt;&gt;"",IF('Capacity summary'!$D$14="Yes",IF(COUNTBLANK('Capacity summary'!$H127:$BG127)&lt;52,IF('Capacity summary'!AD127&lt;&gt;"",IF(LOWER('Capacity summary'!AD127)="x",$BI8*AD8,VALUE('Capacity summary'!AD127)),0),AD8*$BI8),AD8*$BI8),0)</f>
        <v>0</v>
      </c>
      <c r="CH8" s="311">
        <f>IF($BI8&lt;&gt;"",IF('Capacity summary'!$D$14="Yes",IF(COUNTBLANK('Capacity summary'!$H127:$BG127)&lt;52,IF('Capacity summary'!AE127&lt;&gt;"",IF(LOWER('Capacity summary'!AE127)="x",$BI8*AE8,VALUE('Capacity summary'!AE127)),0),AE8*$BI8),AE8*$BI8),0)</f>
        <v>0</v>
      </c>
      <c r="CI8" s="311">
        <f>IF($BI8&lt;&gt;"",IF('Capacity summary'!$D$14="Yes",IF(COUNTBLANK('Capacity summary'!$H127:$BG127)&lt;52,IF('Capacity summary'!AF127&lt;&gt;"",IF(LOWER('Capacity summary'!AF127)="x",$BI8*AF8,VALUE('Capacity summary'!AF127)),0),AF8*$BI8),AF8*$BI8),0)</f>
        <v>0</v>
      </c>
      <c r="CJ8" s="311">
        <f>IF($BI8&lt;&gt;"",IF('Capacity summary'!$D$14="Yes",IF(COUNTBLANK('Capacity summary'!$H127:$BG127)&lt;52,IF('Capacity summary'!AG127&lt;&gt;"",IF(LOWER('Capacity summary'!AG127)="x",$BI8*AG8,VALUE('Capacity summary'!AG127)),0),AG8*$BI8),AG8*$BI8),0)</f>
        <v>0</v>
      </c>
      <c r="CK8" s="311">
        <f>IF($BI8&lt;&gt;"",IF('Capacity summary'!$D$14="Yes",IF(COUNTBLANK('Capacity summary'!$H127:$BG127)&lt;52,IF('Capacity summary'!AH127&lt;&gt;"",IF(LOWER('Capacity summary'!AH127)="x",$BI8*AH8,VALUE('Capacity summary'!AH127)),0),AH8*$BI8),AH8*$BI8),0)</f>
        <v>0</v>
      </c>
      <c r="CL8" s="311">
        <f>IF($BI8&lt;&gt;"",IF('Capacity summary'!$D$14="Yes",IF(COUNTBLANK('Capacity summary'!$H127:$BG127)&lt;52,IF('Capacity summary'!AI127&lt;&gt;"",IF(LOWER('Capacity summary'!AI127)="x",$BI8*AI8,VALUE('Capacity summary'!AI127)),0),AI8*$BI8),AI8*$BI8),0)</f>
        <v>0</v>
      </c>
      <c r="CM8" s="311">
        <f>IF($BI8&lt;&gt;"",IF('Capacity summary'!$D$14="Yes",IF(COUNTBLANK('Capacity summary'!$H127:$BG127)&lt;52,IF('Capacity summary'!AJ127&lt;&gt;"",IF(LOWER('Capacity summary'!AJ127)="x",$BI8*AJ8,VALUE('Capacity summary'!AJ127)),0),AJ8*$BI8),AJ8*$BI8),0)</f>
        <v>0</v>
      </c>
      <c r="CN8" s="311">
        <f>IF($BI8&lt;&gt;"",IF('Capacity summary'!$D$14="Yes",IF(COUNTBLANK('Capacity summary'!$H127:$BG127)&lt;52,IF('Capacity summary'!AK127&lt;&gt;"",IF(LOWER('Capacity summary'!AK127)="x",$BI8*AK8,VALUE('Capacity summary'!AK127)),0),AK8*$BI8),AK8*$BI8),0)</f>
        <v>0</v>
      </c>
      <c r="CO8" s="311">
        <f>IF($BI8&lt;&gt;"",IF('Capacity summary'!$D$14="Yes",IF(COUNTBLANK('Capacity summary'!$H127:$BG127)&lt;52,IF('Capacity summary'!AL127&lt;&gt;"",IF(LOWER('Capacity summary'!AL127)="x",$BI8*AL8,VALUE('Capacity summary'!AL127)),0),AL8*$BI8),AL8*$BI8),0)</f>
        <v>0</v>
      </c>
      <c r="CP8" s="311">
        <f>IF($BI8&lt;&gt;"",IF('Capacity summary'!$D$14="Yes",IF(COUNTBLANK('Capacity summary'!$H127:$BG127)&lt;52,IF('Capacity summary'!AM127&lt;&gt;"",IF(LOWER('Capacity summary'!AM127)="x",$BI8*AM8,VALUE('Capacity summary'!AM127)),0),AM8*$BI8),AM8*$BI8),0)</f>
        <v>0</v>
      </c>
      <c r="CQ8" s="311">
        <f>IF($BI8&lt;&gt;"",IF('Capacity summary'!$D$14="Yes",IF(COUNTBLANK('Capacity summary'!$H127:$BG127)&lt;52,IF('Capacity summary'!AN127&lt;&gt;"",IF(LOWER('Capacity summary'!AN127)="x",$BI8*AN8,VALUE('Capacity summary'!AN127)),0),AN8*$BI8),AN8*$BI8),0)</f>
        <v>0</v>
      </c>
      <c r="CR8" s="311">
        <f>IF($BI8&lt;&gt;"",IF('Capacity summary'!$D$14="Yes",IF(COUNTBLANK('Capacity summary'!$H127:$BG127)&lt;52,IF('Capacity summary'!AO127&lt;&gt;"",IF(LOWER('Capacity summary'!AO127)="x",$BI8*AO8,VALUE('Capacity summary'!AO127)),0),AO8*$BI8),AO8*$BI8),0)</f>
        <v>0</v>
      </c>
      <c r="CS8" s="311">
        <f>IF($BI8&lt;&gt;"",IF('Capacity summary'!$D$14="Yes",IF(COUNTBLANK('Capacity summary'!$H127:$BG127)&lt;52,IF('Capacity summary'!AP127&lt;&gt;"",IF(LOWER('Capacity summary'!AP127)="x",$BI8*AP8,VALUE('Capacity summary'!AP127)),0),AP8*$BI8),AP8*$BI8),0)</f>
        <v>0</v>
      </c>
      <c r="CT8" s="311">
        <f>IF($BI8&lt;&gt;"",IF('Capacity summary'!$D$14="Yes",IF(COUNTBLANK('Capacity summary'!$H127:$BG127)&lt;52,IF('Capacity summary'!AQ127&lt;&gt;"",IF(LOWER('Capacity summary'!AQ127)="x",$BI8*AQ8,VALUE('Capacity summary'!AQ127)),0),AQ8*$BI8),AQ8*$BI8),0)</f>
        <v>0</v>
      </c>
      <c r="CU8" s="311">
        <f>IF($BI8&lt;&gt;"",IF('Capacity summary'!$D$14="Yes",IF(COUNTBLANK('Capacity summary'!$H127:$BG127)&lt;52,IF('Capacity summary'!AR127&lt;&gt;"",IF(LOWER('Capacity summary'!AR127)="x",$BI8*AR8,VALUE('Capacity summary'!AR127)),0),AR8*$BI8),AR8*$BI8),0)</f>
        <v>0</v>
      </c>
      <c r="CV8" s="311">
        <f>IF($BI8&lt;&gt;"",IF('Capacity summary'!$D$14="Yes",IF(COUNTBLANK('Capacity summary'!$H127:$BG127)&lt;52,IF('Capacity summary'!AS127&lt;&gt;"",IF(LOWER('Capacity summary'!AS127)="x",$BI8*AS8,VALUE('Capacity summary'!AS127)),0),AS8*$BI8),AS8*$BI8),0)</f>
        <v>0</v>
      </c>
      <c r="CW8" s="311">
        <f>IF($BI8&lt;&gt;"",IF('Capacity summary'!$D$14="Yes",IF(COUNTBLANK('Capacity summary'!$H127:$BG127)&lt;52,IF('Capacity summary'!AT127&lt;&gt;"",IF(LOWER('Capacity summary'!AT127)="x",$BI8*AT8,VALUE('Capacity summary'!AT127)),0),AT8*$BI8),AT8*$BI8),0)</f>
        <v>0</v>
      </c>
      <c r="CX8" s="311">
        <f>IF($BI8&lt;&gt;"",IF('Capacity summary'!$D$14="Yes",IF(COUNTBLANK('Capacity summary'!$H127:$BG127)&lt;52,IF('Capacity summary'!AU127&lt;&gt;"",IF(LOWER('Capacity summary'!AU127)="x",$BI8*AU8,VALUE('Capacity summary'!AU127)),0),AU8*$BI8),AU8*$BI8),0)</f>
        <v>0</v>
      </c>
      <c r="CY8" s="311">
        <f>IF($BI8&lt;&gt;"",IF('Capacity summary'!$D$14="Yes",IF(COUNTBLANK('Capacity summary'!$H127:$BG127)&lt;52,IF('Capacity summary'!AV127&lt;&gt;"",IF(LOWER('Capacity summary'!AV127)="x",$BI8*AV8,VALUE('Capacity summary'!AV127)),0),AV8*$BI8),AV8*$BI8),0)</f>
        <v>0</v>
      </c>
      <c r="CZ8" s="311">
        <f>IF($BI8&lt;&gt;"",IF('Capacity summary'!$D$14="Yes",IF(COUNTBLANK('Capacity summary'!$H127:$BG127)&lt;52,IF('Capacity summary'!AW127&lt;&gt;"",IF(LOWER('Capacity summary'!AW127)="x",$BI8*AW8,VALUE('Capacity summary'!AW127)),0),AW8*$BI8),AW8*$BI8),0)</f>
        <v>0</v>
      </c>
      <c r="DA8" s="311">
        <f>IF($BI8&lt;&gt;"",IF('Capacity summary'!$D$14="Yes",IF(COUNTBLANK('Capacity summary'!$H127:$BG127)&lt;52,IF('Capacity summary'!AX127&lt;&gt;"",IF(LOWER('Capacity summary'!AX127)="x",$BI8*AX8,VALUE('Capacity summary'!AX127)),0),AX8*$BI8),AX8*$BI8),0)</f>
        <v>0</v>
      </c>
      <c r="DB8" s="311">
        <f>IF($BI8&lt;&gt;"",IF('Capacity summary'!$D$14="Yes",IF(COUNTBLANK('Capacity summary'!$H127:$BG127)&lt;52,IF('Capacity summary'!AY127&lt;&gt;"",IF(LOWER('Capacity summary'!AY127)="x",$BI8*AY8,VALUE('Capacity summary'!AY127)),0),AY8*$BI8),AY8*$BI8),0)</f>
        <v>0</v>
      </c>
      <c r="DC8" s="311">
        <f>IF($BI8&lt;&gt;"",IF('Capacity summary'!$D$14="Yes",IF(COUNTBLANK('Capacity summary'!$H127:$BG127)&lt;52,IF('Capacity summary'!AZ127&lt;&gt;"",IF(LOWER('Capacity summary'!AZ127)="x",$BI8*AZ8,VALUE('Capacity summary'!AZ127)),0),AZ8*$BI8),AZ8*$BI8),0)</f>
        <v>0</v>
      </c>
      <c r="DD8" s="311">
        <f>IF($BI8&lt;&gt;"",IF('Capacity summary'!$D$14="Yes",IF(COUNTBLANK('Capacity summary'!$H127:$BG127)&lt;52,IF('Capacity summary'!BA127&lt;&gt;"",IF(LOWER('Capacity summary'!BA127)="x",$BI8*BA8,VALUE('Capacity summary'!BA127)),0),BA8*$BI8),BA8*$BI8),0)</f>
        <v>0</v>
      </c>
      <c r="DE8" s="311">
        <f>IF($BI8&lt;&gt;"",IF('Capacity summary'!$D$14="Yes",IF(COUNTBLANK('Capacity summary'!$H127:$BG127)&lt;52,IF('Capacity summary'!BB127&lt;&gt;"",IF(LOWER('Capacity summary'!BB127)="x",$BI8*BB8,VALUE('Capacity summary'!BB127)),0),BB8*$BI8),BB8*$BI8),0)</f>
        <v>0</v>
      </c>
      <c r="DF8" s="311">
        <f>IF($BI8&lt;&gt;"",IF('Capacity summary'!$D$14="Yes",IF(COUNTBLANK('Capacity summary'!$H127:$BG127)&lt;52,IF('Capacity summary'!BC127&lt;&gt;"",IF(LOWER('Capacity summary'!BC127)="x",$BI8*BC8,VALUE('Capacity summary'!BC127)),0),BC8*$BI8),BC8*$BI8),0)</f>
        <v>0</v>
      </c>
      <c r="DG8" s="311">
        <f>IF($BI8&lt;&gt;"",IF('Capacity summary'!$D$14="Yes",IF(COUNTBLANK('Capacity summary'!$H127:$BG127)&lt;52,IF('Capacity summary'!BD127&lt;&gt;"",IF(LOWER('Capacity summary'!BD127)="x",$BI8*BD8,VALUE('Capacity summary'!BD127)),0),BD8*$BI8),BD8*$BI8),0)</f>
        <v>0</v>
      </c>
      <c r="DH8" s="311">
        <f>IF($BI8&lt;&gt;"",IF('Capacity summary'!$D$14="Yes",IF(COUNTBLANK('Capacity summary'!$H127:$BG127)&lt;52,IF('Capacity summary'!BE127&lt;&gt;"",IF(LOWER('Capacity summary'!BE127)="x",$BI8*BE8,VALUE('Capacity summary'!BE127)),0),BE8*$BI8),BE8*$BI8),0)</f>
        <v>0</v>
      </c>
      <c r="DI8" s="311">
        <f>IF($BI8&lt;&gt;"",IF('Capacity summary'!$D$14="Yes",IF(COUNTBLANK('Capacity summary'!$H127:$BG127)&lt;52,IF('Capacity summary'!BF127&lt;&gt;"",IF(LOWER('Capacity summary'!BF127)="x",$BI8*BF8,VALUE('Capacity summary'!BF127)),0),BF8*$BI8),BF8*$BI8),0)</f>
        <v>0</v>
      </c>
      <c r="DJ8" s="311">
        <f>IF($BI8&lt;&gt;"",IF('Capacity summary'!$D$14="Yes",IF(COUNTBLANK('Capacity summary'!$H127:$BG127)&lt;52,IF('Capacity summary'!BG127&lt;&gt;"",IF(LOWER('Capacity summary'!BG127)="x",$BI8*BG8,VALUE('Capacity summary'!BG127)),0),BG8*$BI8),BG8*$BI8),0)</f>
        <v>0</v>
      </c>
      <c r="DK8" s="391">
        <f t="shared" si="2"/>
        <v>0</v>
      </c>
      <c r="DL8" s="136">
        <f t="shared" si="3"/>
        <v>0</v>
      </c>
      <c r="DM8" s="311" t="str">
        <f>Capacity!H20</f>
        <v/>
      </c>
      <c r="DQ8" s="5"/>
    </row>
    <row r="9" spans="1:121" x14ac:dyDescent="0.2">
      <c r="A9" s="67">
        <f>IF(Capacity!L21='Capacity summary'!BI128,1,0)</f>
        <v>1</v>
      </c>
      <c r="B9" s="67">
        <f>IF(Capacity!V21='Capacity summary'!BI28,1,0)</f>
        <v>1</v>
      </c>
      <c r="C9" s="67" t="str">
        <f>ROW(A5)&amp;". "&amp;Capacity!B21</f>
        <v xml:space="preserve">5. </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IF(ROW(C5)&lt;=Capacity!$A$16,IF('Capacity summary'!$D$14="No",SUM(H9:BG9),'Capacity summary'!$E128),0)</f>
        <v>0</v>
      </c>
      <c r="BI9" s="5" t="str">
        <f>IF(BH9&gt;0,IF(BH9&lt;Capacity!E21,Capacity!F21,Capacity!H21/'Capacity calculation (hide)'!BH9),"")</f>
        <v/>
      </c>
      <c r="BK9" s="311">
        <f>IF($BI9&lt;&gt;"",IF('Capacity summary'!$D$14="Yes",IF(COUNTBLANK('Capacity summary'!$H128:$BG128)&lt;52,IF('Capacity summary'!H128&lt;&gt;"",IF(LOWER('Capacity summary'!H128)="x",$BI9*H9,VALUE('Capacity summary'!H128)),0),H9*$BI9),H9*$BI9),0)</f>
        <v>0</v>
      </c>
      <c r="BL9" s="311">
        <f>IF($BI9&lt;&gt;"",IF('Capacity summary'!$D$14="Yes",IF(COUNTBLANK('Capacity summary'!$H128:$BG128)&lt;52,IF('Capacity summary'!I128&lt;&gt;"",IF(LOWER('Capacity summary'!I128)="x",$BI9*I9,VALUE('Capacity summary'!I128)),0),I9*$BI9),I9*$BI9),0)</f>
        <v>0</v>
      </c>
      <c r="BM9" s="311">
        <f>IF($BI9&lt;&gt;"",IF('Capacity summary'!$D$14="Yes",IF(COUNTBLANK('Capacity summary'!$H128:$BG128)&lt;52,IF('Capacity summary'!J128&lt;&gt;"",IF(LOWER('Capacity summary'!J128)="x",$BI9*J9,VALUE('Capacity summary'!J128)),0),J9*$BI9),J9*$BI9),0)</f>
        <v>0</v>
      </c>
      <c r="BN9" s="311">
        <f>IF($BI9&lt;&gt;"",IF('Capacity summary'!$D$14="Yes",IF(COUNTBLANK('Capacity summary'!$H128:$BG128)&lt;52,IF('Capacity summary'!K128&lt;&gt;"",IF(LOWER('Capacity summary'!K128)="x",$BI9*K9,VALUE('Capacity summary'!K128)),0),K9*$BI9),K9*$BI9),0)</f>
        <v>0</v>
      </c>
      <c r="BO9" s="311">
        <f>IF($BI9&lt;&gt;"",IF('Capacity summary'!$D$14="Yes",IF(COUNTBLANK('Capacity summary'!$H128:$BG128)&lt;52,IF('Capacity summary'!L128&lt;&gt;"",IF(LOWER('Capacity summary'!L128)="x",$BI9*L9,VALUE('Capacity summary'!L128)),0),L9*$BI9),L9*$BI9),0)</f>
        <v>0</v>
      </c>
      <c r="BP9" s="311">
        <f>IF($BI9&lt;&gt;"",IF('Capacity summary'!$D$14="Yes",IF(COUNTBLANK('Capacity summary'!$H128:$BG128)&lt;52,IF('Capacity summary'!M128&lt;&gt;"",IF(LOWER('Capacity summary'!M128)="x",$BI9*M9,VALUE('Capacity summary'!M128)),0),M9*$BI9),M9*$BI9),0)</f>
        <v>0</v>
      </c>
      <c r="BQ9" s="311">
        <f>IF($BI9&lt;&gt;"",IF('Capacity summary'!$D$14="Yes",IF(COUNTBLANK('Capacity summary'!$H128:$BG128)&lt;52,IF('Capacity summary'!N128&lt;&gt;"",IF(LOWER('Capacity summary'!N128)="x",$BI9*N9,VALUE('Capacity summary'!N128)),0),N9*$BI9),N9*$BI9),0)</f>
        <v>0</v>
      </c>
      <c r="BR9" s="311">
        <f>IF($BI9&lt;&gt;"",IF('Capacity summary'!$D$14="Yes",IF(COUNTBLANK('Capacity summary'!$H128:$BG128)&lt;52,IF('Capacity summary'!O128&lt;&gt;"",IF(LOWER('Capacity summary'!O128)="x",$BI9*O9,VALUE('Capacity summary'!O128)),0),O9*$BI9),O9*$BI9),0)</f>
        <v>0</v>
      </c>
      <c r="BS9" s="311">
        <f>IF($BI9&lt;&gt;"",IF('Capacity summary'!$D$14="Yes",IF(COUNTBLANK('Capacity summary'!$H128:$BG128)&lt;52,IF('Capacity summary'!P128&lt;&gt;"",IF(LOWER('Capacity summary'!P128)="x",$BI9*P9,VALUE('Capacity summary'!P128)),0),P9*$BI9),P9*$BI9),0)</f>
        <v>0</v>
      </c>
      <c r="BT9" s="311">
        <f>IF($BI9&lt;&gt;"",IF('Capacity summary'!$D$14="Yes",IF(COUNTBLANK('Capacity summary'!$H128:$BG128)&lt;52,IF('Capacity summary'!Q128&lt;&gt;"",IF(LOWER('Capacity summary'!Q128)="x",$BI9*Q9,VALUE('Capacity summary'!Q128)),0),Q9*$BI9),Q9*$BI9),0)</f>
        <v>0</v>
      </c>
      <c r="BU9" s="311">
        <f>IF($BI9&lt;&gt;"",IF('Capacity summary'!$D$14="Yes",IF(COUNTBLANK('Capacity summary'!$H128:$BG128)&lt;52,IF('Capacity summary'!R128&lt;&gt;"",IF(LOWER('Capacity summary'!R128)="x",$BI9*R9,VALUE('Capacity summary'!R128)),0),R9*$BI9),R9*$BI9),0)</f>
        <v>0</v>
      </c>
      <c r="BV9" s="311">
        <f>IF($BI9&lt;&gt;"",IF('Capacity summary'!$D$14="Yes",IF(COUNTBLANK('Capacity summary'!$H128:$BG128)&lt;52,IF('Capacity summary'!S128&lt;&gt;"",IF(LOWER('Capacity summary'!S128)="x",$BI9*S9,VALUE('Capacity summary'!S128)),0),S9*$BI9),S9*$BI9),0)</f>
        <v>0</v>
      </c>
      <c r="BW9" s="311">
        <f>IF($BI9&lt;&gt;"",IF('Capacity summary'!$D$14="Yes",IF(COUNTBLANK('Capacity summary'!$H128:$BG128)&lt;52,IF('Capacity summary'!T128&lt;&gt;"",IF(LOWER('Capacity summary'!T128)="x",$BI9*T9,VALUE('Capacity summary'!T128)),0),T9*$BI9),T9*$BI9),0)</f>
        <v>0</v>
      </c>
      <c r="BX9" s="311">
        <f>IF($BI9&lt;&gt;"",IF('Capacity summary'!$D$14="Yes",IF(COUNTBLANK('Capacity summary'!$H128:$BG128)&lt;52,IF('Capacity summary'!U128&lt;&gt;"",IF(LOWER('Capacity summary'!U128)="x",$BI9*U9,VALUE('Capacity summary'!U128)),0),U9*$BI9),U9*$BI9),0)</f>
        <v>0</v>
      </c>
      <c r="BY9" s="311">
        <f>IF($BI9&lt;&gt;"",IF('Capacity summary'!$D$14="Yes",IF(COUNTBLANK('Capacity summary'!$H128:$BG128)&lt;52,IF('Capacity summary'!V128&lt;&gt;"",IF(LOWER('Capacity summary'!V128)="x",$BI9*V9,VALUE('Capacity summary'!V128)),0),V9*$BI9),V9*$BI9),0)</f>
        <v>0</v>
      </c>
      <c r="BZ9" s="311">
        <f>IF($BI9&lt;&gt;"",IF('Capacity summary'!$D$14="Yes",IF(COUNTBLANK('Capacity summary'!$H128:$BG128)&lt;52,IF('Capacity summary'!W128&lt;&gt;"",IF(LOWER('Capacity summary'!W128)="x",$BI9*W9,VALUE('Capacity summary'!W128)),0),W9*$BI9),W9*$BI9),0)</f>
        <v>0</v>
      </c>
      <c r="CA9" s="311">
        <f>IF($BI9&lt;&gt;"",IF('Capacity summary'!$D$14="Yes",IF(COUNTBLANK('Capacity summary'!$H128:$BG128)&lt;52,IF('Capacity summary'!X128&lt;&gt;"",IF(LOWER('Capacity summary'!X128)="x",$BI9*X9,VALUE('Capacity summary'!X128)),0),X9*$BI9),X9*$BI9),0)</f>
        <v>0</v>
      </c>
      <c r="CB9" s="311">
        <f>IF($BI9&lt;&gt;"",IF('Capacity summary'!$D$14="Yes",IF(COUNTBLANK('Capacity summary'!$H128:$BG128)&lt;52,IF('Capacity summary'!Y128&lt;&gt;"",IF(LOWER('Capacity summary'!Y128)="x",$BI9*Y9,VALUE('Capacity summary'!Y128)),0),Y9*$BI9),Y9*$BI9),0)</f>
        <v>0</v>
      </c>
      <c r="CC9" s="311">
        <f>IF($BI9&lt;&gt;"",IF('Capacity summary'!$D$14="Yes",IF(COUNTBLANK('Capacity summary'!$H128:$BG128)&lt;52,IF('Capacity summary'!Z128&lt;&gt;"",IF(LOWER('Capacity summary'!Z128)="x",$BI9*Z9,VALUE('Capacity summary'!Z128)),0),Z9*$BI9),Z9*$BI9),0)</f>
        <v>0</v>
      </c>
      <c r="CD9" s="311">
        <f>IF($BI9&lt;&gt;"",IF('Capacity summary'!$D$14="Yes",IF(COUNTBLANK('Capacity summary'!$H128:$BG128)&lt;52,IF('Capacity summary'!AA128&lt;&gt;"",IF(LOWER('Capacity summary'!AA128)="x",$BI9*AA9,VALUE('Capacity summary'!AA128)),0),AA9*$BI9),AA9*$BI9),0)</f>
        <v>0</v>
      </c>
      <c r="CE9" s="311">
        <f>IF($BI9&lt;&gt;"",IF('Capacity summary'!$D$14="Yes",IF(COUNTBLANK('Capacity summary'!$H128:$BG128)&lt;52,IF('Capacity summary'!AB128&lt;&gt;"",IF(LOWER('Capacity summary'!AB128)="x",$BI9*AB9,VALUE('Capacity summary'!AB128)),0),AB9*$BI9),AB9*$BI9),0)</f>
        <v>0</v>
      </c>
      <c r="CF9" s="311">
        <f>IF($BI9&lt;&gt;"",IF('Capacity summary'!$D$14="Yes",IF(COUNTBLANK('Capacity summary'!$H128:$BG128)&lt;52,IF('Capacity summary'!AC128&lt;&gt;"",IF(LOWER('Capacity summary'!AC128)="x",$BI9*AC9,VALUE('Capacity summary'!AC128)),0),AC9*$BI9),AC9*$BI9),0)</f>
        <v>0</v>
      </c>
      <c r="CG9" s="311">
        <f>IF($BI9&lt;&gt;"",IF('Capacity summary'!$D$14="Yes",IF(COUNTBLANK('Capacity summary'!$H128:$BG128)&lt;52,IF('Capacity summary'!AD128&lt;&gt;"",IF(LOWER('Capacity summary'!AD128)="x",$BI9*AD9,VALUE('Capacity summary'!AD128)),0),AD9*$BI9),AD9*$BI9),0)</f>
        <v>0</v>
      </c>
      <c r="CH9" s="311">
        <f>IF($BI9&lt;&gt;"",IF('Capacity summary'!$D$14="Yes",IF(COUNTBLANK('Capacity summary'!$H128:$BG128)&lt;52,IF('Capacity summary'!AE128&lt;&gt;"",IF(LOWER('Capacity summary'!AE128)="x",$BI9*AE9,VALUE('Capacity summary'!AE128)),0),AE9*$BI9),AE9*$BI9),0)</f>
        <v>0</v>
      </c>
      <c r="CI9" s="311">
        <f>IF($BI9&lt;&gt;"",IF('Capacity summary'!$D$14="Yes",IF(COUNTBLANK('Capacity summary'!$H128:$BG128)&lt;52,IF('Capacity summary'!AF128&lt;&gt;"",IF(LOWER('Capacity summary'!AF128)="x",$BI9*AF9,VALUE('Capacity summary'!AF128)),0),AF9*$BI9),AF9*$BI9),0)</f>
        <v>0</v>
      </c>
      <c r="CJ9" s="311">
        <f>IF($BI9&lt;&gt;"",IF('Capacity summary'!$D$14="Yes",IF(COUNTBLANK('Capacity summary'!$H128:$BG128)&lt;52,IF('Capacity summary'!AG128&lt;&gt;"",IF(LOWER('Capacity summary'!AG128)="x",$BI9*AG9,VALUE('Capacity summary'!AG128)),0),AG9*$BI9),AG9*$BI9),0)</f>
        <v>0</v>
      </c>
      <c r="CK9" s="311">
        <f>IF($BI9&lt;&gt;"",IF('Capacity summary'!$D$14="Yes",IF(COUNTBLANK('Capacity summary'!$H128:$BG128)&lt;52,IF('Capacity summary'!AH128&lt;&gt;"",IF(LOWER('Capacity summary'!AH128)="x",$BI9*AH9,VALUE('Capacity summary'!AH128)),0),AH9*$BI9),AH9*$BI9),0)</f>
        <v>0</v>
      </c>
      <c r="CL9" s="311">
        <f>IF($BI9&lt;&gt;"",IF('Capacity summary'!$D$14="Yes",IF(COUNTBLANK('Capacity summary'!$H128:$BG128)&lt;52,IF('Capacity summary'!AI128&lt;&gt;"",IF(LOWER('Capacity summary'!AI128)="x",$BI9*AI9,VALUE('Capacity summary'!AI128)),0),AI9*$BI9),AI9*$BI9),0)</f>
        <v>0</v>
      </c>
      <c r="CM9" s="311">
        <f>IF($BI9&lt;&gt;"",IF('Capacity summary'!$D$14="Yes",IF(COUNTBLANK('Capacity summary'!$H128:$BG128)&lt;52,IF('Capacity summary'!AJ128&lt;&gt;"",IF(LOWER('Capacity summary'!AJ128)="x",$BI9*AJ9,VALUE('Capacity summary'!AJ128)),0),AJ9*$BI9),AJ9*$BI9),0)</f>
        <v>0</v>
      </c>
      <c r="CN9" s="311">
        <f>IF($BI9&lt;&gt;"",IF('Capacity summary'!$D$14="Yes",IF(COUNTBLANK('Capacity summary'!$H128:$BG128)&lt;52,IF('Capacity summary'!AK128&lt;&gt;"",IF(LOWER('Capacity summary'!AK128)="x",$BI9*AK9,VALUE('Capacity summary'!AK128)),0),AK9*$BI9),AK9*$BI9),0)</f>
        <v>0</v>
      </c>
      <c r="CO9" s="311">
        <f>IF($BI9&lt;&gt;"",IF('Capacity summary'!$D$14="Yes",IF(COUNTBLANK('Capacity summary'!$H128:$BG128)&lt;52,IF('Capacity summary'!AL128&lt;&gt;"",IF(LOWER('Capacity summary'!AL128)="x",$BI9*AL9,VALUE('Capacity summary'!AL128)),0),AL9*$BI9),AL9*$BI9),0)</f>
        <v>0</v>
      </c>
      <c r="CP9" s="311">
        <f>IF($BI9&lt;&gt;"",IF('Capacity summary'!$D$14="Yes",IF(COUNTBLANK('Capacity summary'!$H128:$BG128)&lt;52,IF('Capacity summary'!AM128&lt;&gt;"",IF(LOWER('Capacity summary'!AM128)="x",$BI9*AM9,VALUE('Capacity summary'!AM128)),0),AM9*$BI9),AM9*$BI9),0)</f>
        <v>0</v>
      </c>
      <c r="CQ9" s="311">
        <f>IF($BI9&lt;&gt;"",IF('Capacity summary'!$D$14="Yes",IF(COUNTBLANK('Capacity summary'!$H128:$BG128)&lt;52,IF('Capacity summary'!AN128&lt;&gt;"",IF(LOWER('Capacity summary'!AN128)="x",$BI9*AN9,VALUE('Capacity summary'!AN128)),0),AN9*$BI9),AN9*$BI9),0)</f>
        <v>0</v>
      </c>
      <c r="CR9" s="311">
        <f>IF($BI9&lt;&gt;"",IF('Capacity summary'!$D$14="Yes",IF(COUNTBLANK('Capacity summary'!$H128:$BG128)&lt;52,IF('Capacity summary'!AO128&lt;&gt;"",IF(LOWER('Capacity summary'!AO128)="x",$BI9*AO9,VALUE('Capacity summary'!AO128)),0),AO9*$BI9),AO9*$BI9),0)</f>
        <v>0</v>
      </c>
      <c r="CS9" s="311">
        <f>IF($BI9&lt;&gt;"",IF('Capacity summary'!$D$14="Yes",IF(COUNTBLANK('Capacity summary'!$H128:$BG128)&lt;52,IF('Capacity summary'!AP128&lt;&gt;"",IF(LOWER('Capacity summary'!AP128)="x",$BI9*AP9,VALUE('Capacity summary'!AP128)),0),AP9*$BI9),AP9*$BI9),0)</f>
        <v>0</v>
      </c>
      <c r="CT9" s="311">
        <f>IF($BI9&lt;&gt;"",IF('Capacity summary'!$D$14="Yes",IF(COUNTBLANK('Capacity summary'!$H128:$BG128)&lt;52,IF('Capacity summary'!AQ128&lt;&gt;"",IF(LOWER('Capacity summary'!AQ128)="x",$BI9*AQ9,VALUE('Capacity summary'!AQ128)),0),AQ9*$BI9),AQ9*$BI9),0)</f>
        <v>0</v>
      </c>
      <c r="CU9" s="311">
        <f>IF($BI9&lt;&gt;"",IF('Capacity summary'!$D$14="Yes",IF(COUNTBLANK('Capacity summary'!$H128:$BG128)&lt;52,IF('Capacity summary'!AR128&lt;&gt;"",IF(LOWER('Capacity summary'!AR128)="x",$BI9*AR9,VALUE('Capacity summary'!AR128)),0),AR9*$BI9),AR9*$BI9),0)</f>
        <v>0</v>
      </c>
      <c r="CV9" s="311">
        <f>IF($BI9&lt;&gt;"",IF('Capacity summary'!$D$14="Yes",IF(COUNTBLANK('Capacity summary'!$H128:$BG128)&lt;52,IF('Capacity summary'!AS128&lt;&gt;"",IF(LOWER('Capacity summary'!AS128)="x",$BI9*AS9,VALUE('Capacity summary'!AS128)),0),AS9*$BI9),AS9*$BI9),0)</f>
        <v>0</v>
      </c>
      <c r="CW9" s="311">
        <f>IF($BI9&lt;&gt;"",IF('Capacity summary'!$D$14="Yes",IF(COUNTBLANK('Capacity summary'!$H128:$BG128)&lt;52,IF('Capacity summary'!AT128&lt;&gt;"",IF(LOWER('Capacity summary'!AT128)="x",$BI9*AT9,VALUE('Capacity summary'!AT128)),0),AT9*$BI9),AT9*$BI9),0)</f>
        <v>0</v>
      </c>
      <c r="CX9" s="311">
        <f>IF($BI9&lt;&gt;"",IF('Capacity summary'!$D$14="Yes",IF(COUNTBLANK('Capacity summary'!$H128:$BG128)&lt;52,IF('Capacity summary'!AU128&lt;&gt;"",IF(LOWER('Capacity summary'!AU128)="x",$BI9*AU9,VALUE('Capacity summary'!AU128)),0),AU9*$BI9),AU9*$BI9),0)</f>
        <v>0</v>
      </c>
      <c r="CY9" s="311">
        <f>IF($BI9&lt;&gt;"",IF('Capacity summary'!$D$14="Yes",IF(COUNTBLANK('Capacity summary'!$H128:$BG128)&lt;52,IF('Capacity summary'!AV128&lt;&gt;"",IF(LOWER('Capacity summary'!AV128)="x",$BI9*AV9,VALUE('Capacity summary'!AV128)),0),AV9*$BI9),AV9*$BI9),0)</f>
        <v>0</v>
      </c>
      <c r="CZ9" s="311">
        <f>IF($BI9&lt;&gt;"",IF('Capacity summary'!$D$14="Yes",IF(COUNTBLANK('Capacity summary'!$H128:$BG128)&lt;52,IF('Capacity summary'!AW128&lt;&gt;"",IF(LOWER('Capacity summary'!AW128)="x",$BI9*AW9,VALUE('Capacity summary'!AW128)),0),AW9*$BI9),AW9*$BI9),0)</f>
        <v>0</v>
      </c>
      <c r="DA9" s="311">
        <f>IF($BI9&lt;&gt;"",IF('Capacity summary'!$D$14="Yes",IF(COUNTBLANK('Capacity summary'!$H128:$BG128)&lt;52,IF('Capacity summary'!AX128&lt;&gt;"",IF(LOWER('Capacity summary'!AX128)="x",$BI9*AX9,VALUE('Capacity summary'!AX128)),0),AX9*$BI9),AX9*$BI9),0)</f>
        <v>0</v>
      </c>
      <c r="DB9" s="311">
        <f>IF($BI9&lt;&gt;"",IF('Capacity summary'!$D$14="Yes",IF(COUNTBLANK('Capacity summary'!$H128:$BG128)&lt;52,IF('Capacity summary'!AY128&lt;&gt;"",IF(LOWER('Capacity summary'!AY128)="x",$BI9*AY9,VALUE('Capacity summary'!AY128)),0),AY9*$BI9),AY9*$BI9),0)</f>
        <v>0</v>
      </c>
      <c r="DC9" s="311">
        <f>IF($BI9&lt;&gt;"",IF('Capacity summary'!$D$14="Yes",IF(COUNTBLANK('Capacity summary'!$H128:$BG128)&lt;52,IF('Capacity summary'!AZ128&lt;&gt;"",IF(LOWER('Capacity summary'!AZ128)="x",$BI9*AZ9,VALUE('Capacity summary'!AZ128)),0),AZ9*$BI9),AZ9*$BI9),0)</f>
        <v>0</v>
      </c>
      <c r="DD9" s="311">
        <f>IF($BI9&lt;&gt;"",IF('Capacity summary'!$D$14="Yes",IF(COUNTBLANK('Capacity summary'!$H128:$BG128)&lt;52,IF('Capacity summary'!BA128&lt;&gt;"",IF(LOWER('Capacity summary'!BA128)="x",$BI9*BA9,VALUE('Capacity summary'!BA128)),0),BA9*$BI9),BA9*$BI9),0)</f>
        <v>0</v>
      </c>
      <c r="DE9" s="311">
        <f>IF($BI9&lt;&gt;"",IF('Capacity summary'!$D$14="Yes",IF(COUNTBLANK('Capacity summary'!$H128:$BG128)&lt;52,IF('Capacity summary'!BB128&lt;&gt;"",IF(LOWER('Capacity summary'!BB128)="x",$BI9*BB9,VALUE('Capacity summary'!BB128)),0),BB9*$BI9),BB9*$BI9),0)</f>
        <v>0</v>
      </c>
      <c r="DF9" s="311">
        <f>IF($BI9&lt;&gt;"",IF('Capacity summary'!$D$14="Yes",IF(COUNTBLANK('Capacity summary'!$H128:$BG128)&lt;52,IF('Capacity summary'!BC128&lt;&gt;"",IF(LOWER('Capacity summary'!BC128)="x",$BI9*BC9,VALUE('Capacity summary'!BC128)),0),BC9*$BI9),BC9*$BI9),0)</f>
        <v>0</v>
      </c>
      <c r="DG9" s="311">
        <f>IF($BI9&lt;&gt;"",IF('Capacity summary'!$D$14="Yes",IF(COUNTBLANK('Capacity summary'!$H128:$BG128)&lt;52,IF('Capacity summary'!BD128&lt;&gt;"",IF(LOWER('Capacity summary'!BD128)="x",$BI9*BD9,VALUE('Capacity summary'!BD128)),0),BD9*$BI9),BD9*$BI9),0)</f>
        <v>0</v>
      </c>
      <c r="DH9" s="311">
        <f>IF($BI9&lt;&gt;"",IF('Capacity summary'!$D$14="Yes",IF(COUNTBLANK('Capacity summary'!$H128:$BG128)&lt;52,IF('Capacity summary'!BE128&lt;&gt;"",IF(LOWER('Capacity summary'!BE128)="x",$BI9*BE9,VALUE('Capacity summary'!BE128)),0),BE9*$BI9),BE9*$BI9),0)</f>
        <v>0</v>
      </c>
      <c r="DI9" s="311">
        <f>IF($BI9&lt;&gt;"",IF('Capacity summary'!$D$14="Yes",IF(COUNTBLANK('Capacity summary'!$H128:$BG128)&lt;52,IF('Capacity summary'!BF128&lt;&gt;"",IF(LOWER('Capacity summary'!BF128)="x",$BI9*BF9,VALUE('Capacity summary'!BF128)),0),BF9*$BI9),BF9*$BI9),0)</f>
        <v>0</v>
      </c>
      <c r="DJ9" s="311">
        <f>IF($BI9&lt;&gt;"",IF('Capacity summary'!$D$14="Yes",IF(COUNTBLANK('Capacity summary'!$H128:$BG128)&lt;52,IF('Capacity summary'!BG128&lt;&gt;"",IF(LOWER('Capacity summary'!BG128)="x",$BI9*BG9,VALUE('Capacity summary'!BG128)),0),BG9*$BI9),BG9*$BI9),0)</f>
        <v>0</v>
      </c>
      <c r="DK9" s="391">
        <f t="shared" si="2"/>
        <v>0</v>
      </c>
      <c r="DL9" s="136">
        <f t="shared" si="3"/>
        <v>0</v>
      </c>
      <c r="DM9" s="311" t="str">
        <f>Capacity!H21</f>
        <v/>
      </c>
      <c r="DQ9" s="5"/>
    </row>
    <row r="10" spans="1:121" x14ac:dyDescent="0.2">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IF(ROW(C6)&lt;=Capacity!$A$16,IF('Capacity summary'!$D$14="No",SUM(H10:BG10),'Capacity summary'!$E129),0)</f>
        <v>0</v>
      </c>
      <c r="BI10" s="5" t="str">
        <f>IF(BH10&gt;0,IF(BH10&lt;Capacity!E22,Capacity!F22,Capacity!H22/'Capacity calculation (hide)'!BH10),"")</f>
        <v/>
      </c>
      <c r="BK10" s="311">
        <f>IF($BI10&lt;&gt;"",IF('Capacity summary'!$D$14="Yes",IF(COUNTBLANK('Capacity summary'!$H129:$BG129)&lt;52,IF('Capacity summary'!H129&lt;&gt;"",IF(LOWER('Capacity summary'!H129)="x",$BI10*H10,VALUE('Capacity summary'!H129)),0),H10*$BI10),H10*$BI10),0)</f>
        <v>0</v>
      </c>
      <c r="BL10" s="311">
        <f>IF($BI10&lt;&gt;"",IF('Capacity summary'!$D$14="Yes",IF(COUNTBLANK('Capacity summary'!$H129:$BG129)&lt;52,IF('Capacity summary'!I129&lt;&gt;"",IF(LOWER('Capacity summary'!I129)="x",$BI10*I10,VALUE('Capacity summary'!I129)),0),I10*$BI10),I10*$BI10),0)</f>
        <v>0</v>
      </c>
      <c r="BM10" s="311">
        <f>IF($BI10&lt;&gt;"",IF('Capacity summary'!$D$14="Yes",IF(COUNTBLANK('Capacity summary'!$H129:$BG129)&lt;52,IF('Capacity summary'!J129&lt;&gt;"",IF(LOWER('Capacity summary'!J129)="x",$BI10*J10,VALUE('Capacity summary'!J129)),0),J10*$BI10),J10*$BI10),0)</f>
        <v>0</v>
      </c>
      <c r="BN10" s="311">
        <f>IF($BI10&lt;&gt;"",IF('Capacity summary'!$D$14="Yes",IF(COUNTBLANK('Capacity summary'!$H129:$BG129)&lt;52,IF('Capacity summary'!K129&lt;&gt;"",IF(LOWER('Capacity summary'!K129)="x",$BI10*K10,VALUE('Capacity summary'!K129)),0),K10*$BI10),K10*$BI10),0)</f>
        <v>0</v>
      </c>
      <c r="BO10" s="311">
        <f>IF($BI10&lt;&gt;"",IF('Capacity summary'!$D$14="Yes",IF(COUNTBLANK('Capacity summary'!$H129:$BG129)&lt;52,IF('Capacity summary'!L129&lt;&gt;"",IF(LOWER('Capacity summary'!L129)="x",$BI10*L10,VALUE('Capacity summary'!L129)),0),L10*$BI10),L10*$BI10),0)</f>
        <v>0</v>
      </c>
      <c r="BP10" s="311">
        <f>IF($BI10&lt;&gt;"",IF('Capacity summary'!$D$14="Yes",IF(COUNTBLANK('Capacity summary'!$H129:$BG129)&lt;52,IF('Capacity summary'!M129&lt;&gt;"",IF(LOWER('Capacity summary'!M129)="x",$BI10*M10,VALUE('Capacity summary'!M129)),0),M10*$BI10),M10*$BI10),0)</f>
        <v>0</v>
      </c>
      <c r="BQ10" s="311">
        <f>IF($BI10&lt;&gt;"",IF('Capacity summary'!$D$14="Yes",IF(COUNTBLANK('Capacity summary'!$H129:$BG129)&lt;52,IF('Capacity summary'!N129&lt;&gt;"",IF(LOWER('Capacity summary'!N129)="x",$BI10*N10,VALUE('Capacity summary'!N129)),0),N10*$BI10),N10*$BI10),0)</f>
        <v>0</v>
      </c>
      <c r="BR10" s="311">
        <f>IF($BI10&lt;&gt;"",IF('Capacity summary'!$D$14="Yes",IF(COUNTBLANK('Capacity summary'!$H129:$BG129)&lt;52,IF('Capacity summary'!O129&lt;&gt;"",IF(LOWER('Capacity summary'!O129)="x",$BI10*O10,VALUE('Capacity summary'!O129)),0),O10*$BI10),O10*$BI10),0)</f>
        <v>0</v>
      </c>
      <c r="BS10" s="311">
        <f>IF($BI10&lt;&gt;"",IF('Capacity summary'!$D$14="Yes",IF(COUNTBLANK('Capacity summary'!$H129:$BG129)&lt;52,IF('Capacity summary'!P129&lt;&gt;"",IF(LOWER('Capacity summary'!P129)="x",$BI10*P10,VALUE('Capacity summary'!P129)),0),P10*$BI10),P10*$BI10),0)</f>
        <v>0</v>
      </c>
      <c r="BT10" s="311">
        <f>IF($BI10&lt;&gt;"",IF('Capacity summary'!$D$14="Yes",IF(COUNTBLANK('Capacity summary'!$H129:$BG129)&lt;52,IF('Capacity summary'!Q129&lt;&gt;"",IF(LOWER('Capacity summary'!Q129)="x",$BI10*Q10,VALUE('Capacity summary'!Q129)),0),Q10*$BI10),Q10*$BI10),0)</f>
        <v>0</v>
      </c>
      <c r="BU10" s="311">
        <f>IF($BI10&lt;&gt;"",IF('Capacity summary'!$D$14="Yes",IF(COUNTBLANK('Capacity summary'!$H129:$BG129)&lt;52,IF('Capacity summary'!R129&lt;&gt;"",IF(LOWER('Capacity summary'!R129)="x",$BI10*R10,VALUE('Capacity summary'!R129)),0),R10*$BI10),R10*$BI10),0)</f>
        <v>0</v>
      </c>
      <c r="BV10" s="311">
        <f>IF($BI10&lt;&gt;"",IF('Capacity summary'!$D$14="Yes",IF(COUNTBLANK('Capacity summary'!$H129:$BG129)&lt;52,IF('Capacity summary'!S129&lt;&gt;"",IF(LOWER('Capacity summary'!S129)="x",$BI10*S10,VALUE('Capacity summary'!S129)),0),S10*$BI10),S10*$BI10),0)</f>
        <v>0</v>
      </c>
      <c r="BW10" s="311">
        <f>IF($BI10&lt;&gt;"",IF('Capacity summary'!$D$14="Yes",IF(COUNTBLANK('Capacity summary'!$H129:$BG129)&lt;52,IF('Capacity summary'!T129&lt;&gt;"",IF(LOWER('Capacity summary'!T129)="x",$BI10*T10,VALUE('Capacity summary'!T129)),0),T10*$BI10),T10*$BI10),0)</f>
        <v>0</v>
      </c>
      <c r="BX10" s="311">
        <f>IF($BI10&lt;&gt;"",IF('Capacity summary'!$D$14="Yes",IF(COUNTBLANK('Capacity summary'!$H129:$BG129)&lt;52,IF('Capacity summary'!U129&lt;&gt;"",IF(LOWER('Capacity summary'!U129)="x",$BI10*U10,VALUE('Capacity summary'!U129)),0),U10*$BI10),U10*$BI10),0)</f>
        <v>0</v>
      </c>
      <c r="BY10" s="311">
        <f>IF($BI10&lt;&gt;"",IF('Capacity summary'!$D$14="Yes",IF(COUNTBLANK('Capacity summary'!$H129:$BG129)&lt;52,IF('Capacity summary'!V129&lt;&gt;"",IF(LOWER('Capacity summary'!V129)="x",$BI10*V10,VALUE('Capacity summary'!V129)),0),V10*$BI10),V10*$BI10),0)</f>
        <v>0</v>
      </c>
      <c r="BZ10" s="311">
        <f>IF($BI10&lt;&gt;"",IF('Capacity summary'!$D$14="Yes",IF(COUNTBLANK('Capacity summary'!$H129:$BG129)&lt;52,IF('Capacity summary'!W129&lt;&gt;"",IF(LOWER('Capacity summary'!W129)="x",$BI10*W10,VALUE('Capacity summary'!W129)),0),W10*$BI10),W10*$BI10),0)</f>
        <v>0</v>
      </c>
      <c r="CA10" s="311">
        <f>IF($BI10&lt;&gt;"",IF('Capacity summary'!$D$14="Yes",IF(COUNTBLANK('Capacity summary'!$H129:$BG129)&lt;52,IF('Capacity summary'!X129&lt;&gt;"",IF(LOWER('Capacity summary'!X129)="x",$BI10*X10,VALUE('Capacity summary'!X129)),0),X10*$BI10),X10*$BI10),0)</f>
        <v>0</v>
      </c>
      <c r="CB10" s="311">
        <f>IF($BI10&lt;&gt;"",IF('Capacity summary'!$D$14="Yes",IF(COUNTBLANK('Capacity summary'!$H129:$BG129)&lt;52,IF('Capacity summary'!Y129&lt;&gt;"",IF(LOWER('Capacity summary'!Y129)="x",$BI10*Y10,VALUE('Capacity summary'!Y129)),0),Y10*$BI10),Y10*$BI10),0)</f>
        <v>0</v>
      </c>
      <c r="CC10" s="311">
        <f>IF($BI10&lt;&gt;"",IF('Capacity summary'!$D$14="Yes",IF(COUNTBLANK('Capacity summary'!$H129:$BG129)&lt;52,IF('Capacity summary'!Z129&lt;&gt;"",IF(LOWER('Capacity summary'!Z129)="x",$BI10*Z10,VALUE('Capacity summary'!Z129)),0),Z10*$BI10),Z10*$BI10),0)</f>
        <v>0</v>
      </c>
      <c r="CD10" s="311">
        <f>IF($BI10&lt;&gt;"",IF('Capacity summary'!$D$14="Yes",IF(COUNTBLANK('Capacity summary'!$H129:$BG129)&lt;52,IF('Capacity summary'!AA129&lt;&gt;"",IF(LOWER('Capacity summary'!AA129)="x",$BI10*AA10,VALUE('Capacity summary'!AA129)),0),AA10*$BI10),AA10*$BI10),0)</f>
        <v>0</v>
      </c>
      <c r="CE10" s="311">
        <f>IF($BI10&lt;&gt;"",IF('Capacity summary'!$D$14="Yes",IF(COUNTBLANK('Capacity summary'!$H129:$BG129)&lt;52,IF('Capacity summary'!AB129&lt;&gt;"",IF(LOWER('Capacity summary'!AB129)="x",$BI10*AB10,VALUE('Capacity summary'!AB129)),0),AB10*$BI10),AB10*$BI10),0)</f>
        <v>0</v>
      </c>
      <c r="CF10" s="311">
        <f>IF($BI10&lt;&gt;"",IF('Capacity summary'!$D$14="Yes",IF(COUNTBLANK('Capacity summary'!$H129:$BG129)&lt;52,IF('Capacity summary'!AC129&lt;&gt;"",IF(LOWER('Capacity summary'!AC129)="x",$BI10*AC10,VALUE('Capacity summary'!AC129)),0),AC10*$BI10),AC10*$BI10),0)</f>
        <v>0</v>
      </c>
      <c r="CG10" s="311">
        <f>IF($BI10&lt;&gt;"",IF('Capacity summary'!$D$14="Yes",IF(COUNTBLANK('Capacity summary'!$H129:$BG129)&lt;52,IF('Capacity summary'!AD129&lt;&gt;"",IF(LOWER('Capacity summary'!AD129)="x",$BI10*AD10,VALUE('Capacity summary'!AD129)),0),AD10*$BI10),AD10*$BI10),0)</f>
        <v>0</v>
      </c>
      <c r="CH10" s="311">
        <f>IF($BI10&lt;&gt;"",IF('Capacity summary'!$D$14="Yes",IF(COUNTBLANK('Capacity summary'!$H129:$BG129)&lt;52,IF('Capacity summary'!AE129&lt;&gt;"",IF(LOWER('Capacity summary'!AE129)="x",$BI10*AE10,VALUE('Capacity summary'!AE129)),0),AE10*$BI10),AE10*$BI10),0)</f>
        <v>0</v>
      </c>
      <c r="CI10" s="311">
        <f>IF($BI10&lt;&gt;"",IF('Capacity summary'!$D$14="Yes",IF(COUNTBLANK('Capacity summary'!$H129:$BG129)&lt;52,IF('Capacity summary'!AF129&lt;&gt;"",IF(LOWER('Capacity summary'!AF129)="x",$BI10*AF10,VALUE('Capacity summary'!AF129)),0),AF10*$BI10),AF10*$BI10),0)</f>
        <v>0</v>
      </c>
      <c r="CJ10" s="311">
        <f>IF($BI10&lt;&gt;"",IF('Capacity summary'!$D$14="Yes",IF(COUNTBLANK('Capacity summary'!$H129:$BG129)&lt;52,IF('Capacity summary'!AG129&lt;&gt;"",IF(LOWER('Capacity summary'!AG129)="x",$BI10*AG10,VALUE('Capacity summary'!AG129)),0),AG10*$BI10),AG10*$BI10),0)</f>
        <v>0</v>
      </c>
      <c r="CK10" s="311">
        <f>IF($BI10&lt;&gt;"",IF('Capacity summary'!$D$14="Yes",IF(COUNTBLANK('Capacity summary'!$H129:$BG129)&lt;52,IF('Capacity summary'!AH129&lt;&gt;"",IF(LOWER('Capacity summary'!AH129)="x",$BI10*AH10,VALUE('Capacity summary'!AH129)),0),AH10*$BI10),AH10*$BI10),0)</f>
        <v>0</v>
      </c>
      <c r="CL10" s="311">
        <f>IF($BI10&lt;&gt;"",IF('Capacity summary'!$D$14="Yes",IF(COUNTBLANK('Capacity summary'!$H129:$BG129)&lt;52,IF('Capacity summary'!AI129&lt;&gt;"",IF(LOWER('Capacity summary'!AI129)="x",$BI10*AI10,VALUE('Capacity summary'!AI129)),0),AI10*$BI10),AI10*$BI10),0)</f>
        <v>0</v>
      </c>
      <c r="CM10" s="311">
        <f>IF($BI10&lt;&gt;"",IF('Capacity summary'!$D$14="Yes",IF(COUNTBLANK('Capacity summary'!$H129:$BG129)&lt;52,IF('Capacity summary'!AJ129&lt;&gt;"",IF(LOWER('Capacity summary'!AJ129)="x",$BI10*AJ10,VALUE('Capacity summary'!AJ129)),0),AJ10*$BI10),AJ10*$BI10),0)</f>
        <v>0</v>
      </c>
      <c r="CN10" s="311">
        <f>IF($BI10&lt;&gt;"",IF('Capacity summary'!$D$14="Yes",IF(COUNTBLANK('Capacity summary'!$H129:$BG129)&lt;52,IF('Capacity summary'!AK129&lt;&gt;"",IF(LOWER('Capacity summary'!AK129)="x",$BI10*AK10,VALUE('Capacity summary'!AK129)),0),AK10*$BI10),AK10*$BI10),0)</f>
        <v>0</v>
      </c>
      <c r="CO10" s="311">
        <f>IF($BI10&lt;&gt;"",IF('Capacity summary'!$D$14="Yes",IF(COUNTBLANK('Capacity summary'!$H129:$BG129)&lt;52,IF('Capacity summary'!AL129&lt;&gt;"",IF(LOWER('Capacity summary'!AL129)="x",$BI10*AL10,VALUE('Capacity summary'!AL129)),0),AL10*$BI10),AL10*$BI10),0)</f>
        <v>0</v>
      </c>
      <c r="CP10" s="311">
        <f>IF($BI10&lt;&gt;"",IF('Capacity summary'!$D$14="Yes",IF(COUNTBLANK('Capacity summary'!$H129:$BG129)&lt;52,IF('Capacity summary'!AM129&lt;&gt;"",IF(LOWER('Capacity summary'!AM129)="x",$BI10*AM10,VALUE('Capacity summary'!AM129)),0),AM10*$BI10),AM10*$BI10),0)</f>
        <v>0</v>
      </c>
      <c r="CQ10" s="311">
        <f>IF($BI10&lt;&gt;"",IF('Capacity summary'!$D$14="Yes",IF(COUNTBLANK('Capacity summary'!$H129:$BG129)&lt;52,IF('Capacity summary'!AN129&lt;&gt;"",IF(LOWER('Capacity summary'!AN129)="x",$BI10*AN10,VALUE('Capacity summary'!AN129)),0),AN10*$BI10),AN10*$BI10),0)</f>
        <v>0</v>
      </c>
      <c r="CR10" s="311">
        <f>IF($BI10&lt;&gt;"",IF('Capacity summary'!$D$14="Yes",IF(COUNTBLANK('Capacity summary'!$H129:$BG129)&lt;52,IF('Capacity summary'!AO129&lt;&gt;"",IF(LOWER('Capacity summary'!AO129)="x",$BI10*AO10,VALUE('Capacity summary'!AO129)),0),AO10*$BI10),AO10*$BI10),0)</f>
        <v>0</v>
      </c>
      <c r="CS10" s="311">
        <f>IF($BI10&lt;&gt;"",IF('Capacity summary'!$D$14="Yes",IF(COUNTBLANK('Capacity summary'!$H129:$BG129)&lt;52,IF('Capacity summary'!AP129&lt;&gt;"",IF(LOWER('Capacity summary'!AP129)="x",$BI10*AP10,VALUE('Capacity summary'!AP129)),0),AP10*$BI10),AP10*$BI10),0)</f>
        <v>0</v>
      </c>
      <c r="CT10" s="311">
        <f>IF($BI10&lt;&gt;"",IF('Capacity summary'!$D$14="Yes",IF(COUNTBLANK('Capacity summary'!$H129:$BG129)&lt;52,IF('Capacity summary'!AQ129&lt;&gt;"",IF(LOWER('Capacity summary'!AQ129)="x",$BI10*AQ10,VALUE('Capacity summary'!AQ129)),0),AQ10*$BI10),AQ10*$BI10),0)</f>
        <v>0</v>
      </c>
      <c r="CU10" s="311">
        <f>IF($BI10&lt;&gt;"",IF('Capacity summary'!$D$14="Yes",IF(COUNTBLANK('Capacity summary'!$H129:$BG129)&lt;52,IF('Capacity summary'!AR129&lt;&gt;"",IF(LOWER('Capacity summary'!AR129)="x",$BI10*AR10,VALUE('Capacity summary'!AR129)),0),AR10*$BI10),AR10*$BI10),0)</f>
        <v>0</v>
      </c>
      <c r="CV10" s="311">
        <f>IF($BI10&lt;&gt;"",IF('Capacity summary'!$D$14="Yes",IF(COUNTBLANK('Capacity summary'!$H129:$BG129)&lt;52,IF('Capacity summary'!AS129&lt;&gt;"",IF(LOWER('Capacity summary'!AS129)="x",$BI10*AS10,VALUE('Capacity summary'!AS129)),0),AS10*$BI10),AS10*$BI10),0)</f>
        <v>0</v>
      </c>
      <c r="CW10" s="311">
        <f>IF($BI10&lt;&gt;"",IF('Capacity summary'!$D$14="Yes",IF(COUNTBLANK('Capacity summary'!$H129:$BG129)&lt;52,IF('Capacity summary'!AT129&lt;&gt;"",IF(LOWER('Capacity summary'!AT129)="x",$BI10*AT10,VALUE('Capacity summary'!AT129)),0),AT10*$BI10),AT10*$BI10),0)</f>
        <v>0</v>
      </c>
      <c r="CX10" s="311">
        <f>IF($BI10&lt;&gt;"",IF('Capacity summary'!$D$14="Yes",IF(COUNTBLANK('Capacity summary'!$H129:$BG129)&lt;52,IF('Capacity summary'!AU129&lt;&gt;"",IF(LOWER('Capacity summary'!AU129)="x",$BI10*AU10,VALUE('Capacity summary'!AU129)),0),AU10*$BI10),AU10*$BI10),0)</f>
        <v>0</v>
      </c>
      <c r="CY10" s="311">
        <f>IF($BI10&lt;&gt;"",IF('Capacity summary'!$D$14="Yes",IF(COUNTBLANK('Capacity summary'!$H129:$BG129)&lt;52,IF('Capacity summary'!AV129&lt;&gt;"",IF(LOWER('Capacity summary'!AV129)="x",$BI10*AV10,VALUE('Capacity summary'!AV129)),0),AV10*$BI10),AV10*$BI10),0)</f>
        <v>0</v>
      </c>
      <c r="CZ10" s="311">
        <f>IF($BI10&lt;&gt;"",IF('Capacity summary'!$D$14="Yes",IF(COUNTBLANK('Capacity summary'!$H129:$BG129)&lt;52,IF('Capacity summary'!AW129&lt;&gt;"",IF(LOWER('Capacity summary'!AW129)="x",$BI10*AW10,VALUE('Capacity summary'!AW129)),0),AW10*$BI10),AW10*$BI10),0)</f>
        <v>0</v>
      </c>
      <c r="DA10" s="311">
        <f>IF($BI10&lt;&gt;"",IF('Capacity summary'!$D$14="Yes",IF(COUNTBLANK('Capacity summary'!$H129:$BG129)&lt;52,IF('Capacity summary'!AX129&lt;&gt;"",IF(LOWER('Capacity summary'!AX129)="x",$BI10*AX10,VALUE('Capacity summary'!AX129)),0),AX10*$BI10),AX10*$BI10),0)</f>
        <v>0</v>
      </c>
      <c r="DB10" s="311">
        <f>IF($BI10&lt;&gt;"",IF('Capacity summary'!$D$14="Yes",IF(COUNTBLANK('Capacity summary'!$H129:$BG129)&lt;52,IF('Capacity summary'!AY129&lt;&gt;"",IF(LOWER('Capacity summary'!AY129)="x",$BI10*AY10,VALUE('Capacity summary'!AY129)),0),AY10*$BI10),AY10*$BI10),0)</f>
        <v>0</v>
      </c>
      <c r="DC10" s="311">
        <f>IF($BI10&lt;&gt;"",IF('Capacity summary'!$D$14="Yes",IF(COUNTBLANK('Capacity summary'!$H129:$BG129)&lt;52,IF('Capacity summary'!AZ129&lt;&gt;"",IF(LOWER('Capacity summary'!AZ129)="x",$BI10*AZ10,VALUE('Capacity summary'!AZ129)),0),AZ10*$BI10),AZ10*$BI10),0)</f>
        <v>0</v>
      </c>
      <c r="DD10" s="311">
        <f>IF($BI10&lt;&gt;"",IF('Capacity summary'!$D$14="Yes",IF(COUNTBLANK('Capacity summary'!$H129:$BG129)&lt;52,IF('Capacity summary'!BA129&lt;&gt;"",IF(LOWER('Capacity summary'!BA129)="x",$BI10*BA10,VALUE('Capacity summary'!BA129)),0),BA10*$BI10),BA10*$BI10),0)</f>
        <v>0</v>
      </c>
      <c r="DE10" s="311">
        <f>IF($BI10&lt;&gt;"",IF('Capacity summary'!$D$14="Yes",IF(COUNTBLANK('Capacity summary'!$H129:$BG129)&lt;52,IF('Capacity summary'!BB129&lt;&gt;"",IF(LOWER('Capacity summary'!BB129)="x",$BI10*BB10,VALUE('Capacity summary'!BB129)),0),BB10*$BI10),BB10*$BI10),0)</f>
        <v>0</v>
      </c>
      <c r="DF10" s="311">
        <f>IF($BI10&lt;&gt;"",IF('Capacity summary'!$D$14="Yes",IF(COUNTBLANK('Capacity summary'!$H129:$BG129)&lt;52,IF('Capacity summary'!BC129&lt;&gt;"",IF(LOWER('Capacity summary'!BC129)="x",$BI10*BC10,VALUE('Capacity summary'!BC129)),0),BC10*$BI10),BC10*$BI10),0)</f>
        <v>0</v>
      </c>
      <c r="DG10" s="311">
        <f>IF($BI10&lt;&gt;"",IF('Capacity summary'!$D$14="Yes",IF(COUNTBLANK('Capacity summary'!$H129:$BG129)&lt;52,IF('Capacity summary'!BD129&lt;&gt;"",IF(LOWER('Capacity summary'!BD129)="x",$BI10*BD10,VALUE('Capacity summary'!BD129)),0),BD10*$BI10),BD10*$BI10),0)</f>
        <v>0</v>
      </c>
      <c r="DH10" s="311">
        <f>IF($BI10&lt;&gt;"",IF('Capacity summary'!$D$14="Yes",IF(COUNTBLANK('Capacity summary'!$H129:$BG129)&lt;52,IF('Capacity summary'!BE129&lt;&gt;"",IF(LOWER('Capacity summary'!BE129)="x",$BI10*BE10,VALUE('Capacity summary'!BE129)),0),BE10*$BI10),BE10*$BI10),0)</f>
        <v>0</v>
      </c>
      <c r="DI10" s="311">
        <f>IF($BI10&lt;&gt;"",IF('Capacity summary'!$D$14="Yes",IF(COUNTBLANK('Capacity summary'!$H129:$BG129)&lt;52,IF('Capacity summary'!BF129&lt;&gt;"",IF(LOWER('Capacity summary'!BF129)="x",$BI10*BF10,VALUE('Capacity summary'!BF129)),0),BF10*$BI10),BF10*$BI10),0)</f>
        <v>0</v>
      </c>
      <c r="DJ10" s="311">
        <f>IF($BI10&lt;&gt;"",IF('Capacity summary'!$D$14="Yes",IF(COUNTBLANK('Capacity summary'!$H129:$BG129)&lt;52,IF('Capacity summary'!BG129&lt;&gt;"",IF(LOWER('Capacity summary'!BG129)="x",$BI10*BG10,VALUE('Capacity summary'!BG129)),0),BG10*$BI10),BG10*$BI10),0)</f>
        <v>0</v>
      </c>
      <c r="DK10" s="391">
        <f t="shared" si="2"/>
        <v>0</v>
      </c>
      <c r="DL10" s="136">
        <f t="shared" si="3"/>
        <v>0</v>
      </c>
      <c r="DM10" s="311" t="str">
        <f>Capacity!H22</f>
        <v/>
      </c>
      <c r="DQ10" s="5"/>
    </row>
    <row r="11" spans="1:121" x14ac:dyDescent="0.2">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1">
        <f>IF($BI11&lt;&gt;"",IF('Capacity summary'!$D$14="Yes",IF(COUNTBLANK('Capacity summary'!$H130:$BG130)&lt;52,IF('Capacity summary'!H130&lt;&gt;"",IF(LOWER('Capacity summary'!H130)="x",$BI11*H11,VALUE('Capacity summary'!H130)),0),H11*$BI11),H11*$BI11),0)</f>
        <v>0</v>
      </c>
      <c r="BL11" s="311">
        <f>IF($BI11&lt;&gt;"",IF('Capacity summary'!$D$14="Yes",IF(COUNTBLANK('Capacity summary'!$H130:$BG130)&lt;52,IF('Capacity summary'!I130&lt;&gt;"",IF(LOWER('Capacity summary'!I130)="x",$BI11*I11,VALUE('Capacity summary'!I130)),0),I11*$BI11),I11*$BI11),0)</f>
        <v>0</v>
      </c>
      <c r="BM11" s="311">
        <f>IF($BI11&lt;&gt;"",IF('Capacity summary'!$D$14="Yes",IF(COUNTBLANK('Capacity summary'!$H130:$BG130)&lt;52,IF('Capacity summary'!J130&lt;&gt;"",IF(LOWER('Capacity summary'!J130)="x",$BI11*J11,VALUE('Capacity summary'!J130)),0),J11*$BI11),J11*$BI11),0)</f>
        <v>0</v>
      </c>
      <c r="BN11" s="311">
        <f>IF($BI11&lt;&gt;"",IF('Capacity summary'!$D$14="Yes",IF(COUNTBLANK('Capacity summary'!$H130:$BG130)&lt;52,IF('Capacity summary'!K130&lt;&gt;"",IF(LOWER('Capacity summary'!K130)="x",$BI11*K11,VALUE('Capacity summary'!K130)),0),K11*$BI11),K11*$BI11),0)</f>
        <v>0</v>
      </c>
      <c r="BO11" s="311">
        <f>IF($BI11&lt;&gt;"",IF('Capacity summary'!$D$14="Yes",IF(COUNTBLANK('Capacity summary'!$H130:$BG130)&lt;52,IF('Capacity summary'!L130&lt;&gt;"",IF(LOWER('Capacity summary'!L130)="x",$BI11*L11,VALUE('Capacity summary'!L130)),0),L11*$BI11),L11*$BI11),0)</f>
        <v>0</v>
      </c>
      <c r="BP11" s="311">
        <f>IF($BI11&lt;&gt;"",IF('Capacity summary'!$D$14="Yes",IF(COUNTBLANK('Capacity summary'!$H130:$BG130)&lt;52,IF('Capacity summary'!M130&lt;&gt;"",IF(LOWER('Capacity summary'!M130)="x",$BI11*M11,VALUE('Capacity summary'!M130)),0),M11*$BI11),M11*$BI11),0)</f>
        <v>0</v>
      </c>
      <c r="BQ11" s="311">
        <f>IF($BI11&lt;&gt;"",IF('Capacity summary'!$D$14="Yes",IF(COUNTBLANK('Capacity summary'!$H130:$BG130)&lt;52,IF('Capacity summary'!N130&lt;&gt;"",IF(LOWER('Capacity summary'!N130)="x",$BI11*N11,VALUE('Capacity summary'!N130)),0),N11*$BI11),N11*$BI11),0)</f>
        <v>0</v>
      </c>
      <c r="BR11" s="311">
        <f>IF($BI11&lt;&gt;"",IF('Capacity summary'!$D$14="Yes",IF(COUNTBLANK('Capacity summary'!$H130:$BG130)&lt;52,IF('Capacity summary'!O130&lt;&gt;"",IF(LOWER('Capacity summary'!O130)="x",$BI11*O11,VALUE('Capacity summary'!O130)),0),O11*$BI11),O11*$BI11),0)</f>
        <v>0</v>
      </c>
      <c r="BS11" s="311">
        <f>IF($BI11&lt;&gt;"",IF('Capacity summary'!$D$14="Yes",IF(COUNTBLANK('Capacity summary'!$H130:$BG130)&lt;52,IF('Capacity summary'!P130&lt;&gt;"",IF(LOWER('Capacity summary'!P130)="x",$BI11*P11,VALUE('Capacity summary'!P130)),0),P11*$BI11),P11*$BI11),0)</f>
        <v>0</v>
      </c>
      <c r="BT11" s="311">
        <f>IF($BI11&lt;&gt;"",IF('Capacity summary'!$D$14="Yes",IF(COUNTBLANK('Capacity summary'!$H130:$BG130)&lt;52,IF('Capacity summary'!Q130&lt;&gt;"",IF(LOWER('Capacity summary'!Q130)="x",$BI11*Q11,VALUE('Capacity summary'!Q130)),0),Q11*$BI11),Q11*$BI11),0)</f>
        <v>0</v>
      </c>
      <c r="BU11" s="311">
        <f>IF($BI11&lt;&gt;"",IF('Capacity summary'!$D$14="Yes",IF(COUNTBLANK('Capacity summary'!$H130:$BG130)&lt;52,IF('Capacity summary'!R130&lt;&gt;"",IF(LOWER('Capacity summary'!R130)="x",$BI11*R11,VALUE('Capacity summary'!R130)),0),R11*$BI11),R11*$BI11),0)</f>
        <v>0</v>
      </c>
      <c r="BV11" s="311">
        <f>IF($BI11&lt;&gt;"",IF('Capacity summary'!$D$14="Yes",IF(COUNTBLANK('Capacity summary'!$H130:$BG130)&lt;52,IF('Capacity summary'!S130&lt;&gt;"",IF(LOWER('Capacity summary'!S130)="x",$BI11*S11,VALUE('Capacity summary'!S130)),0),S11*$BI11),S11*$BI11),0)</f>
        <v>0</v>
      </c>
      <c r="BW11" s="311">
        <f>IF($BI11&lt;&gt;"",IF('Capacity summary'!$D$14="Yes",IF(COUNTBLANK('Capacity summary'!$H130:$BG130)&lt;52,IF('Capacity summary'!T130&lt;&gt;"",IF(LOWER('Capacity summary'!T130)="x",$BI11*T11,VALUE('Capacity summary'!T130)),0),T11*$BI11),T11*$BI11),0)</f>
        <v>0</v>
      </c>
      <c r="BX11" s="311">
        <f>IF($BI11&lt;&gt;"",IF('Capacity summary'!$D$14="Yes",IF(COUNTBLANK('Capacity summary'!$H130:$BG130)&lt;52,IF('Capacity summary'!U130&lt;&gt;"",IF(LOWER('Capacity summary'!U130)="x",$BI11*U11,VALUE('Capacity summary'!U130)),0),U11*$BI11),U11*$BI11),0)</f>
        <v>0</v>
      </c>
      <c r="BY11" s="311">
        <f>IF($BI11&lt;&gt;"",IF('Capacity summary'!$D$14="Yes",IF(COUNTBLANK('Capacity summary'!$H130:$BG130)&lt;52,IF('Capacity summary'!V130&lt;&gt;"",IF(LOWER('Capacity summary'!V130)="x",$BI11*V11,VALUE('Capacity summary'!V130)),0),V11*$BI11),V11*$BI11),0)</f>
        <v>0</v>
      </c>
      <c r="BZ11" s="311">
        <f>IF($BI11&lt;&gt;"",IF('Capacity summary'!$D$14="Yes",IF(COUNTBLANK('Capacity summary'!$H130:$BG130)&lt;52,IF('Capacity summary'!W130&lt;&gt;"",IF(LOWER('Capacity summary'!W130)="x",$BI11*W11,VALUE('Capacity summary'!W130)),0),W11*$BI11),W11*$BI11),0)</f>
        <v>0</v>
      </c>
      <c r="CA11" s="311">
        <f>IF($BI11&lt;&gt;"",IF('Capacity summary'!$D$14="Yes",IF(COUNTBLANK('Capacity summary'!$H130:$BG130)&lt;52,IF('Capacity summary'!X130&lt;&gt;"",IF(LOWER('Capacity summary'!X130)="x",$BI11*X11,VALUE('Capacity summary'!X130)),0),X11*$BI11),X11*$BI11),0)</f>
        <v>0</v>
      </c>
      <c r="CB11" s="311">
        <f>IF($BI11&lt;&gt;"",IF('Capacity summary'!$D$14="Yes",IF(COUNTBLANK('Capacity summary'!$H130:$BG130)&lt;52,IF('Capacity summary'!Y130&lt;&gt;"",IF(LOWER('Capacity summary'!Y130)="x",$BI11*Y11,VALUE('Capacity summary'!Y130)),0),Y11*$BI11),Y11*$BI11),0)</f>
        <v>0</v>
      </c>
      <c r="CC11" s="311">
        <f>IF($BI11&lt;&gt;"",IF('Capacity summary'!$D$14="Yes",IF(COUNTBLANK('Capacity summary'!$H130:$BG130)&lt;52,IF('Capacity summary'!Z130&lt;&gt;"",IF(LOWER('Capacity summary'!Z130)="x",$BI11*Z11,VALUE('Capacity summary'!Z130)),0),Z11*$BI11),Z11*$BI11),0)</f>
        <v>0</v>
      </c>
      <c r="CD11" s="311">
        <f>IF($BI11&lt;&gt;"",IF('Capacity summary'!$D$14="Yes",IF(COUNTBLANK('Capacity summary'!$H130:$BG130)&lt;52,IF('Capacity summary'!AA130&lt;&gt;"",IF(LOWER('Capacity summary'!AA130)="x",$BI11*AA11,VALUE('Capacity summary'!AA130)),0),AA11*$BI11),AA11*$BI11),0)</f>
        <v>0</v>
      </c>
      <c r="CE11" s="311">
        <f>IF($BI11&lt;&gt;"",IF('Capacity summary'!$D$14="Yes",IF(COUNTBLANK('Capacity summary'!$H130:$BG130)&lt;52,IF('Capacity summary'!AB130&lt;&gt;"",IF(LOWER('Capacity summary'!AB130)="x",$BI11*AB11,VALUE('Capacity summary'!AB130)),0),AB11*$BI11),AB11*$BI11),0)</f>
        <v>0</v>
      </c>
      <c r="CF11" s="311">
        <f>IF($BI11&lt;&gt;"",IF('Capacity summary'!$D$14="Yes",IF(COUNTBLANK('Capacity summary'!$H130:$BG130)&lt;52,IF('Capacity summary'!AC130&lt;&gt;"",IF(LOWER('Capacity summary'!AC130)="x",$BI11*AC11,VALUE('Capacity summary'!AC130)),0),AC11*$BI11),AC11*$BI11),0)</f>
        <v>0</v>
      </c>
      <c r="CG11" s="311">
        <f>IF($BI11&lt;&gt;"",IF('Capacity summary'!$D$14="Yes",IF(COUNTBLANK('Capacity summary'!$H130:$BG130)&lt;52,IF('Capacity summary'!AD130&lt;&gt;"",IF(LOWER('Capacity summary'!AD130)="x",$BI11*AD11,VALUE('Capacity summary'!AD130)),0),AD11*$BI11),AD11*$BI11),0)</f>
        <v>0</v>
      </c>
      <c r="CH11" s="311">
        <f>IF($BI11&lt;&gt;"",IF('Capacity summary'!$D$14="Yes",IF(COUNTBLANK('Capacity summary'!$H130:$BG130)&lt;52,IF('Capacity summary'!AE130&lt;&gt;"",IF(LOWER('Capacity summary'!AE130)="x",$BI11*AE11,VALUE('Capacity summary'!AE130)),0),AE11*$BI11),AE11*$BI11),0)</f>
        <v>0</v>
      </c>
      <c r="CI11" s="311">
        <f>IF($BI11&lt;&gt;"",IF('Capacity summary'!$D$14="Yes",IF(COUNTBLANK('Capacity summary'!$H130:$BG130)&lt;52,IF('Capacity summary'!AF130&lt;&gt;"",IF(LOWER('Capacity summary'!AF130)="x",$BI11*AF11,VALUE('Capacity summary'!AF130)),0),AF11*$BI11),AF11*$BI11),0)</f>
        <v>0</v>
      </c>
      <c r="CJ11" s="311">
        <f>IF($BI11&lt;&gt;"",IF('Capacity summary'!$D$14="Yes",IF(COUNTBLANK('Capacity summary'!$H130:$BG130)&lt;52,IF('Capacity summary'!AG130&lt;&gt;"",IF(LOWER('Capacity summary'!AG130)="x",$BI11*AG11,VALUE('Capacity summary'!AG130)),0),AG11*$BI11),AG11*$BI11),0)</f>
        <v>0</v>
      </c>
      <c r="CK11" s="311">
        <f>IF($BI11&lt;&gt;"",IF('Capacity summary'!$D$14="Yes",IF(COUNTBLANK('Capacity summary'!$H130:$BG130)&lt;52,IF('Capacity summary'!AH130&lt;&gt;"",IF(LOWER('Capacity summary'!AH130)="x",$BI11*AH11,VALUE('Capacity summary'!AH130)),0),AH11*$BI11),AH11*$BI11),0)</f>
        <v>0</v>
      </c>
      <c r="CL11" s="311">
        <f>IF($BI11&lt;&gt;"",IF('Capacity summary'!$D$14="Yes",IF(COUNTBLANK('Capacity summary'!$H130:$BG130)&lt;52,IF('Capacity summary'!AI130&lt;&gt;"",IF(LOWER('Capacity summary'!AI130)="x",$BI11*AI11,VALUE('Capacity summary'!AI130)),0),AI11*$BI11),AI11*$BI11),0)</f>
        <v>0</v>
      </c>
      <c r="CM11" s="311">
        <f>IF($BI11&lt;&gt;"",IF('Capacity summary'!$D$14="Yes",IF(COUNTBLANK('Capacity summary'!$H130:$BG130)&lt;52,IF('Capacity summary'!AJ130&lt;&gt;"",IF(LOWER('Capacity summary'!AJ130)="x",$BI11*AJ11,VALUE('Capacity summary'!AJ130)),0),AJ11*$BI11),AJ11*$BI11),0)</f>
        <v>0</v>
      </c>
      <c r="CN11" s="311">
        <f>IF($BI11&lt;&gt;"",IF('Capacity summary'!$D$14="Yes",IF(COUNTBLANK('Capacity summary'!$H130:$BG130)&lt;52,IF('Capacity summary'!AK130&lt;&gt;"",IF(LOWER('Capacity summary'!AK130)="x",$BI11*AK11,VALUE('Capacity summary'!AK130)),0),AK11*$BI11),AK11*$BI11),0)</f>
        <v>0</v>
      </c>
      <c r="CO11" s="311">
        <f>IF($BI11&lt;&gt;"",IF('Capacity summary'!$D$14="Yes",IF(COUNTBLANK('Capacity summary'!$H130:$BG130)&lt;52,IF('Capacity summary'!AL130&lt;&gt;"",IF(LOWER('Capacity summary'!AL130)="x",$BI11*AL11,VALUE('Capacity summary'!AL130)),0),AL11*$BI11),AL11*$BI11),0)</f>
        <v>0</v>
      </c>
      <c r="CP11" s="311">
        <f>IF($BI11&lt;&gt;"",IF('Capacity summary'!$D$14="Yes",IF(COUNTBLANK('Capacity summary'!$H130:$BG130)&lt;52,IF('Capacity summary'!AM130&lt;&gt;"",IF(LOWER('Capacity summary'!AM130)="x",$BI11*AM11,VALUE('Capacity summary'!AM130)),0),AM11*$BI11),AM11*$BI11),0)</f>
        <v>0</v>
      </c>
      <c r="CQ11" s="311">
        <f>IF($BI11&lt;&gt;"",IF('Capacity summary'!$D$14="Yes",IF(COUNTBLANK('Capacity summary'!$H130:$BG130)&lt;52,IF('Capacity summary'!AN130&lt;&gt;"",IF(LOWER('Capacity summary'!AN130)="x",$BI11*AN11,VALUE('Capacity summary'!AN130)),0),AN11*$BI11),AN11*$BI11),0)</f>
        <v>0</v>
      </c>
      <c r="CR11" s="311">
        <f>IF($BI11&lt;&gt;"",IF('Capacity summary'!$D$14="Yes",IF(COUNTBLANK('Capacity summary'!$H130:$BG130)&lt;52,IF('Capacity summary'!AO130&lt;&gt;"",IF(LOWER('Capacity summary'!AO130)="x",$BI11*AO11,VALUE('Capacity summary'!AO130)),0),AO11*$BI11),AO11*$BI11),0)</f>
        <v>0</v>
      </c>
      <c r="CS11" s="311">
        <f>IF($BI11&lt;&gt;"",IF('Capacity summary'!$D$14="Yes",IF(COUNTBLANK('Capacity summary'!$H130:$BG130)&lt;52,IF('Capacity summary'!AP130&lt;&gt;"",IF(LOWER('Capacity summary'!AP130)="x",$BI11*AP11,VALUE('Capacity summary'!AP130)),0),AP11*$BI11),AP11*$BI11),0)</f>
        <v>0</v>
      </c>
      <c r="CT11" s="311">
        <f>IF($BI11&lt;&gt;"",IF('Capacity summary'!$D$14="Yes",IF(COUNTBLANK('Capacity summary'!$H130:$BG130)&lt;52,IF('Capacity summary'!AQ130&lt;&gt;"",IF(LOWER('Capacity summary'!AQ130)="x",$BI11*AQ11,VALUE('Capacity summary'!AQ130)),0),AQ11*$BI11),AQ11*$BI11),0)</f>
        <v>0</v>
      </c>
      <c r="CU11" s="311">
        <f>IF($BI11&lt;&gt;"",IF('Capacity summary'!$D$14="Yes",IF(COUNTBLANK('Capacity summary'!$H130:$BG130)&lt;52,IF('Capacity summary'!AR130&lt;&gt;"",IF(LOWER('Capacity summary'!AR130)="x",$BI11*AR11,VALUE('Capacity summary'!AR130)),0),AR11*$BI11),AR11*$BI11),0)</f>
        <v>0</v>
      </c>
      <c r="CV11" s="311">
        <f>IF($BI11&lt;&gt;"",IF('Capacity summary'!$D$14="Yes",IF(COUNTBLANK('Capacity summary'!$H130:$BG130)&lt;52,IF('Capacity summary'!AS130&lt;&gt;"",IF(LOWER('Capacity summary'!AS130)="x",$BI11*AS11,VALUE('Capacity summary'!AS130)),0),AS11*$BI11),AS11*$BI11),0)</f>
        <v>0</v>
      </c>
      <c r="CW11" s="311">
        <f>IF($BI11&lt;&gt;"",IF('Capacity summary'!$D$14="Yes",IF(COUNTBLANK('Capacity summary'!$H130:$BG130)&lt;52,IF('Capacity summary'!AT130&lt;&gt;"",IF(LOWER('Capacity summary'!AT130)="x",$BI11*AT11,VALUE('Capacity summary'!AT130)),0),AT11*$BI11),AT11*$BI11),0)</f>
        <v>0</v>
      </c>
      <c r="CX11" s="311">
        <f>IF($BI11&lt;&gt;"",IF('Capacity summary'!$D$14="Yes",IF(COUNTBLANK('Capacity summary'!$H130:$BG130)&lt;52,IF('Capacity summary'!AU130&lt;&gt;"",IF(LOWER('Capacity summary'!AU130)="x",$BI11*AU11,VALUE('Capacity summary'!AU130)),0),AU11*$BI11),AU11*$BI11),0)</f>
        <v>0</v>
      </c>
      <c r="CY11" s="311">
        <f>IF($BI11&lt;&gt;"",IF('Capacity summary'!$D$14="Yes",IF(COUNTBLANK('Capacity summary'!$H130:$BG130)&lt;52,IF('Capacity summary'!AV130&lt;&gt;"",IF(LOWER('Capacity summary'!AV130)="x",$BI11*AV11,VALUE('Capacity summary'!AV130)),0),AV11*$BI11),AV11*$BI11),0)</f>
        <v>0</v>
      </c>
      <c r="CZ11" s="311">
        <f>IF($BI11&lt;&gt;"",IF('Capacity summary'!$D$14="Yes",IF(COUNTBLANK('Capacity summary'!$H130:$BG130)&lt;52,IF('Capacity summary'!AW130&lt;&gt;"",IF(LOWER('Capacity summary'!AW130)="x",$BI11*AW11,VALUE('Capacity summary'!AW130)),0),AW11*$BI11),AW11*$BI11),0)</f>
        <v>0</v>
      </c>
      <c r="DA11" s="311">
        <f>IF($BI11&lt;&gt;"",IF('Capacity summary'!$D$14="Yes",IF(COUNTBLANK('Capacity summary'!$H130:$BG130)&lt;52,IF('Capacity summary'!AX130&lt;&gt;"",IF(LOWER('Capacity summary'!AX130)="x",$BI11*AX11,VALUE('Capacity summary'!AX130)),0),AX11*$BI11),AX11*$BI11),0)</f>
        <v>0</v>
      </c>
      <c r="DB11" s="311">
        <f>IF($BI11&lt;&gt;"",IF('Capacity summary'!$D$14="Yes",IF(COUNTBLANK('Capacity summary'!$H130:$BG130)&lt;52,IF('Capacity summary'!AY130&lt;&gt;"",IF(LOWER('Capacity summary'!AY130)="x",$BI11*AY11,VALUE('Capacity summary'!AY130)),0),AY11*$BI11),AY11*$BI11),0)</f>
        <v>0</v>
      </c>
      <c r="DC11" s="311">
        <f>IF($BI11&lt;&gt;"",IF('Capacity summary'!$D$14="Yes",IF(COUNTBLANK('Capacity summary'!$H130:$BG130)&lt;52,IF('Capacity summary'!AZ130&lt;&gt;"",IF(LOWER('Capacity summary'!AZ130)="x",$BI11*AZ11,VALUE('Capacity summary'!AZ130)),0),AZ11*$BI11),AZ11*$BI11),0)</f>
        <v>0</v>
      </c>
      <c r="DD11" s="311">
        <f>IF($BI11&lt;&gt;"",IF('Capacity summary'!$D$14="Yes",IF(COUNTBLANK('Capacity summary'!$H130:$BG130)&lt;52,IF('Capacity summary'!BA130&lt;&gt;"",IF(LOWER('Capacity summary'!BA130)="x",$BI11*BA11,VALUE('Capacity summary'!BA130)),0),BA11*$BI11),BA11*$BI11),0)</f>
        <v>0</v>
      </c>
      <c r="DE11" s="311">
        <f>IF($BI11&lt;&gt;"",IF('Capacity summary'!$D$14="Yes",IF(COUNTBLANK('Capacity summary'!$H130:$BG130)&lt;52,IF('Capacity summary'!BB130&lt;&gt;"",IF(LOWER('Capacity summary'!BB130)="x",$BI11*BB11,VALUE('Capacity summary'!BB130)),0),BB11*$BI11),BB11*$BI11),0)</f>
        <v>0</v>
      </c>
      <c r="DF11" s="311">
        <f>IF($BI11&lt;&gt;"",IF('Capacity summary'!$D$14="Yes",IF(COUNTBLANK('Capacity summary'!$H130:$BG130)&lt;52,IF('Capacity summary'!BC130&lt;&gt;"",IF(LOWER('Capacity summary'!BC130)="x",$BI11*BC11,VALUE('Capacity summary'!BC130)),0),BC11*$BI11),BC11*$BI11),0)</f>
        <v>0</v>
      </c>
      <c r="DG11" s="311">
        <f>IF($BI11&lt;&gt;"",IF('Capacity summary'!$D$14="Yes",IF(COUNTBLANK('Capacity summary'!$H130:$BG130)&lt;52,IF('Capacity summary'!BD130&lt;&gt;"",IF(LOWER('Capacity summary'!BD130)="x",$BI11*BD11,VALUE('Capacity summary'!BD130)),0),BD11*$BI11),BD11*$BI11),0)</f>
        <v>0</v>
      </c>
      <c r="DH11" s="311">
        <f>IF($BI11&lt;&gt;"",IF('Capacity summary'!$D$14="Yes",IF(COUNTBLANK('Capacity summary'!$H130:$BG130)&lt;52,IF('Capacity summary'!BE130&lt;&gt;"",IF(LOWER('Capacity summary'!BE130)="x",$BI11*BE11,VALUE('Capacity summary'!BE130)),0),BE11*$BI11),BE11*$BI11),0)</f>
        <v>0</v>
      </c>
      <c r="DI11" s="311">
        <f>IF($BI11&lt;&gt;"",IF('Capacity summary'!$D$14="Yes",IF(COUNTBLANK('Capacity summary'!$H130:$BG130)&lt;52,IF('Capacity summary'!BF130&lt;&gt;"",IF(LOWER('Capacity summary'!BF130)="x",$BI11*BF11,VALUE('Capacity summary'!BF130)),0),BF11*$BI11),BF11*$BI11),0)</f>
        <v>0</v>
      </c>
      <c r="DJ11" s="311">
        <f>IF($BI11&lt;&gt;"",IF('Capacity summary'!$D$14="Yes",IF(COUNTBLANK('Capacity summary'!$H130:$BG130)&lt;52,IF('Capacity summary'!BG130&lt;&gt;"",IF(LOWER('Capacity summary'!BG130)="x",$BI11*BG11,VALUE('Capacity summary'!BG130)),0),BG11*$BI11),BG11*$BI11),0)</f>
        <v>0</v>
      </c>
      <c r="DK11" s="391">
        <f t="shared" si="2"/>
        <v>0</v>
      </c>
      <c r="DL11" s="136">
        <f t="shared" si="3"/>
        <v>0</v>
      </c>
      <c r="DM11" s="311" t="str">
        <f>Capacity!H23</f>
        <v/>
      </c>
      <c r="DQ11" s="5"/>
    </row>
    <row r="12" spans="1:121" x14ac:dyDescent="0.2">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1">
        <f>IF($BI12&lt;&gt;"",IF('Capacity summary'!$D$14="Yes",IF(COUNTBLANK('Capacity summary'!$H131:$BG131)&lt;52,IF('Capacity summary'!H131&lt;&gt;"",IF(LOWER('Capacity summary'!H131)="x",$BI12*H12,VALUE('Capacity summary'!H131)),0),H12*$BI12),H12*$BI12),0)</f>
        <v>0</v>
      </c>
      <c r="BL12" s="311">
        <f>IF($BI12&lt;&gt;"",IF('Capacity summary'!$D$14="Yes",IF(COUNTBLANK('Capacity summary'!$H131:$BG131)&lt;52,IF('Capacity summary'!I131&lt;&gt;"",IF(LOWER('Capacity summary'!I131)="x",$BI12*I12,VALUE('Capacity summary'!I131)),0),I12*$BI12),I12*$BI12),0)</f>
        <v>0</v>
      </c>
      <c r="BM12" s="311">
        <f>IF($BI12&lt;&gt;"",IF('Capacity summary'!$D$14="Yes",IF(COUNTBLANK('Capacity summary'!$H131:$BG131)&lt;52,IF('Capacity summary'!J131&lt;&gt;"",IF(LOWER('Capacity summary'!J131)="x",$BI12*J12,VALUE('Capacity summary'!J131)),0),J12*$BI12),J12*$BI12),0)</f>
        <v>0</v>
      </c>
      <c r="BN12" s="311">
        <f>IF($BI12&lt;&gt;"",IF('Capacity summary'!$D$14="Yes",IF(COUNTBLANK('Capacity summary'!$H131:$BG131)&lt;52,IF('Capacity summary'!K131&lt;&gt;"",IF(LOWER('Capacity summary'!K131)="x",$BI12*K12,VALUE('Capacity summary'!K131)),0),K12*$BI12),K12*$BI12),0)</f>
        <v>0</v>
      </c>
      <c r="BO12" s="311">
        <f>IF($BI12&lt;&gt;"",IF('Capacity summary'!$D$14="Yes",IF(COUNTBLANK('Capacity summary'!$H131:$BG131)&lt;52,IF('Capacity summary'!L131&lt;&gt;"",IF(LOWER('Capacity summary'!L131)="x",$BI12*L12,VALUE('Capacity summary'!L131)),0),L12*$BI12),L12*$BI12),0)</f>
        <v>0</v>
      </c>
      <c r="BP12" s="311">
        <f>IF($BI12&lt;&gt;"",IF('Capacity summary'!$D$14="Yes",IF(COUNTBLANK('Capacity summary'!$H131:$BG131)&lt;52,IF('Capacity summary'!M131&lt;&gt;"",IF(LOWER('Capacity summary'!M131)="x",$BI12*M12,VALUE('Capacity summary'!M131)),0),M12*$BI12),M12*$BI12),0)</f>
        <v>0</v>
      </c>
      <c r="BQ12" s="311">
        <f>IF($BI12&lt;&gt;"",IF('Capacity summary'!$D$14="Yes",IF(COUNTBLANK('Capacity summary'!$H131:$BG131)&lt;52,IF('Capacity summary'!N131&lt;&gt;"",IF(LOWER('Capacity summary'!N131)="x",$BI12*N12,VALUE('Capacity summary'!N131)),0),N12*$BI12),N12*$BI12),0)</f>
        <v>0</v>
      </c>
      <c r="BR12" s="311">
        <f>IF($BI12&lt;&gt;"",IF('Capacity summary'!$D$14="Yes",IF(COUNTBLANK('Capacity summary'!$H131:$BG131)&lt;52,IF('Capacity summary'!O131&lt;&gt;"",IF(LOWER('Capacity summary'!O131)="x",$BI12*O12,VALUE('Capacity summary'!O131)),0),O12*$BI12),O12*$BI12),0)</f>
        <v>0</v>
      </c>
      <c r="BS12" s="311">
        <f>IF($BI12&lt;&gt;"",IF('Capacity summary'!$D$14="Yes",IF(COUNTBLANK('Capacity summary'!$H131:$BG131)&lt;52,IF('Capacity summary'!P131&lt;&gt;"",IF(LOWER('Capacity summary'!P131)="x",$BI12*P12,VALUE('Capacity summary'!P131)),0),P12*$BI12),P12*$BI12),0)</f>
        <v>0</v>
      </c>
      <c r="BT12" s="311">
        <f>IF($BI12&lt;&gt;"",IF('Capacity summary'!$D$14="Yes",IF(COUNTBLANK('Capacity summary'!$H131:$BG131)&lt;52,IF('Capacity summary'!Q131&lt;&gt;"",IF(LOWER('Capacity summary'!Q131)="x",$BI12*Q12,VALUE('Capacity summary'!Q131)),0),Q12*$BI12),Q12*$BI12),0)</f>
        <v>0</v>
      </c>
      <c r="BU12" s="311">
        <f>IF($BI12&lt;&gt;"",IF('Capacity summary'!$D$14="Yes",IF(COUNTBLANK('Capacity summary'!$H131:$BG131)&lt;52,IF('Capacity summary'!R131&lt;&gt;"",IF(LOWER('Capacity summary'!R131)="x",$BI12*R12,VALUE('Capacity summary'!R131)),0),R12*$BI12),R12*$BI12),0)</f>
        <v>0</v>
      </c>
      <c r="BV12" s="311">
        <f>IF($BI12&lt;&gt;"",IF('Capacity summary'!$D$14="Yes",IF(COUNTBLANK('Capacity summary'!$H131:$BG131)&lt;52,IF('Capacity summary'!S131&lt;&gt;"",IF(LOWER('Capacity summary'!S131)="x",$BI12*S12,VALUE('Capacity summary'!S131)),0),S12*$BI12),S12*$BI12),0)</f>
        <v>0</v>
      </c>
      <c r="BW12" s="311">
        <f>IF($BI12&lt;&gt;"",IF('Capacity summary'!$D$14="Yes",IF(COUNTBLANK('Capacity summary'!$H131:$BG131)&lt;52,IF('Capacity summary'!T131&lt;&gt;"",IF(LOWER('Capacity summary'!T131)="x",$BI12*T12,VALUE('Capacity summary'!T131)),0),T12*$BI12),T12*$BI12),0)</f>
        <v>0</v>
      </c>
      <c r="BX12" s="311">
        <f>IF($BI12&lt;&gt;"",IF('Capacity summary'!$D$14="Yes",IF(COUNTBLANK('Capacity summary'!$H131:$BG131)&lt;52,IF('Capacity summary'!U131&lt;&gt;"",IF(LOWER('Capacity summary'!U131)="x",$BI12*U12,VALUE('Capacity summary'!U131)),0),U12*$BI12),U12*$BI12),0)</f>
        <v>0</v>
      </c>
      <c r="BY12" s="311">
        <f>IF($BI12&lt;&gt;"",IF('Capacity summary'!$D$14="Yes",IF(COUNTBLANK('Capacity summary'!$H131:$BG131)&lt;52,IF('Capacity summary'!V131&lt;&gt;"",IF(LOWER('Capacity summary'!V131)="x",$BI12*V12,VALUE('Capacity summary'!V131)),0),V12*$BI12),V12*$BI12),0)</f>
        <v>0</v>
      </c>
      <c r="BZ12" s="311">
        <f>IF($BI12&lt;&gt;"",IF('Capacity summary'!$D$14="Yes",IF(COUNTBLANK('Capacity summary'!$H131:$BG131)&lt;52,IF('Capacity summary'!W131&lt;&gt;"",IF(LOWER('Capacity summary'!W131)="x",$BI12*W12,VALUE('Capacity summary'!W131)),0),W12*$BI12),W12*$BI12),0)</f>
        <v>0</v>
      </c>
      <c r="CA12" s="311">
        <f>IF($BI12&lt;&gt;"",IF('Capacity summary'!$D$14="Yes",IF(COUNTBLANK('Capacity summary'!$H131:$BG131)&lt;52,IF('Capacity summary'!X131&lt;&gt;"",IF(LOWER('Capacity summary'!X131)="x",$BI12*X12,VALUE('Capacity summary'!X131)),0),X12*$BI12),X12*$BI12),0)</f>
        <v>0</v>
      </c>
      <c r="CB12" s="311">
        <f>IF($BI12&lt;&gt;"",IF('Capacity summary'!$D$14="Yes",IF(COUNTBLANK('Capacity summary'!$H131:$BG131)&lt;52,IF('Capacity summary'!Y131&lt;&gt;"",IF(LOWER('Capacity summary'!Y131)="x",$BI12*Y12,VALUE('Capacity summary'!Y131)),0),Y12*$BI12),Y12*$BI12),0)</f>
        <v>0</v>
      </c>
      <c r="CC12" s="311">
        <f>IF($BI12&lt;&gt;"",IF('Capacity summary'!$D$14="Yes",IF(COUNTBLANK('Capacity summary'!$H131:$BG131)&lt;52,IF('Capacity summary'!Z131&lt;&gt;"",IF(LOWER('Capacity summary'!Z131)="x",$BI12*Z12,VALUE('Capacity summary'!Z131)),0),Z12*$BI12),Z12*$BI12),0)</f>
        <v>0</v>
      </c>
      <c r="CD12" s="311">
        <f>IF($BI12&lt;&gt;"",IF('Capacity summary'!$D$14="Yes",IF(COUNTBLANK('Capacity summary'!$H131:$BG131)&lt;52,IF('Capacity summary'!AA131&lt;&gt;"",IF(LOWER('Capacity summary'!AA131)="x",$BI12*AA12,VALUE('Capacity summary'!AA131)),0),AA12*$BI12),AA12*$BI12),0)</f>
        <v>0</v>
      </c>
      <c r="CE12" s="311">
        <f>IF($BI12&lt;&gt;"",IF('Capacity summary'!$D$14="Yes",IF(COUNTBLANK('Capacity summary'!$H131:$BG131)&lt;52,IF('Capacity summary'!AB131&lt;&gt;"",IF(LOWER('Capacity summary'!AB131)="x",$BI12*AB12,VALUE('Capacity summary'!AB131)),0),AB12*$BI12),AB12*$BI12),0)</f>
        <v>0</v>
      </c>
      <c r="CF12" s="311">
        <f>IF($BI12&lt;&gt;"",IF('Capacity summary'!$D$14="Yes",IF(COUNTBLANK('Capacity summary'!$H131:$BG131)&lt;52,IF('Capacity summary'!AC131&lt;&gt;"",IF(LOWER('Capacity summary'!AC131)="x",$BI12*AC12,VALUE('Capacity summary'!AC131)),0),AC12*$BI12),AC12*$BI12),0)</f>
        <v>0</v>
      </c>
      <c r="CG12" s="311">
        <f>IF($BI12&lt;&gt;"",IF('Capacity summary'!$D$14="Yes",IF(COUNTBLANK('Capacity summary'!$H131:$BG131)&lt;52,IF('Capacity summary'!AD131&lt;&gt;"",IF(LOWER('Capacity summary'!AD131)="x",$BI12*AD12,VALUE('Capacity summary'!AD131)),0),AD12*$BI12),AD12*$BI12),0)</f>
        <v>0</v>
      </c>
      <c r="CH12" s="311">
        <f>IF($BI12&lt;&gt;"",IF('Capacity summary'!$D$14="Yes",IF(COUNTBLANK('Capacity summary'!$H131:$BG131)&lt;52,IF('Capacity summary'!AE131&lt;&gt;"",IF(LOWER('Capacity summary'!AE131)="x",$BI12*AE12,VALUE('Capacity summary'!AE131)),0),AE12*$BI12),AE12*$BI12),0)</f>
        <v>0</v>
      </c>
      <c r="CI12" s="311">
        <f>IF($BI12&lt;&gt;"",IF('Capacity summary'!$D$14="Yes",IF(COUNTBLANK('Capacity summary'!$H131:$BG131)&lt;52,IF('Capacity summary'!AF131&lt;&gt;"",IF(LOWER('Capacity summary'!AF131)="x",$BI12*AF12,VALUE('Capacity summary'!AF131)),0),AF12*$BI12),AF12*$BI12),0)</f>
        <v>0</v>
      </c>
      <c r="CJ12" s="311">
        <f>IF($BI12&lt;&gt;"",IF('Capacity summary'!$D$14="Yes",IF(COUNTBLANK('Capacity summary'!$H131:$BG131)&lt;52,IF('Capacity summary'!AG131&lt;&gt;"",IF(LOWER('Capacity summary'!AG131)="x",$BI12*AG12,VALUE('Capacity summary'!AG131)),0),AG12*$BI12),AG12*$BI12),0)</f>
        <v>0</v>
      </c>
      <c r="CK12" s="311">
        <f>IF($BI12&lt;&gt;"",IF('Capacity summary'!$D$14="Yes",IF(COUNTBLANK('Capacity summary'!$H131:$BG131)&lt;52,IF('Capacity summary'!AH131&lt;&gt;"",IF(LOWER('Capacity summary'!AH131)="x",$BI12*AH12,VALUE('Capacity summary'!AH131)),0),AH12*$BI12),AH12*$BI12),0)</f>
        <v>0</v>
      </c>
      <c r="CL12" s="311">
        <f>IF($BI12&lt;&gt;"",IF('Capacity summary'!$D$14="Yes",IF(COUNTBLANK('Capacity summary'!$H131:$BG131)&lt;52,IF('Capacity summary'!AI131&lt;&gt;"",IF(LOWER('Capacity summary'!AI131)="x",$BI12*AI12,VALUE('Capacity summary'!AI131)),0),AI12*$BI12),AI12*$BI12),0)</f>
        <v>0</v>
      </c>
      <c r="CM12" s="311">
        <f>IF($BI12&lt;&gt;"",IF('Capacity summary'!$D$14="Yes",IF(COUNTBLANK('Capacity summary'!$H131:$BG131)&lt;52,IF('Capacity summary'!AJ131&lt;&gt;"",IF(LOWER('Capacity summary'!AJ131)="x",$BI12*AJ12,VALUE('Capacity summary'!AJ131)),0),AJ12*$BI12),AJ12*$BI12),0)</f>
        <v>0</v>
      </c>
      <c r="CN12" s="311">
        <f>IF($BI12&lt;&gt;"",IF('Capacity summary'!$D$14="Yes",IF(COUNTBLANK('Capacity summary'!$H131:$BG131)&lt;52,IF('Capacity summary'!AK131&lt;&gt;"",IF(LOWER('Capacity summary'!AK131)="x",$BI12*AK12,VALUE('Capacity summary'!AK131)),0),AK12*$BI12),AK12*$BI12),0)</f>
        <v>0</v>
      </c>
      <c r="CO12" s="311">
        <f>IF($BI12&lt;&gt;"",IF('Capacity summary'!$D$14="Yes",IF(COUNTBLANK('Capacity summary'!$H131:$BG131)&lt;52,IF('Capacity summary'!AL131&lt;&gt;"",IF(LOWER('Capacity summary'!AL131)="x",$BI12*AL12,VALUE('Capacity summary'!AL131)),0),AL12*$BI12),AL12*$BI12),0)</f>
        <v>0</v>
      </c>
      <c r="CP12" s="311">
        <f>IF($BI12&lt;&gt;"",IF('Capacity summary'!$D$14="Yes",IF(COUNTBLANK('Capacity summary'!$H131:$BG131)&lt;52,IF('Capacity summary'!AM131&lt;&gt;"",IF(LOWER('Capacity summary'!AM131)="x",$BI12*AM12,VALUE('Capacity summary'!AM131)),0),AM12*$BI12),AM12*$BI12),0)</f>
        <v>0</v>
      </c>
      <c r="CQ12" s="311">
        <f>IF($BI12&lt;&gt;"",IF('Capacity summary'!$D$14="Yes",IF(COUNTBLANK('Capacity summary'!$H131:$BG131)&lt;52,IF('Capacity summary'!AN131&lt;&gt;"",IF(LOWER('Capacity summary'!AN131)="x",$BI12*AN12,VALUE('Capacity summary'!AN131)),0),AN12*$BI12),AN12*$BI12),0)</f>
        <v>0</v>
      </c>
      <c r="CR12" s="311">
        <f>IF($BI12&lt;&gt;"",IF('Capacity summary'!$D$14="Yes",IF(COUNTBLANK('Capacity summary'!$H131:$BG131)&lt;52,IF('Capacity summary'!AO131&lt;&gt;"",IF(LOWER('Capacity summary'!AO131)="x",$BI12*AO12,VALUE('Capacity summary'!AO131)),0),AO12*$BI12),AO12*$BI12),0)</f>
        <v>0</v>
      </c>
      <c r="CS12" s="311">
        <f>IF($BI12&lt;&gt;"",IF('Capacity summary'!$D$14="Yes",IF(COUNTBLANK('Capacity summary'!$H131:$BG131)&lt;52,IF('Capacity summary'!AP131&lt;&gt;"",IF(LOWER('Capacity summary'!AP131)="x",$BI12*AP12,VALUE('Capacity summary'!AP131)),0),AP12*$BI12),AP12*$BI12),0)</f>
        <v>0</v>
      </c>
      <c r="CT12" s="311">
        <f>IF($BI12&lt;&gt;"",IF('Capacity summary'!$D$14="Yes",IF(COUNTBLANK('Capacity summary'!$H131:$BG131)&lt;52,IF('Capacity summary'!AQ131&lt;&gt;"",IF(LOWER('Capacity summary'!AQ131)="x",$BI12*AQ12,VALUE('Capacity summary'!AQ131)),0),AQ12*$BI12),AQ12*$BI12),0)</f>
        <v>0</v>
      </c>
      <c r="CU12" s="311">
        <f>IF($BI12&lt;&gt;"",IF('Capacity summary'!$D$14="Yes",IF(COUNTBLANK('Capacity summary'!$H131:$BG131)&lt;52,IF('Capacity summary'!AR131&lt;&gt;"",IF(LOWER('Capacity summary'!AR131)="x",$BI12*AR12,VALUE('Capacity summary'!AR131)),0),AR12*$BI12),AR12*$BI12),0)</f>
        <v>0</v>
      </c>
      <c r="CV12" s="311">
        <f>IF($BI12&lt;&gt;"",IF('Capacity summary'!$D$14="Yes",IF(COUNTBLANK('Capacity summary'!$H131:$BG131)&lt;52,IF('Capacity summary'!AS131&lt;&gt;"",IF(LOWER('Capacity summary'!AS131)="x",$BI12*AS12,VALUE('Capacity summary'!AS131)),0),AS12*$BI12),AS12*$BI12),0)</f>
        <v>0</v>
      </c>
      <c r="CW12" s="311">
        <f>IF($BI12&lt;&gt;"",IF('Capacity summary'!$D$14="Yes",IF(COUNTBLANK('Capacity summary'!$H131:$BG131)&lt;52,IF('Capacity summary'!AT131&lt;&gt;"",IF(LOWER('Capacity summary'!AT131)="x",$BI12*AT12,VALUE('Capacity summary'!AT131)),0),AT12*$BI12),AT12*$BI12),0)</f>
        <v>0</v>
      </c>
      <c r="CX12" s="311">
        <f>IF($BI12&lt;&gt;"",IF('Capacity summary'!$D$14="Yes",IF(COUNTBLANK('Capacity summary'!$H131:$BG131)&lt;52,IF('Capacity summary'!AU131&lt;&gt;"",IF(LOWER('Capacity summary'!AU131)="x",$BI12*AU12,VALUE('Capacity summary'!AU131)),0),AU12*$BI12),AU12*$BI12),0)</f>
        <v>0</v>
      </c>
      <c r="CY12" s="311">
        <f>IF($BI12&lt;&gt;"",IF('Capacity summary'!$D$14="Yes",IF(COUNTBLANK('Capacity summary'!$H131:$BG131)&lt;52,IF('Capacity summary'!AV131&lt;&gt;"",IF(LOWER('Capacity summary'!AV131)="x",$BI12*AV12,VALUE('Capacity summary'!AV131)),0),AV12*$BI12),AV12*$BI12),0)</f>
        <v>0</v>
      </c>
      <c r="CZ12" s="311">
        <f>IF($BI12&lt;&gt;"",IF('Capacity summary'!$D$14="Yes",IF(COUNTBLANK('Capacity summary'!$H131:$BG131)&lt;52,IF('Capacity summary'!AW131&lt;&gt;"",IF(LOWER('Capacity summary'!AW131)="x",$BI12*AW12,VALUE('Capacity summary'!AW131)),0),AW12*$BI12),AW12*$BI12),0)</f>
        <v>0</v>
      </c>
      <c r="DA12" s="311">
        <f>IF($BI12&lt;&gt;"",IF('Capacity summary'!$D$14="Yes",IF(COUNTBLANK('Capacity summary'!$H131:$BG131)&lt;52,IF('Capacity summary'!AX131&lt;&gt;"",IF(LOWER('Capacity summary'!AX131)="x",$BI12*AX12,VALUE('Capacity summary'!AX131)),0),AX12*$BI12),AX12*$BI12),0)</f>
        <v>0</v>
      </c>
      <c r="DB12" s="311">
        <f>IF($BI12&lt;&gt;"",IF('Capacity summary'!$D$14="Yes",IF(COUNTBLANK('Capacity summary'!$H131:$BG131)&lt;52,IF('Capacity summary'!AY131&lt;&gt;"",IF(LOWER('Capacity summary'!AY131)="x",$BI12*AY12,VALUE('Capacity summary'!AY131)),0),AY12*$BI12),AY12*$BI12),0)</f>
        <v>0</v>
      </c>
      <c r="DC12" s="311">
        <f>IF($BI12&lt;&gt;"",IF('Capacity summary'!$D$14="Yes",IF(COUNTBLANK('Capacity summary'!$H131:$BG131)&lt;52,IF('Capacity summary'!AZ131&lt;&gt;"",IF(LOWER('Capacity summary'!AZ131)="x",$BI12*AZ12,VALUE('Capacity summary'!AZ131)),0),AZ12*$BI12),AZ12*$BI12),0)</f>
        <v>0</v>
      </c>
      <c r="DD12" s="311">
        <f>IF($BI12&lt;&gt;"",IF('Capacity summary'!$D$14="Yes",IF(COUNTBLANK('Capacity summary'!$H131:$BG131)&lt;52,IF('Capacity summary'!BA131&lt;&gt;"",IF(LOWER('Capacity summary'!BA131)="x",$BI12*BA12,VALUE('Capacity summary'!BA131)),0),BA12*$BI12),BA12*$BI12),0)</f>
        <v>0</v>
      </c>
      <c r="DE12" s="311">
        <f>IF($BI12&lt;&gt;"",IF('Capacity summary'!$D$14="Yes",IF(COUNTBLANK('Capacity summary'!$H131:$BG131)&lt;52,IF('Capacity summary'!BB131&lt;&gt;"",IF(LOWER('Capacity summary'!BB131)="x",$BI12*BB12,VALUE('Capacity summary'!BB131)),0),BB12*$BI12),BB12*$BI12),0)</f>
        <v>0</v>
      </c>
      <c r="DF12" s="311">
        <f>IF($BI12&lt;&gt;"",IF('Capacity summary'!$D$14="Yes",IF(COUNTBLANK('Capacity summary'!$H131:$BG131)&lt;52,IF('Capacity summary'!BC131&lt;&gt;"",IF(LOWER('Capacity summary'!BC131)="x",$BI12*BC12,VALUE('Capacity summary'!BC131)),0),BC12*$BI12),BC12*$BI12),0)</f>
        <v>0</v>
      </c>
      <c r="DG12" s="311">
        <f>IF($BI12&lt;&gt;"",IF('Capacity summary'!$D$14="Yes",IF(COUNTBLANK('Capacity summary'!$H131:$BG131)&lt;52,IF('Capacity summary'!BD131&lt;&gt;"",IF(LOWER('Capacity summary'!BD131)="x",$BI12*BD12,VALUE('Capacity summary'!BD131)),0),BD12*$BI12),BD12*$BI12),0)</f>
        <v>0</v>
      </c>
      <c r="DH12" s="311">
        <f>IF($BI12&lt;&gt;"",IF('Capacity summary'!$D$14="Yes",IF(COUNTBLANK('Capacity summary'!$H131:$BG131)&lt;52,IF('Capacity summary'!BE131&lt;&gt;"",IF(LOWER('Capacity summary'!BE131)="x",$BI12*BE12,VALUE('Capacity summary'!BE131)),0),BE12*$BI12),BE12*$BI12),0)</f>
        <v>0</v>
      </c>
      <c r="DI12" s="311">
        <f>IF($BI12&lt;&gt;"",IF('Capacity summary'!$D$14="Yes",IF(COUNTBLANK('Capacity summary'!$H131:$BG131)&lt;52,IF('Capacity summary'!BF131&lt;&gt;"",IF(LOWER('Capacity summary'!BF131)="x",$BI12*BF12,VALUE('Capacity summary'!BF131)),0),BF12*$BI12),BF12*$BI12),0)</f>
        <v>0</v>
      </c>
      <c r="DJ12" s="311">
        <f>IF($BI12&lt;&gt;"",IF('Capacity summary'!$D$14="Yes",IF(COUNTBLANK('Capacity summary'!$H131:$BG131)&lt;52,IF('Capacity summary'!BG131&lt;&gt;"",IF(LOWER('Capacity summary'!BG131)="x",$BI12*BG12,VALUE('Capacity summary'!BG131)),0),BG12*$BI12),BG12*$BI12),0)</f>
        <v>0</v>
      </c>
      <c r="DK12" s="391">
        <f t="shared" si="2"/>
        <v>0</v>
      </c>
      <c r="DL12" s="136">
        <f t="shared" si="3"/>
        <v>0</v>
      </c>
      <c r="DM12" s="311" t="str">
        <f>Capacity!H24</f>
        <v/>
      </c>
      <c r="DQ12" s="5"/>
    </row>
    <row r="13" spans="1:121" x14ac:dyDescent="0.2">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1">
        <f>IF($BI13&lt;&gt;"",IF('Capacity summary'!$D$14="Yes",IF(COUNTBLANK('Capacity summary'!$H132:$BG132)&lt;52,IF('Capacity summary'!H132&lt;&gt;"",IF(LOWER('Capacity summary'!H132)="x",$BI13*H13,VALUE('Capacity summary'!H132)),0),H13*$BI13),H13*$BI13),0)</f>
        <v>0</v>
      </c>
      <c r="BL13" s="311">
        <f>IF($BI13&lt;&gt;"",IF('Capacity summary'!$D$14="Yes",IF(COUNTBLANK('Capacity summary'!$H132:$BG132)&lt;52,IF('Capacity summary'!I132&lt;&gt;"",IF(LOWER('Capacity summary'!I132)="x",$BI13*I13,VALUE('Capacity summary'!I132)),0),I13*$BI13),I13*$BI13),0)</f>
        <v>0</v>
      </c>
      <c r="BM13" s="311">
        <f>IF($BI13&lt;&gt;"",IF('Capacity summary'!$D$14="Yes",IF(COUNTBLANK('Capacity summary'!$H132:$BG132)&lt;52,IF('Capacity summary'!J132&lt;&gt;"",IF(LOWER('Capacity summary'!J132)="x",$BI13*J13,VALUE('Capacity summary'!J132)),0),J13*$BI13),J13*$BI13),0)</f>
        <v>0</v>
      </c>
      <c r="BN13" s="311">
        <f>IF($BI13&lt;&gt;"",IF('Capacity summary'!$D$14="Yes",IF(COUNTBLANK('Capacity summary'!$H132:$BG132)&lt;52,IF('Capacity summary'!K132&lt;&gt;"",IF(LOWER('Capacity summary'!K132)="x",$BI13*K13,VALUE('Capacity summary'!K132)),0),K13*$BI13),K13*$BI13),0)</f>
        <v>0</v>
      </c>
      <c r="BO13" s="311">
        <f>IF($BI13&lt;&gt;"",IF('Capacity summary'!$D$14="Yes",IF(COUNTBLANK('Capacity summary'!$H132:$BG132)&lt;52,IF('Capacity summary'!L132&lt;&gt;"",IF(LOWER('Capacity summary'!L132)="x",$BI13*L13,VALUE('Capacity summary'!L132)),0),L13*$BI13),L13*$BI13),0)</f>
        <v>0</v>
      </c>
      <c r="BP13" s="311">
        <f>IF($BI13&lt;&gt;"",IF('Capacity summary'!$D$14="Yes",IF(COUNTBLANK('Capacity summary'!$H132:$BG132)&lt;52,IF('Capacity summary'!M132&lt;&gt;"",IF(LOWER('Capacity summary'!M132)="x",$BI13*M13,VALUE('Capacity summary'!M132)),0),M13*$BI13),M13*$BI13),0)</f>
        <v>0</v>
      </c>
      <c r="BQ13" s="311">
        <f>IF($BI13&lt;&gt;"",IF('Capacity summary'!$D$14="Yes",IF(COUNTBLANK('Capacity summary'!$H132:$BG132)&lt;52,IF('Capacity summary'!N132&lt;&gt;"",IF(LOWER('Capacity summary'!N132)="x",$BI13*N13,VALUE('Capacity summary'!N132)),0),N13*$BI13),N13*$BI13),0)</f>
        <v>0</v>
      </c>
      <c r="BR13" s="311">
        <f>IF($BI13&lt;&gt;"",IF('Capacity summary'!$D$14="Yes",IF(COUNTBLANK('Capacity summary'!$H132:$BG132)&lt;52,IF('Capacity summary'!O132&lt;&gt;"",IF(LOWER('Capacity summary'!O132)="x",$BI13*O13,VALUE('Capacity summary'!O132)),0),O13*$BI13),O13*$BI13),0)</f>
        <v>0</v>
      </c>
      <c r="BS13" s="311">
        <f>IF($BI13&lt;&gt;"",IF('Capacity summary'!$D$14="Yes",IF(COUNTBLANK('Capacity summary'!$H132:$BG132)&lt;52,IF('Capacity summary'!P132&lt;&gt;"",IF(LOWER('Capacity summary'!P132)="x",$BI13*P13,VALUE('Capacity summary'!P132)),0),P13*$BI13),P13*$BI13),0)</f>
        <v>0</v>
      </c>
      <c r="BT13" s="311">
        <f>IF($BI13&lt;&gt;"",IF('Capacity summary'!$D$14="Yes",IF(COUNTBLANK('Capacity summary'!$H132:$BG132)&lt;52,IF('Capacity summary'!Q132&lt;&gt;"",IF(LOWER('Capacity summary'!Q132)="x",$BI13*Q13,VALUE('Capacity summary'!Q132)),0),Q13*$BI13),Q13*$BI13),0)</f>
        <v>0</v>
      </c>
      <c r="BU13" s="311">
        <f>IF($BI13&lt;&gt;"",IF('Capacity summary'!$D$14="Yes",IF(COUNTBLANK('Capacity summary'!$H132:$BG132)&lt;52,IF('Capacity summary'!R132&lt;&gt;"",IF(LOWER('Capacity summary'!R132)="x",$BI13*R13,VALUE('Capacity summary'!R132)),0),R13*$BI13),R13*$BI13),0)</f>
        <v>0</v>
      </c>
      <c r="BV13" s="311">
        <f>IF($BI13&lt;&gt;"",IF('Capacity summary'!$D$14="Yes",IF(COUNTBLANK('Capacity summary'!$H132:$BG132)&lt;52,IF('Capacity summary'!S132&lt;&gt;"",IF(LOWER('Capacity summary'!S132)="x",$BI13*S13,VALUE('Capacity summary'!S132)),0),S13*$BI13),S13*$BI13),0)</f>
        <v>0</v>
      </c>
      <c r="BW13" s="311">
        <f>IF($BI13&lt;&gt;"",IF('Capacity summary'!$D$14="Yes",IF(COUNTBLANK('Capacity summary'!$H132:$BG132)&lt;52,IF('Capacity summary'!T132&lt;&gt;"",IF(LOWER('Capacity summary'!T132)="x",$BI13*T13,VALUE('Capacity summary'!T132)),0),T13*$BI13),T13*$BI13),0)</f>
        <v>0</v>
      </c>
      <c r="BX13" s="311">
        <f>IF($BI13&lt;&gt;"",IF('Capacity summary'!$D$14="Yes",IF(COUNTBLANK('Capacity summary'!$H132:$BG132)&lt;52,IF('Capacity summary'!U132&lt;&gt;"",IF(LOWER('Capacity summary'!U132)="x",$BI13*U13,VALUE('Capacity summary'!U132)),0),U13*$BI13),U13*$BI13),0)</f>
        <v>0</v>
      </c>
      <c r="BY13" s="311">
        <f>IF($BI13&lt;&gt;"",IF('Capacity summary'!$D$14="Yes",IF(COUNTBLANK('Capacity summary'!$H132:$BG132)&lt;52,IF('Capacity summary'!V132&lt;&gt;"",IF(LOWER('Capacity summary'!V132)="x",$BI13*V13,VALUE('Capacity summary'!V132)),0),V13*$BI13),V13*$BI13),0)</f>
        <v>0</v>
      </c>
      <c r="BZ13" s="311">
        <f>IF($BI13&lt;&gt;"",IF('Capacity summary'!$D$14="Yes",IF(COUNTBLANK('Capacity summary'!$H132:$BG132)&lt;52,IF('Capacity summary'!W132&lt;&gt;"",IF(LOWER('Capacity summary'!W132)="x",$BI13*W13,VALUE('Capacity summary'!W132)),0),W13*$BI13),W13*$BI13),0)</f>
        <v>0</v>
      </c>
      <c r="CA13" s="311">
        <f>IF($BI13&lt;&gt;"",IF('Capacity summary'!$D$14="Yes",IF(COUNTBLANK('Capacity summary'!$H132:$BG132)&lt;52,IF('Capacity summary'!X132&lt;&gt;"",IF(LOWER('Capacity summary'!X132)="x",$BI13*X13,VALUE('Capacity summary'!X132)),0),X13*$BI13),X13*$BI13),0)</f>
        <v>0</v>
      </c>
      <c r="CB13" s="311">
        <f>IF($BI13&lt;&gt;"",IF('Capacity summary'!$D$14="Yes",IF(COUNTBLANK('Capacity summary'!$H132:$BG132)&lt;52,IF('Capacity summary'!Y132&lt;&gt;"",IF(LOWER('Capacity summary'!Y132)="x",$BI13*Y13,VALUE('Capacity summary'!Y132)),0),Y13*$BI13),Y13*$BI13),0)</f>
        <v>0</v>
      </c>
      <c r="CC13" s="311">
        <f>IF($BI13&lt;&gt;"",IF('Capacity summary'!$D$14="Yes",IF(COUNTBLANK('Capacity summary'!$H132:$BG132)&lt;52,IF('Capacity summary'!Z132&lt;&gt;"",IF(LOWER('Capacity summary'!Z132)="x",$BI13*Z13,VALUE('Capacity summary'!Z132)),0),Z13*$BI13),Z13*$BI13),0)</f>
        <v>0</v>
      </c>
      <c r="CD13" s="311">
        <f>IF($BI13&lt;&gt;"",IF('Capacity summary'!$D$14="Yes",IF(COUNTBLANK('Capacity summary'!$H132:$BG132)&lt;52,IF('Capacity summary'!AA132&lt;&gt;"",IF(LOWER('Capacity summary'!AA132)="x",$BI13*AA13,VALUE('Capacity summary'!AA132)),0),AA13*$BI13),AA13*$BI13),0)</f>
        <v>0</v>
      </c>
      <c r="CE13" s="311">
        <f>IF($BI13&lt;&gt;"",IF('Capacity summary'!$D$14="Yes",IF(COUNTBLANK('Capacity summary'!$H132:$BG132)&lt;52,IF('Capacity summary'!AB132&lt;&gt;"",IF(LOWER('Capacity summary'!AB132)="x",$BI13*AB13,VALUE('Capacity summary'!AB132)),0),AB13*$BI13),AB13*$BI13),0)</f>
        <v>0</v>
      </c>
      <c r="CF13" s="311">
        <f>IF($BI13&lt;&gt;"",IF('Capacity summary'!$D$14="Yes",IF(COUNTBLANK('Capacity summary'!$H132:$BG132)&lt;52,IF('Capacity summary'!AC132&lt;&gt;"",IF(LOWER('Capacity summary'!AC132)="x",$BI13*AC13,VALUE('Capacity summary'!AC132)),0),AC13*$BI13),AC13*$BI13),0)</f>
        <v>0</v>
      </c>
      <c r="CG13" s="311">
        <f>IF($BI13&lt;&gt;"",IF('Capacity summary'!$D$14="Yes",IF(COUNTBLANK('Capacity summary'!$H132:$BG132)&lt;52,IF('Capacity summary'!AD132&lt;&gt;"",IF(LOWER('Capacity summary'!AD132)="x",$BI13*AD13,VALUE('Capacity summary'!AD132)),0),AD13*$BI13),AD13*$BI13),0)</f>
        <v>0</v>
      </c>
      <c r="CH13" s="311">
        <f>IF($BI13&lt;&gt;"",IF('Capacity summary'!$D$14="Yes",IF(COUNTBLANK('Capacity summary'!$H132:$BG132)&lt;52,IF('Capacity summary'!AE132&lt;&gt;"",IF(LOWER('Capacity summary'!AE132)="x",$BI13*AE13,VALUE('Capacity summary'!AE132)),0),AE13*$BI13),AE13*$BI13),0)</f>
        <v>0</v>
      </c>
      <c r="CI13" s="311">
        <f>IF($BI13&lt;&gt;"",IF('Capacity summary'!$D$14="Yes",IF(COUNTBLANK('Capacity summary'!$H132:$BG132)&lt;52,IF('Capacity summary'!AF132&lt;&gt;"",IF(LOWER('Capacity summary'!AF132)="x",$BI13*AF13,VALUE('Capacity summary'!AF132)),0),AF13*$BI13),AF13*$BI13),0)</f>
        <v>0</v>
      </c>
      <c r="CJ13" s="311">
        <f>IF($BI13&lt;&gt;"",IF('Capacity summary'!$D$14="Yes",IF(COUNTBLANK('Capacity summary'!$H132:$BG132)&lt;52,IF('Capacity summary'!AG132&lt;&gt;"",IF(LOWER('Capacity summary'!AG132)="x",$BI13*AG13,VALUE('Capacity summary'!AG132)),0),AG13*$BI13),AG13*$BI13),0)</f>
        <v>0</v>
      </c>
      <c r="CK13" s="311">
        <f>IF($BI13&lt;&gt;"",IF('Capacity summary'!$D$14="Yes",IF(COUNTBLANK('Capacity summary'!$H132:$BG132)&lt;52,IF('Capacity summary'!AH132&lt;&gt;"",IF(LOWER('Capacity summary'!AH132)="x",$BI13*AH13,VALUE('Capacity summary'!AH132)),0),AH13*$BI13),AH13*$BI13),0)</f>
        <v>0</v>
      </c>
      <c r="CL13" s="311">
        <f>IF($BI13&lt;&gt;"",IF('Capacity summary'!$D$14="Yes",IF(COUNTBLANK('Capacity summary'!$H132:$BG132)&lt;52,IF('Capacity summary'!AI132&lt;&gt;"",IF(LOWER('Capacity summary'!AI132)="x",$BI13*AI13,VALUE('Capacity summary'!AI132)),0),AI13*$BI13),AI13*$BI13),0)</f>
        <v>0</v>
      </c>
      <c r="CM13" s="311">
        <f>IF($BI13&lt;&gt;"",IF('Capacity summary'!$D$14="Yes",IF(COUNTBLANK('Capacity summary'!$H132:$BG132)&lt;52,IF('Capacity summary'!AJ132&lt;&gt;"",IF(LOWER('Capacity summary'!AJ132)="x",$BI13*AJ13,VALUE('Capacity summary'!AJ132)),0),AJ13*$BI13),AJ13*$BI13),0)</f>
        <v>0</v>
      </c>
      <c r="CN13" s="311">
        <f>IF($BI13&lt;&gt;"",IF('Capacity summary'!$D$14="Yes",IF(COUNTBLANK('Capacity summary'!$H132:$BG132)&lt;52,IF('Capacity summary'!AK132&lt;&gt;"",IF(LOWER('Capacity summary'!AK132)="x",$BI13*AK13,VALUE('Capacity summary'!AK132)),0),AK13*$BI13),AK13*$BI13),0)</f>
        <v>0</v>
      </c>
      <c r="CO13" s="311">
        <f>IF($BI13&lt;&gt;"",IF('Capacity summary'!$D$14="Yes",IF(COUNTBLANK('Capacity summary'!$H132:$BG132)&lt;52,IF('Capacity summary'!AL132&lt;&gt;"",IF(LOWER('Capacity summary'!AL132)="x",$BI13*AL13,VALUE('Capacity summary'!AL132)),0),AL13*$BI13),AL13*$BI13),0)</f>
        <v>0</v>
      </c>
      <c r="CP13" s="311">
        <f>IF($BI13&lt;&gt;"",IF('Capacity summary'!$D$14="Yes",IF(COUNTBLANK('Capacity summary'!$H132:$BG132)&lt;52,IF('Capacity summary'!AM132&lt;&gt;"",IF(LOWER('Capacity summary'!AM132)="x",$BI13*AM13,VALUE('Capacity summary'!AM132)),0),AM13*$BI13),AM13*$BI13),0)</f>
        <v>0</v>
      </c>
      <c r="CQ13" s="311">
        <f>IF($BI13&lt;&gt;"",IF('Capacity summary'!$D$14="Yes",IF(COUNTBLANK('Capacity summary'!$H132:$BG132)&lt;52,IF('Capacity summary'!AN132&lt;&gt;"",IF(LOWER('Capacity summary'!AN132)="x",$BI13*AN13,VALUE('Capacity summary'!AN132)),0),AN13*$BI13),AN13*$BI13),0)</f>
        <v>0</v>
      </c>
      <c r="CR13" s="311">
        <f>IF($BI13&lt;&gt;"",IF('Capacity summary'!$D$14="Yes",IF(COUNTBLANK('Capacity summary'!$H132:$BG132)&lt;52,IF('Capacity summary'!AO132&lt;&gt;"",IF(LOWER('Capacity summary'!AO132)="x",$BI13*AO13,VALUE('Capacity summary'!AO132)),0),AO13*$BI13),AO13*$BI13),0)</f>
        <v>0</v>
      </c>
      <c r="CS13" s="311">
        <f>IF($BI13&lt;&gt;"",IF('Capacity summary'!$D$14="Yes",IF(COUNTBLANK('Capacity summary'!$H132:$BG132)&lt;52,IF('Capacity summary'!AP132&lt;&gt;"",IF(LOWER('Capacity summary'!AP132)="x",$BI13*AP13,VALUE('Capacity summary'!AP132)),0),AP13*$BI13),AP13*$BI13),0)</f>
        <v>0</v>
      </c>
      <c r="CT13" s="311">
        <f>IF($BI13&lt;&gt;"",IF('Capacity summary'!$D$14="Yes",IF(COUNTBLANK('Capacity summary'!$H132:$BG132)&lt;52,IF('Capacity summary'!AQ132&lt;&gt;"",IF(LOWER('Capacity summary'!AQ132)="x",$BI13*AQ13,VALUE('Capacity summary'!AQ132)),0),AQ13*$BI13),AQ13*$BI13),0)</f>
        <v>0</v>
      </c>
      <c r="CU13" s="311">
        <f>IF($BI13&lt;&gt;"",IF('Capacity summary'!$D$14="Yes",IF(COUNTBLANK('Capacity summary'!$H132:$BG132)&lt;52,IF('Capacity summary'!AR132&lt;&gt;"",IF(LOWER('Capacity summary'!AR132)="x",$BI13*AR13,VALUE('Capacity summary'!AR132)),0),AR13*$BI13),AR13*$BI13),0)</f>
        <v>0</v>
      </c>
      <c r="CV13" s="311">
        <f>IF($BI13&lt;&gt;"",IF('Capacity summary'!$D$14="Yes",IF(COUNTBLANK('Capacity summary'!$H132:$BG132)&lt;52,IF('Capacity summary'!AS132&lt;&gt;"",IF(LOWER('Capacity summary'!AS132)="x",$BI13*AS13,VALUE('Capacity summary'!AS132)),0),AS13*$BI13),AS13*$BI13),0)</f>
        <v>0</v>
      </c>
      <c r="CW13" s="311">
        <f>IF($BI13&lt;&gt;"",IF('Capacity summary'!$D$14="Yes",IF(COUNTBLANK('Capacity summary'!$H132:$BG132)&lt;52,IF('Capacity summary'!AT132&lt;&gt;"",IF(LOWER('Capacity summary'!AT132)="x",$BI13*AT13,VALUE('Capacity summary'!AT132)),0),AT13*$BI13),AT13*$BI13),0)</f>
        <v>0</v>
      </c>
      <c r="CX13" s="311">
        <f>IF($BI13&lt;&gt;"",IF('Capacity summary'!$D$14="Yes",IF(COUNTBLANK('Capacity summary'!$H132:$BG132)&lt;52,IF('Capacity summary'!AU132&lt;&gt;"",IF(LOWER('Capacity summary'!AU132)="x",$BI13*AU13,VALUE('Capacity summary'!AU132)),0),AU13*$BI13),AU13*$BI13),0)</f>
        <v>0</v>
      </c>
      <c r="CY13" s="311">
        <f>IF($BI13&lt;&gt;"",IF('Capacity summary'!$D$14="Yes",IF(COUNTBLANK('Capacity summary'!$H132:$BG132)&lt;52,IF('Capacity summary'!AV132&lt;&gt;"",IF(LOWER('Capacity summary'!AV132)="x",$BI13*AV13,VALUE('Capacity summary'!AV132)),0),AV13*$BI13),AV13*$BI13),0)</f>
        <v>0</v>
      </c>
      <c r="CZ13" s="311">
        <f>IF($BI13&lt;&gt;"",IF('Capacity summary'!$D$14="Yes",IF(COUNTBLANK('Capacity summary'!$H132:$BG132)&lt;52,IF('Capacity summary'!AW132&lt;&gt;"",IF(LOWER('Capacity summary'!AW132)="x",$BI13*AW13,VALUE('Capacity summary'!AW132)),0),AW13*$BI13),AW13*$BI13),0)</f>
        <v>0</v>
      </c>
      <c r="DA13" s="311">
        <f>IF($BI13&lt;&gt;"",IF('Capacity summary'!$D$14="Yes",IF(COUNTBLANK('Capacity summary'!$H132:$BG132)&lt;52,IF('Capacity summary'!AX132&lt;&gt;"",IF(LOWER('Capacity summary'!AX132)="x",$BI13*AX13,VALUE('Capacity summary'!AX132)),0),AX13*$BI13),AX13*$BI13),0)</f>
        <v>0</v>
      </c>
      <c r="DB13" s="311">
        <f>IF($BI13&lt;&gt;"",IF('Capacity summary'!$D$14="Yes",IF(COUNTBLANK('Capacity summary'!$H132:$BG132)&lt;52,IF('Capacity summary'!AY132&lt;&gt;"",IF(LOWER('Capacity summary'!AY132)="x",$BI13*AY13,VALUE('Capacity summary'!AY132)),0),AY13*$BI13),AY13*$BI13),0)</f>
        <v>0</v>
      </c>
      <c r="DC13" s="311">
        <f>IF($BI13&lt;&gt;"",IF('Capacity summary'!$D$14="Yes",IF(COUNTBLANK('Capacity summary'!$H132:$BG132)&lt;52,IF('Capacity summary'!AZ132&lt;&gt;"",IF(LOWER('Capacity summary'!AZ132)="x",$BI13*AZ13,VALUE('Capacity summary'!AZ132)),0),AZ13*$BI13),AZ13*$BI13),0)</f>
        <v>0</v>
      </c>
      <c r="DD13" s="311">
        <f>IF($BI13&lt;&gt;"",IF('Capacity summary'!$D$14="Yes",IF(COUNTBLANK('Capacity summary'!$H132:$BG132)&lt;52,IF('Capacity summary'!BA132&lt;&gt;"",IF(LOWER('Capacity summary'!BA132)="x",$BI13*BA13,VALUE('Capacity summary'!BA132)),0),BA13*$BI13),BA13*$BI13),0)</f>
        <v>0</v>
      </c>
      <c r="DE13" s="311">
        <f>IF($BI13&lt;&gt;"",IF('Capacity summary'!$D$14="Yes",IF(COUNTBLANK('Capacity summary'!$H132:$BG132)&lt;52,IF('Capacity summary'!BB132&lt;&gt;"",IF(LOWER('Capacity summary'!BB132)="x",$BI13*BB13,VALUE('Capacity summary'!BB132)),0),BB13*$BI13),BB13*$BI13),0)</f>
        <v>0</v>
      </c>
      <c r="DF13" s="311">
        <f>IF($BI13&lt;&gt;"",IF('Capacity summary'!$D$14="Yes",IF(COUNTBLANK('Capacity summary'!$H132:$BG132)&lt;52,IF('Capacity summary'!BC132&lt;&gt;"",IF(LOWER('Capacity summary'!BC132)="x",$BI13*BC13,VALUE('Capacity summary'!BC132)),0),BC13*$BI13),BC13*$BI13),0)</f>
        <v>0</v>
      </c>
      <c r="DG13" s="311">
        <f>IF($BI13&lt;&gt;"",IF('Capacity summary'!$D$14="Yes",IF(COUNTBLANK('Capacity summary'!$H132:$BG132)&lt;52,IF('Capacity summary'!BD132&lt;&gt;"",IF(LOWER('Capacity summary'!BD132)="x",$BI13*BD13,VALUE('Capacity summary'!BD132)),0),BD13*$BI13),BD13*$BI13),0)</f>
        <v>0</v>
      </c>
      <c r="DH13" s="311">
        <f>IF($BI13&lt;&gt;"",IF('Capacity summary'!$D$14="Yes",IF(COUNTBLANK('Capacity summary'!$H132:$BG132)&lt;52,IF('Capacity summary'!BE132&lt;&gt;"",IF(LOWER('Capacity summary'!BE132)="x",$BI13*BE13,VALUE('Capacity summary'!BE132)),0),BE13*$BI13),BE13*$BI13),0)</f>
        <v>0</v>
      </c>
      <c r="DI13" s="311">
        <f>IF($BI13&lt;&gt;"",IF('Capacity summary'!$D$14="Yes",IF(COUNTBLANK('Capacity summary'!$H132:$BG132)&lt;52,IF('Capacity summary'!BF132&lt;&gt;"",IF(LOWER('Capacity summary'!BF132)="x",$BI13*BF13,VALUE('Capacity summary'!BF132)),0),BF13*$BI13),BF13*$BI13),0)</f>
        <v>0</v>
      </c>
      <c r="DJ13" s="311">
        <f>IF($BI13&lt;&gt;"",IF('Capacity summary'!$D$14="Yes",IF(COUNTBLANK('Capacity summary'!$H132:$BG132)&lt;52,IF('Capacity summary'!BG132&lt;&gt;"",IF(LOWER('Capacity summary'!BG132)="x",$BI13*BG13,VALUE('Capacity summary'!BG132)),0),BG13*$BI13),BG13*$BI13),0)</f>
        <v>0</v>
      </c>
      <c r="DK13" s="391">
        <f t="shared" si="2"/>
        <v>0</v>
      </c>
      <c r="DL13" s="136">
        <f t="shared" si="3"/>
        <v>0</v>
      </c>
      <c r="DM13" s="311" t="str">
        <f>Capacity!H25</f>
        <v/>
      </c>
      <c r="DQ13" s="5"/>
    </row>
    <row r="14" spans="1:121" x14ac:dyDescent="0.2">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1">
        <f>IF($BI14&lt;&gt;"",IF('Capacity summary'!$D$14="Yes",IF(COUNTBLANK('Capacity summary'!$H133:$BG133)&lt;52,IF('Capacity summary'!H133&lt;&gt;"",IF(LOWER('Capacity summary'!H133)="x",$BI14*H14,VALUE('Capacity summary'!H133)),0),H14*$BI14),H14*$BI14),0)</f>
        <v>0</v>
      </c>
      <c r="BL14" s="311">
        <f>IF($BI14&lt;&gt;"",IF('Capacity summary'!$D$14="Yes",IF(COUNTBLANK('Capacity summary'!$H133:$BG133)&lt;52,IF('Capacity summary'!I133&lt;&gt;"",IF(LOWER('Capacity summary'!I133)="x",$BI14*I14,VALUE('Capacity summary'!I133)),0),I14*$BI14),I14*$BI14),0)</f>
        <v>0</v>
      </c>
      <c r="BM14" s="311">
        <f>IF($BI14&lt;&gt;"",IF('Capacity summary'!$D$14="Yes",IF(COUNTBLANK('Capacity summary'!$H133:$BG133)&lt;52,IF('Capacity summary'!J133&lt;&gt;"",IF(LOWER('Capacity summary'!J133)="x",$BI14*J14,VALUE('Capacity summary'!J133)),0),J14*$BI14),J14*$BI14),0)</f>
        <v>0</v>
      </c>
      <c r="BN14" s="311">
        <f>IF($BI14&lt;&gt;"",IF('Capacity summary'!$D$14="Yes",IF(COUNTBLANK('Capacity summary'!$H133:$BG133)&lt;52,IF('Capacity summary'!K133&lt;&gt;"",IF(LOWER('Capacity summary'!K133)="x",$BI14*K14,VALUE('Capacity summary'!K133)),0),K14*$BI14),K14*$BI14),0)</f>
        <v>0</v>
      </c>
      <c r="BO14" s="311">
        <f>IF($BI14&lt;&gt;"",IF('Capacity summary'!$D$14="Yes",IF(COUNTBLANK('Capacity summary'!$H133:$BG133)&lt;52,IF('Capacity summary'!L133&lt;&gt;"",IF(LOWER('Capacity summary'!L133)="x",$BI14*L14,VALUE('Capacity summary'!L133)),0),L14*$BI14),L14*$BI14),0)</f>
        <v>0</v>
      </c>
      <c r="BP14" s="311">
        <f>IF($BI14&lt;&gt;"",IF('Capacity summary'!$D$14="Yes",IF(COUNTBLANK('Capacity summary'!$H133:$BG133)&lt;52,IF('Capacity summary'!M133&lt;&gt;"",IF(LOWER('Capacity summary'!M133)="x",$BI14*M14,VALUE('Capacity summary'!M133)),0),M14*$BI14),M14*$BI14),0)</f>
        <v>0</v>
      </c>
      <c r="BQ14" s="311">
        <f>IF($BI14&lt;&gt;"",IF('Capacity summary'!$D$14="Yes",IF(COUNTBLANK('Capacity summary'!$H133:$BG133)&lt;52,IF('Capacity summary'!N133&lt;&gt;"",IF(LOWER('Capacity summary'!N133)="x",$BI14*N14,VALUE('Capacity summary'!N133)),0),N14*$BI14),N14*$BI14),0)</f>
        <v>0</v>
      </c>
      <c r="BR14" s="311">
        <f>IF($BI14&lt;&gt;"",IF('Capacity summary'!$D$14="Yes",IF(COUNTBLANK('Capacity summary'!$H133:$BG133)&lt;52,IF('Capacity summary'!O133&lt;&gt;"",IF(LOWER('Capacity summary'!O133)="x",$BI14*O14,VALUE('Capacity summary'!O133)),0),O14*$BI14),O14*$BI14),0)</f>
        <v>0</v>
      </c>
      <c r="BS14" s="311">
        <f>IF($BI14&lt;&gt;"",IF('Capacity summary'!$D$14="Yes",IF(COUNTBLANK('Capacity summary'!$H133:$BG133)&lt;52,IF('Capacity summary'!P133&lt;&gt;"",IF(LOWER('Capacity summary'!P133)="x",$BI14*P14,VALUE('Capacity summary'!P133)),0),P14*$BI14),P14*$BI14),0)</f>
        <v>0</v>
      </c>
      <c r="BT14" s="311">
        <f>IF($BI14&lt;&gt;"",IF('Capacity summary'!$D$14="Yes",IF(COUNTBLANK('Capacity summary'!$H133:$BG133)&lt;52,IF('Capacity summary'!Q133&lt;&gt;"",IF(LOWER('Capacity summary'!Q133)="x",$BI14*Q14,VALUE('Capacity summary'!Q133)),0),Q14*$BI14),Q14*$BI14),0)</f>
        <v>0</v>
      </c>
      <c r="BU14" s="311">
        <f>IF($BI14&lt;&gt;"",IF('Capacity summary'!$D$14="Yes",IF(COUNTBLANK('Capacity summary'!$H133:$BG133)&lt;52,IF('Capacity summary'!R133&lt;&gt;"",IF(LOWER('Capacity summary'!R133)="x",$BI14*R14,VALUE('Capacity summary'!R133)),0),R14*$BI14),R14*$BI14),0)</f>
        <v>0</v>
      </c>
      <c r="BV14" s="311">
        <f>IF($BI14&lt;&gt;"",IF('Capacity summary'!$D$14="Yes",IF(COUNTBLANK('Capacity summary'!$H133:$BG133)&lt;52,IF('Capacity summary'!S133&lt;&gt;"",IF(LOWER('Capacity summary'!S133)="x",$BI14*S14,VALUE('Capacity summary'!S133)),0),S14*$BI14),S14*$BI14),0)</f>
        <v>0</v>
      </c>
      <c r="BW14" s="311">
        <f>IF($BI14&lt;&gt;"",IF('Capacity summary'!$D$14="Yes",IF(COUNTBLANK('Capacity summary'!$H133:$BG133)&lt;52,IF('Capacity summary'!T133&lt;&gt;"",IF(LOWER('Capacity summary'!T133)="x",$BI14*T14,VALUE('Capacity summary'!T133)),0),T14*$BI14),T14*$BI14),0)</f>
        <v>0</v>
      </c>
      <c r="BX14" s="311">
        <f>IF($BI14&lt;&gt;"",IF('Capacity summary'!$D$14="Yes",IF(COUNTBLANK('Capacity summary'!$H133:$BG133)&lt;52,IF('Capacity summary'!U133&lt;&gt;"",IF(LOWER('Capacity summary'!U133)="x",$BI14*U14,VALUE('Capacity summary'!U133)),0),U14*$BI14),U14*$BI14),0)</f>
        <v>0</v>
      </c>
      <c r="BY14" s="311">
        <f>IF($BI14&lt;&gt;"",IF('Capacity summary'!$D$14="Yes",IF(COUNTBLANK('Capacity summary'!$H133:$BG133)&lt;52,IF('Capacity summary'!V133&lt;&gt;"",IF(LOWER('Capacity summary'!V133)="x",$BI14*V14,VALUE('Capacity summary'!V133)),0),V14*$BI14),V14*$BI14),0)</f>
        <v>0</v>
      </c>
      <c r="BZ14" s="311">
        <f>IF($BI14&lt;&gt;"",IF('Capacity summary'!$D$14="Yes",IF(COUNTBLANK('Capacity summary'!$H133:$BG133)&lt;52,IF('Capacity summary'!W133&lt;&gt;"",IF(LOWER('Capacity summary'!W133)="x",$BI14*W14,VALUE('Capacity summary'!W133)),0),W14*$BI14),W14*$BI14),0)</f>
        <v>0</v>
      </c>
      <c r="CA14" s="311">
        <f>IF($BI14&lt;&gt;"",IF('Capacity summary'!$D$14="Yes",IF(COUNTBLANK('Capacity summary'!$H133:$BG133)&lt;52,IF('Capacity summary'!X133&lt;&gt;"",IF(LOWER('Capacity summary'!X133)="x",$BI14*X14,VALUE('Capacity summary'!X133)),0),X14*$BI14),X14*$BI14),0)</f>
        <v>0</v>
      </c>
      <c r="CB14" s="311">
        <f>IF($BI14&lt;&gt;"",IF('Capacity summary'!$D$14="Yes",IF(COUNTBLANK('Capacity summary'!$H133:$BG133)&lt;52,IF('Capacity summary'!Y133&lt;&gt;"",IF(LOWER('Capacity summary'!Y133)="x",$BI14*Y14,VALUE('Capacity summary'!Y133)),0),Y14*$BI14),Y14*$BI14),0)</f>
        <v>0</v>
      </c>
      <c r="CC14" s="311">
        <f>IF($BI14&lt;&gt;"",IF('Capacity summary'!$D$14="Yes",IF(COUNTBLANK('Capacity summary'!$H133:$BG133)&lt;52,IF('Capacity summary'!Z133&lt;&gt;"",IF(LOWER('Capacity summary'!Z133)="x",$BI14*Z14,VALUE('Capacity summary'!Z133)),0),Z14*$BI14),Z14*$BI14),0)</f>
        <v>0</v>
      </c>
      <c r="CD14" s="311">
        <f>IF($BI14&lt;&gt;"",IF('Capacity summary'!$D$14="Yes",IF(COUNTBLANK('Capacity summary'!$H133:$BG133)&lt;52,IF('Capacity summary'!AA133&lt;&gt;"",IF(LOWER('Capacity summary'!AA133)="x",$BI14*AA14,VALUE('Capacity summary'!AA133)),0),AA14*$BI14),AA14*$BI14),0)</f>
        <v>0</v>
      </c>
      <c r="CE14" s="311">
        <f>IF($BI14&lt;&gt;"",IF('Capacity summary'!$D$14="Yes",IF(COUNTBLANK('Capacity summary'!$H133:$BG133)&lt;52,IF('Capacity summary'!AB133&lt;&gt;"",IF(LOWER('Capacity summary'!AB133)="x",$BI14*AB14,VALUE('Capacity summary'!AB133)),0),AB14*$BI14),AB14*$BI14),0)</f>
        <v>0</v>
      </c>
      <c r="CF14" s="311">
        <f>IF($BI14&lt;&gt;"",IF('Capacity summary'!$D$14="Yes",IF(COUNTBLANK('Capacity summary'!$H133:$BG133)&lt;52,IF('Capacity summary'!AC133&lt;&gt;"",IF(LOWER('Capacity summary'!AC133)="x",$BI14*AC14,VALUE('Capacity summary'!AC133)),0),AC14*$BI14),AC14*$BI14),0)</f>
        <v>0</v>
      </c>
      <c r="CG14" s="311">
        <f>IF($BI14&lt;&gt;"",IF('Capacity summary'!$D$14="Yes",IF(COUNTBLANK('Capacity summary'!$H133:$BG133)&lt;52,IF('Capacity summary'!AD133&lt;&gt;"",IF(LOWER('Capacity summary'!AD133)="x",$BI14*AD14,VALUE('Capacity summary'!AD133)),0),AD14*$BI14),AD14*$BI14),0)</f>
        <v>0</v>
      </c>
      <c r="CH14" s="311">
        <f>IF($BI14&lt;&gt;"",IF('Capacity summary'!$D$14="Yes",IF(COUNTBLANK('Capacity summary'!$H133:$BG133)&lt;52,IF('Capacity summary'!AE133&lt;&gt;"",IF(LOWER('Capacity summary'!AE133)="x",$BI14*AE14,VALUE('Capacity summary'!AE133)),0),AE14*$BI14),AE14*$BI14),0)</f>
        <v>0</v>
      </c>
      <c r="CI14" s="311">
        <f>IF($BI14&lt;&gt;"",IF('Capacity summary'!$D$14="Yes",IF(COUNTBLANK('Capacity summary'!$H133:$BG133)&lt;52,IF('Capacity summary'!AF133&lt;&gt;"",IF(LOWER('Capacity summary'!AF133)="x",$BI14*AF14,VALUE('Capacity summary'!AF133)),0),AF14*$BI14),AF14*$BI14),0)</f>
        <v>0</v>
      </c>
      <c r="CJ14" s="311">
        <f>IF($BI14&lt;&gt;"",IF('Capacity summary'!$D$14="Yes",IF(COUNTBLANK('Capacity summary'!$H133:$BG133)&lt;52,IF('Capacity summary'!AG133&lt;&gt;"",IF(LOWER('Capacity summary'!AG133)="x",$BI14*AG14,VALUE('Capacity summary'!AG133)),0),AG14*$BI14),AG14*$BI14),0)</f>
        <v>0</v>
      </c>
      <c r="CK14" s="311">
        <f>IF($BI14&lt;&gt;"",IF('Capacity summary'!$D$14="Yes",IF(COUNTBLANK('Capacity summary'!$H133:$BG133)&lt;52,IF('Capacity summary'!AH133&lt;&gt;"",IF(LOWER('Capacity summary'!AH133)="x",$BI14*AH14,VALUE('Capacity summary'!AH133)),0),AH14*$BI14),AH14*$BI14),0)</f>
        <v>0</v>
      </c>
      <c r="CL14" s="311">
        <f>IF($BI14&lt;&gt;"",IF('Capacity summary'!$D$14="Yes",IF(COUNTBLANK('Capacity summary'!$H133:$BG133)&lt;52,IF('Capacity summary'!AI133&lt;&gt;"",IF(LOWER('Capacity summary'!AI133)="x",$BI14*AI14,VALUE('Capacity summary'!AI133)),0),AI14*$BI14),AI14*$BI14),0)</f>
        <v>0</v>
      </c>
      <c r="CM14" s="311">
        <f>IF($BI14&lt;&gt;"",IF('Capacity summary'!$D$14="Yes",IF(COUNTBLANK('Capacity summary'!$H133:$BG133)&lt;52,IF('Capacity summary'!AJ133&lt;&gt;"",IF(LOWER('Capacity summary'!AJ133)="x",$BI14*AJ14,VALUE('Capacity summary'!AJ133)),0),AJ14*$BI14),AJ14*$BI14),0)</f>
        <v>0</v>
      </c>
      <c r="CN14" s="311">
        <f>IF($BI14&lt;&gt;"",IF('Capacity summary'!$D$14="Yes",IF(COUNTBLANK('Capacity summary'!$H133:$BG133)&lt;52,IF('Capacity summary'!AK133&lt;&gt;"",IF(LOWER('Capacity summary'!AK133)="x",$BI14*AK14,VALUE('Capacity summary'!AK133)),0),AK14*$BI14),AK14*$BI14),0)</f>
        <v>0</v>
      </c>
      <c r="CO14" s="311">
        <f>IF($BI14&lt;&gt;"",IF('Capacity summary'!$D$14="Yes",IF(COUNTBLANK('Capacity summary'!$H133:$BG133)&lt;52,IF('Capacity summary'!AL133&lt;&gt;"",IF(LOWER('Capacity summary'!AL133)="x",$BI14*AL14,VALUE('Capacity summary'!AL133)),0),AL14*$BI14),AL14*$BI14),0)</f>
        <v>0</v>
      </c>
      <c r="CP14" s="311">
        <f>IF($BI14&lt;&gt;"",IF('Capacity summary'!$D$14="Yes",IF(COUNTBLANK('Capacity summary'!$H133:$BG133)&lt;52,IF('Capacity summary'!AM133&lt;&gt;"",IF(LOWER('Capacity summary'!AM133)="x",$BI14*AM14,VALUE('Capacity summary'!AM133)),0),AM14*$BI14),AM14*$BI14),0)</f>
        <v>0</v>
      </c>
      <c r="CQ14" s="311">
        <f>IF($BI14&lt;&gt;"",IF('Capacity summary'!$D$14="Yes",IF(COUNTBLANK('Capacity summary'!$H133:$BG133)&lt;52,IF('Capacity summary'!AN133&lt;&gt;"",IF(LOWER('Capacity summary'!AN133)="x",$BI14*AN14,VALUE('Capacity summary'!AN133)),0),AN14*$BI14),AN14*$BI14),0)</f>
        <v>0</v>
      </c>
      <c r="CR14" s="311">
        <f>IF($BI14&lt;&gt;"",IF('Capacity summary'!$D$14="Yes",IF(COUNTBLANK('Capacity summary'!$H133:$BG133)&lt;52,IF('Capacity summary'!AO133&lt;&gt;"",IF(LOWER('Capacity summary'!AO133)="x",$BI14*AO14,VALUE('Capacity summary'!AO133)),0),AO14*$BI14),AO14*$BI14),0)</f>
        <v>0</v>
      </c>
      <c r="CS14" s="311">
        <f>IF($BI14&lt;&gt;"",IF('Capacity summary'!$D$14="Yes",IF(COUNTBLANK('Capacity summary'!$H133:$BG133)&lt;52,IF('Capacity summary'!AP133&lt;&gt;"",IF(LOWER('Capacity summary'!AP133)="x",$BI14*AP14,VALUE('Capacity summary'!AP133)),0),AP14*$BI14),AP14*$BI14),0)</f>
        <v>0</v>
      </c>
      <c r="CT14" s="311">
        <f>IF($BI14&lt;&gt;"",IF('Capacity summary'!$D$14="Yes",IF(COUNTBLANK('Capacity summary'!$H133:$BG133)&lt;52,IF('Capacity summary'!AQ133&lt;&gt;"",IF(LOWER('Capacity summary'!AQ133)="x",$BI14*AQ14,VALUE('Capacity summary'!AQ133)),0),AQ14*$BI14),AQ14*$BI14),0)</f>
        <v>0</v>
      </c>
      <c r="CU14" s="311">
        <f>IF($BI14&lt;&gt;"",IF('Capacity summary'!$D$14="Yes",IF(COUNTBLANK('Capacity summary'!$H133:$BG133)&lt;52,IF('Capacity summary'!AR133&lt;&gt;"",IF(LOWER('Capacity summary'!AR133)="x",$BI14*AR14,VALUE('Capacity summary'!AR133)),0),AR14*$BI14),AR14*$BI14),0)</f>
        <v>0</v>
      </c>
      <c r="CV14" s="311">
        <f>IF($BI14&lt;&gt;"",IF('Capacity summary'!$D$14="Yes",IF(COUNTBLANK('Capacity summary'!$H133:$BG133)&lt;52,IF('Capacity summary'!AS133&lt;&gt;"",IF(LOWER('Capacity summary'!AS133)="x",$BI14*AS14,VALUE('Capacity summary'!AS133)),0),AS14*$BI14),AS14*$BI14),0)</f>
        <v>0</v>
      </c>
      <c r="CW14" s="311">
        <f>IF($BI14&lt;&gt;"",IF('Capacity summary'!$D$14="Yes",IF(COUNTBLANK('Capacity summary'!$H133:$BG133)&lt;52,IF('Capacity summary'!AT133&lt;&gt;"",IF(LOWER('Capacity summary'!AT133)="x",$BI14*AT14,VALUE('Capacity summary'!AT133)),0),AT14*$BI14),AT14*$BI14),0)</f>
        <v>0</v>
      </c>
      <c r="CX14" s="311">
        <f>IF($BI14&lt;&gt;"",IF('Capacity summary'!$D$14="Yes",IF(COUNTBLANK('Capacity summary'!$H133:$BG133)&lt;52,IF('Capacity summary'!AU133&lt;&gt;"",IF(LOWER('Capacity summary'!AU133)="x",$BI14*AU14,VALUE('Capacity summary'!AU133)),0),AU14*$BI14),AU14*$BI14),0)</f>
        <v>0</v>
      </c>
      <c r="CY14" s="311">
        <f>IF($BI14&lt;&gt;"",IF('Capacity summary'!$D$14="Yes",IF(COUNTBLANK('Capacity summary'!$H133:$BG133)&lt;52,IF('Capacity summary'!AV133&lt;&gt;"",IF(LOWER('Capacity summary'!AV133)="x",$BI14*AV14,VALUE('Capacity summary'!AV133)),0),AV14*$BI14),AV14*$BI14),0)</f>
        <v>0</v>
      </c>
      <c r="CZ14" s="311">
        <f>IF($BI14&lt;&gt;"",IF('Capacity summary'!$D$14="Yes",IF(COUNTBLANK('Capacity summary'!$H133:$BG133)&lt;52,IF('Capacity summary'!AW133&lt;&gt;"",IF(LOWER('Capacity summary'!AW133)="x",$BI14*AW14,VALUE('Capacity summary'!AW133)),0),AW14*$BI14),AW14*$BI14),0)</f>
        <v>0</v>
      </c>
      <c r="DA14" s="311">
        <f>IF($BI14&lt;&gt;"",IF('Capacity summary'!$D$14="Yes",IF(COUNTBLANK('Capacity summary'!$H133:$BG133)&lt;52,IF('Capacity summary'!AX133&lt;&gt;"",IF(LOWER('Capacity summary'!AX133)="x",$BI14*AX14,VALUE('Capacity summary'!AX133)),0),AX14*$BI14),AX14*$BI14),0)</f>
        <v>0</v>
      </c>
      <c r="DB14" s="311">
        <f>IF($BI14&lt;&gt;"",IF('Capacity summary'!$D$14="Yes",IF(COUNTBLANK('Capacity summary'!$H133:$BG133)&lt;52,IF('Capacity summary'!AY133&lt;&gt;"",IF(LOWER('Capacity summary'!AY133)="x",$BI14*AY14,VALUE('Capacity summary'!AY133)),0),AY14*$BI14),AY14*$BI14),0)</f>
        <v>0</v>
      </c>
      <c r="DC14" s="311">
        <f>IF($BI14&lt;&gt;"",IF('Capacity summary'!$D$14="Yes",IF(COUNTBLANK('Capacity summary'!$H133:$BG133)&lt;52,IF('Capacity summary'!AZ133&lt;&gt;"",IF(LOWER('Capacity summary'!AZ133)="x",$BI14*AZ14,VALUE('Capacity summary'!AZ133)),0),AZ14*$BI14),AZ14*$BI14),0)</f>
        <v>0</v>
      </c>
      <c r="DD14" s="311">
        <f>IF($BI14&lt;&gt;"",IF('Capacity summary'!$D$14="Yes",IF(COUNTBLANK('Capacity summary'!$H133:$BG133)&lt;52,IF('Capacity summary'!BA133&lt;&gt;"",IF(LOWER('Capacity summary'!BA133)="x",$BI14*BA14,VALUE('Capacity summary'!BA133)),0),BA14*$BI14),BA14*$BI14),0)</f>
        <v>0</v>
      </c>
      <c r="DE14" s="311">
        <f>IF($BI14&lt;&gt;"",IF('Capacity summary'!$D$14="Yes",IF(COUNTBLANK('Capacity summary'!$H133:$BG133)&lt;52,IF('Capacity summary'!BB133&lt;&gt;"",IF(LOWER('Capacity summary'!BB133)="x",$BI14*BB14,VALUE('Capacity summary'!BB133)),0),BB14*$BI14),BB14*$BI14),0)</f>
        <v>0</v>
      </c>
      <c r="DF14" s="311">
        <f>IF($BI14&lt;&gt;"",IF('Capacity summary'!$D$14="Yes",IF(COUNTBLANK('Capacity summary'!$H133:$BG133)&lt;52,IF('Capacity summary'!BC133&lt;&gt;"",IF(LOWER('Capacity summary'!BC133)="x",$BI14*BC14,VALUE('Capacity summary'!BC133)),0),BC14*$BI14),BC14*$BI14),0)</f>
        <v>0</v>
      </c>
      <c r="DG14" s="311">
        <f>IF($BI14&lt;&gt;"",IF('Capacity summary'!$D$14="Yes",IF(COUNTBLANK('Capacity summary'!$H133:$BG133)&lt;52,IF('Capacity summary'!BD133&lt;&gt;"",IF(LOWER('Capacity summary'!BD133)="x",$BI14*BD14,VALUE('Capacity summary'!BD133)),0),BD14*$BI14),BD14*$BI14),0)</f>
        <v>0</v>
      </c>
      <c r="DH14" s="311">
        <f>IF($BI14&lt;&gt;"",IF('Capacity summary'!$D$14="Yes",IF(COUNTBLANK('Capacity summary'!$H133:$BG133)&lt;52,IF('Capacity summary'!BE133&lt;&gt;"",IF(LOWER('Capacity summary'!BE133)="x",$BI14*BE14,VALUE('Capacity summary'!BE133)),0),BE14*$BI14),BE14*$BI14),0)</f>
        <v>0</v>
      </c>
      <c r="DI14" s="311">
        <f>IF($BI14&lt;&gt;"",IF('Capacity summary'!$D$14="Yes",IF(COUNTBLANK('Capacity summary'!$H133:$BG133)&lt;52,IF('Capacity summary'!BF133&lt;&gt;"",IF(LOWER('Capacity summary'!BF133)="x",$BI14*BF14,VALUE('Capacity summary'!BF133)),0),BF14*$BI14),BF14*$BI14),0)</f>
        <v>0</v>
      </c>
      <c r="DJ14" s="311">
        <f>IF($BI14&lt;&gt;"",IF('Capacity summary'!$D$14="Yes",IF(COUNTBLANK('Capacity summary'!$H133:$BG133)&lt;52,IF('Capacity summary'!BG133&lt;&gt;"",IF(LOWER('Capacity summary'!BG133)="x",$BI14*BG14,VALUE('Capacity summary'!BG133)),0),BG14*$BI14),BG14*$BI14),0)</f>
        <v>0</v>
      </c>
      <c r="DK14" s="391">
        <f t="shared" si="2"/>
        <v>0</v>
      </c>
      <c r="DL14" s="136">
        <f t="shared" si="3"/>
        <v>0</v>
      </c>
      <c r="DM14" s="311" t="str">
        <f>Capacity!H26</f>
        <v/>
      </c>
      <c r="DQ14" s="5"/>
    </row>
    <row r="15" spans="1:121" x14ac:dyDescent="0.2">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1">
        <f>IF($BI15&lt;&gt;"",IF('Capacity summary'!$D$14="Yes",IF(COUNTBLANK('Capacity summary'!$H134:$BG134)&lt;52,IF('Capacity summary'!H134&lt;&gt;"",IF(LOWER('Capacity summary'!H134)="x",$BI15*H15,VALUE('Capacity summary'!H134)),0),H15*$BI15),H15*$BI15),0)</f>
        <v>0</v>
      </c>
      <c r="BL15" s="311">
        <f>IF($BI15&lt;&gt;"",IF('Capacity summary'!$D$14="Yes",IF(COUNTBLANK('Capacity summary'!$H134:$BG134)&lt;52,IF('Capacity summary'!I134&lt;&gt;"",IF(LOWER('Capacity summary'!I134)="x",$BI15*I15,VALUE('Capacity summary'!I134)),0),I15*$BI15),I15*$BI15),0)</f>
        <v>0</v>
      </c>
      <c r="BM15" s="311">
        <f>IF($BI15&lt;&gt;"",IF('Capacity summary'!$D$14="Yes",IF(COUNTBLANK('Capacity summary'!$H134:$BG134)&lt;52,IF('Capacity summary'!J134&lt;&gt;"",IF(LOWER('Capacity summary'!J134)="x",$BI15*J15,VALUE('Capacity summary'!J134)),0),J15*$BI15),J15*$BI15),0)</f>
        <v>0</v>
      </c>
      <c r="BN15" s="311">
        <f>IF($BI15&lt;&gt;"",IF('Capacity summary'!$D$14="Yes",IF(COUNTBLANK('Capacity summary'!$H134:$BG134)&lt;52,IF('Capacity summary'!K134&lt;&gt;"",IF(LOWER('Capacity summary'!K134)="x",$BI15*K15,VALUE('Capacity summary'!K134)),0),K15*$BI15),K15*$BI15),0)</f>
        <v>0</v>
      </c>
      <c r="BO15" s="311">
        <f>IF($BI15&lt;&gt;"",IF('Capacity summary'!$D$14="Yes",IF(COUNTBLANK('Capacity summary'!$H134:$BG134)&lt;52,IF('Capacity summary'!L134&lt;&gt;"",IF(LOWER('Capacity summary'!L134)="x",$BI15*L15,VALUE('Capacity summary'!L134)),0),L15*$BI15),L15*$BI15),0)</f>
        <v>0</v>
      </c>
      <c r="BP15" s="311">
        <f>IF($BI15&lt;&gt;"",IF('Capacity summary'!$D$14="Yes",IF(COUNTBLANK('Capacity summary'!$H134:$BG134)&lt;52,IF('Capacity summary'!M134&lt;&gt;"",IF(LOWER('Capacity summary'!M134)="x",$BI15*M15,VALUE('Capacity summary'!M134)),0),M15*$BI15),M15*$BI15),0)</f>
        <v>0</v>
      </c>
      <c r="BQ15" s="311">
        <f>IF($BI15&lt;&gt;"",IF('Capacity summary'!$D$14="Yes",IF(COUNTBLANK('Capacity summary'!$H134:$BG134)&lt;52,IF('Capacity summary'!N134&lt;&gt;"",IF(LOWER('Capacity summary'!N134)="x",$BI15*N15,VALUE('Capacity summary'!N134)),0),N15*$BI15),N15*$BI15),0)</f>
        <v>0</v>
      </c>
      <c r="BR15" s="311">
        <f>IF($BI15&lt;&gt;"",IF('Capacity summary'!$D$14="Yes",IF(COUNTBLANK('Capacity summary'!$H134:$BG134)&lt;52,IF('Capacity summary'!O134&lt;&gt;"",IF(LOWER('Capacity summary'!O134)="x",$BI15*O15,VALUE('Capacity summary'!O134)),0),O15*$BI15),O15*$BI15),0)</f>
        <v>0</v>
      </c>
      <c r="BS15" s="311">
        <f>IF($BI15&lt;&gt;"",IF('Capacity summary'!$D$14="Yes",IF(COUNTBLANK('Capacity summary'!$H134:$BG134)&lt;52,IF('Capacity summary'!P134&lt;&gt;"",IF(LOWER('Capacity summary'!P134)="x",$BI15*P15,VALUE('Capacity summary'!P134)),0),P15*$BI15),P15*$BI15),0)</f>
        <v>0</v>
      </c>
      <c r="BT15" s="311">
        <f>IF($BI15&lt;&gt;"",IF('Capacity summary'!$D$14="Yes",IF(COUNTBLANK('Capacity summary'!$H134:$BG134)&lt;52,IF('Capacity summary'!Q134&lt;&gt;"",IF(LOWER('Capacity summary'!Q134)="x",$BI15*Q15,VALUE('Capacity summary'!Q134)),0),Q15*$BI15),Q15*$BI15),0)</f>
        <v>0</v>
      </c>
      <c r="BU15" s="311">
        <f>IF($BI15&lt;&gt;"",IF('Capacity summary'!$D$14="Yes",IF(COUNTBLANK('Capacity summary'!$H134:$BG134)&lt;52,IF('Capacity summary'!R134&lt;&gt;"",IF(LOWER('Capacity summary'!R134)="x",$BI15*R15,VALUE('Capacity summary'!R134)),0),R15*$BI15),R15*$BI15),0)</f>
        <v>0</v>
      </c>
      <c r="BV15" s="311">
        <f>IF($BI15&lt;&gt;"",IF('Capacity summary'!$D$14="Yes",IF(COUNTBLANK('Capacity summary'!$H134:$BG134)&lt;52,IF('Capacity summary'!S134&lt;&gt;"",IF(LOWER('Capacity summary'!S134)="x",$BI15*S15,VALUE('Capacity summary'!S134)),0),S15*$BI15),S15*$BI15),0)</f>
        <v>0</v>
      </c>
      <c r="BW15" s="311">
        <f>IF($BI15&lt;&gt;"",IF('Capacity summary'!$D$14="Yes",IF(COUNTBLANK('Capacity summary'!$H134:$BG134)&lt;52,IF('Capacity summary'!T134&lt;&gt;"",IF(LOWER('Capacity summary'!T134)="x",$BI15*T15,VALUE('Capacity summary'!T134)),0),T15*$BI15),T15*$BI15),0)</f>
        <v>0</v>
      </c>
      <c r="BX15" s="311">
        <f>IF($BI15&lt;&gt;"",IF('Capacity summary'!$D$14="Yes",IF(COUNTBLANK('Capacity summary'!$H134:$BG134)&lt;52,IF('Capacity summary'!U134&lt;&gt;"",IF(LOWER('Capacity summary'!U134)="x",$BI15*U15,VALUE('Capacity summary'!U134)),0),U15*$BI15),U15*$BI15),0)</f>
        <v>0</v>
      </c>
      <c r="BY15" s="311">
        <f>IF($BI15&lt;&gt;"",IF('Capacity summary'!$D$14="Yes",IF(COUNTBLANK('Capacity summary'!$H134:$BG134)&lt;52,IF('Capacity summary'!V134&lt;&gt;"",IF(LOWER('Capacity summary'!V134)="x",$BI15*V15,VALUE('Capacity summary'!V134)),0),V15*$BI15),V15*$BI15),0)</f>
        <v>0</v>
      </c>
      <c r="BZ15" s="311">
        <f>IF($BI15&lt;&gt;"",IF('Capacity summary'!$D$14="Yes",IF(COUNTBLANK('Capacity summary'!$H134:$BG134)&lt;52,IF('Capacity summary'!W134&lt;&gt;"",IF(LOWER('Capacity summary'!W134)="x",$BI15*W15,VALUE('Capacity summary'!W134)),0),W15*$BI15),W15*$BI15),0)</f>
        <v>0</v>
      </c>
      <c r="CA15" s="311">
        <f>IF($BI15&lt;&gt;"",IF('Capacity summary'!$D$14="Yes",IF(COUNTBLANK('Capacity summary'!$H134:$BG134)&lt;52,IF('Capacity summary'!X134&lt;&gt;"",IF(LOWER('Capacity summary'!X134)="x",$BI15*X15,VALUE('Capacity summary'!X134)),0),X15*$BI15),X15*$BI15),0)</f>
        <v>0</v>
      </c>
      <c r="CB15" s="311">
        <f>IF($BI15&lt;&gt;"",IF('Capacity summary'!$D$14="Yes",IF(COUNTBLANK('Capacity summary'!$H134:$BG134)&lt;52,IF('Capacity summary'!Y134&lt;&gt;"",IF(LOWER('Capacity summary'!Y134)="x",$BI15*Y15,VALUE('Capacity summary'!Y134)),0),Y15*$BI15),Y15*$BI15),0)</f>
        <v>0</v>
      </c>
      <c r="CC15" s="311">
        <f>IF($BI15&lt;&gt;"",IF('Capacity summary'!$D$14="Yes",IF(COUNTBLANK('Capacity summary'!$H134:$BG134)&lt;52,IF('Capacity summary'!Z134&lt;&gt;"",IF(LOWER('Capacity summary'!Z134)="x",$BI15*Z15,VALUE('Capacity summary'!Z134)),0),Z15*$BI15),Z15*$BI15),0)</f>
        <v>0</v>
      </c>
      <c r="CD15" s="311">
        <f>IF($BI15&lt;&gt;"",IF('Capacity summary'!$D$14="Yes",IF(COUNTBLANK('Capacity summary'!$H134:$BG134)&lt;52,IF('Capacity summary'!AA134&lt;&gt;"",IF(LOWER('Capacity summary'!AA134)="x",$BI15*AA15,VALUE('Capacity summary'!AA134)),0),AA15*$BI15),AA15*$BI15),0)</f>
        <v>0</v>
      </c>
      <c r="CE15" s="311">
        <f>IF($BI15&lt;&gt;"",IF('Capacity summary'!$D$14="Yes",IF(COUNTBLANK('Capacity summary'!$H134:$BG134)&lt;52,IF('Capacity summary'!AB134&lt;&gt;"",IF(LOWER('Capacity summary'!AB134)="x",$BI15*AB15,VALUE('Capacity summary'!AB134)),0),AB15*$BI15),AB15*$BI15),0)</f>
        <v>0</v>
      </c>
      <c r="CF15" s="311">
        <f>IF($BI15&lt;&gt;"",IF('Capacity summary'!$D$14="Yes",IF(COUNTBLANK('Capacity summary'!$H134:$BG134)&lt;52,IF('Capacity summary'!AC134&lt;&gt;"",IF(LOWER('Capacity summary'!AC134)="x",$BI15*AC15,VALUE('Capacity summary'!AC134)),0),AC15*$BI15),AC15*$BI15),0)</f>
        <v>0</v>
      </c>
      <c r="CG15" s="311">
        <f>IF($BI15&lt;&gt;"",IF('Capacity summary'!$D$14="Yes",IF(COUNTBLANK('Capacity summary'!$H134:$BG134)&lt;52,IF('Capacity summary'!AD134&lt;&gt;"",IF(LOWER('Capacity summary'!AD134)="x",$BI15*AD15,VALUE('Capacity summary'!AD134)),0),AD15*$BI15),AD15*$BI15),0)</f>
        <v>0</v>
      </c>
      <c r="CH15" s="311">
        <f>IF($BI15&lt;&gt;"",IF('Capacity summary'!$D$14="Yes",IF(COUNTBLANK('Capacity summary'!$H134:$BG134)&lt;52,IF('Capacity summary'!AE134&lt;&gt;"",IF(LOWER('Capacity summary'!AE134)="x",$BI15*AE15,VALUE('Capacity summary'!AE134)),0),AE15*$BI15),AE15*$BI15),0)</f>
        <v>0</v>
      </c>
      <c r="CI15" s="311">
        <f>IF($BI15&lt;&gt;"",IF('Capacity summary'!$D$14="Yes",IF(COUNTBLANK('Capacity summary'!$H134:$BG134)&lt;52,IF('Capacity summary'!AF134&lt;&gt;"",IF(LOWER('Capacity summary'!AF134)="x",$BI15*AF15,VALUE('Capacity summary'!AF134)),0),AF15*$BI15),AF15*$BI15),0)</f>
        <v>0</v>
      </c>
      <c r="CJ15" s="311">
        <f>IF($BI15&lt;&gt;"",IF('Capacity summary'!$D$14="Yes",IF(COUNTBLANK('Capacity summary'!$H134:$BG134)&lt;52,IF('Capacity summary'!AG134&lt;&gt;"",IF(LOWER('Capacity summary'!AG134)="x",$BI15*AG15,VALUE('Capacity summary'!AG134)),0),AG15*$BI15),AG15*$BI15),0)</f>
        <v>0</v>
      </c>
      <c r="CK15" s="311">
        <f>IF($BI15&lt;&gt;"",IF('Capacity summary'!$D$14="Yes",IF(COUNTBLANK('Capacity summary'!$H134:$BG134)&lt;52,IF('Capacity summary'!AH134&lt;&gt;"",IF(LOWER('Capacity summary'!AH134)="x",$BI15*AH15,VALUE('Capacity summary'!AH134)),0),AH15*$BI15),AH15*$BI15),0)</f>
        <v>0</v>
      </c>
      <c r="CL15" s="311">
        <f>IF($BI15&lt;&gt;"",IF('Capacity summary'!$D$14="Yes",IF(COUNTBLANK('Capacity summary'!$H134:$BG134)&lt;52,IF('Capacity summary'!AI134&lt;&gt;"",IF(LOWER('Capacity summary'!AI134)="x",$BI15*AI15,VALUE('Capacity summary'!AI134)),0),AI15*$BI15),AI15*$BI15),0)</f>
        <v>0</v>
      </c>
      <c r="CM15" s="311">
        <f>IF($BI15&lt;&gt;"",IF('Capacity summary'!$D$14="Yes",IF(COUNTBLANK('Capacity summary'!$H134:$BG134)&lt;52,IF('Capacity summary'!AJ134&lt;&gt;"",IF(LOWER('Capacity summary'!AJ134)="x",$BI15*AJ15,VALUE('Capacity summary'!AJ134)),0),AJ15*$BI15),AJ15*$BI15),0)</f>
        <v>0</v>
      </c>
      <c r="CN15" s="311">
        <f>IF($BI15&lt;&gt;"",IF('Capacity summary'!$D$14="Yes",IF(COUNTBLANK('Capacity summary'!$H134:$BG134)&lt;52,IF('Capacity summary'!AK134&lt;&gt;"",IF(LOWER('Capacity summary'!AK134)="x",$BI15*AK15,VALUE('Capacity summary'!AK134)),0),AK15*$BI15),AK15*$BI15),0)</f>
        <v>0</v>
      </c>
      <c r="CO15" s="311">
        <f>IF($BI15&lt;&gt;"",IF('Capacity summary'!$D$14="Yes",IF(COUNTBLANK('Capacity summary'!$H134:$BG134)&lt;52,IF('Capacity summary'!AL134&lt;&gt;"",IF(LOWER('Capacity summary'!AL134)="x",$BI15*AL15,VALUE('Capacity summary'!AL134)),0),AL15*$BI15),AL15*$BI15),0)</f>
        <v>0</v>
      </c>
      <c r="CP15" s="311">
        <f>IF($BI15&lt;&gt;"",IF('Capacity summary'!$D$14="Yes",IF(COUNTBLANK('Capacity summary'!$H134:$BG134)&lt;52,IF('Capacity summary'!AM134&lt;&gt;"",IF(LOWER('Capacity summary'!AM134)="x",$BI15*AM15,VALUE('Capacity summary'!AM134)),0),AM15*$BI15),AM15*$BI15),0)</f>
        <v>0</v>
      </c>
      <c r="CQ15" s="311">
        <f>IF($BI15&lt;&gt;"",IF('Capacity summary'!$D$14="Yes",IF(COUNTBLANK('Capacity summary'!$H134:$BG134)&lt;52,IF('Capacity summary'!AN134&lt;&gt;"",IF(LOWER('Capacity summary'!AN134)="x",$BI15*AN15,VALUE('Capacity summary'!AN134)),0),AN15*$BI15),AN15*$BI15),0)</f>
        <v>0</v>
      </c>
      <c r="CR15" s="311">
        <f>IF($BI15&lt;&gt;"",IF('Capacity summary'!$D$14="Yes",IF(COUNTBLANK('Capacity summary'!$H134:$BG134)&lt;52,IF('Capacity summary'!AO134&lt;&gt;"",IF(LOWER('Capacity summary'!AO134)="x",$BI15*AO15,VALUE('Capacity summary'!AO134)),0),AO15*$BI15),AO15*$BI15),0)</f>
        <v>0</v>
      </c>
      <c r="CS15" s="311">
        <f>IF($BI15&lt;&gt;"",IF('Capacity summary'!$D$14="Yes",IF(COUNTBLANK('Capacity summary'!$H134:$BG134)&lt;52,IF('Capacity summary'!AP134&lt;&gt;"",IF(LOWER('Capacity summary'!AP134)="x",$BI15*AP15,VALUE('Capacity summary'!AP134)),0),AP15*$BI15),AP15*$BI15),0)</f>
        <v>0</v>
      </c>
      <c r="CT15" s="311">
        <f>IF($BI15&lt;&gt;"",IF('Capacity summary'!$D$14="Yes",IF(COUNTBLANK('Capacity summary'!$H134:$BG134)&lt;52,IF('Capacity summary'!AQ134&lt;&gt;"",IF(LOWER('Capacity summary'!AQ134)="x",$BI15*AQ15,VALUE('Capacity summary'!AQ134)),0),AQ15*$BI15),AQ15*$BI15),0)</f>
        <v>0</v>
      </c>
      <c r="CU15" s="311">
        <f>IF($BI15&lt;&gt;"",IF('Capacity summary'!$D$14="Yes",IF(COUNTBLANK('Capacity summary'!$H134:$BG134)&lt;52,IF('Capacity summary'!AR134&lt;&gt;"",IF(LOWER('Capacity summary'!AR134)="x",$BI15*AR15,VALUE('Capacity summary'!AR134)),0),AR15*$BI15),AR15*$BI15),0)</f>
        <v>0</v>
      </c>
      <c r="CV15" s="311">
        <f>IF($BI15&lt;&gt;"",IF('Capacity summary'!$D$14="Yes",IF(COUNTBLANK('Capacity summary'!$H134:$BG134)&lt;52,IF('Capacity summary'!AS134&lt;&gt;"",IF(LOWER('Capacity summary'!AS134)="x",$BI15*AS15,VALUE('Capacity summary'!AS134)),0),AS15*$BI15),AS15*$BI15),0)</f>
        <v>0</v>
      </c>
      <c r="CW15" s="311">
        <f>IF($BI15&lt;&gt;"",IF('Capacity summary'!$D$14="Yes",IF(COUNTBLANK('Capacity summary'!$H134:$BG134)&lt;52,IF('Capacity summary'!AT134&lt;&gt;"",IF(LOWER('Capacity summary'!AT134)="x",$BI15*AT15,VALUE('Capacity summary'!AT134)),0),AT15*$BI15),AT15*$BI15),0)</f>
        <v>0</v>
      </c>
      <c r="CX15" s="311">
        <f>IF($BI15&lt;&gt;"",IF('Capacity summary'!$D$14="Yes",IF(COUNTBLANK('Capacity summary'!$H134:$BG134)&lt;52,IF('Capacity summary'!AU134&lt;&gt;"",IF(LOWER('Capacity summary'!AU134)="x",$BI15*AU15,VALUE('Capacity summary'!AU134)),0),AU15*$BI15),AU15*$BI15),0)</f>
        <v>0</v>
      </c>
      <c r="CY15" s="311">
        <f>IF($BI15&lt;&gt;"",IF('Capacity summary'!$D$14="Yes",IF(COUNTBLANK('Capacity summary'!$H134:$BG134)&lt;52,IF('Capacity summary'!AV134&lt;&gt;"",IF(LOWER('Capacity summary'!AV134)="x",$BI15*AV15,VALUE('Capacity summary'!AV134)),0),AV15*$BI15),AV15*$BI15),0)</f>
        <v>0</v>
      </c>
      <c r="CZ15" s="311">
        <f>IF($BI15&lt;&gt;"",IF('Capacity summary'!$D$14="Yes",IF(COUNTBLANK('Capacity summary'!$H134:$BG134)&lt;52,IF('Capacity summary'!AW134&lt;&gt;"",IF(LOWER('Capacity summary'!AW134)="x",$BI15*AW15,VALUE('Capacity summary'!AW134)),0),AW15*$BI15),AW15*$BI15),0)</f>
        <v>0</v>
      </c>
      <c r="DA15" s="311">
        <f>IF($BI15&lt;&gt;"",IF('Capacity summary'!$D$14="Yes",IF(COUNTBLANK('Capacity summary'!$H134:$BG134)&lt;52,IF('Capacity summary'!AX134&lt;&gt;"",IF(LOWER('Capacity summary'!AX134)="x",$BI15*AX15,VALUE('Capacity summary'!AX134)),0),AX15*$BI15),AX15*$BI15),0)</f>
        <v>0</v>
      </c>
      <c r="DB15" s="311">
        <f>IF($BI15&lt;&gt;"",IF('Capacity summary'!$D$14="Yes",IF(COUNTBLANK('Capacity summary'!$H134:$BG134)&lt;52,IF('Capacity summary'!AY134&lt;&gt;"",IF(LOWER('Capacity summary'!AY134)="x",$BI15*AY15,VALUE('Capacity summary'!AY134)),0),AY15*$BI15),AY15*$BI15),0)</f>
        <v>0</v>
      </c>
      <c r="DC15" s="311">
        <f>IF($BI15&lt;&gt;"",IF('Capacity summary'!$D$14="Yes",IF(COUNTBLANK('Capacity summary'!$H134:$BG134)&lt;52,IF('Capacity summary'!AZ134&lt;&gt;"",IF(LOWER('Capacity summary'!AZ134)="x",$BI15*AZ15,VALUE('Capacity summary'!AZ134)),0),AZ15*$BI15),AZ15*$BI15),0)</f>
        <v>0</v>
      </c>
      <c r="DD15" s="311">
        <f>IF($BI15&lt;&gt;"",IF('Capacity summary'!$D$14="Yes",IF(COUNTBLANK('Capacity summary'!$H134:$BG134)&lt;52,IF('Capacity summary'!BA134&lt;&gt;"",IF(LOWER('Capacity summary'!BA134)="x",$BI15*BA15,VALUE('Capacity summary'!BA134)),0),BA15*$BI15),BA15*$BI15),0)</f>
        <v>0</v>
      </c>
      <c r="DE15" s="311">
        <f>IF($BI15&lt;&gt;"",IF('Capacity summary'!$D$14="Yes",IF(COUNTBLANK('Capacity summary'!$H134:$BG134)&lt;52,IF('Capacity summary'!BB134&lt;&gt;"",IF(LOWER('Capacity summary'!BB134)="x",$BI15*BB15,VALUE('Capacity summary'!BB134)),0),BB15*$BI15),BB15*$BI15),0)</f>
        <v>0</v>
      </c>
      <c r="DF15" s="311">
        <f>IF($BI15&lt;&gt;"",IF('Capacity summary'!$D$14="Yes",IF(COUNTBLANK('Capacity summary'!$H134:$BG134)&lt;52,IF('Capacity summary'!BC134&lt;&gt;"",IF(LOWER('Capacity summary'!BC134)="x",$BI15*BC15,VALUE('Capacity summary'!BC134)),0),BC15*$BI15),BC15*$BI15),0)</f>
        <v>0</v>
      </c>
      <c r="DG15" s="311">
        <f>IF($BI15&lt;&gt;"",IF('Capacity summary'!$D$14="Yes",IF(COUNTBLANK('Capacity summary'!$H134:$BG134)&lt;52,IF('Capacity summary'!BD134&lt;&gt;"",IF(LOWER('Capacity summary'!BD134)="x",$BI15*BD15,VALUE('Capacity summary'!BD134)),0),BD15*$BI15),BD15*$BI15),0)</f>
        <v>0</v>
      </c>
      <c r="DH15" s="311">
        <f>IF($BI15&lt;&gt;"",IF('Capacity summary'!$D$14="Yes",IF(COUNTBLANK('Capacity summary'!$H134:$BG134)&lt;52,IF('Capacity summary'!BE134&lt;&gt;"",IF(LOWER('Capacity summary'!BE134)="x",$BI15*BE15,VALUE('Capacity summary'!BE134)),0),BE15*$BI15),BE15*$BI15),0)</f>
        <v>0</v>
      </c>
      <c r="DI15" s="311">
        <f>IF($BI15&lt;&gt;"",IF('Capacity summary'!$D$14="Yes",IF(COUNTBLANK('Capacity summary'!$H134:$BG134)&lt;52,IF('Capacity summary'!BF134&lt;&gt;"",IF(LOWER('Capacity summary'!BF134)="x",$BI15*BF15,VALUE('Capacity summary'!BF134)),0),BF15*$BI15),BF15*$BI15),0)</f>
        <v>0</v>
      </c>
      <c r="DJ15" s="311">
        <f>IF($BI15&lt;&gt;"",IF('Capacity summary'!$D$14="Yes",IF(COUNTBLANK('Capacity summary'!$H134:$BG134)&lt;52,IF('Capacity summary'!BG134&lt;&gt;"",IF(LOWER('Capacity summary'!BG134)="x",$BI15*BG15,VALUE('Capacity summary'!BG134)),0),BG15*$BI15),BG15*$BI15),0)</f>
        <v>0</v>
      </c>
      <c r="DK15" s="391">
        <f t="shared" si="2"/>
        <v>0</v>
      </c>
      <c r="DL15" s="136">
        <f t="shared" si="3"/>
        <v>0</v>
      </c>
      <c r="DM15" s="311" t="str">
        <f>Capacity!H27</f>
        <v/>
      </c>
      <c r="DQ15" s="5"/>
    </row>
    <row r="16" spans="1:121" x14ac:dyDescent="0.2">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1">
        <f>IF($BI16&lt;&gt;"",IF('Capacity summary'!$D$14="Yes",IF(COUNTBLANK('Capacity summary'!$H135:$BG135)&lt;52,IF('Capacity summary'!H135&lt;&gt;"",IF(LOWER('Capacity summary'!H135)="x",$BI16*H16,VALUE('Capacity summary'!H135)),0),H16*$BI16),H16*$BI16),0)</f>
        <v>0</v>
      </c>
      <c r="BL16" s="311">
        <f>IF($BI16&lt;&gt;"",IF('Capacity summary'!$D$14="Yes",IF(COUNTBLANK('Capacity summary'!$H135:$BG135)&lt;52,IF('Capacity summary'!I135&lt;&gt;"",IF(LOWER('Capacity summary'!I135)="x",$BI16*I16,VALUE('Capacity summary'!I135)),0),I16*$BI16),I16*$BI16),0)</f>
        <v>0</v>
      </c>
      <c r="BM16" s="311">
        <f>IF($BI16&lt;&gt;"",IF('Capacity summary'!$D$14="Yes",IF(COUNTBLANK('Capacity summary'!$H135:$BG135)&lt;52,IF('Capacity summary'!J135&lt;&gt;"",IF(LOWER('Capacity summary'!J135)="x",$BI16*J16,VALUE('Capacity summary'!J135)),0),J16*$BI16),J16*$BI16),0)</f>
        <v>0</v>
      </c>
      <c r="BN16" s="311">
        <f>IF($BI16&lt;&gt;"",IF('Capacity summary'!$D$14="Yes",IF(COUNTBLANK('Capacity summary'!$H135:$BG135)&lt;52,IF('Capacity summary'!K135&lt;&gt;"",IF(LOWER('Capacity summary'!K135)="x",$BI16*K16,VALUE('Capacity summary'!K135)),0),K16*$BI16),K16*$BI16),0)</f>
        <v>0</v>
      </c>
      <c r="BO16" s="311">
        <f>IF($BI16&lt;&gt;"",IF('Capacity summary'!$D$14="Yes",IF(COUNTBLANK('Capacity summary'!$H135:$BG135)&lt;52,IF('Capacity summary'!L135&lt;&gt;"",IF(LOWER('Capacity summary'!L135)="x",$BI16*L16,VALUE('Capacity summary'!L135)),0),L16*$BI16),L16*$BI16),0)</f>
        <v>0</v>
      </c>
      <c r="BP16" s="311">
        <f>IF($BI16&lt;&gt;"",IF('Capacity summary'!$D$14="Yes",IF(COUNTBLANK('Capacity summary'!$H135:$BG135)&lt;52,IF('Capacity summary'!M135&lt;&gt;"",IF(LOWER('Capacity summary'!M135)="x",$BI16*M16,VALUE('Capacity summary'!M135)),0),M16*$BI16),M16*$BI16),0)</f>
        <v>0</v>
      </c>
      <c r="BQ16" s="311">
        <f>IF($BI16&lt;&gt;"",IF('Capacity summary'!$D$14="Yes",IF(COUNTBLANK('Capacity summary'!$H135:$BG135)&lt;52,IF('Capacity summary'!N135&lt;&gt;"",IF(LOWER('Capacity summary'!N135)="x",$BI16*N16,VALUE('Capacity summary'!N135)),0),N16*$BI16),N16*$BI16),0)</f>
        <v>0</v>
      </c>
      <c r="BR16" s="311">
        <f>IF($BI16&lt;&gt;"",IF('Capacity summary'!$D$14="Yes",IF(COUNTBLANK('Capacity summary'!$H135:$BG135)&lt;52,IF('Capacity summary'!O135&lt;&gt;"",IF(LOWER('Capacity summary'!O135)="x",$BI16*O16,VALUE('Capacity summary'!O135)),0),O16*$BI16),O16*$BI16),0)</f>
        <v>0</v>
      </c>
      <c r="BS16" s="311">
        <f>IF($BI16&lt;&gt;"",IF('Capacity summary'!$D$14="Yes",IF(COUNTBLANK('Capacity summary'!$H135:$BG135)&lt;52,IF('Capacity summary'!P135&lt;&gt;"",IF(LOWER('Capacity summary'!P135)="x",$BI16*P16,VALUE('Capacity summary'!P135)),0),P16*$BI16),P16*$BI16),0)</f>
        <v>0</v>
      </c>
      <c r="BT16" s="311">
        <f>IF($BI16&lt;&gt;"",IF('Capacity summary'!$D$14="Yes",IF(COUNTBLANK('Capacity summary'!$H135:$BG135)&lt;52,IF('Capacity summary'!Q135&lt;&gt;"",IF(LOWER('Capacity summary'!Q135)="x",$BI16*Q16,VALUE('Capacity summary'!Q135)),0),Q16*$BI16),Q16*$BI16),0)</f>
        <v>0</v>
      </c>
      <c r="BU16" s="311">
        <f>IF($BI16&lt;&gt;"",IF('Capacity summary'!$D$14="Yes",IF(COUNTBLANK('Capacity summary'!$H135:$BG135)&lt;52,IF('Capacity summary'!R135&lt;&gt;"",IF(LOWER('Capacity summary'!R135)="x",$BI16*R16,VALUE('Capacity summary'!R135)),0),R16*$BI16),R16*$BI16),0)</f>
        <v>0</v>
      </c>
      <c r="BV16" s="311">
        <f>IF($BI16&lt;&gt;"",IF('Capacity summary'!$D$14="Yes",IF(COUNTBLANK('Capacity summary'!$H135:$BG135)&lt;52,IF('Capacity summary'!S135&lt;&gt;"",IF(LOWER('Capacity summary'!S135)="x",$BI16*S16,VALUE('Capacity summary'!S135)),0),S16*$BI16),S16*$BI16),0)</f>
        <v>0</v>
      </c>
      <c r="BW16" s="311">
        <f>IF($BI16&lt;&gt;"",IF('Capacity summary'!$D$14="Yes",IF(COUNTBLANK('Capacity summary'!$H135:$BG135)&lt;52,IF('Capacity summary'!T135&lt;&gt;"",IF(LOWER('Capacity summary'!T135)="x",$BI16*T16,VALUE('Capacity summary'!T135)),0),T16*$BI16),T16*$BI16),0)</f>
        <v>0</v>
      </c>
      <c r="BX16" s="311">
        <f>IF($BI16&lt;&gt;"",IF('Capacity summary'!$D$14="Yes",IF(COUNTBLANK('Capacity summary'!$H135:$BG135)&lt;52,IF('Capacity summary'!U135&lt;&gt;"",IF(LOWER('Capacity summary'!U135)="x",$BI16*U16,VALUE('Capacity summary'!U135)),0),U16*$BI16),U16*$BI16),0)</f>
        <v>0</v>
      </c>
      <c r="BY16" s="311">
        <f>IF($BI16&lt;&gt;"",IF('Capacity summary'!$D$14="Yes",IF(COUNTBLANK('Capacity summary'!$H135:$BG135)&lt;52,IF('Capacity summary'!V135&lt;&gt;"",IF(LOWER('Capacity summary'!V135)="x",$BI16*V16,VALUE('Capacity summary'!V135)),0),V16*$BI16),V16*$BI16),0)</f>
        <v>0</v>
      </c>
      <c r="BZ16" s="311">
        <f>IF($BI16&lt;&gt;"",IF('Capacity summary'!$D$14="Yes",IF(COUNTBLANK('Capacity summary'!$H135:$BG135)&lt;52,IF('Capacity summary'!W135&lt;&gt;"",IF(LOWER('Capacity summary'!W135)="x",$BI16*W16,VALUE('Capacity summary'!W135)),0),W16*$BI16),W16*$BI16),0)</f>
        <v>0</v>
      </c>
      <c r="CA16" s="311">
        <f>IF($BI16&lt;&gt;"",IF('Capacity summary'!$D$14="Yes",IF(COUNTBLANK('Capacity summary'!$H135:$BG135)&lt;52,IF('Capacity summary'!X135&lt;&gt;"",IF(LOWER('Capacity summary'!X135)="x",$BI16*X16,VALUE('Capacity summary'!X135)),0),X16*$BI16),X16*$BI16),0)</f>
        <v>0</v>
      </c>
      <c r="CB16" s="311">
        <f>IF($BI16&lt;&gt;"",IF('Capacity summary'!$D$14="Yes",IF(COUNTBLANK('Capacity summary'!$H135:$BG135)&lt;52,IF('Capacity summary'!Y135&lt;&gt;"",IF(LOWER('Capacity summary'!Y135)="x",$BI16*Y16,VALUE('Capacity summary'!Y135)),0),Y16*$BI16),Y16*$BI16),0)</f>
        <v>0</v>
      </c>
      <c r="CC16" s="311">
        <f>IF($BI16&lt;&gt;"",IF('Capacity summary'!$D$14="Yes",IF(COUNTBLANK('Capacity summary'!$H135:$BG135)&lt;52,IF('Capacity summary'!Z135&lt;&gt;"",IF(LOWER('Capacity summary'!Z135)="x",$BI16*Z16,VALUE('Capacity summary'!Z135)),0),Z16*$BI16),Z16*$BI16),0)</f>
        <v>0</v>
      </c>
      <c r="CD16" s="311">
        <f>IF($BI16&lt;&gt;"",IF('Capacity summary'!$D$14="Yes",IF(COUNTBLANK('Capacity summary'!$H135:$BG135)&lt;52,IF('Capacity summary'!AA135&lt;&gt;"",IF(LOWER('Capacity summary'!AA135)="x",$BI16*AA16,VALUE('Capacity summary'!AA135)),0),AA16*$BI16),AA16*$BI16),0)</f>
        <v>0</v>
      </c>
      <c r="CE16" s="311">
        <f>IF($BI16&lt;&gt;"",IF('Capacity summary'!$D$14="Yes",IF(COUNTBLANK('Capacity summary'!$H135:$BG135)&lt;52,IF('Capacity summary'!AB135&lt;&gt;"",IF(LOWER('Capacity summary'!AB135)="x",$BI16*AB16,VALUE('Capacity summary'!AB135)),0),AB16*$BI16),AB16*$BI16),0)</f>
        <v>0</v>
      </c>
      <c r="CF16" s="311">
        <f>IF($BI16&lt;&gt;"",IF('Capacity summary'!$D$14="Yes",IF(COUNTBLANK('Capacity summary'!$H135:$BG135)&lt;52,IF('Capacity summary'!AC135&lt;&gt;"",IF(LOWER('Capacity summary'!AC135)="x",$BI16*AC16,VALUE('Capacity summary'!AC135)),0),AC16*$BI16),AC16*$BI16),0)</f>
        <v>0</v>
      </c>
      <c r="CG16" s="311">
        <f>IF($BI16&lt;&gt;"",IF('Capacity summary'!$D$14="Yes",IF(COUNTBLANK('Capacity summary'!$H135:$BG135)&lt;52,IF('Capacity summary'!AD135&lt;&gt;"",IF(LOWER('Capacity summary'!AD135)="x",$BI16*AD16,VALUE('Capacity summary'!AD135)),0),AD16*$BI16),AD16*$BI16),0)</f>
        <v>0</v>
      </c>
      <c r="CH16" s="311">
        <f>IF($BI16&lt;&gt;"",IF('Capacity summary'!$D$14="Yes",IF(COUNTBLANK('Capacity summary'!$H135:$BG135)&lt;52,IF('Capacity summary'!AE135&lt;&gt;"",IF(LOWER('Capacity summary'!AE135)="x",$BI16*AE16,VALUE('Capacity summary'!AE135)),0),AE16*$BI16),AE16*$BI16),0)</f>
        <v>0</v>
      </c>
      <c r="CI16" s="311">
        <f>IF($BI16&lt;&gt;"",IF('Capacity summary'!$D$14="Yes",IF(COUNTBLANK('Capacity summary'!$H135:$BG135)&lt;52,IF('Capacity summary'!AF135&lt;&gt;"",IF(LOWER('Capacity summary'!AF135)="x",$BI16*AF16,VALUE('Capacity summary'!AF135)),0),AF16*$BI16),AF16*$BI16),0)</f>
        <v>0</v>
      </c>
      <c r="CJ16" s="311">
        <f>IF($BI16&lt;&gt;"",IF('Capacity summary'!$D$14="Yes",IF(COUNTBLANK('Capacity summary'!$H135:$BG135)&lt;52,IF('Capacity summary'!AG135&lt;&gt;"",IF(LOWER('Capacity summary'!AG135)="x",$BI16*AG16,VALUE('Capacity summary'!AG135)),0),AG16*$BI16),AG16*$BI16),0)</f>
        <v>0</v>
      </c>
      <c r="CK16" s="311">
        <f>IF($BI16&lt;&gt;"",IF('Capacity summary'!$D$14="Yes",IF(COUNTBLANK('Capacity summary'!$H135:$BG135)&lt;52,IF('Capacity summary'!AH135&lt;&gt;"",IF(LOWER('Capacity summary'!AH135)="x",$BI16*AH16,VALUE('Capacity summary'!AH135)),0),AH16*$BI16),AH16*$BI16),0)</f>
        <v>0</v>
      </c>
      <c r="CL16" s="311">
        <f>IF($BI16&lt;&gt;"",IF('Capacity summary'!$D$14="Yes",IF(COUNTBLANK('Capacity summary'!$H135:$BG135)&lt;52,IF('Capacity summary'!AI135&lt;&gt;"",IF(LOWER('Capacity summary'!AI135)="x",$BI16*AI16,VALUE('Capacity summary'!AI135)),0),AI16*$BI16),AI16*$BI16),0)</f>
        <v>0</v>
      </c>
      <c r="CM16" s="311">
        <f>IF($BI16&lt;&gt;"",IF('Capacity summary'!$D$14="Yes",IF(COUNTBLANK('Capacity summary'!$H135:$BG135)&lt;52,IF('Capacity summary'!AJ135&lt;&gt;"",IF(LOWER('Capacity summary'!AJ135)="x",$BI16*AJ16,VALUE('Capacity summary'!AJ135)),0),AJ16*$BI16),AJ16*$BI16),0)</f>
        <v>0</v>
      </c>
      <c r="CN16" s="311">
        <f>IF($BI16&lt;&gt;"",IF('Capacity summary'!$D$14="Yes",IF(COUNTBLANK('Capacity summary'!$H135:$BG135)&lt;52,IF('Capacity summary'!AK135&lt;&gt;"",IF(LOWER('Capacity summary'!AK135)="x",$BI16*AK16,VALUE('Capacity summary'!AK135)),0),AK16*$BI16),AK16*$BI16),0)</f>
        <v>0</v>
      </c>
      <c r="CO16" s="311">
        <f>IF($BI16&lt;&gt;"",IF('Capacity summary'!$D$14="Yes",IF(COUNTBLANK('Capacity summary'!$H135:$BG135)&lt;52,IF('Capacity summary'!AL135&lt;&gt;"",IF(LOWER('Capacity summary'!AL135)="x",$BI16*AL16,VALUE('Capacity summary'!AL135)),0),AL16*$BI16),AL16*$BI16),0)</f>
        <v>0</v>
      </c>
      <c r="CP16" s="311">
        <f>IF($BI16&lt;&gt;"",IF('Capacity summary'!$D$14="Yes",IF(COUNTBLANK('Capacity summary'!$H135:$BG135)&lt;52,IF('Capacity summary'!AM135&lt;&gt;"",IF(LOWER('Capacity summary'!AM135)="x",$BI16*AM16,VALUE('Capacity summary'!AM135)),0),AM16*$BI16),AM16*$BI16),0)</f>
        <v>0</v>
      </c>
      <c r="CQ16" s="311">
        <f>IF($BI16&lt;&gt;"",IF('Capacity summary'!$D$14="Yes",IF(COUNTBLANK('Capacity summary'!$H135:$BG135)&lt;52,IF('Capacity summary'!AN135&lt;&gt;"",IF(LOWER('Capacity summary'!AN135)="x",$BI16*AN16,VALUE('Capacity summary'!AN135)),0),AN16*$BI16),AN16*$BI16),0)</f>
        <v>0</v>
      </c>
      <c r="CR16" s="311">
        <f>IF($BI16&lt;&gt;"",IF('Capacity summary'!$D$14="Yes",IF(COUNTBLANK('Capacity summary'!$H135:$BG135)&lt;52,IF('Capacity summary'!AO135&lt;&gt;"",IF(LOWER('Capacity summary'!AO135)="x",$BI16*AO16,VALUE('Capacity summary'!AO135)),0),AO16*$BI16),AO16*$BI16),0)</f>
        <v>0</v>
      </c>
      <c r="CS16" s="311">
        <f>IF($BI16&lt;&gt;"",IF('Capacity summary'!$D$14="Yes",IF(COUNTBLANK('Capacity summary'!$H135:$BG135)&lt;52,IF('Capacity summary'!AP135&lt;&gt;"",IF(LOWER('Capacity summary'!AP135)="x",$BI16*AP16,VALUE('Capacity summary'!AP135)),0),AP16*$BI16),AP16*$BI16),0)</f>
        <v>0</v>
      </c>
      <c r="CT16" s="311">
        <f>IF($BI16&lt;&gt;"",IF('Capacity summary'!$D$14="Yes",IF(COUNTBLANK('Capacity summary'!$H135:$BG135)&lt;52,IF('Capacity summary'!AQ135&lt;&gt;"",IF(LOWER('Capacity summary'!AQ135)="x",$BI16*AQ16,VALUE('Capacity summary'!AQ135)),0),AQ16*$BI16),AQ16*$BI16),0)</f>
        <v>0</v>
      </c>
      <c r="CU16" s="311">
        <f>IF($BI16&lt;&gt;"",IF('Capacity summary'!$D$14="Yes",IF(COUNTBLANK('Capacity summary'!$H135:$BG135)&lt;52,IF('Capacity summary'!AR135&lt;&gt;"",IF(LOWER('Capacity summary'!AR135)="x",$BI16*AR16,VALUE('Capacity summary'!AR135)),0),AR16*$BI16),AR16*$BI16),0)</f>
        <v>0</v>
      </c>
      <c r="CV16" s="311">
        <f>IF($BI16&lt;&gt;"",IF('Capacity summary'!$D$14="Yes",IF(COUNTBLANK('Capacity summary'!$H135:$BG135)&lt;52,IF('Capacity summary'!AS135&lt;&gt;"",IF(LOWER('Capacity summary'!AS135)="x",$BI16*AS16,VALUE('Capacity summary'!AS135)),0),AS16*$BI16),AS16*$BI16),0)</f>
        <v>0</v>
      </c>
      <c r="CW16" s="311">
        <f>IF($BI16&lt;&gt;"",IF('Capacity summary'!$D$14="Yes",IF(COUNTBLANK('Capacity summary'!$H135:$BG135)&lt;52,IF('Capacity summary'!AT135&lt;&gt;"",IF(LOWER('Capacity summary'!AT135)="x",$BI16*AT16,VALUE('Capacity summary'!AT135)),0),AT16*$BI16),AT16*$BI16),0)</f>
        <v>0</v>
      </c>
      <c r="CX16" s="311">
        <f>IF($BI16&lt;&gt;"",IF('Capacity summary'!$D$14="Yes",IF(COUNTBLANK('Capacity summary'!$H135:$BG135)&lt;52,IF('Capacity summary'!AU135&lt;&gt;"",IF(LOWER('Capacity summary'!AU135)="x",$BI16*AU16,VALUE('Capacity summary'!AU135)),0),AU16*$BI16),AU16*$BI16),0)</f>
        <v>0</v>
      </c>
      <c r="CY16" s="311">
        <f>IF($BI16&lt;&gt;"",IF('Capacity summary'!$D$14="Yes",IF(COUNTBLANK('Capacity summary'!$H135:$BG135)&lt;52,IF('Capacity summary'!AV135&lt;&gt;"",IF(LOWER('Capacity summary'!AV135)="x",$BI16*AV16,VALUE('Capacity summary'!AV135)),0),AV16*$BI16),AV16*$BI16),0)</f>
        <v>0</v>
      </c>
      <c r="CZ16" s="311">
        <f>IF($BI16&lt;&gt;"",IF('Capacity summary'!$D$14="Yes",IF(COUNTBLANK('Capacity summary'!$H135:$BG135)&lt;52,IF('Capacity summary'!AW135&lt;&gt;"",IF(LOWER('Capacity summary'!AW135)="x",$BI16*AW16,VALUE('Capacity summary'!AW135)),0),AW16*$BI16),AW16*$BI16),0)</f>
        <v>0</v>
      </c>
      <c r="DA16" s="311">
        <f>IF($BI16&lt;&gt;"",IF('Capacity summary'!$D$14="Yes",IF(COUNTBLANK('Capacity summary'!$H135:$BG135)&lt;52,IF('Capacity summary'!AX135&lt;&gt;"",IF(LOWER('Capacity summary'!AX135)="x",$BI16*AX16,VALUE('Capacity summary'!AX135)),0),AX16*$BI16),AX16*$BI16),0)</f>
        <v>0</v>
      </c>
      <c r="DB16" s="311">
        <f>IF($BI16&lt;&gt;"",IF('Capacity summary'!$D$14="Yes",IF(COUNTBLANK('Capacity summary'!$H135:$BG135)&lt;52,IF('Capacity summary'!AY135&lt;&gt;"",IF(LOWER('Capacity summary'!AY135)="x",$BI16*AY16,VALUE('Capacity summary'!AY135)),0),AY16*$BI16),AY16*$BI16),0)</f>
        <v>0</v>
      </c>
      <c r="DC16" s="311">
        <f>IF($BI16&lt;&gt;"",IF('Capacity summary'!$D$14="Yes",IF(COUNTBLANK('Capacity summary'!$H135:$BG135)&lt;52,IF('Capacity summary'!AZ135&lt;&gt;"",IF(LOWER('Capacity summary'!AZ135)="x",$BI16*AZ16,VALUE('Capacity summary'!AZ135)),0),AZ16*$BI16),AZ16*$BI16),0)</f>
        <v>0</v>
      </c>
      <c r="DD16" s="311">
        <f>IF($BI16&lt;&gt;"",IF('Capacity summary'!$D$14="Yes",IF(COUNTBLANK('Capacity summary'!$H135:$BG135)&lt;52,IF('Capacity summary'!BA135&lt;&gt;"",IF(LOWER('Capacity summary'!BA135)="x",$BI16*BA16,VALUE('Capacity summary'!BA135)),0),BA16*$BI16),BA16*$BI16),0)</f>
        <v>0</v>
      </c>
      <c r="DE16" s="311">
        <f>IF($BI16&lt;&gt;"",IF('Capacity summary'!$D$14="Yes",IF(COUNTBLANK('Capacity summary'!$H135:$BG135)&lt;52,IF('Capacity summary'!BB135&lt;&gt;"",IF(LOWER('Capacity summary'!BB135)="x",$BI16*BB16,VALUE('Capacity summary'!BB135)),0),BB16*$BI16),BB16*$BI16),0)</f>
        <v>0</v>
      </c>
      <c r="DF16" s="311">
        <f>IF($BI16&lt;&gt;"",IF('Capacity summary'!$D$14="Yes",IF(COUNTBLANK('Capacity summary'!$H135:$BG135)&lt;52,IF('Capacity summary'!BC135&lt;&gt;"",IF(LOWER('Capacity summary'!BC135)="x",$BI16*BC16,VALUE('Capacity summary'!BC135)),0),BC16*$BI16),BC16*$BI16),0)</f>
        <v>0</v>
      </c>
      <c r="DG16" s="311">
        <f>IF($BI16&lt;&gt;"",IF('Capacity summary'!$D$14="Yes",IF(COUNTBLANK('Capacity summary'!$H135:$BG135)&lt;52,IF('Capacity summary'!BD135&lt;&gt;"",IF(LOWER('Capacity summary'!BD135)="x",$BI16*BD16,VALUE('Capacity summary'!BD135)),0),BD16*$BI16),BD16*$BI16),0)</f>
        <v>0</v>
      </c>
      <c r="DH16" s="311">
        <f>IF($BI16&lt;&gt;"",IF('Capacity summary'!$D$14="Yes",IF(COUNTBLANK('Capacity summary'!$H135:$BG135)&lt;52,IF('Capacity summary'!BE135&lt;&gt;"",IF(LOWER('Capacity summary'!BE135)="x",$BI16*BE16,VALUE('Capacity summary'!BE135)),0),BE16*$BI16),BE16*$BI16),0)</f>
        <v>0</v>
      </c>
      <c r="DI16" s="311">
        <f>IF($BI16&lt;&gt;"",IF('Capacity summary'!$D$14="Yes",IF(COUNTBLANK('Capacity summary'!$H135:$BG135)&lt;52,IF('Capacity summary'!BF135&lt;&gt;"",IF(LOWER('Capacity summary'!BF135)="x",$BI16*BF16,VALUE('Capacity summary'!BF135)),0),BF16*$BI16),BF16*$BI16),0)</f>
        <v>0</v>
      </c>
      <c r="DJ16" s="311">
        <f>IF($BI16&lt;&gt;"",IF('Capacity summary'!$D$14="Yes",IF(COUNTBLANK('Capacity summary'!$H135:$BG135)&lt;52,IF('Capacity summary'!BG135&lt;&gt;"",IF(LOWER('Capacity summary'!BG135)="x",$BI16*BG16,VALUE('Capacity summary'!BG135)),0),BG16*$BI16),BG16*$BI16),0)</f>
        <v>0</v>
      </c>
      <c r="DK16" s="391">
        <f t="shared" si="2"/>
        <v>0</v>
      </c>
      <c r="DL16" s="136">
        <f t="shared" si="3"/>
        <v>0</v>
      </c>
      <c r="DM16" s="311" t="str">
        <f>Capacity!H28</f>
        <v/>
      </c>
      <c r="DQ16" s="5"/>
    </row>
    <row r="17" spans="1:121" x14ac:dyDescent="0.2">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1">
        <f>IF($BI17&lt;&gt;"",IF('Capacity summary'!$D$14="Yes",IF(COUNTBLANK('Capacity summary'!$H136:$BG136)&lt;52,IF('Capacity summary'!H136&lt;&gt;"",IF(LOWER('Capacity summary'!H136)="x",$BI17*H17,VALUE('Capacity summary'!H136)),0),H17*$BI17),H17*$BI17),0)</f>
        <v>0</v>
      </c>
      <c r="BL17" s="311">
        <f>IF($BI17&lt;&gt;"",IF('Capacity summary'!$D$14="Yes",IF(COUNTBLANK('Capacity summary'!$H136:$BG136)&lt;52,IF('Capacity summary'!I136&lt;&gt;"",IF(LOWER('Capacity summary'!I136)="x",$BI17*I17,VALUE('Capacity summary'!I136)),0),I17*$BI17),I17*$BI17),0)</f>
        <v>0</v>
      </c>
      <c r="BM17" s="311">
        <f>IF($BI17&lt;&gt;"",IF('Capacity summary'!$D$14="Yes",IF(COUNTBLANK('Capacity summary'!$H136:$BG136)&lt;52,IF('Capacity summary'!J136&lt;&gt;"",IF(LOWER('Capacity summary'!J136)="x",$BI17*J17,VALUE('Capacity summary'!J136)),0),J17*$BI17),J17*$BI17),0)</f>
        <v>0</v>
      </c>
      <c r="BN17" s="311">
        <f>IF($BI17&lt;&gt;"",IF('Capacity summary'!$D$14="Yes",IF(COUNTBLANK('Capacity summary'!$H136:$BG136)&lt;52,IF('Capacity summary'!K136&lt;&gt;"",IF(LOWER('Capacity summary'!K136)="x",$BI17*K17,VALUE('Capacity summary'!K136)),0),K17*$BI17),K17*$BI17),0)</f>
        <v>0</v>
      </c>
      <c r="BO17" s="311">
        <f>IF($BI17&lt;&gt;"",IF('Capacity summary'!$D$14="Yes",IF(COUNTBLANK('Capacity summary'!$H136:$BG136)&lt;52,IF('Capacity summary'!L136&lt;&gt;"",IF(LOWER('Capacity summary'!L136)="x",$BI17*L17,VALUE('Capacity summary'!L136)),0),L17*$BI17),L17*$BI17),0)</f>
        <v>0</v>
      </c>
      <c r="BP17" s="311">
        <f>IF($BI17&lt;&gt;"",IF('Capacity summary'!$D$14="Yes",IF(COUNTBLANK('Capacity summary'!$H136:$BG136)&lt;52,IF('Capacity summary'!M136&lt;&gt;"",IF(LOWER('Capacity summary'!M136)="x",$BI17*M17,VALUE('Capacity summary'!M136)),0),M17*$BI17),M17*$BI17),0)</f>
        <v>0</v>
      </c>
      <c r="BQ17" s="311">
        <f>IF($BI17&lt;&gt;"",IF('Capacity summary'!$D$14="Yes",IF(COUNTBLANK('Capacity summary'!$H136:$BG136)&lt;52,IF('Capacity summary'!N136&lt;&gt;"",IF(LOWER('Capacity summary'!N136)="x",$BI17*N17,VALUE('Capacity summary'!N136)),0),N17*$BI17),N17*$BI17),0)</f>
        <v>0</v>
      </c>
      <c r="BR17" s="311">
        <f>IF($BI17&lt;&gt;"",IF('Capacity summary'!$D$14="Yes",IF(COUNTBLANK('Capacity summary'!$H136:$BG136)&lt;52,IF('Capacity summary'!O136&lt;&gt;"",IF(LOWER('Capacity summary'!O136)="x",$BI17*O17,VALUE('Capacity summary'!O136)),0),O17*$BI17),O17*$BI17),0)</f>
        <v>0</v>
      </c>
      <c r="BS17" s="311">
        <f>IF($BI17&lt;&gt;"",IF('Capacity summary'!$D$14="Yes",IF(COUNTBLANK('Capacity summary'!$H136:$BG136)&lt;52,IF('Capacity summary'!P136&lt;&gt;"",IF(LOWER('Capacity summary'!P136)="x",$BI17*P17,VALUE('Capacity summary'!P136)),0),P17*$BI17),P17*$BI17),0)</f>
        <v>0</v>
      </c>
      <c r="BT17" s="311">
        <f>IF($BI17&lt;&gt;"",IF('Capacity summary'!$D$14="Yes",IF(COUNTBLANK('Capacity summary'!$H136:$BG136)&lt;52,IF('Capacity summary'!Q136&lt;&gt;"",IF(LOWER('Capacity summary'!Q136)="x",$BI17*Q17,VALUE('Capacity summary'!Q136)),0),Q17*$BI17),Q17*$BI17),0)</f>
        <v>0</v>
      </c>
      <c r="BU17" s="311">
        <f>IF($BI17&lt;&gt;"",IF('Capacity summary'!$D$14="Yes",IF(COUNTBLANK('Capacity summary'!$H136:$BG136)&lt;52,IF('Capacity summary'!R136&lt;&gt;"",IF(LOWER('Capacity summary'!R136)="x",$BI17*R17,VALUE('Capacity summary'!R136)),0),R17*$BI17),R17*$BI17),0)</f>
        <v>0</v>
      </c>
      <c r="BV17" s="311">
        <f>IF($BI17&lt;&gt;"",IF('Capacity summary'!$D$14="Yes",IF(COUNTBLANK('Capacity summary'!$H136:$BG136)&lt;52,IF('Capacity summary'!S136&lt;&gt;"",IF(LOWER('Capacity summary'!S136)="x",$BI17*S17,VALUE('Capacity summary'!S136)),0),S17*$BI17),S17*$BI17),0)</f>
        <v>0</v>
      </c>
      <c r="BW17" s="311">
        <f>IF($BI17&lt;&gt;"",IF('Capacity summary'!$D$14="Yes",IF(COUNTBLANK('Capacity summary'!$H136:$BG136)&lt;52,IF('Capacity summary'!T136&lt;&gt;"",IF(LOWER('Capacity summary'!T136)="x",$BI17*T17,VALUE('Capacity summary'!T136)),0),T17*$BI17),T17*$BI17),0)</f>
        <v>0</v>
      </c>
      <c r="BX17" s="311">
        <f>IF($BI17&lt;&gt;"",IF('Capacity summary'!$D$14="Yes",IF(COUNTBLANK('Capacity summary'!$H136:$BG136)&lt;52,IF('Capacity summary'!U136&lt;&gt;"",IF(LOWER('Capacity summary'!U136)="x",$BI17*U17,VALUE('Capacity summary'!U136)),0),U17*$BI17),U17*$BI17),0)</f>
        <v>0</v>
      </c>
      <c r="BY17" s="311">
        <f>IF($BI17&lt;&gt;"",IF('Capacity summary'!$D$14="Yes",IF(COUNTBLANK('Capacity summary'!$H136:$BG136)&lt;52,IF('Capacity summary'!V136&lt;&gt;"",IF(LOWER('Capacity summary'!V136)="x",$BI17*V17,VALUE('Capacity summary'!V136)),0),V17*$BI17),V17*$BI17),0)</f>
        <v>0</v>
      </c>
      <c r="BZ17" s="311">
        <f>IF($BI17&lt;&gt;"",IF('Capacity summary'!$D$14="Yes",IF(COUNTBLANK('Capacity summary'!$H136:$BG136)&lt;52,IF('Capacity summary'!W136&lt;&gt;"",IF(LOWER('Capacity summary'!W136)="x",$BI17*W17,VALUE('Capacity summary'!W136)),0),W17*$BI17),W17*$BI17),0)</f>
        <v>0</v>
      </c>
      <c r="CA17" s="311">
        <f>IF($BI17&lt;&gt;"",IF('Capacity summary'!$D$14="Yes",IF(COUNTBLANK('Capacity summary'!$H136:$BG136)&lt;52,IF('Capacity summary'!X136&lt;&gt;"",IF(LOWER('Capacity summary'!X136)="x",$BI17*X17,VALUE('Capacity summary'!X136)),0),X17*$BI17),X17*$BI17),0)</f>
        <v>0</v>
      </c>
      <c r="CB17" s="311">
        <f>IF($BI17&lt;&gt;"",IF('Capacity summary'!$D$14="Yes",IF(COUNTBLANK('Capacity summary'!$H136:$BG136)&lt;52,IF('Capacity summary'!Y136&lt;&gt;"",IF(LOWER('Capacity summary'!Y136)="x",$BI17*Y17,VALUE('Capacity summary'!Y136)),0),Y17*$BI17),Y17*$BI17),0)</f>
        <v>0</v>
      </c>
      <c r="CC17" s="311">
        <f>IF($BI17&lt;&gt;"",IF('Capacity summary'!$D$14="Yes",IF(COUNTBLANK('Capacity summary'!$H136:$BG136)&lt;52,IF('Capacity summary'!Z136&lt;&gt;"",IF(LOWER('Capacity summary'!Z136)="x",$BI17*Z17,VALUE('Capacity summary'!Z136)),0),Z17*$BI17),Z17*$BI17),0)</f>
        <v>0</v>
      </c>
      <c r="CD17" s="311">
        <f>IF($BI17&lt;&gt;"",IF('Capacity summary'!$D$14="Yes",IF(COUNTBLANK('Capacity summary'!$H136:$BG136)&lt;52,IF('Capacity summary'!AA136&lt;&gt;"",IF(LOWER('Capacity summary'!AA136)="x",$BI17*AA17,VALUE('Capacity summary'!AA136)),0),AA17*$BI17),AA17*$BI17),0)</f>
        <v>0</v>
      </c>
      <c r="CE17" s="311">
        <f>IF($BI17&lt;&gt;"",IF('Capacity summary'!$D$14="Yes",IF(COUNTBLANK('Capacity summary'!$H136:$BG136)&lt;52,IF('Capacity summary'!AB136&lt;&gt;"",IF(LOWER('Capacity summary'!AB136)="x",$BI17*AB17,VALUE('Capacity summary'!AB136)),0),AB17*$BI17),AB17*$BI17),0)</f>
        <v>0</v>
      </c>
      <c r="CF17" s="311">
        <f>IF($BI17&lt;&gt;"",IF('Capacity summary'!$D$14="Yes",IF(COUNTBLANK('Capacity summary'!$H136:$BG136)&lt;52,IF('Capacity summary'!AC136&lt;&gt;"",IF(LOWER('Capacity summary'!AC136)="x",$BI17*AC17,VALUE('Capacity summary'!AC136)),0),AC17*$BI17),AC17*$BI17),0)</f>
        <v>0</v>
      </c>
      <c r="CG17" s="311">
        <f>IF($BI17&lt;&gt;"",IF('Capacity summary'!$D$14="Yes",IF(COUNTBLANK('Capacity summary'!$H136:$BG136)&lt;52,IF('Capacity summary'!AD136&lt;&gt;"",IF(LOWER('Capacity summary'!AD136)="x",$BI17*AD17,VALUE('Capacity summary'!AD136)),0),AD17*$BI17),AD17*$BI17),0)</f>
        <v>0</v>
      </c>
      <c r="CH17" s="311">
        <f>IF($BI17&lt;&gt;"",IF('Capacity summary'!$D$14="Yes",IF(COUNTBLANK('Capacity summary'!$H136:$BG136)&lt;52,IF('Capacity summary'!AE136&lt;&gt;"",IF(LOWER('Capacity summary'!AE136)="x",$BI17*AE17,VALUE('Capacity summary'!AE136)),0),AE17*$BI17),AE17*$BI17),0)</f>
        <v>0</v>
      </c>
      <c r="CI17" s="311">
        <f>IF($BI17&lt;&gt;"",IF('Capacity summary'!$D$14="Yes",IF(COUNTBLANK('Capacity summary'!$H136:$BG136)&lt;52,IF('Capacity summary'!AF136&lt;&gt;"",IF(LOWER('Capacity summary'!AF136)="x",$BI17*AF17,VALUE('Capacity summary'!AF136)),0),AF17*$BI17),AF17*$BI17),0)</f>
        <v>0</v>
      </c>
      <c r="CJ17" s="311">
        <f>IF($BI17&lt;&gt;"",IF('Capacity summary'!$D$14="Yes",IF(COUNTBLANK('Capacity summary'!$H136:$BG136)&lt;52,IF('Capacity summary'!AG136&lt;&gt;"",IF(LOWER('Capacity summary'!AG136)="x",$BI17*AG17,VALUE('Capacity summary'!AG136)),0),AG17*$BI17),AG17*$BI17),0)</f>
        <v>0</v>
      </c>
      <c r="CK17" s="311">
        <f>IF($BI17&lt;&gt;"",IF('Capacity summary'!$D$14="Yes",IF(COUNTBLANK('Capacity summary'!$H136:$BG136)&lt;52,IF('Capacity summary'!AH136&lt;&gt;"",IF(LOWER('Capacity summary'!AH136)="x",$BI17*AH17,VALUE('Capacity summary'!AH136)),0),AH17*$BI17),AH17*$BI17),0)</f>
        <v>0</v>
      </c>
      <c r="CL17" s="311">
        <f>IF($BI17&lt;&gt;"",IF('Capacity summary'!$D$14="Yes",IF(COUNTBLANK('Capacity summary'!$H136:$BG136)&lt;52,IF('Capacity summary'!AI136&lt;&gt;"",IF(LOWER('Capacity summary'!AI136)="x",$BI17*AI17,VALUE('Capacity summary'!AI136)),0),AI17*$BI17),AI17*$BI17),0)</f>
        <v>0</v>
      </c>
      <c r="CM17" s="311">
        <f>IF($BI17&lt;&gt;"",IF('Capacity summary'!$D$14="Yes",IF(COUNTBLANK('Capacity summary'!$H136:$BG136)&lt;52,IF('Capacity summary'!AJ136&lt;&gt;"",IF(LOWER('Capacity summary'!AJ136)="x",$BI17*AJ17,VALUE('Capacity summary'!AJ136)),0),AJ17*$BI17),AJ17*$BI17),0)</f>
        <v>0</v>
      </c>
      <c r="CN17" s="311">
        <f>IF($BI17&lt;&gt;"",IF('Capacity summary'!$D$14="Yes",IF(COUNTBLANK('Capacity summary'!$H136:$BG136)&lt;52,IF('Capacity summary'!AK136&lt;&gt;"",IF(LOWER('Capacity summary'!AK136)="x",$BI17*AK17,VALUE('Capacity summary'!AK136)),0),AK17*$BI17),AK17*$BI17),0)</f>
        <v>0</v>
      </c>
      <c r="CO17" s="311">
        <f>IF($BI17&lt;&gt;"",IF('Capacity summary'!$D$14="Yes",IF(COUNTBLANK('Capacity summary'!$H136:$BG136)&lt;52,IF('Capacity summary'!AL136&lt;&gt;"",IF(LOWER('Capacity summary'!AL136)="x",$BI17*AL17,VALUE('Capacity summary'!AL136)),0),AL17*$BI17),AL17*$BI17),0)</f>
        <v>0</v>
      </c>
      <c r="CP17" s="311">
        <f>IF($BI17&lt;&gt;"",IF('Capacity summary'!$D$14="Yes",IF(COUNTBLANK('Capacity summary'!$H136:$BG136)&lt;52,IF('Capacity summary'!AM136&lt;&gt;"",IF(LOWER('Capacity summary'!AM136)="x",$BI17*AM17,VALUE('Capacity summary'!AM136)),0),AM17*$BI17),AM17*$BI17),0)</f>
        <v>0</v>
      </c>
      <c r="CQ17" s="311">
        <f>IF($BI17&lt;&gt;"",IF('Capacity summary'!$D$14="Yes",IF(COUNTBLANK('Capacity summary'!$H136:$BG136)&lt;52,IF('Capacity summary'!AN136&lt;&gt;"",IF(LOWER('Capacity summary'!AN136)="x",$BI17*AN17,VALUE('Capacity summary'!AN136)),0),AN17*$BI17),AN17*$BI17),0)</f>
        <v>0</v>
      </c>
      <c r="CR17" s="311">
        <f>IF($BI17&lt;&gt;"",IF('Capacity summary'!$D$14="Yes",IF(COUNTBLANK('Capacity summary'!$H136:$BG136)&lt;52,IF('Capacity summary'!AO136&lt;&gt;"",IF(LOWER('Capacity summary'!AO136)="x",$BI17*AO17,VALUE('Capacity summary'!AO136)),0),AO17*$BI17),AO17*$BI17),0)</f>
        <v>0</v>
      </c>
      <c r="CS17" s="311">
        <f>IF($BI17&lt;&gt;"",IF('Capacity summary'!$D$14="Yes",IF(COUNTBLANK('Capacity summary'!$H136:$BG136)&lt;52,IF('Capacity summary'!AP136&lt;&gt;"",IF(LOWER('Capacity summary'!AP136)="x",$BI17*AP17,VALUE('Capacity summary'!AP136)),0),AP17*$BI17),AP17*$BI17),0)</f>
        <v>0</v>
      </c>
      <c r="CT17" s="311">
        <f>IF($BI17&lt;&gt;"",IF('Capacity summary'!$D$14="Yes",IF(COUNTBLANK('Capacity summary'!$H136:$BG136)&lt;52,IF('Capacity summary'!AQ136&lt;&gt;"",IF(LOWER('Capacity summary'!AQ136)="x",$BI17*AQ17,VALUE('Capacity summary'!AQ136)),0),AQ17*$BI17),AQ17*$BI17),0)</f>
        <v>0</v>
      </c>
      <c r="CU17" s="311">
        <f>IF($BI17&lt;&gt;"",IF('Capacity summary'!$D$14="Yes",IF(COUNTBLANK('Capacity summary'!$H136:$BG136)&lt;52,IF('Capacity summary'!AR136&lt;&gt;"",IF(LOWER('Capacity summary'!AR136)="x",$BI17*AR17,VALUE('Capacity summary'!AR136)),0),AR17*$BI17),AR17*$BI17),0)</f>
        <v>0</v>
      </c>
      <c r="CV17" s="311">
        <f>IF($BI17&lt;&gt;"",IF('Capacity summary'!$D$14="Yes",IF(COUNTBLANK('Capacity summary'!$H136:$BG136)&lt;52,IF('Capacity summary'!AS136&lt;&gt;"",IF(LOWER('Capacity summary'!AS136)="x",$BI17*AS17,VALUE('Capacity summary'!AS136)),0),AS17*$BI17),AS17*$BI17),0)</f>
        <v>0</v>
      </c>
      <c r="CW17" s="311">
        <f>IF($BI17&lt;&gt;"",IF('Capacity summary'!$D$14="Yes",IF(COUNTBLANK('Capacity summary'!$H136:$BG136)&lt;52,IF('Capacity summary'!AT136&lt;&gt;"",IF(LOWER('Capacity summary'!AT136)="x",$BI17*AT17,VALUE('Capacity summary'!AT136)),0),AT17*$BI17),AT17*$BI17),0)</f>
        <v>0</v>
      </c>
      <c r="CX17" s="311">
        <f>IF($BI17&lt;&gt;"",IF('Capacity summary'!$D$14="Yes",IF(COUNTBLANK('Capacity summary'!$H136:$BG136)&lt;52,IF('Capacity summary'!AU136&lt;&gt;"",IF(LOWER('Capacity summary'!AU136)="x",$BI17*AU17,VALUE('Capacity summary'!AU136)),0),AU17*$BI17),AU17*$BI17),0)</f>
        <v>0</v>
      </c>
      <c r="CY17" s="311">
        <f>IF($BI17&lt;&gt;"",IF('Capacity summary'!$D$14="Yes",IF(COUNTBLANK('Capacity summary'!$H136:$BG136)&lt;52,IF('Capacity summary'!AV136&lt;&gt;"",IF(LOWER('Capacity summary'!AV136)="x",$BI17*AV17,VALUE('Capacity summary'!AV136)),0),AV17*$BI17),AV17*$BI17),0)</f>
        <v>0</v>
      </c>
      <c r="CZ17" s="311">
        <f>IF($BI17&lt;&gt;"",IF('Capacity summary'!$D$14="Yes",IF(COUNTBLANK('Capacity summary'!$H136:$BG136)&lt;52,IF('Capacity summary'!AW136&lt;&gt;"",IF(LOWER('Capacity summary'!AW136)="x",$BI17*AW17,VALUE('Capacity summary'!AW136)),0),AW17*$BI17),AW17*$BI17),0)</f>
        <v>0</v>
      </c>
      <c r="DA17" s="311">
        <f>IF($BI17&lt;&gt;"",IF('Capacity summary'!$D$14="Yes",IF(COUNTBLANK('Capacity summary'!$H136:$BG136)&lt;52,IF('Capacity summary'!AX136&lt;&gt;"",IF(LOWER('Capacity summary'!AX136)="x",$BI17*AX17,VALUE('Capacity summary'!AX136)),0),AX17*$BI17),AX17*$BI17),0)</f>
        <v>0</v>
      </c>
      <c r="DB17" s="311">
        <f>IF($BI17&lt;&gt;"",IF('Capacity summary'!$D$14="Yes",IF(COUNTBLANK('Capacity summary'!$H136:$BG136)&lt;52,IF('Capacity summary'!AY136&lt;&gt;"",IF(LOWER('Capacity summary'!AY136)="x",$BI17*AY17,VALUE('Capacity summary'!AY136)),0),AY17*$BI17),AY17*$BI17),0)</f>
        <v>0</v>
      </c>
      <c r="DC17" s="311">
        <f>IF($BI17&lt;&gt;"",IF('Capacity summary'!$D$14="Yes",IF(COUNTBLANK('Capacity summary'!$H136:$BG136)&lt;52,IF('Capacity summary'!AZ136&lt;&gt;"",IF(LOWER('Capacity summary'!AZ136)="x",$BI17*AZ17,VALUE('Capacity summary'!AZ136)),0),AZ17*$BI17),AZ17*$BI17),0)</f>
        <v>0</v>
      </c>
      <c r="DD17" s="311">
        <f>IF($BI17&lt;&gt;"",IF('Capacity summary'!$D$14="Yes",IF(COUNTBLANK('Capacity summary'!$H136:$BG136)&lt;52,IF('Capacity summary'!BA136&lt;&gt;"",IF(LOWER('Capacity summary'!BA136)="x",$BI17*BA17,VALUE('Capacity summary'!BA136)),0),BA17*$BI17),BA17*$BI17),0)</f>
        <v>0</v>
      </c>
      <c r="DE17" s="311">
        <f>IF($BI17&lt;&gt;"",IF('Capacity summary'!$D$14="Yes",IF(COUNTBLANK('Capacity summary'!$H136:$BG136)&lt;52,IF('Capacity summary'!BB136&lt;&gt;"",IF(LOWER('Capacity summary'!BB136)="x",$BI17*BB17,VALUE('Capacity summary'!BB136)),0),BB17*$BI17),BB17*$BI17),0)</f>
        <v>0</v>
      </c>
      <c r="DF17" s="311">
        <f>IF($BI17&lt;&gt;"",IF('Capacity summary'!$D$14="Yes",IF(COUNTBLANK('Capacity summary'!$H136:$BG136)&lt;52,IF('Capacity summary'!BC136&lt;&gt;"",IF(LOWER('Capacity summary'!BC136)="x",$BI17*BC17,VALUE('Capacity summary'!BC136)),0),BC17*$BI17),BC17*$BI17),0)</f>
        <v>0</v>
      </c>
      <c r="DG17" s="311">
        <f>IF($BI17&lt;&gt;"",IF('Capacity summary'!$D$14="Yes",IF(COUNTBLANK('Capacity summary'!$H136:$BG136)&lt;52,IF('Capacity summary'!BD136&lt;&gt;"",IF(LOWER('Capacity summary'!BD136)="x",$BI17*BD17,VALUE('Capacity summary'!BD136)),0),BD17*$BI17),BD17*$BI17),0)</f>
        <v>0</v>
      </c>
      <c r="DH17" s="311">
        <f>IF($BI17&lt;&gt;"",IF('Capacity summary'!$D$14="Yes",IF(COUNTBLANK('Capacity summary'!$H136:$BG136)&lt;52,IF('Capacity summary'!BE136&lt;&gt;"",IF(LOWER('Capacity summary'!BE136)="x",$BI17*BE17,VALUE('Capacity summary'!BE136)),0),BE17*$BI17),BE17*$BI17),0)</f>
        <v>0</v>
      </c>
      <c r="DI17" s="311">
        <f>IF($BI17&lt;&gt;"",IF('Capacity summary'!$D$14="Yes",IF(COUNTBLANK('Capacity summary'!$H136:$BG136)&lt;52,IF('Capacity summary'!BF136&lt;&gt;"",IF(LOWER('Capacity summary'!BF136)="x",$BI17*BF17,VALUE('Capacity summary'!BF136)),0),BF17*$BI17),BF17*$BI17),0)</f>
        <v>0</v>
      </c>
      <c r="DJ17" s="311">
        <f>IF($BI17&lt;&gt;"",IF('Capacity summary'!$D$14="Yes",IF(COUNTBLANK('Capacity summary'!$H136:$BG136)&lt;52,IF('Capacity summary'!BG136&lt;&gt;"",IF(LOWER('Capacity summary'!BG136)="x",$BI17*BG17,VALUE('Capacity summary'!BG136)),0),BG17*$BI17),BG17*$BI17),0)</f>
        <v>0</v>
      </c>
      <c r="DK17" s="391">
        <f t="shared" si="2"/>
        <v>0</v>
      </c>
      <c r="DL17" s="136">
        <f t="shared" si="3"/>
        <v>0</v>
      </c>
      <c r="DM17" s="311" t="str">
        <f>Capacity!H29</f>
        <v/>
      </c>
      <c r="DQ17" s="5"/>
    </row>
    <row r="18" spans="1:121" x14ac:dyDescent="0.2">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1">
        <f>IF($BI18&lt;&gt;"",IF('Capacity summary'!$D$14="Yes",IF(COUNTBLANK('Capacity summary'!$H137:$BG137)&lt;52,IF('Capacity summary'!H137&lt;&gt;"",IF(LOWER('Capacity summary'!H137)="x",$BI18*H18,VALUE('Capacity summary'!H137)),0),H18*$BI18),H18*$BI18),0)</f>
        <v>0</v>
      </c>
      <c r="BL18" s="311">
        <f>IF($BI18&lt;&gt;"",IF('Capacity summary'!$D$14="Yes",IF(COUNTBLANK('Capacity summary'!$H137:$BG137)&lt;52,IF('Capacity summary'!I137&lt;&gt;"",IF(LOWER('Capacity summary'!I137)="x",$BI18*I18,VALUE('Capacity summary'!I137)),0),I18*$BI18),I18*$BI18),0)</f>
        <v>0</v>
      </c>
      <c r="BM18" s="311">
        <f>IF($BI18&lt;&gt;"",IF('Capacity summary'!$D$14="Yes",IF(COUNTBLANK('Capacity summary'!$H137:$BG137)&lt;52,IF('Capacity summary'!J137&lt;&gt;"",IF(LOWER('Capacity summary'!J137)="x",$BI18*J18,VALUE('Capacity summary'!J137)),0),J18*$BI18),J18*$BI18),0)</f>
        <v>0</v>
      </c>
      <c r="BN18" s="311">
        <f>IF($BI18&lt;&gt;"",IF('Capacity summary'!$D$14="Yes",IF(COUNTBLANK('Capacity summary'!$H137:$BG137)&lt;52,IF('Capacity summary'!K137&lt;&gt;"",IF(LOWER('Capacity summary'!K137)="x",$BI18*K18,VALUE('Capacity summary'!K137)),0),K18*$BI18),K18*$BI18),0)</f>
        <v>0</v>
      </c>
      <c r="BO18" s="311">
        <f>IF($BI18&lt;&gt;"",IF('Capacity summary'!$D$14="Yes",IF(COUNTBLANK('Capacity summary'!$H137:$BG137)&lt;52,IF('Capacity summary'!L137&lt;&gt;"",IF(LOWER('Capacity summary'!L137)="x",$BI18*L18,VALUE('Capacity summary'!L137)),0),L18*$BI18),L18*$BI18),0)</f>
        <v>0</v>
      </c>
      <c r="BP18" s="311">
        <f>IF($BI18&lt;&gt;"",IF('Capacity summary'!$D$14="Yes",IF(COUNTBLANK('Capacity summary'!$H137:$BG137)&lt;52,IF('Capacity summary'!M137&lt;&gt;"",IF(LOWER('Capacity summary'!M137)="x",$BI18*M18,VALUE('Capacity summary'!M137)),0),M18*$BI18),M18*$BI18),0)</f>
        <v>0</v>
      </c>
      <c r="BQ18" s="311">
        <f>IF($BI18&lt;&gt;"",IF('Capacity summary'!$D$14="Yes",IF(COUNTBLANK('Capacity summary'!$H137:$BG137)&lt;52,IF('Capacity summary'!N137&lt;&gt;"",IF(LOWER('Capacity summary'!N137)="x",$BI18*N18,VALUE('Capacity summary'!N137)),0),N18*$BI18),N18*$BI18),0)</f>
        <v>0</v>
      </c>
      <c r="BR18" s="311">
        <f>IF($BI18&lt;&gt;"",IF('Capacity summary'!$D$14="Yes",IF(COUNTBLANK('Capacity summary'!$H137:$BG137)&lt;52,IF('Capacity summary'!O137&lt;&gt;"",IF(LOWER('Capacity summary'!O137)="x",$BI18*O18,VALUE('Capacity summary'!O137)),0),O18*$BI18),O18*$BI18),0)</f>
        <v>0</v>
      </c>
      <c r="BS18" s="311">
        <f>IF($BI18&lt;&gt;"",IF('Capacity summary'!$D$14="Yes",IF(COUNTBLANK('Capacity summary'!$H137:$BG137)&lt;52,IF('Capacity summary'!P137&lt;&gt;"",IF(LOWER('Capacity summary'!P137)="x",$BI18*P18,VALUE('Capacity summary'!P137)),0),P18*$BI18),P18*$BI18),0)</f>
        <v>0</v>
      </c>
      <c r="BT18" s="311">
        <f>IF($BI18&lt;&gt;"",IF('Capacity summary'!$D$14="Yes",IF(COUNTBLANK('Capacity summary'!$H137:$BG137)&lt;52,IF('Capacity summary'!Q137&lt;&gt;"",IF(LOWER('Capacity summary'!Q137)="x",$BI18*Q18,VALUE('Capacity summary'!Q137)),0),Q18*$BI18),Q18*$BI18),0)</f>
        <v>0</v>
      </c>
      <c r="BU18" s="311">
        <f>IF($BI18&lt;&gt;"",IF('Capacity summary'!$D$14="Yes",IF(COUNTBLANK('Capacity summary'!$H137:$BG137)&lt;52,IF('Capacity summary'!R137&lt;&gt;"",IF(LOWER('Capacity summary'!R137)="x",$BI18*R18,VALUE('Capacity summary'!R137)),0),R18*$BI18),R18*$BI18),0)</f>
        <v>0</v>
      </c>
      <c r="BV18" s="311">
        <f>IF($BI18&lt;&gt;"",IF('Capacity summary'!$D$14="Yes",IF(COUNTBLANK('Capacity summary'!$H137:$BG137)&lt;52,IF('Capacity summary'!S137&lt;&gt;"",IF(LOWER('Capacity summary'!S137)="x",$BI18*S18,VALUE('Capacity summary'!S137)),0),S18*$BI18),S18*$BI18),0)</f>
        <v>0</v>
      </c>
      <c r="BW18" s="311">
        <f>IF($BI18&lt;&gt;"",IF('Capacity summary'!$D$14="Yes",IF(COUNTBLANK('Capacity summary'!$H137:$BG137)&lt;52,IF('Capacity summary'!T137&lt;&gt;"",IF(LOWER('Capacity summary'!T137)="x",$BI18*T18,VALUE('Capacity summary'!T137)),0),T18*$BI18),T18*$BI18),0)</f>
        <v>0</v>
      </c>
      <c r="BX18" s="311">
        <f>IF($BI18&lt;&gt;"",IF('Capacity summary'!$D$14="Yes",IF(COUNTBLANK('Capacity summary'!$H137:$BG137)&lt;52,IF('Capacity summary'!U137&lt;&gt;"",IF(LOWER('Capacity summary'!U137)="x",$BI18*U18,VALUE('Capacity summary'!U137)),0),U18*$BI18),U18*$BI18),0)</f>
        <v>0</v>
      </c>
      <c r="BY18" s="311">
        <f>IF($BI18&lt;&gt;"",IF('Capacity summary'!$D$14="Yes",IF(COUNTBLANK('Capacity summary'!$H137:$BG137)&lt;52,IF('Capacity summary'!V137&lt;&gt;"",IF(LOWER('Capacity summary'!V137)="x",$BI18*V18,VALUE('Capacity summary'!V137)),0),V18*$BI18),V18*$BI18),0)</f>
        <v>0</v>
      </c>
      <c r="BZ18" s="311">
        <f>IF($BI18&lt;&gt;"",IF('Capacity summary'!$D$14="Yes",IF(COUNTBLANK('Capacity summary'!$H137:$BG137)&lt;52,IF('Capacity summary'!W137&lt;&gt;"",IF(LOWER('Capacity summary'!W137)="x",$BI18*W18,VALUE('Capacity summary'!W137)),0),W18*$BI18),W18*$BI18),0)</f>
        <v>0</v>
      </c>
      <c r="CA18" s="311">
        <f>IF($BI18&lt;&gt;"",IF('Capacity summary'!$D$14="Yes",IF(COUNTBLANK('Capacity summary'!$H137:$BG137)&lt;52,IF('Capacity summary'!X137&lt;&gt;"",IF(LOWER('Capacity summary'!X137)="x",$BI18*X18,VALUE('Capacity summary'!X137)),0),X18*$BI18),X18*$BI18),0)</f>
        <v>0</v>
      </c>
      <c r="CB18" s="311">
        <f>IF($BI18&lt;&gt;"",IF('Capacity summary'!$D$14="Yes",IF(COUNTBLANK('Capacity summary'!$H137:$BG137)&lt;52,IF('Capacity summary'!Y137&lt;&gt;"",IF(LOWER('Capacity summary'!Y137)="x",$BI18*Y18,VALUE('Capacity summary'!Y137)),0),Y18*$BI18),Y18*$BI18),0)</f>
        <v>0</v>
      </c>
      <c r="CC18" s="311">
        <f>IF($BI18&lt;&gt;"",IF('Capacity summary'!$D$14="Yes",IF(COUNTBLANK('Capacity summary'!$H137:$BG137)&lt;52,IF('Capacity summary'!Z137&lt;&gt;"",IF(LOWER('Capacity summary'!Z137)="x",$BI18*Z18,VALUE('Capacity summary'!Z137)),0),Z18*$BI18),Z18*$BI18),0)</f>
        <v>0</v>
      </c>
      <c r="CD18" s="311">
        <f>IF($BI18&lt;&gt;"",IF('Capacity summary'!$D$14="Yes",IF(COUNTBLANK('Capacity summary'!$H137:$BG137)&lt;52,IF('Capacity summary'!AA137&lt;&gt;"",IF(LOWER('Capacity summary'!AA137)="x",$BI18*AA18,VALUE('Capacity summary'!AA137)),0),AA18*$BI18),AA18*$BI18),0)</f>
        <v>0</v>
      </c>
      <c r="CE18" s="311">
        <f>IF($BI18&lt;&gt;"",IF('Capacity summary'!$D$14="Yes",IF(COUNTBLANK('Capacity summary'!$H137:$BG137)&lt;52,IF('Capacity summary'!AB137&lt;&gt;"",IF(LOWER('Capacity summary'!AB137)="x",$BI18*AB18,VALUE('Capacity summary'!AB137)),0),AB18*$BI18),AB18*$BI18),0)</f>
        <v>0</v>
      </c>
      <c r="CF18" s="311">
        <f>IF($BI18&lt;&gt;"",IF('Capacity summary'!$D$14="Yes",IF(COUNTBLANK('Capacity summary'!$H137:$BG137)&lt;52,IF('Capacity summary'!AC137&lt;&gt;"",IF(LOWER('Capacity summary'!AC137)="x",$BI18*AC18,VALUE('Capacity summary'!AC137)),0),AC18*$BI18),AC18*$BI18),0)</f>
        <v>0</v>
      </c>
      <c r="CG18" s="311">
        <f>IF($BI18&lt;&gt;"",IF('Capacity summary'!$D$14="Yes",IF(COUNTBLANK('Capacity summary'!$H137:$BG137)&lt;52,IF('Capacity summary'!AD137&lt;&gt;"",IF(LOWER('Capacity summary'!AD137)="x",$BI18*AD18,VALUE('Capacity summary'!AD137)),0),AD18*$BI18),AD18*$BI18),0)</f>
        <v>0</v>
      </c>
      <c r="CH18" s="311">
        <f>IF($BI18&lt;&gt;"",IF('Capacity summary'!$D$14="Yes",IF(COUNTBLANK('Capacity summary'!$H137:$BG137)&lt;52,IF('Capacity summary'!AE137&lt;&gt;"",IF(LOWER('Capacity summary'!AE137)="x",$BI18*AE18,VALUE('Capacity summary'!AE137)),0),AE18*$BI18),AE18*$BI18),0)</f>
        <v>0</v>
      </c>
      <c r="CI18" s="311">
        <f>IF($BI18&lt;&gt;"",IF('Capacity summary'!$D$14="Yes",IF(COUNTBLANK('Capacity summary'!$H137:$BG137)&lt;52,IF('Capacity summary'!AF137&lt;&gt;"",IF(LOWER('Capacity summary'!AF137)="x",$BI18*AF18,VALUE('Capacity summary'!AF137)),0),AF18*$BI18),AF18*$BI18),0)</f>
        <v>0</v>
      </c>
      <c r="CJ18" s="311">
        <f>IF($BI18&lt;&gt;"",IF('Capacity summary'!$D$14="Yes",IF(COUNTBLANK('Capacity summary'!$H137:$BG137)&lt;52,IF('Capacity summary'!AG137&lt;&gt;"",IF(LOWER('Capacity summary'!AG137)="x",$BI18*AG18,VALUE('Capacity summary'!AG137)),0),AG18*$BI18),AG18*$BI18),0)</f>
        <v>0</v>
      </c>
      <c r="CK18" s="311">
        <f>IF($BI18&lt;&gt;"",IF('Capacity summary'!$D$14="Yes",IF(COUNTBLANK('Capacity summary'!$H137:$BG137)&lt;52,IF('Capacity summary'!AH137&lt;&gt;"",IF(LOWER('Capacity summary'!AH137)="x",$BI18*AH18,VALUE('Capacity summary'!AH137)),0),AH18*$BI18),AH18*$BI18),0)</f>
        <v>0</v>
      </c>
      <c r="CL18" s="311">
        <f>IF($BI18&lt;&gt;"",IF('Capacity summary'!$D$14="Yes",IF(COUNTBLANK('Capacity summary'!$H137:$BG137)&lt;52,IF('Capacity summary'!AI137&lt;&gt;"",IF(LOWER('Capacity summary'!AI137)="x",$BI18*AI18,VALUE('Capacity summary'!AI137)),0),AI18*$BI18),AI18*$BI18),0)</f>
        <v>0</v>
      </c>
      <c r="CM18" s="311">
        <f>IF($BI18&lt;&gt;"",IF('Capacity summary'!$D$14="Yes",IF(COUNTBLANK('Capacity summary'!$H137:$BG137)&lt;52,IF('Capacity summary'!AJ137&lt;&gt;"",IF(LOWER('Capacity summary'!AJ137)="x",$BI18*AJ18,VALUE('Capacity summary'!AJ137)),0),AJ18*$BI18),AJ18*$BI18),0)</f>
        <v>0</v>
      </c>
      <c r="CN18" s="311">
        <f>IF($BI18&lt;&gt;"",IF('Capacity summary'!$D$14="Yes",IF(COUNTBLANK('Capacity summary'!$H137:$BG137)&lt;52,IF('Capacity summary'!AK137&lt;&gt;"",IF(LOWER('Capacity summary'!AK137)="x",$BI18*AK18,VALUE('Capacity summary'!AK137)),0),AK18*$BI18),AK18*$BI18),0)</f>
        <v>0</v>
      </c>
      <c r="CO18" s="311">
        <f>IF($BI18&lt;&gt;"",IF('Capacity summary'!$D$14="Yes",IF(COUNTBLANK('Capacity summary'!$H137:$BG137)&lt;52,IF('Capacity summary'!AL137&lt;&gt;"",IF(LOWER('Capacity summary'!AL137)="x",$BI18*AL18,VALUE('Capacity summary'!AL137)),0),AL18*$BI18),AL18*$BI18),0)</f>
        <v>0</v>
      </c>
      <c r="CP18" s="311">
        <f>IF($BI18&lt;&gt;"",IF('Capacity summary'!$D$14="Yes",IF(COUNTBLANK('Capacity summary'!$H137:$BG137)&lt;52,IF('Capacity summary'!AM137&lt;&gt;"",IF(LOWER('Capacity summary'!AM137)="x",$BI18*AM18,VALUE('Capacity summary'!AM137)),0),AM18*$BI18),AM18*$BI18),0)</f>
        <v>0</v>
      </c>
      <c r="CQ18" s="311">
        <f>IF($BI18&lt;&gt;"",IF('Capacity summary'!$D$14="Yes",IF(COUNTBLANK('Capacity summary'!$H137:$BG137)&lt;52,IF('Capacity summary'!AN137&lt;&gt;"",IF(LOWER('Capacity summary'!AN137)="x",$BI18*AN18,VALUE('Capacity summary'!AN137)),0),AN18*$BI18),AN18*$BI18),0)</f>
        <v>0</v>
      </c>
      <c r="CR18" s="311">
        <f>IF($BI18&lt;&gt;"",IF('Capacity summary'!$D$14="Yes",IF(COUNTBLANK('Capacity summary'!$H137:$BG137)&lt;52,IF('Capacity summary'!AO137&lt;&gt;"",IF(LOWER('Capacity summary'!AO137)="x",$BI18*AO18,VALUE('Capacity summary'!AO137)),0),AO18*$BI18),AO18*$BI18),0)</f>
        <v>0</v>
      </c>
      <c r="CS18" s="311">
        <f>IF($BI18&lt;&gt;"",IF('Capacity summary'!$D$14="Yes",IF(COUNTBLANK('Capacity summary'!$H137:$BG137)&lt;52,IF('Capacity summary'!AP137&lt;&gt;"",IF(LOWER('Capacity summary'!AP137)="x",$BI18*AP18,VALUE('Capacity summary'!AP137)),0),AP18*$BI18),AP18*$BI18),0)</f>
        <v>0</v>
      </c>
      <c r="CT18" s="311">
        <f>IF($BI18&lt;&gt;"",IF('Capacity summary'!$D$14="Yes",IF(COUNTBLANK('Capacity summary'!$H137:$BG137)&lt;52,IF('Capacity summary'!AQ137&lt;&gt;"",IF(LOWER('Capacity summary'!AQ137)="x",$BI18*AQ18,VALUE('Capacity summary'!AQ137)),0),AQ18*$BI18),AQ18*$BI18),0)</f>
        <v>0</v>
      </c>
      <c r="CU18" s="311">
        <f>IF($BI18&lt;&gt;"",IF('Capacity summary'!$D$14="Yes",IF(COUNTBLANK('Capacity summary'!$H137:$BG137)&lt;52,IF('Capacity summary'!AR137&lt;&gt;"",IF(LOWER('Capacity summary'!AR137)="x",$BI18*AR18,VALUE('Capacity summary'!AR137)),0),AR18*$BI18),AR18*$BI18),0)</f>
        <v>0</v>
      </c>
      <c r="CV18" s="311">
        <f>IF($BI18&lt;&gt;"",IF('Capacity summary'!$D$14="Yes",IF(COUNTBLANK('Capacity summary'!$H137:$BG137)&lt;52,IF('Capacity summary'!AS137&lt;&gt;"",IF(LOWER('Capacity summary'!AS137)="x",$BI18*AS18,VALUE('Capacity summary'!AS137)),0),AS18*$BI18),AS18*$BI18),0)</f>
        <v>0</v>
      </c>
      <c r="CW18" s="311">
        <f>IF($BI18&lt;&gt;"",IF('Capacity summary'!$D$14="Yes",IF(COUNTBLANK('Capacity summary'!$H137:$BG137)&lt;52,IF('Capacity summary'!AT137&lt;&gt;"",IF(LOWER('Capacity summary'!AT137)="x",$BI18*AT18,VALUE('Capacity summary'!AT137)),0),AT18*$BI18),AT18*$BI18),0)</f>
        <v>0</v>
      </c>
      <c r="CX18" s="311">
        <f>IF($BI18&lt;&gt;"",IF('Capacity summary'!$D$14="Yes",IF(COUNTBLANK('Capacity summary'!$H137:$BG137)&lt;52,IF('Capacity summary'!AU137&lt;&gt;"",IF(LOWER('Capacity summary'!AU137)="x",$BI18*AU18,VALUE('Capacity summary'!AU137)),0),AU18*$BI18),AU18*$BI18),0)</f>
        <v>0</v>
      </c>
      <c r="CY18" s="311">
        <f>IF($BI18&lt;&gt;"",IF('Capacity summary'!$D$14="Yes",IF(COUNTBLANK('Capacity summary'!$H137:$BG137)&lt;52,IF('Capacity summary'!AV137&lt;&gt;"",IF(LOWER('Capacity summary'!AV137)="x",$BI18*AV18,VALUE('Capacity summary'!AV137)),0),AV18*$BI18),AV18*$BI18),0)</f>
        <v>0</v>
      </c>
      <c r="CZ18" s="311">
        <f>IF($BI18&lt;&gt;"",IF('Capacity summary'!$D$14="Yes",IF(COUNTBLANK('Capacity summary'!$H137:$BG137)&lt;52,IF('Capacity summary'!AW137&lt;&gt;"",IF(LOWER('Capacity summary'!AW137)="x",$BI18*AW18,VALUE('Capacity summary'!AW137)),0),AW18*$BI18),AW18*$BI18),0)</f>
        <v>0</v>
      </c>
      <c r="DA18" s="311">
        <f>IF($BI18&lt;&gt;"",IF('Capacity summary'!$D$14="Yes",IF(COUNTBLANK('Capacity summary'!$H137:$BG137)&lt;52,IF('Capacity summary'!AX137&lt;&gt;"",IF(LOWER('Capacity summary'!AX137)="x",$BI18*AX18,VALUE('Capacity summary'!AX137)),0),AX18*$BI18),AX18*$BI18),0)</f>
        <v>0</v>
      </c>
      <c r="DB18" s="311">
        <f>IF($BI18&lt;&gt;"",IF('Capacity summary'!$D$14="Yes",IF(COUNTBLANK('Capacity summary'!$H137:$BG137)&lt;52,IF('Capacity summary'!AY137&lt;&gt;"",IF(LOWER('Capacity summary'!AY137)="x",$BI18*AY18,VALUE('Capacity summary'!AY137)),0),AY18*$BI18),AY18*$BI18),0)</f>
        <v>0</v>
      </c>
      <c r="DC18" s="311">
        <f>IF($BI18&lt;&gt;"",IF('Capacity summary'!$D$14="Yes",IF(COUNTBLANK('Capacity summary'!$H137:$BG137)&lt;52,IF('Capacity summary'!AZ137&lt;&gt;"",IF(LOWER('Capacity summary'!AZ137)="x",$BI18*AZ18,VALUE('Capacity summary'!AZ137)),0),AZ18*$BI18),AZ18*$BI18),0)</f>
        <v>0</v>
      </c>
      <c r="DD18" s="311">
        <f>IF($BI18&lt;&gt;"",IF('Capacity summary'!$D$14="Yes",IF(COUNTBLANK('Capacity summary'!$H137:$BG137)&lt;52,IF('Capacity summary'!BA137&lt;&gt;"",IF(LOWER('Capacity summary'!BA137)="x",$BI18*BA18,VALUE('Capacity summary'!BA137)),0),BA18*$BI18),BA18*$BI18),0)</f>
        <v>0</v>
      </c>
      <c r="DE18" s="311">
        <f>IF($BI18&lt;&gt;"",IF('Capacity summary'!$D$14="Yes",IF(COUNTBLANK('Capacity summary'!$H137:$BG137)&lt;52,IF('Capacity summary'!BB137&lt;&gt;"",IF(LOWER('Capacity summary'!BB137)="x",$BI18*BB18,VALUE('Capacity summary'!BB137)),0),BB18*$BI18),BB18*$BI18),0)</f>
        <v>0</v>
      </c>
      <c r="DF18" s="311">
        <f>IF($BI18&lt;&gt;"",IF('Capacity summary'!$D$14="Yes",IF(COUNTBLANK('Capacity summary'!$H137:$BG137)&lt;52,IF('Capacity summary'!BC137&lt;&gt;"",IF(LOWER('Capacity summary'!BC137)="x",$BI18*BC18,VALUE('Capacity summary'!BC137)),0),BC18*$BI18),BC18*$BI18),0)</f>
        <v>0</v>
      </c>
      <c r="DG18" s="311">
        <f>IF($BI18&lt;&gt;"",IF('Capacity summary'!$D$14="Yes",IF(COUNTBLANK('Capacity summary'!$H137:$BG137)&lt;52,IF('Capacity summary'!BD137&lt;&gt;"",IF(LOWER('Capacity summary'!BD137)="x",$BI18*BD18,VALUE('Capacity summary'!BD137)),0),BD18*$BI18),BD18*$BI18),0)</f>
        <v>0</v>
      </c>
      <c r="DH18" s="311">
        <f>IF($BI18&lt;&gt;"",IF('Capacity summary'!$D$14="Yes",IF(COUNTBLANK('Capacity summary'!$H137:$BG137)&lt;52,IF('Capacity summary'!BE137&lt;&gt;"",IF(LOWER('Capacity summary'!BE137)="x",$BI18*BE18,VALUE('Capacity summary'!BE137)),0),BE18*$BI18),BE18*$BI18),0)</f>
        <v>0</v>
      </c>
      <c r="DI18" s="311">
        <f>IF($BI18&lt;&gt;"",IF('Capacity summary'!$D$14="Yes",IF(COUNTBLANK('Capacity summary'!$H137:$BG137)&lt;52,IF('Capacity summary'!BF137&lt;&gt;"",IF(LOWER('Capacity summary'!BF137)="x",$BI18*BF18,VALUE('Capacity summary'!BF137)),0),BF18*$BI18),BF18*$BI18),0)</f>
        <v>0</v>
      </c>
      <c r="DJ18" s="311">
        <f>IF($BI18&lt;&gt;"",IF('Capacity summary'!$D$14="Yes",IF(COUNTBLANK('Capacity summary'!$H137:$BG137)&lt;52,IF('Capacity summary'!BG137&lt;&gt;"",IF(LOWER('Capacity summary'!BG137)="x",$BI18*BG18,VALUE('Capacity summary'!BG137)),0),BG18*$BI18),BG18*$BI18),0)</f>
        <v>0</v>
      </c>
      <c r="DK18" s="391">
        <f t="shared" si="2"/>
        <v>0</v>
      </c>
      <c r="DL18" s="136">
        <f t="shared" si="3"/>
        <v>0</v>
      </c>
      <c r="DM18" s="311" t="str">
        <f>Capacity!H30</f>
        <v/>
      </c>
      <c r="DQ18" s="5"/>
    </row>
    <row r="19" spans="1:121" x14ac:dyDescent="0.2">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1">
        <f>IF($BI19&lt;&gt;"",IF('Capacity summary'!$D$14="Yes",IF(COUNTBLANK('Capacity summary'!$H138:$BG138)&lt;52,IF('Capacity summary'!H138&lt;&gt;"",IF(LOWER('Capacity summary'!H138)="x",$BI19*H19,VALUE('Capacity summary'!H138)),0),H19*$BI19),H19*$BI19),0)</f>
        <v>0</v>
      </c>
      <c r="BL19" s="311">
        <f>IF($BI19&lt;&gt;"",IF('Capacity summary'!$D$14="Yes",IF(COUNTBLANK('Capacity summary'!$H138:$BG138)&lt;52,IF('Capacity summary'!I138&lt;&gt;"",IF(LOWER('Capacity summary'!I138)="x",$BI19*I19,VALUE('Capacity summary'!I138)),0),I19*$BI19),I19*$BI19),0)</f>
        <v>0</v>
      </c>
      <c r="BM19" s="311">
        <f>IF($BI19&lt;&gt;"",IF('Capacity summary'!$D$14="Yes",IF(COUNTBLANK('Capacity summary'!$H138:$BG138)&lt;52,IF('Capacity summary'!J138&lt;&gt;"",IF(LOWER('Capacity summary'!J138)="x",$BI19*J19,VALUE('Capacity summary'!J138)),0),J19*$BI19),J19*$BI19),0)</f>
        <v>0</v>
      </c>
      <c r="BN19" s="311">
        <f>IF($BI19&lt;&gt;"",IF('Capacity summary'!$D$14="Yes",IF(COUNTBLANK('Capacity summary'!$H138:$BG138)&lt;52,IF('Capacity summary'!K138&lt;&gt;"",IF(LOWER('Capacity summary'!K138)="x",$BI19*K19,VALUE('Capacity summary'!K138)),0),K19*$BI19),K19*$BI19),0)</f>
        <v>0</v>
      </c>
      <c r="BO19" s="311">
        <f>IF($BI19&lt;&gt;"",IF('Capacity summary'!$D$14="Yes",IF(COUNTBLANK('Capacity summary'!$H138:$BG138)&lt;52,IF('Capacity summary'!L138&lt;&gt;"",IF(LOWER('Capacity summary'!L138)="x",$BI19*L19,VALUE('Capacity summary'!L138)),0),L19*$BI19),L19*$BI19),0)</f>
        <v>0</v>
      </c>
      <c r="BP19" s="311">
        <f>IF($BI19&lt;&gt;"",IF('Capacity summary'!$D$14="Yes",IF(COUNTBLANK('Capacity summary'!$H138:$BG138)&lt;52,IF('Capacity summary'!M138&lt;&gt;"",IF(LOWER('Capacity summary'!M138)="x",$BI19*M19,VALUE('Capacity summary'!M138)),0),M19*$BI19),M19*$BI19),0)</f>
        <v>0</v>
      </c>
      <c r="BQ19" s="311">
        <f>IF($BI19&lt;&gt;"",IF('Capacity summary'!$D$14="Yes",IF(COUNTBLANK('Capacity summary'!$H138:$BG138)&lt;52,IF('Capacity summary'!N138&lt;&gt;"",IF(LOWER('Capacity summary'!N138)="x",$BI19*N19,VALUE('Capacity summary'!N138)),0),N19*$BI19),N19*$BI19),0)</f>
        <v>0</v>
      </c>
      <c r="BR19" s="311">
        <f>IF($BI19&lt;&gt;"",IF('Capacity summary'!$D$14="Yes",IF(COUNTBLANK('Capacity summary'!$H138:$BG138)&lt;52,IF('Capacity summary'!O138&lt;&gt;"",IF(LOWER('Capacity summary'!O138)="x",$BI19*O19,VALUE('Capacity summary'!O138)),0),O19*$BI19),O19*$BI19),0)</f>
        <v>0</v>
      </c>
      <c r="BS19" s="311">
        <f>IF($BI19&lt;&gt;"",IF('Capacity summary'!$D$14="Yes",IF(COUNTBLANK('Capacity summary'!$H138:$BG138)&lt;52,IF('Capacity summary'!P138&lt;&gt;"",IF(LOWER('Capacity summary'!P138)="x",$BI19*P19,VALUE('Capacity summary'!P138)),0),P19*$BI19),P19*$BI19),0)</f>
        <v>0</v>
      </c>
      <c r="BT19" s="311">
        <f>IF($BI19&lt;&gt;"",IF('Capacity summary'!$D$14="Yes",IF(COUNTBLANK('Capacity summary'!$H138:$BG138)&lt;52,IF('Capacity summary'!Q138&lt;&gt;"",IF(LOWER('Capacity summary'!Q138)="x",$BI19*Q19,VALUE('Capacity summary'!Q138)),0),Q19*$BI19),Q19*$BI19),0)</f>
        <v>0</v>
      </c>
      <c r="BU19" s="311">
        <f>IF($BI19&lt;&gt;"",IF('Capacity summary'!$D$14="Yes",IF(COUNTBLANK('Capacity summary'!$H138:$BG138)&lt;52,IF('Capacity summary'!R138&lt;&gt;"",IF(LOWER('Capacity summary'!R138)="x",$BI19*R19,VALUE('Capacity summary'!R138)),0),R19*$BI19),R19*$BI19),0)</f>
        <v>0</v>
      </c>
      <c r="BV19" s="311">
        <f>IF($BI19&lt;&gt;"",IF('Capacity summary'!$D$14="Yes",IF(COUNTBLANK('Capacity summary'!$H138:$BG138)&lt;52,IF('Capacity summary'!S138&lt;&gt;"",IF(LOWER('Capacity summary'!S138)="x",$BI19*S19,VALUE('Capacity summary'!S138)),0),S19*$BI19),S19*$BI19),0)</f>
        <v>0</v>
      </c>
      <c r="BW19" s="311">
        <f>IF($BI19&lt;&gt;"",IF('Capacity summary'!$D$14="Yes",IF(COUNTBLANK('Capacity summary'!$H138:$BG138)&lt;52,IF('Capacity summary'!T138&lt;&gt;"",IF(LOWER('Capacity summary'!T138)="x",$BI19*T19,VALUE('Capacity summary'!T138)),0),T19*$BI19),T19*$BI19),0)</f>
        <v>0</v>
      </c>
      <c r="BX19" s="311">
        <f>IF($BI19&lt;&gt;"",IF('Capacity summary'!$D$14="Yes",IF(COUNTBLANK('Capacity summary'!$H138:$BG138)&lt;52,IF('Capacity summary'!U138&lt;&gt;"",IF(LOWER('Capacity summary'!U138)="x",$BI19*U19,VALUE('Capacity summary'!U138)),0),U19*$BI19),U19*$BI19),0)</f>
        <v>0</v>
      </c>
      <c r="BY19" s="311">
        <f>IF($BI19&lt;&gt;"",IF('Capacity summary'!$D$14="Yes",IF(COUNTBLANK('Capacity summary'!$H138:$BG138)&lt;52,IF('Capacity summary'!V138&lt;&gt;"",IF(LOWER('Capacity summary'!V138)="x",$BI19*V19,VALUE('Capacity summary'!V138)),0),V19*$BI19),V19*$BI19),0)</f>
        <v>0</v>
      </c>
      <c r="BZ19" s="311">
        <f>IF($BI19&lt;&gt;"",IF('Capacity summary'!$D$14="Yes",IF(COUNTBLANK('Capacity summary'!$H138:$BG138)&lt;52,IF('Capacity summary'!W138&lt;&gt;"",IF(LOWER('Capacity summary'!W138)="x",$BI19*W19,VALUE('Capacity summary'!W138)),0),W19*$BI19),W19*$BI19),0)</f>
        <v>0</v>
      </c>
      <c r="CA19" s="311">
        <f>IF($BI19&lt;&gt;"",IF('Capacity summary'!$D$14="Yes",IF(COUNTBLANK('Capacity summary'!$H138:$BG138)&lt;52,IF('Capacity summary'!X138&lt;&gt;"",IF(LOWER('Capacity summary'!X138)="x",$BI19*X19,VALUE('Capacity summary'!X138)),0),X19*$BI19),X19*$BI19),0)</f>
        <v>0</v>
      </c>
      <c r="CB19" s="311">
        <f>IF($BI19&lt;&gt;"",IF('Capacity summary'!$D$14="Yes",IF(COUNTBLANK('Capacity summary'!$H138:$BG138)&lt;52,IF('Capacity summary'!Y138&lt;&gt;"",IF(LOWER('Capacity summary'!Y138)="x",$BI19*Y19,VALUE('Capacity summary'!Y138)),0),Y19*$BI19),Y19*$BI19),0)</f>
        <v>0</v>
      </c>
      <c r="CC19" s="311">
        <f>IF($BI19&lt;&gt;"",IF('Capacity summary'!$D$14="Yes",IF(COUNTBLANK('Capacity summary'!$H138:$BG138)&lt;52,IF('Capacity summary'!Z138&lt;&gt;"",IF(LOWER('Capacity summary'!Z138)="x",$BI19*Z19,VALUE('Capacity summary'!Z138)),0),Z19*$BI19),Z19*$BI19),0)</f>
        <v>0</v>
      </c>
      <c r="CD19" s="311">
        <f>IF($BI19&lt;&gt;"",IF('Capacity summary'!$D$14="Yes",IF(COUNTBLANK('Capacity summary'!$H138:$BG138)&lt;52,IF('Capacity summary'!AA138&lt;&gt;"",IF(LOWER('Capacity summary'!AA138)="x",$BI19*AA19,VALUE('Capacity summary'!AA138)),0),AA19*$BI19),AA19*$BI19),0)</f>
        <v>0</v>
      </c>
      <c r="CE19" s="311">
        <f>IF($BI19&lt;&gt;"",IF('Capacity summary'!$D$14="Yes",IF(COUNTBLANK('Capacity summary'!$H138:$BG138)&lt;52,IF('Capacity summary'!AB138&lt;&gt;"",IF(LOWER('Capacity summary'!AB138)="x",$BI19*AB19,VALUE('Capacity summary'!AB138)),0),AB19*$BI19),AB19*$BI19),0)</f>
        <v>0</v>
      </c>
      <c r="CF19" s="311">
        <f>IF($BI19&lt;&gt;"",IF('Capacity summary'!$D$14="Yes",IF(COUNTBLANK('Capacity summary'!$H138:$BG138)&lt;52,IF('Capacity summary'!AC138&lt;&gt;"",IF(LOWER('Capacity summary'!AC138)="x",$BI19*AC19,VALUE('Capacity summary'!AC138)),0),AC19*$BI19),AC19*$BI19),0)</f>
        <v>0</v>
      </c>
      <c r="CG19" s="311">
        <f>IF($BI19&lt;&gt;"",IF('Capacity summary'!$D$14="Yes",IF(COUNTBLANK('Capacity summary'!$H138:$BG138)&lt;52,IF('Capacity summary'!AD138&lt;&gt;"",IF(LOWER('Capacity summary'!AD138)="x",$BI19*AD19,VALUE('Capacity summary'!AD138)),0),AD19*$BI19),AD19*$BI19),0)</f>
        <v>0</v>
      </c>
      <c r="CH19" s="311">
        <f>IF($BI19&lt;&gt;"",IF('Capacity summary'!$D$14="Yes",IF(COUNTBLANK('Capacity summary'!$H138:$BG138)&lt;52,IF('Capacity summary'!AE138&lt;&gt;"",IF(LOWER('Capacity summary'!AE138)="x",$BI19*AE19,VALUE('Capacity summary'!AE138)),0),AE19*$BI19),AE19*$BI19),0)</f>
        <v>0</v>
      </c>
      <c r="CI19" s="311">
        <f>IF($BI19&lt;&gt;"",IF('Capacity summary'!$D$14="Yes",IF(COUNTBLANK('Capacity summary'!$H138:$BG138)&lt;52,IF('Capacity summary'!AF138&lt;&gt;"",IF(LOWER('Capacity summary'!AF138)="x",$BI19*AF19,VALUE('Capacity summary'!AF138)),0),AF19*$BI19),AF19*$BI19),0)</f>
        <v>0</v>
      </c>
      <c r="CJ19" s="311">
        <f>IF($BI19&lt;&gt;"",IF('Capacity summary'!$D$14="Yes",IF(COUNTBLANK('Capacity summary'!$H138:$BG138)&lt;52,IF('Capacity summary'!AG138&lt;&gt;"",IF(LOWER('Capacity summary'!AG138)="x",$BI19*AG19,VALUE('Capacity summary'!AG138)),0),AG19*$BI19),AG19*$BI19),0)</f>
        <v>0</v>
      </c>
      <c r="CK19" s="311">
        <f>IF($BI19&lt;&gt;"",IF('Capacity summary'!$D$14="Yes",IF(COUNTBLANK('Capacity summary'!$H138:$BG138)&lt;52,IF('Capacity summary'!AH138&lt;&gt;"",IF(LOWER('Capacity summary'!AH138)="x",$BI19*AH19,VALUE('Capacity summary'!AH138)),0),AH19*$BI19),AH19*$BI19),0)</f>
        <v>0</v>
      </c>
      <c r="CL19" s="311">
        <f>IF($BI19&lt;&gt;"",IF('Capacity summary'!$D$14="Yes",IF(COUNTBLANK('Capacity summary'!$H138:$BG138)&lt;52,IF('Capacity summary'!AI138&lt;&gt;"",IF(LOWER('Capacity summary'!AI138)="x",$BI19*AI19,VALUE('Capacity summary'!AI138)),0),AI19*$BI19),AI19*$BI19),0)</f>
        <v>0</v>
      </c>
      <c r="CM19" s="311">
        <f>IF($BI19&lt;&gt;"",IF('Capacity summary'!$D$14="Yes",IF(COUNTBLANK('Capacity summary'!$H138:$BG138)&lt;52,IF('Capacity summary'!AJ138&lt;&gt;"",IF(LOWER('Capacity summary'!AJ138)="x",$BI19*AJ19,VALUE('Capacity summary'!AJ138)),0),AJ19*$BI19),AJ19*$BI19),0)</f>
        <v>0</v>
      </c>
      <c r="CN19" s="311">
        <f>IF($BI19&lt;&gt;"",IF('Capacity summary'!$D$14="Yes",IF(COUNTBLANK('Capacity summary'!$H138:$BG138)&lt;52,IF('Capacity summary'!AK138&lt;&gt;"",IF(LOWER('Capacity summary'!AK138)="x",$BI19*AK19,VALUE('Capacity summary'!AK138)),0),AK19*$BI19),AK19*$BI19),0)</f>
        <v>0</v>
      </c>
      <c r="CO19" s="311">
        <f>IF($BI19&lt;&gt;"",IF('Capacity summary'!$D$14="Yes",IF(COUNTBLANK('Capacity summary'!$H138:$BG138)&lt;52,IF('Capacity summary'!AL138&lt;&gt;"",IF(LOWER('Capacity summary'!AL138)="x",$BI19*AL19,VALUE('Capacity summary'!AL138)),0),AL19*$BI19),AL19*$BI19),0)</f>
        <v>0</v>
      </c>
      <c r="CP19" s="311">
        <f>IF($BI19&lt;&gt;"",IF('Capacity summary'!$D$14="Yes",IF(COUNTBLANK('Capacity summary'!$H138:$BG138)&lt;52,IF('Capacity summary'!AM138&lt;&gt;"",IF(LOWER('Capacity summary'!AM138)="x",$BI19*AM19,VALUE('Capacity summary'!AM138)),0),AM19*$BI19),AM19*$BI19),0)</f>
        <v>0</v>
      </c>
      <c r="CQ19" s="311">
        <f>IF($BI19&lt;&gt;"",IF('Capacity summary'!$D$14="Yes",IF(COUNTBLANK('Capacity summary'!$H138:$BG138)&lt;52,IF('Capacity summary'!AN138&lt;&gt;"",IF(LOWER('Capacity summary'!AN138)="x",$BI19*AN19,VALUE('Capacity summary'!AN138)),0),AN19*$BI19),AN19*$BI19),0)</f>
        <v>0</v>
      </c>
      <c r="CR19" s="311">
        <f>IF($BI19&lt;&gt;"",IF('Capacity summary'!$D$14="Yes",IF(COUNTBLANK('Capacity summary'!$H138:$BG138)&lt;52,IF('Capacity summary'!AO138&lt;&gt;"",IF(LOWER('Capacity summary'!AO138)="x",$BI19*AO19,VALUE('Capacity summary'!AO138)),0),AO19*$BI19),AO19*$BI19),0)</f>
        <v>0</v>
      </c>
      <c r="CS19" s="311">
        <f>IF($BI19&lt;&gt;"",IF('Capacity summary'!$D$14="Yes",IF(COUNTBLANK('Capacity summary'!$H138:$BG138)&lt;52,IF('Capacity summary'!AP138&lt;&gt;"",IF(LOWER('Capacity summary'!AP138)="x",$BI19*AP19,VALUE('Capacity summary'!AP138)),0),AP19*$BI19),AP19*$BI19),0)</f>
        <v>0</v>
      </c>
      <c r="CT19" s="311">
        <f>IF($BI19&lt;&gt;"",IF('Capacity summary'!$D$14="Yes",IF(COUNTBLANK('Capacity summary'!$H138:$BG138)&lt;52,IF('Capacity summary'!AQ138&lt;&gt;"",IF(LOWER('Capacity summary'!AQ138)="x",$BI19*AQ19,VALUE('Capacity summary'!AQ138)),0),AQ19*$BI19),AQ19*$BI19),0)</f>
        <v>0</v>
      </c>
      <c r="CU19" s="311">
        <f>IF($BI19&lt;&gt;"",IF('Capacity summary'!$D$14="Yes",IF(COUNTBLANK('Capacity summary'!$H138:$BG138)&lt;52,IF('Capacity summary'!AR138&lt;&gt;"",IF(LOWER('Capacity summary'!AR138)="x",$BI19*AR19,VALUE('Capacity summary'!AR138)),0),AR19*$BI19),AR19*$BI19),0)</f>
        <v>0</v>
      </c>
      <c r="CV19" s="311">
        <f>IF($BI19&lt;&gt;"",IF('Capacity summary'!$D$14="Yes",IF(COUNTBLANK('Capacity summary'!$H138:$BG138)&lt;52,IF('Capacity summary'!AS138&lt;&gt;"",IF(LOWER('Capacity summary'!AS138)="x",$BI19*AS19,VALUE('Capacity summary'!AS138)),0),AS19*$BI19),AS19*$BI19),0)</f>
        <v>0</v>
      </c>
      <c r="CW19" s="311">
        <f>IF($BI19&lt;&gt;"",IF('Capacity summary'!$D$14="Yes",IF(COUNTBLANK('Capacity summary'!$H138:$BG138)&lt;52,IF('Capacity summary'!AT138&lt;&gt;"",IF(LOWER('Capacity summary'!AT138)="x",$BI19*AT19,VALUE('Capacity summary'!AT138)),0),AT19*$BI19),AT19*$BI19),0)</f>
        <v>0</v>
      </c>
      <c r="CX19" s="311">
        <f>IF($BI19&lt;&gt;"",IF('Capacity summary'!$D$14="Yes",IF(COUNTBLANK('Capacity summary'!$H138:$BG138)&lt;52,IF('Capacity summary'!AU138&lt;&gt;"",IF(LOWER('Capacity summary'!AU138)="x",$BI19*AU19,VALUE('Capacity summary'!AU138)),0),AU19*$BI19),AU19*$BI19),0)</f>
        <v>0</v>
      </c>
      <c r="CY19" s="311">
        <f>IF($BI19&lt;&gt;"",IF('Capacity summary'!$D$14="Yes",IF(COUNTBLANK('Capacity summary'!$H138:$BG138)&lt;52,IF('Capacity summary'!AV138&lt;&gt;"",IF(LOWER('Capacity summary'!AV138)="x",$BI19*AV19,VALUE('Capacity summary'!AV138)),0),AV19*$BI19),AV19*$BI19),0)</f>
        <v>0</v>
      </c>
      <c r="CZ19" s="311">
        <f>IF($BI19&lt;&gt;"",IF('Capacity summary'!$D$14="Yes",IF(COUNTBLANK('Capacity summary'!$H138:$BG138)&lt;52,IF('Capacity summary'!AW138&lt;&gt;"",IF(LOWER('Capacity summary'!AW138)="x",$BI19*AW19,VALUE('Capacity summary'!AW138)),0),AW19*$BI19),AW19*$BI19),0)</f>
        <v>0</v>
      </c>
      <c r="DA19" s="311">
        <f>IF($BI19&lt;&gt;"",IF('Capacity summary'!$D$14="Yes",IF(COUNTBLANK('Capacity summary'!$H138:$BG138)&lt;52,IF('Capacity summary'!AX138&lt;&gt;"",IF(LOWER('Capacity summary'!AX138)="x",$BI19*AX19,VALUE('Capacity summary'!AX138)),0),AX19*$BI19),AX19*$BI19),0)</f>
        <v>0</v>
      </c>
      <c r="DB19" s="311">
        <f>IF($BI19&lt;&gt;"",IF('Capacity summary'!$D$14="Yes",IF(COUNTBLANK('Capacity summary'!$H138:$BG138)&lt;52,IF('Capacity summary'!AY138&lt;&gt;"",IF(LOWER('Capacity summary'!AY138)="x",$BI19*AY19,VALUE('Capacity summary'!AY138)),0),AY19*$BI19),AY19*$BI19),0)</f>
        <v>0</v>
      </c>
      <c r="DC19" s="311">
        <f>IF($BI19&lt;&gt;"",IF('Capacity summary'!$D$14="Yes",IF(COUNTBLANK('Capacity summary'!$H138:$BG138)&lt;52,IF('Capacity summary'!AZ138&lt;&gt;"",IF(LOWER('Capacity summary'!AZ138)="x",$BI19*AZ19,VALUE('Capacity summary'!AZ138)),0),AZ19*$BI19),AZ19*$BI19),0)</f>
        <v>0</v>
      </c>
      <c r="DD19" s="311">
        <f>IF($BI19&lt;&gt;"",IF('Capacity summary'!$D$14="Yes",IF(COUNTBLANK('Capacity summary'!$H138:$BG138)&lt;52,IF('Capacity summary'!BA138&lt;&gt;"",IF(LOWER('Capacity summary'!BA138)="x",$BI19*BA19,VALUE('Capacity summary'!BA138)),0),BA19*$BI19),BA19*$BI19),0)</f>
        <v>0</v>
      </c>
      <c r="DE19" s="311">
        <f>IF($BI19&lt;&gt;"",IF('Capacity summary'!$D$14="Yes",IF(COUNTBLANK('Capacity summary'!$H138:$BG138)&lt;52,IF('Capacity summary'!BB138&lt;&gt;"",IF(LOWER('Capacity summary'!BB138)="x",$BI19*BB19,VALUE('Capacity summary'!BB138)),0),BB19*$BI19),BB19*$BI19),0)</f>
        <v>0</v>
      </c>
      <c r="DF19" s="311">
        <f>IF($BI19&lt;&gt;"",IF('Capacity summary'!$D$14="Yes",IF(COUNTBLANK('Capacity summary'!$H138:$BG138)&lt;52,IF('Capacity summary'!BC138&lt;&gt;"",IF(LOWER('Capacity summary'!BC138)="x",$BI19*BC19,VALUE('Capacity summary'!BC138)),0),BC19*$BI19),BC19*$BI19),0)</f>
        <v>0</v>
      </c>
      <c r="DG19" s="311">
        <f>IF($BI19&lt;&gt;"",IF('Capacity summary'!$D$14="Yes",IF(COUNTBLANK('Capacity summary'!$H138:$BG138)&lt;52,IF('Capacity summary'!BD138&lt;&gt;"",IF(LOWER('Capacity summary'!BD138)="x",$BI19*BD19,VALUE('Capacity summary'!BD138)),0),BD19*$BI19),BD19*$BI19),0)</f>
        <v>0</v>
      </c>
      <c r="DH19" s="311">
        <f>IF($BI19&lt;&gt;"",IF('Capacity summary'!$D$14="Yes",IF(COUNTBLANK('Capacity summary'!$H138:$BG138)&lt;52,IF('Capacity summary'!BE138&lt;&gt;"",IF(LOWER('Capacity summary'!BE138)="x",$BI19*BE19,VALUE('Capacity summary'!BE138)),0),BE19*$BI19),BE19*$BI19),0)</f>
        <v>0</v>
      </c>
      <c r="DI19" s="311">
        <f>IF($BI19&lt;&gt;"",IF('Capacity summary'!$D$14="Yes",IF(COUNTBLANK('Capacity summary'!$H138:$BG138)&lt;52,IF('Capacity summary'!BF138&lt;&gt;"",IF(LOWER('Capacity summary'!BF138)="x",$BI19*BF19,VALUE('Capacity summary'!BF138)),0),BF19*$BI19),BF19*$BI19),0)</f>
        <v>0</v>
      </c>
      <c r="DJ19" s="311">
        <f>IF($BI19&lt;&gt;"",IF('Capacity summary'!$D$14="Yes",IF(COUNTBLANK('Capacity summary'!$H138:$BG138)&lt;52,IF('Capacity summary'!BG138&lt;&gt;"",IF(LOWER('Capacity summary'!BG138)="x",$BI19*BG19,VALUE('Capacity summary'!BG138)),0),BG19*$BI19),BG19*$BI19),0)</f>
        <v>0</v>
      </c>
      <c r="DK19" s="391">
        <f t="shared" si="2"/>
        <v>0</v>
      </c>
      <c r="DL19" s="136">
        <f t="shared" si="3"/>
        <v>0</v>
      </c>
      <c r="DM19" s="311" t="str">
        <f>Capacity!H31</f>
        <v/>
      </c>
      <c r="DQ19" s="5"/>
    </row>
    <row r="20" spans="1:121" x14ac:dyDescent="0.2">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1">
        <f>IF($BI20&lt;&gt;"",IF('Capacity summary'!$D$14="Yes",IF(COUNTBLANK('Capacity summary'!$H139:$BG139)&lt;52,IF('Capacity summary'!H139&lt;&gt;"",IF(LOWER('Capacity summary'!H139)="x",$BI20*H20,VALUE('Capacity summary'!H139)),0),H20*$BI20),H20*$BI20),0)</f>
        <v>0</v>
      </c>
      <c r="BL20" s="311">
        <f>IF($BI20&lt;&gt;"",IF('Capacity summary'!$D$14="Yes",IF(COUNTBLANK('Capacity summary'!$H139:$BG139)&lt;52,IF('Capacity summary'!I139&lt;&gt;"",IF(LOWER('Capacity summary'!I139)="x",$BI20*I20,VALUE('Capacity summary'!I139)),0),I20*$BI20),I20*$BI20),0)</f>
        <v>0</v>
      </c>
      <c r="BM20" s="311">
        <f>IF($BI20&lt;&gt;"",IF('Capacity summary'!$D$14="Yes",IF(COUNTBLANK('Capacity summary'!$H139:$BG139)&lt;52,IF('Capacity summary'!J139&lt;&gt;"",IF(LOWER('Capacity summary'!J139)="x",$BI20*J20,VALUE('Capacity summary'!J139)),0),J20*$BI20),J20*$BI20),0)</f>
        <v>0</v>
      </c>
      <c r="BN20" s="311">
        <f>IF($BI20&lt;&gt;"",IF('Capacity summary'!$D$14="Yes",IF(COUNTBLANK('Capacity summary'!$H139:$BG139)&lt;52,IF('Capacity summary'!K139&lt;&gt;"",IF(LOWER('Capacity summary'!K139)="x",$BI20*K20,VALUE('Capacity summary'!K139)),0),K20*$BI20),K20*$BI20),0)</f>
        <v>0</v>
      </c>
      <c r="BO20" s="311">
        <f>IF($BI20&lt;&gt;"",IF('Capacity summary'!$D$14="Yes",IF(COUNTBLANK('Capacity summary'!$H139:$BG139)&lt;52,IF('Capacity summary'!L139&lt;&gt;"",IF(LOWER('Capacity summary'!L139)="x",$BI20*L20,VALUE('Capacity summary'!L139)),0),L20*$BI20),L20*$BI20),0)</f>
        <v>0</v>
      </c>
      <c r="BP20" s="311">
        <f>IF($BI20&lt;&gt;"",IF('Capacity summary'!$D$14="Yes",IF(COUNTBLANK('Capacity summary'!$H139:$BG139)&lt;52,IF('Capacity summary'!M139&lt;&gt;"",IF(LOWER('Capacity summary'!M139)="x",$BI20*M20,VALUE('Capacity summary'!M139)),0),M20*$BI20),M20*$BI20),0)</f>
        <v>0</v>
      </c>
      <c r="BQ20" s="311">
        <f>IF($BI20&lt;&gt;"",IF('Capacity summary'!$D$14="Yes",IF(COUNTBLANK('Capacity summary'!$H139:$BG139)&lt;52,IF('Capacity summary'!N139&lt;&gt;"",IF(LOWER('Capacity summary'!N139)="x",$BI20*N20,VALUE('Capacity summary'!N139)),0),N20*$BI20),N20*$BI20),0)</f>
        <v>0</v>
      </c>
      <c r="BR20" s="311">
        <f>IF($BI20&lt;&gt;"",IF('Capacity summary'!$D$14="Yes",IF(COUNTBLANK('Capacity summary'!$H139:$BG139)&lt;52,IF('Capacity summary'!O139&lt;&gt;"",IF(LOWER('Capacity summary'!O139)="x",$BI20*O20,VALUE('Capacity summary'!O139)),0),O20*$BI20),O20*$BI20),0)</f>
        <v>0</v>
      </c>
      <c r="BS20" s="311">
        <f>IF($BI20&lt;&gt;"",IF('Capacity summary'!$D$14="Yes",IF(COUNTBLANK('Capacity summary'!$H139:$BG139)&lt;52,IF('Capacity summary'!P139&lt;&gt;"",IF(LOWER('Capacity summary'!P139)="x",$BI20*P20,VALUE('Capacity summary'!P139)),0),P20*$BI20),P20*$BI20),0)</f>
        <v>0</v>
      </c>
      <c r="BT20" s="311">
        <f>IF($BI20&lt;&gt;"",IF('Capacity summary'!$D$14="Yes",IF(COUNTBLANK('Capacity summary'!$H139:$BG139)&lt;52,IF('Capacity summary'!Q139&lt;&gt;"",IF(LOWER('Capacity summary'!Q139)="x",$BI20*Q20,VALUE('Capacity summary'!Q139)),0),Q20*$BI20),Q20*$BI20),0)</f>
        <v>0</v>
      </c>
      <c r="BU20" s="311">
        <f>IF($BI20&lt;&gt;"",IF('Capacity summary'!$D$14="Yes",IF(COUNTBLANK('Capacity summary'!$H139:$BG139)&lt;52,IF('Capacity summary'!R139&lt;&gt;"",IF(LOWER('Capacity summary'!R139)="x",$BI20*R20,VALUE('Capacity summary'!R139)),0),R20*$BI20),R20*$BI20),0)</f>
        <v>0</v>
      </c>
      <c r="BV20" s="311">
        <f>IF($BI20&lt;&gt;"",IF('Capacity summary'!$D$14="Yes",IF(COUNTBLANK('Capacity summary'!$H139:$BG139)&lt;52,IF('Capacity summary'!S139&lt;&gt;"",IF(LOWER('Capacity summary'!S139)="x",$BI20*S20,VALUE('Capacity summary'!S139)),0),S20*$BI20),S20*$BI20),0)</f>
        <v>0</v>
      </c>
      <c r="BW20" s="311">
        <f>IF($BI20&lt;&gt;"",IF('Capacity summary'!$D$14="Yes",IF(COUNTBLANK('Capacity summary'!$H139:$BG139)&lt;52,IF('Capacity summary'!T139&lt;&gt;"",IF(LOWER('Capacity summary'!T139)="x",$BI20*T20,VALUE('Capacity summary'!T139)),0),T20*$BI20),T20*$BI20),0)</f>
        <v>0</v>
      </c>
      <c r="BX20" s="311">
        <f>IF($BI20&lt;&gt;"",IF('Capacity summary'!$D$14="Yes",IF(COUNTBLANK('Capacity summary'!$H139:$BG139)&lt;52,IF('Capacity summary'!U139&lt;&gt;"",IF(LOWER('Capacity summary'!U139)="x",$BI20*U20,VALUE('Capacity summary'!U139)),0),U20*$BI20),U20*$BI20),0)</f>
        <v>0</v>
      </c>
      <c r="BY20" s="311">
        <f>IF($BI20&lt;&gt;"",IF('Capacity summary'!$D$14="Yes",IF(COUNTBLANK('Capacity summary'!$H139:$BG139)&lt;52,IF('Capacity summary'!V139&lt;&gt;"",IF(LOWER('Capacity summary'!V139)="x",$BI20*V20,VALUE('Capacity summary'!V139)),0),V20*$BI20),V20*$BI20),0)</f>
        <v>0</v>
      </c>
      <c r="BZ20" s="311">
        <f>IF($BI20&lt;&gt;"",IF('Capacity summary'!$D$14="Yes",IF(COUNTBLANK('Capacity summary'!$H139:$BG139)&lt;52,IF('Capacity summary'!W139&lt;&gt;"",IF(LOWER('Capacity summary'!W139)="x",$BI20*W20,VALUE('Capacity summary'!W139)),0),W20*$BI20),W20*$BI20),0)</f>
        <v>0</v>
      </c>
      <c r="CA20" s="311">
        <f>IF($BI20&lt;&gt;"",IF('Capacity summary'!$D$14="Yes",IF(COUNTBLANK('Capacity summary'!$H139:$BG139)&lt;52,IF('Capacity summary'!X139&lt;&gt;"",IF(LOWER('Capacity summary'!X139)="x",$BI20*X20,VALUE('Capacity summary'!X139)),0),X20*$BI20),X20*$BI20),0)</f>
        <v>0</v>
      </c>
      <c r="CB20" s="311">
        <f>IF($BI20&lt;&gt;"",IF('Capacity summary'!$D$14="Yes",IF(COUNTBLANK('Capacity summary'!$H139:$BG139)&lt;52,IF('Capacity summary'!Y139&lt;&gt;"",IF(LOWER('Capacity summary'!Y139)="x",$BI20*Y20,VALUE('Capacity summary'!Y139)),0),Y20*$BI20),Y20*$BI20),0)</f>
        <v>0</v>
      </c>
      <c r="CC20" s="311">
        <f>IF($BI20&lt;&gt;"",IF('Capacity summary'!$D$14="Yes",IF(COUNTBLANK('Capacity summary'!$H139:$BG139)&lt;52,IF('Capacity summary'!Z139&lt;&gt;"",IF(LOWER('Capacity summary'!Z139)="x",$BI20*Z20,VALUE('Capacity summary'!Z139)),0),Z20*$BI20),Z20*$BI20),0)</f>
        <v>0</v>
      </c>
      <c r="CD20" s="311">
        <f>IF($BI20&lt;&gt;"",IF('Capacity summary'!$D$14="Yes",IF(COUNTBLANK('Capacity summary'!$H139:$BG139)&lt;52,IF('Capacity summary'!AA139&lt;&gt;"",IF(LOWER('Capacity summary'!AA139)="x",$BI20*AA20,VALUE('Capacity summary'!AA139)),0),AA20*$BI20),AA20*$BI20),0)</f>
        <v>0</v>
      </c>
      <c r="CE20" s="311">
        <f>IF($BI20&lt;&gt;"",IF('Capacity summary'!$D$14="Yes",IF(COUNTBLANK('Capacity summary'!$H139:$BG139)&lt;52,IF('Capacity summary'!AB139&lt;&gt;"",IF(LOWER('Capacity summary'!AB139)="x",$BI20*AB20,VALUE('Capacity summary'!AB139)),0),AB20*$BI20),AB20*$BI20),0)</f>
        <v>0</v>
      </c>
      <c r="CF20" s="311">
        <f>IF($BI20&lt;&gt;"",IF('Capacity summary'!$D$14="Yes",IF(COUNTBLANK('Capacity summary'!$H139:$BG139)&lt;52,IF('Capacity summary'!AC139&lt;&gt;"",IF(LOWER('Capacity summary'!AC139)="x",$BI20*AC20,VALUE('Capacity summary'!AC139)),0),AC20*$BI20),AC20*$BI20),0)</f>
        <v>0</v>
      </c>
      <c r="CG20" s="311">
        <f>IF($BI20&lt;&gt;"",IF('Capacity summary'!$D$14="Yes",IF(COUNTBLANK('Capacity summary'!$H139:$BG139)&lt;52,IF('Capacity summary'!AD139&lt;&gt;"",IF(LOWER('Capacity summary'!AD139)="x",$BI20*AD20,VALUE('Capacity summary'!AD139)),0),AD20*$BI20),AD20*$BI20),0)</f>
        <v>0</v>
      </c>
      <c r="CH20" s="311">
        <f>IF($BI20&lt;&gt;"",IF('Capacity summary'!$D$14="Yes",IF(COUNTBLANK('Capacity summary'!$H139:$BG139)&lt;52,IF('Capacity summary'!AE139&lt;&gt;"",IF(LOWER('Capacity summary'!AE139)="x",$BI20*AE20,VALUE('Capacity summary'!AE139)),0),AE20*$BI20),AE20*$BI20),0)</f>
        <v>0</v>
      </c>
      <c r="CI20" s="311">
        <f>IF($BI20&lt;&gt;"",IF('Capacity summary'!$D$14="Yes",IF(COUNTBLANK('Capacity summary'!$H139:$BG139)&lt;52,IF('Capacity summary'!AF139&lt;&gt;"",IF(LOWER('Capacity summary'!AF139)="x",$BI20*AF20,VALUE('Capacity summary'!AF139)),0),AF20*$BI20),AF20*$BI20),0)</f>
        <v>0</v>
      </c>
      <c r="CJ20" s="311">
        <f>IF($BI20&lt;&gt;"",IF('Capacity summary'!$D$14="Yes",IF(COUNTBLANK('Capacity summary'!$H139:$BG139)&lt;52,IF('Capacity summary'!AG139&lt;&gt;"",IF(LOWER('Capacity summary'!AG139)="x",$BI20*AG20,VALUE('Capacity summary'!AG139)),0),AG20*$BI20),AG20*$BI20),0)</f>
        <v>0</v>
      </c>
      <c r="CK20" s="311">
        <f>IF($BI20&lt;&gt;"",IF('Capacity summary'!$D$14="Yes",IF(COUNTBLANK('Capacity summary'!$H139:$BG139)&lt;52,IF('Capacity summary'!AH139&lt;&gt;"",IF(LOWER('Capacity summary'!AH139)="x",$BI20*AH20,VALUE('Capacity summary'!AH139)),0),AH20*$BI20),AH20*$BI20),0)</f>
        <v>0</v>
      </c>
      <c r="CL20" s="311">
        <f>IF($BI20&lt;&gt;"",IF('Capacity summary'!$D$14="Yes",IF(COUNTBLANK('Capacity summary'!$H139:$BG139)&lt;52,IF('Capacity summary'!AI139&lt;&gt;"",IF(LOWER('Capacity summary'!AI139)="x",$BI20*AI20,VALUE('Capacity summary'!AI139)),0),AI20*$BI20),AI20*$BI20),0)</f>
        <v>0</v>
      </c>
      <c r="CM20" s="311">
        <f>IF($BI20&lt;&gt;"",IF('Capacity summary'!$D$14="Yes",IF(COUNTBLANK('Capacity summary'!$H139:$BG139)&lt;52,IF('Capacity summary'!AJ139&lt;&gt;"",IF(LOWER('Capacity summary'!AJ139)="x",$BI20*AJ20,VALUE('Capacity summary'!AJ139)),0),AJ20*$BI20),AJ20*$BI20),0)</f>
        <v>0</v>
      </c>
      <c r="CN20" s="311">
        <f>IF($BI20&lt;&gt;"",IF('Capacity summary'!$D$14="Yes",IF(COUNTBLANK('Capacity summary'!$H139:$BG139)&lt;52,IF('Capacity summary'!AK139&lt;&gt;"",IF(LOWER('Capacity summary'!AK139)="x",$BI20*AK20,VALUE('Capacity summary'!AK139)),0),AK20*$BI20),AK20*$BI20),0)</f>
        <v>0</v>
      </c>
      <c r="CO20" s="311">
        <f>IF($BI20&lt;&gt;"",IF('Capacity summary'!$D$14="Yes",IF(COUNTBLANK('Capacity summary'!$H139:$BG139)&lt;52,IF('Capacity summary'!AL139&lt;&gt;"",IF(LOWER('Capacity summary'!AL139)="x",$BI20*AL20,VALUE('Capacity summary'!AL139)),0),AL20*$BI20),AL20*$BI20),0)</f>
        <v>0</v>
      </c>
      <c r="CP20" s="311">
        <f>IF($BI20&lt;&gt;"",IF('Capacity summary'!$D$14="Yes",IF(COUNTBLANK('Capacity summary'!$H139:$BG139)&lt;52,IF('Capacity summary'!AM139&lt;&gt;"",IF(LOWER('Capacity summary'!AM139)="x",$BI20*AM20,VALUE('Capacity summary'!AM139)),0),AM20*$BI20),AM20*$BI20),0)</f>
        <v>0</v>
      </c>
      <c r="CQ20" s="311">
        <f>IF($BI20&lt;&gt;"",IF('Capacity summary'!$D$14="Yes",IF(COUNTBLANK('Capacity summary'!$H139:$BG139)&lt;52,IF('Capacity summary'!AN139&lt;&gt;"",IF(LOWER('Capacity summary'!AN139)="x",$BI20*AN20,VALUE('Capacity summary'!AN139)),0),AN20*$BI20),AN20*$BI20),0)</f>
        <v>0</v>
      </c>
      <c r="CR20" s="311">
        <f>IF($BI20&lt;&gt;"",IF('Capacity summary'!$D$14="Yes",IF(COUNTBLANK('Capacity summary'!$H139:$BG139)&lt;52,IF('Capacity summary'!AO139&lt;&gt;"",IF(LOWER('Capacity summary'!AO139)="x",$BI20*AO20,VALUE('Capacity summary'!AO139)),0),AO20*$BI20),AO20*$BI20),0)</f>
        <v>0</v>
      </c>
      <c r="CS20" s="311">
        <f>IF($BI20&lt;&gt;"",IF('Capacity summary'!$D$14="Yes",IF(COUNTBLANK('Capacity summary'!$H139:$BG139)&lt;52,IF('Capacity summary'!AP139&lt;&gt;"",IF(LOWER('Capacity summary'!AP139)="x",$BI20*AP20,VALUE('Capacity summary'!AP139)),0),AP20*$BI20),AP20*$BI20),0)</f>
        <v>0</v>
      </c>
      <c r="CT20" s="311">
        <f>IF($BI20&lt;&gt;"",IF('Capacity summary'!$D$14="Yes",IF(COUNTBLANK('Capacity summary'!$H139:$BG139)&lt;52,IF('Capacity summary'!AQ139&lt;&gt;"",IF(LOWER('Capacity summary'!AQ139)="x",$BI20*AQ20,VALUE('Capacity summary'!AQ139)),0),AQ20*$BI20),AQ20*$BI20),0)</f>
        <v>0</v>
      </c>
      <c r="CU20" s="311">
        <f>IF($BI20&lt;&gt;"",IF('Capacity summary'!$D$14="Yes",IF(COUNTBLANK('Capacity summary'!$H139:$BG139)&lt;52,IF('Capacity summary'!AR139&lt;&gt;"",IF(LOWER('Capacity summary'!AR139)="x",$BI20*AR20,VALUE('Capacity summary'!AR139)),0),AR20*$BI20),AR20*$BI20),0)</f>
        <v>0</v>
      </c>
      <c r="CV20" s="311">
        <f>IF($BI20&lt;&gt;"",IF('Capacity summary'!$D$14="Yes",IF(COUNTBLANK('Capacity summary'!$H139:$BG139)&lt;52,IF('Capacity summary'!AS139&lt;&gt;"",IF(LOWER('Capacity summary'!AS139)="x",$BI20*AS20,VALUE('Capacity summary'!AS139)),0),AS20*$BI20),AS20*$BI20),0)</f>
        <v>0</v>
      </c>
      <c r="CW20" s="311">
        <f>IF($BI20&lt;&gt;"",IF('Capacity summary'!$D$14="Yes",IF(COUNTBLANK('Capacity summary'!$H139:$BG139)&lt;52,IF('Capacity summary'!AT139&lt;&gt;"",IF(LOWER('Capacity summary'!AT139)="x",$BI20*AT20,VALUE('Capacity summary'!AT139)),0),AT20*$BI20),AT20*$BI20),0)</f>
        <v>0</v>
      </c>
      <c r="CX20" s="311">
        <f>IF($BI20&lt;&gt;"",IF('Capacity summary'!$D$14="Yes",IF(COUNTBLANK('Capacity summary'!$H139:$BG139)&lt;52,IF('Capacity summary'!AU139&lt;&gt;"",IF(LOWER('Capacity summary'!AU139)="x",$BI20*AU20,VALUE('Capacity summary'!AU139)),0),AU20*$BI20),AU20*$BI20),0)</f>
        <v>0</v>
      </c>
      <c r="CY20" s="311">
        <f>IF($BI20&lt;&gt;"",IF('Capacity summary'!$D$14="Yes",IF(COUNTBLANK('Capacity summary'!$H139:$BG139)&lt;52,IF('Capacity summary'!AV139&lt;&gt;"",IF(LOWER('Capacity summary'!AV139)="x",$BI20*AV20,VALUE('Capacity summary'!AV139)),0),AV20*$BI20),AV20*$BI20),0)</f>
        <v>0</v>
      </c>
      <c r="CZ20" s="311">
        <f>IF($BI20&lt;&gt;"",IF('Capacity summary'!$D$14="Yes",IF(COUNTBLANK('Capacity summary'!$H139:$BG139)&lt;52,IF('Capacity summary'!AW139&lt;&gt;"",IF(LOWER('Capacity summary'!AW139)="x",$BI20*AW20,VALUE('Capacity summary'!AW139)),0),AW20*$BI20),AW20*$BI20),0)</f>
        <v>0</v>
      </c>
      <c r="DA20" s="311">
        <f>IF($BI20&lt;&gt;"",IF('Capacity summary'!$D$14="Yes",IF(COUNTBLANK('Capacity summary'!$H139:$BG139)&lt;52,IF('Capacity summary'!AX139&lt;&gt;"",IF(LOWER('Capacity summary'!AX139)="x",$BI20*AX20,VALUE('Capacity summary'!AX139)),0),AX20*$BI20),AX20*$BI20),0)</f>
        <v>0</v>
      </c>
      <c r="DB20" s="311">
        <f>IF($BI20&lt;&gt;"",IF('Capacity summary'!$D$14="Yes",IF(COUNTBLANK('Capacity summary'!$H139:$BG139)&lt;52,IF('Capacity summary'!AY139&lt;&gt;"",IF(LOWER('Capacity summary'!AY139)="x",$BI20*AY20,VALUE('Capacity summary'!AY139)),0),AY20*$BI20),AY20*$BI20),0)</f>
        <v>0</v>
      </c>
      <c r="DC20" s="311">
        <f>IF($BI20&lt;&gt;"",IF('Capacity summary'!$D$14="Yes",IF(COUNTBLANK('Capacity summary'!$H139:$BG139)&lt;52,IF('Capacity summary'!AZ139&lt;&gt;"",IF(LOWER('Capacity summary'!AZ139)="x",$BI20*AZ20,VALUE('Capacity summary'!AZ139)),0),AZ20*$BI20),AZ20*$BI20),0)</f>
        <v>0</v>
      </c>
      <c r="DD20" s="311">
        <f>IF($BI20&lt;&gt;"",IF('Capacity summary'!$D$14="Yes",IF(COUNTBLANK('Capacity summary'!$H139:$BG139)&lt;52,IF('Capacity summary'!BA139&lt;&gt;"",IF(LOWER('Capacity summary'!BA139)="x",$BI20*BA20,VALUE('Capacity summary'!BA139)),0),BA20*$BI20),BA20*$BI20),0)</f>
        <v>0</v>
      </c>
      <c r="DE20" s="311">
        <f>IF($BI20&lt;&gt;"",IF('Capacity summary'!$D$14="Yes",IF(COUNTBLANK('Capacity summary'!$H139:$BG139)&lt;52,IF('Capacity summary'!BB139&lt;&gt;"",IF(LOWER('Capacity summary'!BB139)="x",$BI20*BB20,VALUE('Capacity summary'!BB139)),0),BB20*$BI20),BB20*$BI20),0)</f>
        <v>0</v>
      </c>
      <c r="DF20" s="311">
        <f>IF($BI20&lt;&gt;"",IF('Capacity summary'!$D$14="Yes",IF(COUNTBLANK('Capacity summary'!$H139:$BG139)&lt;52,IF('Capacity summary'!BC139&lt;&gt;"",IF(LOWER('Capacity summary'!BC139)="x",$BI20*BC20,VALUE('Capacity summary'!BC139)),0),BC20*$BI20),BC20*$BI20),0)</f>
        <v>0</v>
      </c>
      <c r="DG20" s="311">
        <f>IF($BI20&lt;&gt;"",IF('Capacity summary'!$D$14="Yes",IF(COUNTBLANK('Capacity summary'!$H139:$BG139)&lt;52,IF('Capacity summary'!BD139&lt;&gt;"",IF(LOWER('Capacity summary'!BD139)="x",$BI20*BD20,VALUE('Capacity summary'!BD139)),0),BD20*$BI20),BD20*$BI20),0)</f>
        <v>0</v>
      </c>
      <c r="DH20" s="311">
        <f>IF($BI20&lt;&gt;"",IF('Capacity summary'!$D$14="Yes",IF(COUNTBLANK('Capacity summary'!$H139:$BG139)&lt;52,IF('Capacity summary'!BE139&lt;&gt;"",IF(LOWER('Capacity summary'!BE139)="x",$BI20*BE20,VALUE('Capacity summary'!BE139)),0),BE20*$BI20),BE20*$BI20),0)</f>
        <v>0</v>
      </c>
      <c r="DI20" s="311">
        <f>IF($BI20&lt;&gt;"",IF('Capacity summary'!$D$14="Yes",IF(COUNTBLANK('Capacity summary'!$H139:$BG139)&lt;52,IF('Capacity summary'!BF139&lt;&gt;"",IF(LOWER('Capacity summary'!BF139)="x",$BI20*BF20,VALUE('Capacity summary'!BF139)),0),BF20*$BI20),BF20*$BI20),0)</f>
        <v>0</v>
      </c>
      <c r="DJ20" s="311">
        <f>IF($BI20&lt;&gt;"",IF('Capacity summary'!$D$14="Yes",IF(COUNTBLANK('Capacity summary'!$H139:$BG139)&lt;52,IF('Capacity summary'!BG139&lt;&gt;"",IF(LOWER('Capacity summary'!BG139)="x",$BI20*BG20,VALUE('Capacity summary'!BG139)),0),BG20*$BI20),BG20*$BI20),0)</f>
        <v>0</v>
      </c>
      <c r="DK20" s="391">
        <f t="shared" si="2"/>
        <v>0</v>
      </c>
      <c r="DL20" s="136">
        <f t="shared" si="3"/>
        <v>0</v>
      </c>
      <c r="DM20" s="311" t="str">
        <f>Capacity!H32</f>
        <v/>
      </c>
      <c r="DQ20" s="5"/>
    </row>
    <row r="21" spans="1:121" x14ac:dyDescent="0.2">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1">
        <f>IF($BI21&lt;&gt;"",IF('Capacity summary'!$D$14="Yes",IF(COUNTBLANK('Capacity summary'!$H140:$BG140)&lt;52,IF('Capacity summary'!H140&lt;&gt;"",IF(LOWER('Capacity summary'!H140)="x",$BI21*H21,VALUE('Capacity summary'!H140)),0),H21*$BI21),H21*$BI21),0)</f>
        <v>0</v>
      </c>
      <c r="BL21" s="311">
        <f>IF($BI21&lt;&gt;"",IF('Capacity summary'!$D$14="Yes",IF(COUNTBLANK('Capacity summary'!$H140:$BG140)&lt;52,IF('Capacity summary'!I140&lt;&gt;"",IF(LOWER('Capacity summary'!I140)="x",$BI21*I21,VALUE('Capacity summary'!I140)),0),I21*$BI21),I21*$BI21),0)</f>
        <v>0</v>
      </c>
      <c r="BM21" s="311">
        <f>IF($BI21&lt;&gt;"",IF('Capacity summary'!$D$14="Yes",IF(COUNTBLANK('Capacity summary'!$H140:$BG140)&lt;52,IF('Capacity summary'!J140&lt;&gt;"",IF(LOWER('Capacity summary'!J140)="x",$BI21*J21,VALUE('Capacity summary'!J140)),0),J21*$BI21),J21*$BI21),0)</f>
        <v>0</v>
      </c>
      <c r="BN21" s="311">
        <f>IF($BI21&lt;&gt;"",IF('Capacity summary'!$D$14="Yes",IF(COUNTBLANK('Capacity summary'!$H140:$BG140)&lt;52,IF('Capacity summary'!K140&lt;&gt;"",IF(LOWER('Capacity summary'!K140)="x",$BI21*K21,VALUE('Capacity summary'!K140)),0),K21*$BI21),K21*$BI21),0)</f>
        <v>0</v>
      </c>
      <c r="BO21" s="311">
        <f>IF($BI21&lt;&gt;"",IF('Capacity summary'!$D$14="Yes",IF(COUNTBLANK('Capacity summary'!$H140:$BG140)&lt;52,IF('Capacity summary'!L140&lt;&gt;"",IF(LOWER('Capacity summary'!L140)="x",$BI21*L21,VALUE('Capacity summary'!L140)),0),L21*$BI21),L21*$BI21),0)</f>
        <v>0</v>
      </c>
      <c r="BP21" s="311">
        <f>IF($BI21&lt;&gt;"",IF('Capacity summary'!$D$14="Yes",IF(COUNTBLANK('Capacity summary'!$H140:$BG140)&lt;52,IF('Capacity summary'!M140&lt;&gt;"",IF(LOWER('Capacity summary'!M140)="x",$BI21*M21,VALUE('Capacity summary'!M140)),0),M21*$BI21),M21*$BI21),0)</f>
        <v>0</v>
      </c>
      <c r="BQ21" s="311">
        <f>IF($BI21&lt;&gt;"",IF('Capacity summary'!$D$14="Yes",IF(COUNTBLANK('Capacity summary'!$H140:$BG140)&lt;52,IF('Capacity summary'!N140&lt;&gt;"",IF(LOWER('Capacity summary'!N140)="x",$BI21*N21,VALUE('Capacity summary'!N140)),0),N21*$BI21),N21*$BI21),0)</f>
        <v>0</v>
      </c>
      <c r="BR21" s="311">
        <f>IF($BI21&lt;&gt;"",IF('Capacity summary'!$D$14="Yes",IF(COUNTBLANK('Capacity summary'!$H140:$BG140)&lt;52,IF('Capacity summary'!O140&lt;&gt;"",IF(LOWER('Capacity summary'!O140)="x",$BI21*O21,VALUE('Capacity summary'!O140)),0),O21*$BI21),O21*$BI21),0)</f>
        <v>0</v>
      </c>
      <c r="BS21" s="311">
        <f>IF($BI21&lt;&gt;"",IF('Capacity summary'!$D$14="Yes",IF(COUNTBLANK('Capacity summary'!$H140:$BG140)&lt;52,IF('Capacity summary'!P140&lt;&gt;"",IF(LOWER('Capacity summary'!P140)="x",$BI21*P21,VALUE('Capacity summary'!P140)),0),P21*$BI21),P21*$BI21),0)</f>
        <v>0</v>
      </c>
      <c r="BT21" s="311">
        <f>IF($BI21&lt;&gt;"",IF('Capacity summary'!$D$14="Yes",IF(COUNTBLANK('Capacity summary'!$H140:$BG140)&lt;52,IF('Capacity summary'!Q140&lt;&gt;"",IF(LOWER('Capacity summary'!Q140)="x",$BI21*Q21,VALUE('Capacity summary'!Q140)),0),Q21*$BI21),Q21*$BI21),0)</f>
        <v>0</v>
      </c>
      <c r="BU21" s="311">
        <f>IF($BI21&lt;&gt;"",IF('Capacity summary'!$D$14="Yes",IF(COUNTBLANK('Capacity summary'!$H140:$BG140)&lt;52,IF('Capacity summary'!R140&lt;&gt;"",IF(LOWER('Capacity summary'!R140)="x",$BI21*R21,VALUE('Capacity summary'!R140)),0),R21*$BI21),R21*$BI21),0)</f>
        <v>0</v>
      </c>
      <c r="BV21" s="311">
        <f>IF($BI21&lt;&gt;"",IF('Capacity summary'!$D$14="Yes",IF(COUNTBLANK('Capacity summary'!$H140:$BG140)&lt;52,IF('Capacity summary'!S140&lt;&gt;"",IF(LOWER('Capacity summary'!S140)="x",$BI21*S21,VALUE('Capacity summary'!S140)),0),S21*$BI21),S21*$BI21),0)</f>
        <v>0</v>
      </c>
      <c r="BW21" s="311">
        <f>IF($BI21&lt;&gt;"",IF('Capacity summary'!$D$14="Yes",IF(COUNTBLANK('Capacity summary'!$H140:$BG140)&lt;52,IF('Capacity summary'!T140&lt;&gt;"",IF(LOWER('Capacity summary'!T140)="x",$BI21*T21,VALUE('Capacity summary'!T140)),0),T21*$BI21),T21*$BI21),0)</f>
        <v>0</v>
      </c>
      <c r="BX21" s="311">
        <f>IF($BI21&lt;&gt;"",IF('Capacity summary'!$D$14="Yes",IF(COUNTBLANK('Capacity summary'!$H140:$BG140)&lt;52,IF('Capacity summary'!U140&lt;&gt;"",IF(LOWER('Capacity summary'!U140)="x",$BI21*U21,VALUE('Capacity summary'!U140)),0),U21*$BI21),U21*$BI21),0)</f>
        <v>0</v>
      </c>
      <c r="BY21" s="311">
        <f>IF($BI21&lt;&gt;"",IF('Capacity summary'!$D$14="Yes",IF(COUNTBLANK('Capacity summary'!$H140:$BG140)&lt;52,IF('Capacity summary'!V140&lt;&gt;"",IF(LOWER('Capacity summary'!V140)="x",$BI21*V21,VALUE('Capacity summary'!V140)),0),V21*$BI21),V21*$BI21),0)</f>
        <v>0</v>
      </c>
      <c r="BZ21" s="311">
        <f>IF($BI21&lt;&gt;"",IF('Capacity summary'!$D$14="Yes",IF(COUNTBLANK('Capacity summary'!$H140:$BG140)&lt;52,IF('Capacity summary'!W140&lt;&gt;"",IF(LOWER('Capacity summary'!W140)="x",$BI21*W21,VALUE('Capacity summary'!W140)),0),W21*$BI21),W21*$BI21),0)</f>
        <v>0</v>
      </c>
      <c r="CA21" s="311">
        <f>IF($BI21&lt;&gt;"",IF('Capacity summary'!$D$14="Yes",IF(COUNTBLANK('Capacity summary'!$H140:$BG140)&lt;52,IF('Capacity summary'!X140&lt;&gt;"",IF(LOWER('Capacity summary'!X140)="x",$BI21*X21,VALUE('Capacity summary'!X140)),0),X21*$BI21),X21*$BI21),0)</f>
        <v>0</v>
      </c>
      <c r="CB21" s="311">
        <f>IF($BI21&lt;&gt;"",IF('Capacity summary'!$D$14="Yes",IF(COUNTBLANK('Capacity summary'!$H140:$BG140)&lt;52,IF('Capacity summary'!Y140&lt;&gt;"",IF(LOWER('Capacity summary'!Y140)="x",$BI21*Y21,VALUE('Capacity summary'!Y140)),0),Y21*$BI21),Y21*$BI21),0)</f>
        <v>0</v>
      </c>
      <c r="CC21" s="311">
        <f>IF($BI21&lt;&gt;"",IF('Capacity summary'!$D$14="Yes",IF(COUNTBLANK('Capacity summary'!$H140:$BG140)&lt;52,IF('Capacity summary'!Z140&lt;&gt;"",IF(LOWER('Capacity summary'!Z140)="x",$BI21*Z21,VALUE('Capacity summary'!Z140)),0),Z21*$BI21),Z21*$BI21),0)</f>
        <v>0</v>
      </c>
      <c r="CD21" s="311">
        <f>IF($BI21&lt;&gt;"",IF('Capacity summary'!$D$14="Yes",IF(COUNTBLANK('Capacity summary'!$H140:$BG140)&lt;52,IF('Capacity summary'!AA140&lt;&gt;"",IF(LOWER('Capacity summary'!AA140)="x",$BI21*AA21,VALUE('Capacity summary'!AA140)),0),AA21*$BI21),AA21*$BI21),0)</f>
        <v>0</v>
      </c>
      <c r="CE21" s="311">
        <f>IF($BI21&lt;&gt;"",IF('Capacity summary'!$D$14="Yes",IF(COUNTBLANK('Capacity summary'!$H140:$BG140)&lt;52,IF('Capacity summary'!AB140&lt;&gt;"",IF(LOWER('Capacity summary'!AB140)="x",$BI21*AB21,VALUE('Capacity summary'!AB140)),0),AB21*$BI21),AB21*$BI21),0)</f>
        <v>0</v>
      </c>
      <c r="CF21" s="311">
        <f>IF($BI21&lt;&gt;"",IF('Capacity summary'!$D$14="Yes",IF(COUNTBLANK('Capacity summary'!$H140:$BG140)&lt;52,IF('Capacity summary'!AC140&lt;&gt;"",IF(LOWER('Capacity summary'!AC140)="x",$BI21*AC21,VALUE('Capacity summary'!AC140)),0),AC21*$BI21),AC21*$BI21),0)</f>
        <v>0</v>
      </c>
      <c r="CG21" s="311">
        <f>IF($BI21&lt;&gt;"",IF('Capacity summary'!$D$14="Yes",IF(COUNTBLANK('Capacity summary'!$H140:$BG140)&lt;52,IF('Capacity summary'!AD140&lt;&gt;"",IF(LOWER('Capacity summary'!AD140)="x",$BI21*AD21,VALUE('Capacity summary'!AD140)),0),AD21*$BI21),AD21*$BI21),0)</f>
        <v>0</v>
      </c>
      <c r="CH21" s="311">
        <f>IF($BI21&lt;&gt;"",IF('Capacity summary'!$D$14="Yes",IF(COUNTBLANK('Capacity summary'!$H140:$BG140)&lt;52,IF('Capacity summary'!AE140&lt;&gt;"",IF(LOWER('Capacity summary'!AE140)="x",$BI21*AE21,VALUE('Capacity summary'!AE140)),0),AE21*$BI21),AE21*$BI21),0)</f>
        <v>0</v>
      </c>
      <c r="CI21" s="311">
        <f>IF($BI21&lt;&gt;"",IF('Capacity summary'!$D$14="Yes",IF(COUNTBLANK('Capacity summary'!$H140:$BG140)&lt;52,IF('Capacity summary'!AF140&lt;&gt;"",IF(LOWER('Capacity summary'!AF140)="x",$BI21*AF21,VALUE('Capacity summary'!AF140)),0),AF21*$BI21),AF21*$BI21),0)</f>
        <v>0</v>
      </c>
      <c r="CJ21" s="311">
        <f>IF($BI21&lt;&gt;"",IF('Capacity summary'!$D$14="Yes",IF(COUNTBLANK('Capacity summary'!$H140:$BG140)&lt;52,IF('Capacity summary'!AG140&lt;&gt;"",IF(LOWER('Capacity summary'!AG140)="x",$BI21*AG21,VALUE('Capacity summary'!AG140)),0),AG21*$BI21),AG21*$BI21),0)</f>
        <v>0</v>
      </c>
      <c r="CK21" s="311">
        <f>IF($BI21&lt;&gt;"",IF('Capacity summary'!$D$14="Yes",IF(COUNTBLANK('Capacity summary'!$H140:$BG140)&lt;52,IF('Capacity summary'!AH140&lt;&gt;"",IF(LOWER('Capacity summary'!AH140)="x",$BI21*AH21,VALUE('Capacity summary'!AH140)),0),AH21*$BI21),AH21*$BI21),0)</f>
        <v>0</v>
      </c>
      <c r="CL21" s="311">
        <f>IF($BI21&lt;&gt;"",IF('Capacity summary'!$D$14="Yes",IF(COUNTBLANK('Capacity summary'!$H140:$BG140)&lt;52,IF('Capacity summary'!AI140&lt;&gt;"",IF(LOWER('Capacity summary'!AI140)="x",$BI21*AI21,VALUE('Capacity summary'!AI140)),0),AI21*$BI21),AI21*$BI21),0)</f>
        <v>0</v>
      </c>
      <c r="CM21" s="311">
        <f>IF($BI21&lt;&gt;"",IF('Capacity summary'!$D$14="Yes",IF(COUNTBLANK('Capacity summary'!$H140:$BG140)&lt;52,IF('Capacity summary'!AJ140&lt;&gt;"",IF(LOWER('Capacity summary'!AJ140)="x",$BI21*AJ21,VALUE('Capacity summary'!AJ140)),0),AJ21*$BI21),AJ21*$BI21),0)</f>
        <v>0</v>
      </c>
      <c r="CN21" s="311">
        <f>IF($BI21&lt;&gt;"",IF('Capacity summary'!$D$14="Yes",IF(COUNTBLANK('Capacity summary'!$H140:$BG140)&lt;52,IF('Capacity summary'!AK140&lt;&gt;"",IF(LOWER('Capacity summary'!AK140)="x",$BI21*AK21,VALUE('Capacity summary'!AK140)),0),AK21*$BI21),AK21*$BI21),0)</f>
        <v>0</v>
      </c>
      <c r="CO21" s="311">
        <f>IF($BI21&lt;&gt;"",IF('Capacity summary'!$D$14="Yes",IF(COUNTBLANK('Capacity summary'!$H140:$BG140)&lt;52,IF('Capacity summary'!AL140&lt;&gt;"",IF(LOWER('Capacity summary'!AL140)="x",$BI21*AL21,VALUE('Capacity summary'!AL140)),0),AL21*$BI21),AL21*$BI21),0)</f>
        <v>0</v>
      </c>
      <c r="CP21" s="311">
        <f>IF($BI21&lt;&gt;"",IF('Capacity summary'!$D$14="Yes",IF(COUNTBLANK('Capacity summary'!$H140:$BG140)&lt;52,IF('Capacity summary'!AM140&lt;&gt;"",IF(LOWER('Capacity summary'!AM140)="x",$BI21*AM21,VALUE('Capacity summary'!AM140)),0),AM21*$BI21),AM21*$BI21),0)</f>
        <v>0</v>
      </c>
      <c r="CQ21" s="311">
        <f>IF($BI21&lt;&gt;"",IF('Capacity summary'!$D$14="Yes",IF(COUNTBLANK('Capacity summary'!$H140:$BG140)&lt;52,IF('Capacity summary'!AN140&lt;&gt;"",IF(LOWER('Capacity summary'!AN140)="x",$BI21*AN21,VALUE('Capacity summary'!AN140)),0),AN21*$BI21),AN21*$BI21),0)</f>
        <v>0</v>
      </c>
      <c r="CR21" s="311">
        <f>IF($BI21&lt;&gt;"",IF('Capacity summary'!$D$14="Yes",IF(COUNTBLANK('Capacity summary'!$H140:$BG140)&lt;52,IF('Capacity summary'!AO140&lt;&gt;"",IF(LOWER('Capacity summary'!AO140)="x",$BI21*AO21,VALUE('Capacity summary'!AO140)),0),AO21*$BI21),AO21*$BI21),0)</f>
        <v>0</v>
      </c>
      <c r="CS21" s="311">
        <f>IF($BI21&lt;&gt;"",IF('Capacity summary'!$D$14="Yes",IF(COUNTBLANK('Capacity summary'!$H140:$BG140)&lt;52,IF('Capacity summary'!AP140&lt;&gt;"",IF(LOWER('Capacity summary'!AP140)="x",$BI21*AP21,VALUE('Capacity summary'!AP140)),0),AP21*$BI21),AP21*$BI21),0)</f>
        <v>0</v>
      </c>
      <c r="CT21" s="311">
        <f>IF($BI21&lt;&gt;"",IF('Capacity summary'!$D$14="Yes",IF(COUNTBLANK('Capacity summary'!$H140:$BG140)&lt;52,IF('Capacity summary'!AQ140&lt;&gt;"",IF(LOWER('Capacity summary'!AQ140)="x",$BI21*AQ21,VALUE('Capacity summary'!AQ140)),0),AQ21*$BI21),AQ21*$BI21),0)</f>
        <v>0</v>
      </c>
      <c r="CU21" s="311">
        <f>IF($BI21&lt;&gt;"",IF('Capacity summary'!$D$14="Yes",IF(COUNTBLANK('Capacity summary'!$H140:$BG140)&lt;52,IF('Capacity summary'!AR140&lt;&gt;"",IF(LOWER('Capacity summary'!AR140)="x",$BI21*AR21,VALUE('Capacity summary'!AR140)),0),AR21*$BI21),AR21*$BI21),0)</f>
        <v>0</v>
      </c>
      <c r="CV21" s="311">
        <f>IF($BI21&lt;&gt;"",IF('Capacity summary'!$D$14="Yes",IF(COUNTBLANK('Capacity summary'!$H140:$BG140)&lt;52,IF('Capacity summary'!AS140&lt;&gt;"",IF(LOWER('Capacity summary'!AS140)="x",$BI21*AS21,VALUE('Capacity summary'!AS140)),0),AS21*$BI21),AS21*$BI21),0)</f>
        <v>0</v>
      </c>
      <c r="CW21" s="311">
        <f>IF($BI21&lt;&gt;"",IF('Capacity summary'!$D$14="Yes",IF(COUNTBLANK('Capacity summary'!$H140:$BG140)&lt;52,IF('Capacity summary'!AT140&lt;&gt;"",IF(LOWER('Capacity summary'!AT140)="x",$BI21*AT21,VALUE('Capacity summary'!AT140)),0),AT21*$BI21),AT21*$BI21),0)</f>
        <v>0</v>
      </c>
      <c r="CX21" s="311">
        <f>IF($BI21&lt;&gt;"",IF('Capacity summary'!$D$14="Yes",IF(COUNTBLANK('Capacity summary'!$H140:$BG140)&lt;52,IF('Capacity summary'!AU140&lt;&gt;"",IF(LOWER('Capacity summary'!AU140)="x",$BI21*AU21,VALUE('Capacity summary'!AU140)),0),AU21*$BI21),AU21*$BI21),0)</f>
        <v>0</v>
      </c>
      <c r="CY21" s="311">
        <f>IF($BI21&lt;&gt;"",IF('Capacity summary'!$D$14="Yes",IF(COUNTBLANK('Capacity summary'!$H140:$BG140)&lt;52,IF('Capacity summary'!AV140&lt;&gt;"",IF(LOWER('Capacity summary'!AV140)="x",$BI21*AV21,VALUE('Capacity summary'!AV140)),0),AV21*$BI21),AV21*$BI21),0)</f>
        <v>0</v>
      </c>
      <c r="CZ21" s="311">
        <f>IF($BI21&lt;&gt;"",IF('Capacity summary'!$D$14="Yes",IF(COUNTBLANK('Capacity summary'!$H140:$BG140)&lt;52,IF('Capacity summary'!AW140&lt;&gt;"",IF(LOWER('Capacity summary'!AW140)="x",$BI21*AW21,VALUE('Capacity summary'!AW140)),0),AW21*$BI21),AW21*$BI21),0)</f>
        <v>0</v>
      </c>
      <c r="DA21" s="311">
        <f>IF($BI21&lt;&gt;"",IF('Capacity summary'!$D$14="Yes",IF(COUNTBLANK('Capacity summary'!$H140:$BG140)&lt;52,IF('Capacity summary'!AX140&lt;&gt;"",IF(LOWER('Capacity summary'!AX140)="x",$BI21*AX21,VALUE('Capacity summary'!AX140)),0),AX21*$BI21),AX21*$BI21),0)</f>
        <v>0</v>
      </c>
      <c r="DB21" s="311">
        <f>IF($BI21&lt;&gt;"",IF('Capacity summary'!$D$14="Yes",IF(COUNTBLANK('Capacity summary'!$H140:$BG140)&lt;52,IF('Capacity summary'!AY140&lt;&gt;"",IF(LOWER('Capacity summary'!AY140)="x",$BI21*AY21,VALUE('Capacity summary'!AY140)),0),AY21*$BI21),AY21*$BI21),0)</f>
        <v>0</v>
      </c>
      <c r="DC21" s="311">
        <f>IF($BI21&lt;&gt;"",IF('Capacity summary'!$D$14="Yes",IF(COUNTBLANK('Capacity summary'!$H140:$BG140)&lt;52,IF('Capacity summary'!AZ140&lt;&gt;"",IF(LOWER('Capacity summary'!AZ140)="x",$BI21*AZ21,VALUE('Capacity summary'!AZ140)),0),AZ21*$BI21),AZ21*$BI21),0)</f>
        <v>0</v>
      </c>
      <c r="DD21" s="311">
        <f>IF($BI21&lt;&gt;"",IF('Capacity summary'!$D$14="Yes",IF(COUNTBLANK('Capacity summary'!$H140:$BG140)&lt;52,IF('Capacity summary'!BA140&lt;&gt;"",IF(LOWER('Capacity summary'!BA140)="x",$BI21*BA21,VALUE('Capacity summary'!BA140)),0),BA21*$BI21),BA21*$BI21),0)</f>
        <v>0</v>
      </c>
      <c r="DE21" s="311">
        <f>IF($BI21&lt;&gt;"",IF('Capacity summary'!$D$14="Yes",IF(COUNTBLANK('Capacity summary'!$H140:$BG140)&lt;52,IF('Capacity summary'!BB140&lt;&gt;"",IF(LOWER('Capacity summary'!BB140)="x",$BI21*BB21,VALUE('Capacity summary'!BB140)),0),BB21*$BI21),BB21*$BI21),0)</f>
        <v>0</v>
      </c>
      <c r="DF21" s="311">
        <f>IF($BI21&lt;&gt;"",IF('Capacity summary'!$D$14="Yes",IF(COUNTBLANK('Capacity summary'!$H140:$BG140)&lt;52,IF('Capacity summary'!BC140&lt;&gt;"",IF(LOWER('Capacity summary'!BC140)="x",$BI21*BC21,VALUE('Capacity summary'!BC140)),0),BC21*$BI21),BC21*$BI21),0)</f>
        <v>0</v>
      </c>
      <c r="DG21" s="311">
        <f>IF($BI21&lt;&gt;"",IF('Capacity summary'!$D$14="Yes",IF(COUNTBLANK('Capacity summary'!$H140:$BG140)&lt;52,IF('Capacity summary'!BD140&lt;&gt;"",IF(LOWER('Capacity summary'!BD140)="x",$BI21*BD21,VALUE('Capacity summary'!BD140)),0),BD21*$BI21),BD21*$BI21),0)</f>
        <v>0</v>
      </c>
      <c r="DH21" s="311">
        <f>IF($BI21&lt;&gt;"",IF('Capacity summary'!$D$14="Yes",IF(COUNTBLANK('Capacity summary'!$H140:$BG140)&lt;52,IF('Capacity summary'!BE140&lt;&gt;"",IF(LOWER('Capacity summary'!BE140)="x",$BI21*BE21,VALUE('Capacity summary'!BE140)),0),BE21*$BI21),BE21*$BI21),0)</f>
        <v>0</v>
      </c>
      <c r="DI21" s="311">
        <f>IF($BI21&lt;&gt;"",IF('Capacity summary'!$D$14="Yes",IF(COUNTBLANK('Capacity summary'!$H140:$BG140)&lt;52,IF('Capacity summary'!BF140&lt;&gt;"",IF(LOWER('Capacity summary'!BF140)="x",$BI21*BF21,VALUE('Capacity summary'!BF140)),0),BF21*$BI21),BF21*$BI21),0)</f>
        <v>0</v>
      </c>
      <c r="DJ21" s="311">
        <f>IF($BI21&lt;&gt;"",IF('Capacity summary'!$D$14="Yes",IF(COUNTBLANK('Capacity summary'!$H140:$BG140)&lt;52,IF('Capacity summary'!BG140&lt;&gt;"",IF(LOWER('Capacity summary'!BG140)="x",$BI21*BG21,VALUE('Capacity summary'!BG140)),0),BG21*$BI21),BG21*$BI21),0)</f>
        <v>0</v>
      </c>
      <c r="DK21" s="391">
        <f t="shared" si="2"/>
        <v>0</v>
      </c>
      <c r="DL21" s="136">
        <f t="shared" si="3"/>
        <v>0</v>
      </c>
      <c r="DM21" s="311" t="str">
        <f>Capacity!H33</f>
        <v/>
      </c>
      <c r="DQ21" s="5"/>
    </row>
    <row r="22" spans="1:121" x14ac:dyDescent="0.2">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1">
        <f>IF($BI22&lt;&gt;"",IF('Capacity summary'!$D$14="Yes",IF(COUNTBLANK('Capacity summary'!$H141:$BG141)&lt;52,IF('Capacity summary'!H141&lt;&gt;"",IF(LOWER('Capacity summary'!H141)="x",$BI22*H22,VALUE('Capacity summary'!H141)),0),H22*$BI22),H22*$BI22),0)</f>
        <v>0</v>
      </c>
      <c r="BL22" s="311">
        <f>IF($BI22&lt;&gt;"",IF('Capacity summary'!$D$14="Yes",IF(COUNTBLANK('Capacity summary'!$H141:$BG141)&lt;52,IF('Capacity summary'!I141&lt;&gt;"",IF(LOWER('Capacity summary'!I141)="x",$BI22*I22,VALUE('Capacity summary'!I141)),0),I22*$BI22),I22*$BI22),0)</f>
        <v>0</v>
      </c>
      <c r="BM22" s="311">
        <f>IF($BI22&lt;&gt;"",IF('Capacity summary'!$D$14="Yes",IF(COUNTBLANK('Capacity summary'!$H141:$BG141)&lt;52,IF('Capacity summary'!J141&lt;&gt;"",IF(LOWER('Capacity summary'!J141)="x",$BI22*J22,VALUE('Capacity summary'!J141)),0),J22*$BI22),J22*$BI22),0)</f>
        <v>0</v>
      </c>
      <c r="BN22" s="311">
        <f>IF($BI22&lt;&gt;"",IF('Capacity summary'!$D$14="Yes",IF(COUNTBLANK('Capacity summary'!$H141:$BG141)&lt;52,IF('Capacity summary'!K141&lt;&gt;"",IF(LOWER('Capacity summary'!K141)="x",$BI22*K22,VALUE('Capacity summary'!K141)),0),K22*$BI22),K22*$BI22),0)</f>
        <v>0</v>
      </c>
      <c r="BO22" s="311">
        <f>IF($BI22&lt;&gt;"",IF('Capacity summary'!$D$14="Yes",IF(COUNTBLANK('Capacity summary'!$H141:$BG141)&lt;52,IF('Capacity summary'!L141&lt;&gt;"",IF(LOWER('Capacity summary'!L141)="x",$BI22*L22,VALUE('Capacity summary'!L141)),0),L22*$BI22),L22*$BI22),0)</f>
        <v>0</v>
      </c>
      <c r="BP22" s="311">
        <f>IF($BI22&lt;&gt;"",IF('Capacity summary'!$D$14="Yes",IF(COUNTBLANK('Capacity summary'!$H141:$BG141)&lt;52,IF('Capacity summary'!M141&lt;&gt;"",IF(LOWER('Capacity summary'!M141)="x",$BI22*M22,VALUE('Capacity summary'!M141)),0),M22*$BI22),M22*$BI22),0)</f>
        <v>0</v>
      </c>
      <c r="BQ22" s="311">
        <f>IF($BI22&lt;&gt;"",IF('Capacity summary'!$D$14="Yes",IF(COUNTBLANK('Capacity summary'!$H141:$BG141)&lt;52,IF('Capacity summary'!N141&lt;&gt;"",IF(LOWER('Capacity summary'!N141)="x",$BI22*N22,VALUE('Capacity summary'!N141)),0),N22*$BI22),N22*$BI22),0)</f>
        <v>0</v>
      </c>
      <c r="BR22" s="311">
        <f>IF($BI22&lt;&gt;"",IF('Capacity summary'!$D$14="Yes",IF(COUNTBLANK('Capacity summary'!$H141:$BG141)&lt;52,IF('Capacity summary'!O141&lt;&gt;"",IF(LOWER('Capacity summary'!O141)="x",$BI22*O22,VALUE('Capacity summary'!O141)),0),O22*$BI22),O22*$BI22),0)</f>
        <v>0</v>
      </c>
      <c r="BS22" s="311">
        <f>IF($BI22&lt;&gt;"",IF('Capacity summary'!$D$14="Yes",IF(COUNTBLANK('Capacity summary'!$H141:$BG141)&lt;52,IF('Capacity summary'!P141&lt;&gt;"",IF(LOWER('Capacity summary'!P141)="x",$BI22*P22,VALUE('Capacity summary'!P141)),0),P22*$BI22),P22*$BI22),0)</f>
        <v>0</v>
      </c>
      <c r="BT22" s="311">
        <f>IF($BI22&lt;&gt;"",IF('Capacity summary'!$D$14="Yes",IF(COUNTBLANK('Capacity summary'!$H141:$BG141)&lt;52,IF('Capacity summary'!Q141&lt;&gt;"",IF(LOWER('Capacity summary'!Q141)="x",$BI22*Q22,VALUE('Capacity summary'!Q141)),0),Q22*$BI22),Q22*$BI22),0)</f>
        <v>0</v>
      </c>
      <c r="BU22" s="311">
        <f>IF($BI22&lt;&gt;"",IF('Capacity summary'!$D$14="Yes",IF(COUNTBLANK('Capacity summary'!$H141:$BG141)&lt;52,IF('Capacity summary'!R141&lt;&gt;"",IF(LOWER('Capacity summary'!R141)="x",$BI22*R22,VALUE('Capacity summary'!R141)),0),R22*$BI22),R22*$BI22),0)</f>
        <v>0</v>
      </c>
      <c r="BV22" s="311">
        <f>IF($BI22&lt;&gt;"",IF('Capacity summary'!$D$14="Yes",IF(COUNTBLANK('Capacity summary'!$H141:$BG141)&lt;52,IF('Capacity summary'!S141&lt;&gt;"",IF(LOWER('Capacity summary'!S141)="x",$BI22*S22,VALUE('Capacity summary'!S141)),0),S22*$BI22),S22*$BI22),0)</f>
        <v>0</v>
      </c>
      <c r="BW22" s="311">
        <f>IF($BI22&lt;&gt;"",IF('Capacity summary'!$D$14="Yes",IF(COUNTBLANK('Capacity summary'!$H141:$BG141)&lt;52,IF('Capacity summary'!T141&lt;&gt;"",IF(LOWER('Capacity summary'!T141)="x",$BI22*T22,VALUE('Capacity summary'!T141)),0),T22*$BI22),T22*$BI22),0)</f>
        <v>0</v>
      </c>
      <c r="BX22" s="311">
        <f>IF($BI22&lt;&gt;"",IF('Capacity summary'!$D$14="Yes",IF(COUNTBLANK('Capacity summary'!$H141:$BG141)&lt;52,IF('Capacity summary'!U141&lt;&gt;"",IF(LOWER('Capacity summary'!U141)="x",$BI22*U22,VALUE('Capacity summary'!U141)),0),U22*$BI22),U22*$BI22),0)</f>
        <v>0</v>
      </c>
      <c r="BY22" s="311">
        <f>IF($BI22&lt;&gt;"",IF('Capacity summary'!$D$14="Yes",IF(COUNTBLANK('Capacity summary'!$H141:$BG141)&lt;52,IF('Capacity summary'!V141&lt;&gt;"",IF(LOWER('Capacity summary'!V141)="x",$BI22*V22,VALUE('Capacity summary'!V141)),0),V22*$BI22),V22*$BI22),0)</f>
        <v>0</v>
      </c>
      <c r="BZ22" s="311">
        <f>IF($BI22&lt;&gt;"",IF('Capacity summary'!$D$14="Yes",IF(COUNTBLANK('Capacity summary'!$H141:$BG141)&lt;52,IF('Capacity summary'!W141&lt;&gt;"",IF(LOWER('Capacity summary'!W141)="x",$BI22*W22,VALUE('Capacity summary'!W141)),0),W22*$BI22),W22*$BI22),0)</f>
        <v>0</v>
      </c>
      <c r="CA22" s="311">
        <f>IF($BI22&lt;&gt;"",IF('Capacity summary'!$D$14="Yes",IF(COUNTBLANK('Capacity summary'!$H141:$BG141)&lt;52,IF('Capacity summary'!X141&lt;&gt;"",IF(LOWER('Capacity summary'!X141)="x",$BI22*X22,VALUE('Capacity summary'!X141)),0),X22*$BI22),X22*$BI22),0)</f>
        <v>0</v>
      </c>
      <c r="CB22" s="311">
        <f>IF($BI22&lt;&gt;"",IF('Capacity summary'!$D$14="Yes",IF(COUNTBLANK('Capacity summary'!$H141:$BG141)&lt;52,IF('Capacity summary'!Y141&lt;&gt;"",IF(LOWER('Capacity summary'!Y141)="x",$BI22*Y22,VALUE('Capacity summary'!Y141)),0),Y22*$BI22),Y22*$BI22),0)</f>
        <v>0</v>
      </c>
      <c r="CC22" s="311">
        <f>IF($BI22&lt;&gt;"",IF('Capacity summary'!$D$14="Yes",IF(COUNTBLANK('Capacity summary'!$H141:$BG141)&lt;52,IF('Capacity summary'!Z141&lt;&gt;"",IF(LOWER('Capacity summary'!Z141)="x",$BI22*Z22,VALUE('Capacity summary'!Z141)),0),Z22*$BI22),Z22*$BI22),0)</f>
        <v>0</v>
      </c>
      <c r="CD22" s="311">
        <f>IF($BI22&lt;&gt;"",IF('Capacity summary'!$D$14="Yes",IF(COUNTBLANK('Capacity summary'!$H141:$BG141)&lt;52,IF('Capacity summary'!AA141&lt;&gt;"",IF(LOWER('Capacity summary'!AA141)="x",$BI22*AA22,VALUE('Capacity summary'!AA141)),0),AA22*$BI22),AA22*$BI22),0)</f>
        <v>0</v>
      </c>
      <c r="CE22" s="311">
        <f>IF($BI22&lt;&gt;"",IF('Capacity summary'!$D$14="Yes",IF(COUNTBLANK('Capacity summary'!$H141:$BG141)&lt;52,IF('Capacity summary'!AB141&lt;&gt;"",IF(LOWER('Capacity summary'!AB141)="x",$BI22*AB22,VALUE('Capacity summary'!AB141)),0),AB22*$BI22),AB22*$BI22),0)</f>
        <v>0</v>
      </c>
      <c r="CF22" s="311">
        <f>IF($BI22&lt;&gt;"",IF('Capacity summary'!$D$14="Yes",IF(COUNTBLANK('Capacity summary'!$H141:$BG141)&lt;52,IF('Capacity summary'!AC141&lt;&gt;"",IF(LOWER('Capacity summary'!AC141)="x",$BI22*AC22,VALUE('Capacity summary'!AC141)),0),AC22*$BI22),AC22*$BI22),0)</f>
        <v>0</v>
      </c>
      <c r="CG22" s="311">
        <f>IF($BI22&lt;&gt;"",IF('Capacity summary'!$D$14="Yes",IF(COUNTBLANK('Capacity summary'!$H141:$BG141)&lt;52,IF('Capacity summary'!AD141&lt;&gt;"",IF(LOWER('Capacity summary'!AD141)="x",$BI22*AD22,VALUE('Capacity summary'!AD141)),0),AD22*$BI22),AD22*$BI22),0)</f>
        <v>0</v>
      </c>
      <c r="CH22" s="311">
        <f>IF($BI22&lt;&gt;"",IF('Capacity summary'!$D$14="Yes",IF(COUNTBLANK('Capacity summary'!$H141:$BG141)&lt;52,IF('Capacity summary'!AE141&lt;&gt;"",IF(LOWER('Capacity summary'!AE141)="x",$BI22*AE22,VALUE('Capacity summary'!AE141)),0),AE22*$BI22),AE22*$BI22),0)</f>
        <v>0</v>
      </c>
      <c r="CI22" s="311">
        <f>IF($BI22&lt;&gt;"",IF('Capacity summary'!$D$14="Yes",IF(COUNTBLANK('Capacity summary'!$H141:$BG141)&lt;52,IF('Capacity summary'!AF141&lt;&gt;"",IF(LOWER('Capacity summary'!AF141)="x",$BI22*AF22,VALUE('Capacity summary'!AF141)),0),AF22*$BI22),AF22*$BI22),0)</f>
        <v>0</v>
      </c>
      <c r="CJ22" s="311">
        <f>IF($BI22&lt;&gt;"",IF('Capacity summary'!$D$14="Yes",IF(COUNTBLANK('Capacity summary'!$H141:$BG141)&lt;52,IF('Capacity summary'!AG141&lt;&gt;"",IF(LOWER('Capacity summary'!AG141)="x",$BI22*AG22,VALUE('Capacity summary'!AG141)),0),AG22*$BI22),AG22*$BI22),0)</f>
        <v>0</v>
      </c>
      <c r="CK22" s="311">
        <f>IF($BI22&lt;&gt;"",IF('Capacity summary'!$D$14="Yes",IF(COUNTBLANK('Capacity summary'!$H141:$BG141)&lt;52,IF('Capacity summary'!AH141&lt;&gt;"",IF(LOWER('Capacity summary'!AH141)="x",$BI22*AH22,VALUE('Capacity summary'!AH141)),0),AH22*$BI22),AH22*$BI22),0)</f>
        <v>0</v>
      </c>
      <c r="CL22" s="311">
        <f>IF($BI22&lt;&gt;"",IF('Capacity summary'!$D$14="Yes",IF(COUNTBLANK('Capacity summary'!$H141:$BG141)&lt;52,IF('Capacity summary'!AI141&lt;&gt;"",IF(LOWER('Capacity summary'!AI141)="x",$BI22*AI22,VALUE('Capacity summary'!AI141)),0),AI22*$BI22),AI22*$BI22),0)</f>
        <v>0</v>
      </c>
      <c r="CM22" s="311">
        <f>IF($BI22&lt;&gt;"",IF('Capacity summary'!$D$14="Yes",IF(COUNTBLANK('Capacity summary'!$H141:$BG141)&lt;52,IF('Capacity summary'!AJ141&lt;&gt;"",IF(LOWER('Capacity summary'!AJ141)="x",$BI22*AJ22,VALUE('Capacity summary'!AJ141)),0),AJ22*$BI22),AJ22*$BI22),0)</f>
        <v>0</v>
      </c>
      <c r="CN22" s="311">
        <f>IF($BI22&lt;&gt;"",IF('Capacity summary'!$D$14="Yes",IF(COUNTBLANK('Capacity summary'!$H141:$BG141)&lt;52,IF('Capacity summary'!AK141&lt;&gt;"",IF(LOWER('Capacity summary'!AK141)="x",$BI22*AK22,VALUE('Capacity summary'!AK141)),0),AK22*$BI22),AK22*$BI22),0)</f>
        <v>0</v>
      </c>
      <c r="CO22" s="311">
        <f>IF($BI22&lt;&gt;"",IF('Capacity summary'!$D$14="Yes",IF(COUNTBLANK('Capacity summary'!$H141:$BG141)&lt;52,IF('Capacity summary'!AL141&lt;&gt;"",IF(LOWER('Capacity summary'!AL141)="x",$BI22*AL22,VALUE('Capacity summary'!AL141)),0),AL22*$BI22),AL22*$BI22),0)</f>
        <v>0</v>
      </c>
      <c r="CP22" s="311">
        <f>IF($BI22&lt;&gt;"",IF('Capacity summary'!$D$14="Yes",IF(COUNTBLANK('Capacity summary'!$H141:$BG141)&lt;52,IF('Capacity summary'!AM141&lt;&gt;"",IF(LOWER('Capacity summary'!AM141)="x",$BI22*AM22,VALUE('Capacity summary'!AM141)),0),AM22*$BI22),AM22*$BI22),0)</f>
        <v>0</v>
      </c>
      <c r="CQ22" s="311">
        <f>IF($BI22&lt;&gt;"",IF('Capacity summary'!$D$14="Yes",IF(COUNTBLANK('Capacity summary'!$H141:$BG141)&lt;52,IF('Capacity summary'!AN141&lt;&gt;"",IF(LOWER('Capacity summary'!AN141)="x",$BI22*AN22,VALUE('Capacity summary'!AN141)),0),AN22*$BI22),AN22*$BI22),0)</f>
        <v>0</v>
      </c>
      <c r="CR22" s="311">
        <f>IF($BI22&lt;&gt;"",IF('Capacity summary'!$D$14="Yes",IF(COUNTBLANK('Capacity summary'!$H141:$BG141)&lt;52,IF('Capacity summary'!AO141&lt;&gt;"",IF(LOWER('Capacity summary'!AO141)="x",$BI22*AO22,VALUE('Capacity summary'!AO141)),0),AO22*$BI22),AO22*$BI22),0)</f>
        <v>0</v>
      </c>
      <c r="CS22" s="311">
        <f>IF($BI22&lt;&gt;"",IF('Capacity summary'!$D$14="Yes",IF(COUNTBLANK('Capacity summary'!$H141:$BG141)&lt;52,IF('Capacity summary'!AP141&lt;&gt;"",IF(LOWER('Capacity summary'!AP141)="x",$BI22*AP22,VALUE('Capacity summary'!AP141)),0),AP22*$BI22),AP22*$BI22),0)</f>
        <v>0</v>
      </c>
      <c r="CT22" s="311">
        <f>IF($BI22&lt;&gt;"",IF('Capacity summary'!$D$14="Yes",IF(COUNTBLANK('Capacity summary'!$H141:$BG141)&lt;52,IF('Capacity summary'!AQ141&lt;&gt;"",IF(LOWER('Capacity summary'!AQ141)="x",$BI22*AQ22,VALUE('Capacity summary'!AQ141)),0),AQ22*$BI22),AQ22*$BI22),0)</f>
        <v>0</v>
      </c>
      <c r="CU22" s="311">
        <f>IF($BI22&lt;&gt;"",IF('Capacity summary'!$D$14="Yes",IF(COUNTBLANK('Capacity summary'!$H141:$BG141)&lt;52,IF('Capacity summary'!AR141&lt;&gt;"",IF(LOWER('Capacity summary'!AR141)="x",$BI22*AR22,VALUE('Capacity summary'!AR141)),0),AR22*$BI22),AR22*$BI22),0)</f>
        <v>0</v>
      </c>
      <c r="CV22" s="311">
        <f>IF($BI22&lt;&gt;"",IF('Capacity summary'!$D$14="Yes",IF(COUNTBLANK('Capacity summary'!$H141:$BG141)&lt;52,IF('Capacity summary'!AS141&lt;&gt;"",IF(LOWER('Capacity summary'!AS141)="x",$BI22*AS22,VALUE('Capacity summary'!AS141)),0),AS22*$BI22),AS22*$BI22),0)</f>
        <v>0</v>
      </c>
      <c r="CW22" s="311">
        <f>IF($BI22&lt;&gt;"",IF('Capacity summary'!$D$14="Yes",IF(COUNTBLANK('Capacity summary'!$H141:$BG141)&lt;52,IF('Capacity summary'!AT141&lt;&gt;"",IF(LOWER('Capacity summary'!AT141)="x",$BI22*AT22,VALUE('Capacity summary'!AT141)),0),AT22*$BI22),AT22*$BI22),0)</f>
        <v>0</v>
      </c>
      <c r="CX22" s="311">
        <f>IF($BI22&lt;&gt;"",IF('Capacity summary'!$D$14="Yes",IF(COUNTBLANK('Capacity summary'!$H141:$BG141)&lt;52,IF('Capacity summary'!AU141&lt;&gt;"",IF(LOWER('Capacity summary'!AU141)="x",$BI22*AU22,VALUE('Capacity summary'!AU141)),0),AU22*$BI22),AU22*$BI22),0)</f>
        <v>0</v>
      </c>
      <c r="CY22" s="311">
        <f>IF($BI22&lt;&gt;"",IF('Capacity summary'!$D$14="Yes",IF(COUNTBLANK('Capacity summary'!$H141:$BG141)&lt;52,IF('Capacity summary'!AV141&lt;&gt;"",IF(LOWER('Capacity summary'!AV141)="x",$BI22*AV22,VALUE('Capacity summary'!AV141)),0),AV22*$BI22),AV22*$BI22),0)</f>
        <v>0</v>
      </c>
      <c r="CZ22" s="311">
        <f>IF($BI22&lt;&gt;"",IF('Capacity summary'!$D$14="Yes",IF(COUNTBLANK('Capacity summary'!$H141:$BG141)&lt;52,IF('Capacity summary'!AW141&lt;&gt;"",IF(LOWER('Capacity summary'!AW141)="x",$BI22*AW22,VALUE('Capacity summary'!AW141)),0),AW22*$BI22),AW22*$BI22),0)</f>
        <v>0</v>
      </c>
      <c r="DA22" s="311">
        <f>IF($BI22&lt;&gt;"",IF('Capacity summary'!$D$14="Yes",IF(COUNTBLANK('Capacity summary'!$H141:$BG141)&lt;52,IF('Capacity summary'!AX141&lt;&gt;"",IF(LOWER('Capacity summary'!AX141)="x",$BI22*AX22,VALUE('Capacity summary'!AX141)),0),AX22*$BI22),AX22*$BI22),0)</f>
        <v>0</v>
      </c>
      <c r="DB22" s="311">
        <f>IF($BI22&lt;&gt;"",IF('Capacity summary'!$D$14="Yes",IF(COUNTBLANK('Capacity summary'!$H141:$BG141)&lt;52,IF('Capacity summary'!AY141&lt;&gt;"",IF(LOWER('Capacity summary'!AY141)="x",$BI22*AY22,VALUE('Capacity summary'!AY141)),0),AY22*$BI22),AY22*$BI22),0)</f>
        <v>0</v>
      </c>
      <c r="DC22" s="311">
        <f>IF($BI22&lt;&gt;"",IF('Capacity summary'!$D$14="Yes",IF(COUNTBLANK('Capacity summary'!$H141:$BG141)&lt;52,IF('Capacity summary'!AZ141&lt;&gt;"",IF(LOWER('Capacity summary'!AZ141)="x",$BI22*AZ22,VALUE('Capacity summary'!AZ141)),0),AZ22*$BI22),AZ22*$BI22),0)</f>
        <v>0</v>
      </c>
      <c r="DD22" s="311">
        <f>IF($BI22&lt;&gt;"",IF('Capacity summary'!$D$14="Yes",IF(COUNTBLANK('Capacity summary'!$H141:$BG141)&lt;52,IF('Capacity summary'!BA141&lt;&gt;"",IF(LOWER('Capacity summary'!BA141)="x",$BI22*BA22,VALUE('Capacity summary'!BA141)),0),BA22*$BI22),BA22*$BI22),0)</f>
        <v>0</v>
      </c>
      <c r="DE22" s="311">
        <f>IF($BI22&lt;&gt;"",IF('Capacity summary'!$D$14="Yes",IF(COUNTBLANK('Capacity summary'!$H141:$BG141)&lt;52,IF('Capacity summary'!BB141&lt;&gt;"",IF(LOWER('Capacity summary'!BB141)="x",$BI22*BB22,VALUE('Capacity summary'!BB141)),0),BB22*$BI22),BB22*$BI22),0)</f>
        <v>0</v>
      </c>
      <c r="DF22" s="311">
        <f>IF($BI22&lt;&gt;"",IF('Capacity summary'!$D$14="Yes",IF(COUNTBLANK('Capacity summary'!$H141:$BG141)&lt;52,IF('Capacity summary'!BC141&lt;&gt;"",IF(LOWER('Capacity summary'!BC141)="x",$BI22*BC22,VALUE('Capacity summary'!BC141)),0),BC22*$BI22),BC22*$BI22),0)</f>
        <v>0</v>
      </c>
      <c r="DG22" s="311">
        <f>IF($BI22&lt;&gt;"",IF('Capacity summary'!$D$14="Yes",IF(COUNTBLANK('Capacity summary'!$H141:$BG141)&lt;52,IF('Capacity summary'!BD141&lt;&gt;"",IF(LOWER('Capacity summary'!BD141)="x",$BI22*BD22,VALUE('Capacity summary'!BD141)),0),BD22*$BI22),BD22*$BI22),0)</f>
        <v>0</v>
      </c>
      <c r="DH22" s="311">
        <f>IF($BI22&lt;&gt;"",IF('Capacity summary'!$D$14="Yes",IF(COUNTBLANK('Capacity summary'!$H141:$BG141)&lt;52,IF('Capacity summary'!BE141&lt;&gt;"",IF(LOWER('Capacity summary'!BE141)="x",$BI22*BE22,VALUE('Capacity summary'!BE141)),0),BE22*$BI22),BE22*$BI22),0)</f>
        <v>0</v>
      </c>
      <c r="DI22" s="311">
        <f>IF($BI22&lt;&gt;"",IF('Capacity summary'!$D$14="Yes",IF(COUNTBLANK('Capacity summary'!$H141:$BG141)&lt;52,IF('Capacity summary'!BF141&lt;&gt;"",IF(LOWER('Capacity summary'!BF141)="x",$BI22*BF22,VALUE('Capacity summary'!BF141)),0),BF22*$BI22),BF22*$BI22),0)</f>
        <v>0</v>
      </c>
      <c r="DJ22" s="311">
        <f>IF($BI22&lt;&gt;"",IF('Capacity summary'!$D$14="Yes",IF(COUNTBLANK('Capacity summary'!$H141:$BG141)&lt;52,IF('Capacity summary'!BG141&lt;&gt;"",IF(LOWER('Capacity summary'!BG141)="x",$BI22*BG22,VALUE('Capacity summary'!BG141)),0),BG22*$BI22),BG22*$BI22),0)</f>
        <v>0</v>
      </c>
      <c r="DK22" s="391">
        <f t="shared" si="2"/>
        <v>0</v>
      </c>
      <c r="DL22" s="136">
        <f t="shared" si="3"/>
        <v>0</v>
      </c>
      <c r="DM22" s="311" t="str">
        <f>Capacity!H34</f>
        <v/>
      </c>
      <c r="DQ22" s="5"/>
    </row>
    <row r="23" spans="1:121" x14ac:dyDescent="0.2">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1">
        <f>IF($BI23&lt;&gt;"",IF('Capacity summary'!$D$14="Yes",IF(COUNTBLANK('Capacity summary'!$H142:$BG142)&lt;52,IF('Capacity summary'!H142&lt;&gt;"",IF(LOWER('Capacity summary'!H142)="x",$BI23*H23,VALUE('Capacity summary'!H142)),0),H23*$BI23),H23*$BI23),0)</f>
        <v>0</v>
      </c>
      <c r="BL23" s="311">
        <f>IF($BI23&lt;&gt;"",IF('Capacity summary'!$D$14="Yes",IF(COUNTBLANK('Capacity summary'!$H142:$BG142)&lt;52,IF('Capacity summary'!I142&lt;&gt;"",IF(LOWER('Capacity summary'!I142)="x",$BI23*I23,VALUE('Capacity summary'!I142)),0),I23*$BI23),I23*$BI23),0)</f>
        <v>0</v>
      </c>
      <c r="BM23" s="311">
        <f>IF($BI23&lt;&gt;"",IF('Capacity summary'!$D$14="Yes",IF(COUNTBLANK('Capacity summary'!$H142:$BG142)&lt;52,IF('Capacity summary'!J142&lt;&gt;"",IF(LOWER('Capacity summary'!J142)="x",$BI23*J23,VALUE('Capacity summary'!J142)),0),J23*$BI23),J23*$BI23),0)</f>
        <v>0</v>
      </c>
      <c r="BN23" s="311">
        <f>IF($BI23&lt;&gt;"",IF('Capacity summary'!$D$14="Yes",IF(COUNTBLANK('Capacity summary'!$H142:$BG142)&lt;52,IF('Capacity summary'!K142&lt;&gt;"",IF(LOWER('Capacity summary'!K142)="x",$BI23*K23,VALUE('Capacity summary'!K142)),0),K23*$BI23),K23*$BI23),0)</f>
        <v>0</v>
      </c>
      <c r="BO23" s="311">
        <f>IF($BI23&lt;&gt;"",IF('Capacity summary'!$D$14="Yes",IF(COUNTBLANK('Capacity summary'!$H142:$BG142)&lt;52,IF('Capacity summary'!L142&lt;&gt;"",IF(LOWER('Capacity summary'!L142)="x",$BI23*L23,VALUE('Capacity summary'!L142)),0),L23*$BI23),L23*$BI23),0)</f>
        <v>0</v>
      </c>
      <c r="BP23" s="311">
        <f>IF($BI23&lt;&gt;"",IF('Capacity summary'!$D$14="Yes",IF(COUNTBLANK('Capacity summary'!$H142:$BG142)&lt;52,IF('Capacity summary'!M142&lt;&gt;"",IF(LOWER('Capacity summary'!M142)="x",$BI23*M23,VALUE('Capacity summary'!M142)),0),M23*$BI23),M23*$BI23),0)</f>
        <v>0</v>
      </c>
      <c r="BQ23" s="311">
        <f>IF($BI23&lt;&gt;"",IF('Capacity summary'!$D$14="Yes",IF(COUNTBLANK('Capacity summary'!$H142:$BG142)&lt;52,IF('Capacity summary'!N142&lt;&gt;"",IF(LOWER('Capacity summary'!N142)="x",$BI23*N23,VALUE('Capacity summary'!N142)),0),N23*$BI23),N23*$BI23),0)</f>
        <v>0</v>
      </c>
      <c r="BR23" s="311">
        <f>IF($BI23&lt;&gt;"",IF('Capacity summary'!$D$14="Yes",IF(COUNTBLANK('Capacity summary'!$H142:$BG142)&lt;52,IF('Capacity summary'!O142&lt;&gt;"",IF(LOWER('Capacity summary'!O142)="x",$BI23*O23,VALUE('Capacity summary'!O142)),0),O23*$BI23),O23*$BI23),0)</f>
        <v>0</v>
      </c>
      <c r="BS23" s="311">
        <f>IF($BI23&lt;&gt;"",IF('Capacity summary'!$D$14="Yes",IF(COUNTBLANK('Capacity summary'!$H142:$BG142)&lt;52,IF('Capacity summary'!P142&lt;&gt;"",IF(LOWER('Capacity summary'!P142)="x",$BI23*P23,VALUE('Capacity summary'!P142)),0),P23*$BI23),P23*$BI23),0)</f>
        <v>0</v>
      </c>
      <c r="BT23" s="311">
        <f>IF($BI23&lt;&gt;"",IF('Capacity summary'!$D$14="Yes",IF(COUNTBLANK('Capacity summary'!$H142:$BG142)&lt;52,IF('Capacity summary'!Q142&lt;&gt;"",IF(LOWER('Capacity summary'!Q142)="x",$BI23*Q23,VALUE('Capacity summary'!Q142)),0),Q23*$BI23),Q23*$BI23),0)</f>
        <v>0</v>
      </c>
      <c r="BU23" s="311">
        <f>IF($BI23&lt;&gt;"",IF('Capacity summary'!$D$14="Yes",IF(COUNTBLANK('Capacity summary'!$H142:$BG142)&lt;52,IF('Capacity summary'!R142&lt;&gt;"",IF(LOWER('Capacity summary'!R142)="x",$BI23*R23,VALUE('Capacity summary'!R142)),0),R23*$BI23),R23*$BI23),0)</f>
        <v>0</v>
      </c>
      <c r="BV23" s="311">
        <f>IF($BI23&lt;&gt;"",IF('Capacity summary'!$D$14="Yes",IF(COUNTBLANK('Capacity summary'!$H142:$BG142)&lt;52,IF('Capacity summary'!S142&lt;&gt;"",IF(LOWER('Capacity summary'!S142)="x",$BI23*S23,VALUE('Capacity summary'!S142)),0),S23*$BI23),S23*$BI23),0)</f>
        <v>0</v>
      </c>
      <c r="BW23" s="311">
        <f>IF($BI23&lt;&gt;"",IF('Capacity summary'!$D$14="Yes",IF(COUNTBLANK('Capacity summary'!$H142:$BG142)&lt;52,IF('Capacity summary'!T142&lt;&gt;"",IF(LOWER('Capacity summary'!T142)="x",$BI23*T23,VALUE('Capacity summary'!T142)),0),T23*$BI23),T23*$BI23),0)</f>
        <v>0</v>
      </c>
      <c r="BX23" s="311">
        <f>IF($BI23&lt;&gt;"",IF('Capacity summary'!$D$14="Yes",IF(COUNTBLANK('Capacity summary'!$H142:$BG142)&lt;52,IF('Capacity summary'!U142&lt;&gt;"",IF(LOWER('Capacity summary'!U142)="x",$BI23*U23,VALUE('Capacity summary'!U142)),0),U23*$BI23),U23*$BI23),0)</f>
        <v>0</v>
      </c>
      <c r="BY23" s="311">
        <f>IF($BI23&lt;&gt;"",IF('Capacity summary'!$D$14="Yes",IF(COUNTBLANK('Capacity summary'!$H142:$BG142)&lt;52,IF('Capacity summary'!V142&lt;&gt;"",IF(LOWER('Capacity summary'!V142)="x",$BI23*V23,VALUE('Capacity summary'!V142)),0),V23*$BI23),V23*$BI23),0)</f>
        <v>0</v>
      </c>
      <c r="BZ23" s="311">
        <f>IF($BI23&lt;&gt;"",IF('Capacity summary'!$D$14="Yes",IF(COUNTBLANK('Capacity summary'!$H142:$BG142)&lt;52,IF('Capacity summary'!W142&lt;&gt;"",IF(LOWER('Capacity summary'!W142)="x",$BI23*W23,VALUE('Capacity summary'!W142)),0),W23*$BI23),W23*$BI23),0)</f>
        <v>0</v>
      </c>
      <c r="CA23" s="311">
        <f>IF($BI23&lt;&gt;"",IF('Capacity summary'!$D$14="Yes",IF(COUNTBLANK('Capacity summary'!$H142:$BG142)&lt;52,IF('Capacity summary'!X142&lt;&gt;"",IF(LOWER('Capacity summary'!X142)="x",$BI23*X23,VALUE('Capacity summary'!X142)),0),X23*$BI23),X23*$BI23),0)</f>
        <v>0</v>
      </c>
      <c r="CB23" s="311">
        <f>IF($BI23&lt;&gt;"",IF('Capacity summary'!$D$14="Yes",IF(COUNTBLANK('Capacity summary'!$H142:$BG142)&lt;52,IF('Capacity summary'!Y142&lt;&gt;"",IF(LOWER('Capacity summary'!Y142)="x",$BI23*Y23,VALUE('Capacity summary'!Y142)),0),Y23*$BI23),Y23*$BI23),0)</f>
        <v>0</v>
      </c>
      <c r="CC23" s="311">
        <f>IF($BI23&lt;&gt;"",IF('Capacity summary'!$D$14="Yes",IF(COUNTBLANK('Capacity summary'!$H142:$BG142)&lt;52,IF('Capacity summary'!Z142&lt;&gt;"",IF(LOWER('Capacity summary'!Z142)="x",$BI23*Z23,VALUE('Capacity summary'!Z142)),0),Z23*$BI23),Z23*$BI23),0)</f>
        <v>0</v>
      </c>
      <c r="CD23" s="311">
        <f>IF($BI23&lt;&gt;"",IF('Capacity summary'!$D$14="Yes",IF(COUNTBLANK('Capacity summary'!$H142:$BG142)&lt;52,IF('Capacity summary'!AA142&lt;&gt;"",IF(LOWER('Capacity summary'!AA142)="x",$BI23*AA23,VALUE('Capacity summary'!AA142)),0),AA23*$BI23),AA23*$BI23),0)</f>
        <v>0</v>
      </c>
      <c r="CE23" s="311">
        <f>IF($BI23&lt;&gt;"",IF('Capacity summary'!$D$14="Yes",IF(COUNTBLANK('Capacity summary'!$H142:$BG142)&lt;52,IF('Capacity summary'!AB142&lt;&gt;"",IF(LOWER('Capacity summary'!AB142)="x",$BI23*AB23,VALUE('Capacity summary'!AB142)),0),AB23*$BI23),AB23*$BI23),0)</f>
        <v>0</v>
      </c>
      <c r="CF23" s="311">
        <f>IF($BI23&lt;&gt;"",IF('Capacity summary'!$D$14="Yes",IF(COUNTBLANK('Capacity summary'!$H142:$BG142)&lt;52,IF('Capacity summary'!AC142&lt;&gt;"",IF(LOWER('Capacity summary'!AC142)="x",$BI23*AC23,VALUE('Capacity summary'!AC142)),0),AC23*$BI23),AC23*$BI23),0)</f>
        <v>0</v>
      </c>
      <c r="CG23" s="311">
        <f>IF($BI23&lt;&gt;"",IF('Capacity summary'!$D$14="Yes",IF(COUNTBLANK('Capacity summary'!$H142:$BG142)&lt;52,IF('Capacity summary'!AD142&lt;&gt;"",IF(LOWER('Capacity summary'!AD142)="x",$BI23*AD23,VALUE('Capacity summary'!AD142)),0),AD23*$BI23),AD23*$BI23),0)</f>
        <v>0</v>
      </c>
      <c r="CH23" s="311">
        <f>IF($BI23&lt;&gt;"",IF('Capacity summary'!$D$14="Yes",IF(COUNTBLANK('Capacity summary'!$H142:$BG142)&lt;52,IF('Capacity summary'!AE142&lt;&gt;"",IF(LOWER('Capacity summary'!AE142)="x",$BI23*AE23,VALUE('Capacity summary'!AE142)),0),AE23*$BI23),AE23*$BI23),0)</f>
        <v>0</v>
      </c>
      <c r="CI23" s="311">
        <f>IF($BI23&lt;&gt;"",IF('Capacity summary'!$D$14="Yes",IF(COUNTBLANK('Capacity summary'!$H142:$BG142)&lt;52,IF('Capacity summary'!AF142&lt;&gt;"",IF(LOWER('Capacity summary'!AF142)="x",$BI23*AF23,VALUE('Capacity summary'!AF142)),0),AF23*$BI23),AF23*$BI23),0)</f>
        <v>0</v>
      </c>
      <c r="CJ23" s="311">
        <f>IF($BI23&lt;&gt;"",IF('Capacity summary'!$D$14="Yes",IF(COUNTBLANK('Capacity summary'!$H142:$BG142)&lt;52,IF('Capacity summary'!AG142&lt;&gt;"",IF(LOWER('Capacity summary'!AG142)="x",$BI23*AG23,VALUE('Capacity summary'!AG142)),0),AG23*$BI23),AG23*$BI23),0)</f>
        <v>0</v>
      </c>
      <c r="CK23" s="311">
        <f>IF($BI23&lt;&gt;"",IF('Capacity summary'!$D$14="Yes",IF(COUNTBLANK('Capacity summary'!$H142:$BG142)&lt;52,IF('Capacity summary'!AH142&lt;&gt;"",IF(LOWER('Capacity summary'!AH142)="x",$BI23*AH23,VALUE('Capacity summary'!AH142)),0),AH23*$BI23),AH23*$BI23),0)</f>
        <v>0</v>
      </c>
      <c r="CL23" s="311">
        <f>IF($BI23&lt;&gt;"",IF('Capacity summary'!$D$14="Yes",IF(COUNTBLANK('Capacity summary'!$H142:$BG142)&lt;52,IF('Capacity summary'!AI142&lt;&gt;"",IF(LOWER('Capacity summary'!AI142)="x",$BI23*AI23,VALUE('Capacity summary'!AI142)),0),AI23*$BI23),AI23*$BI23),0)</f>
        <v>0</v>
      </c>
      <c r="CM23" s="311">
        <f>IF($BI23&lt;&gt;"",IF('Capacity summary'!$D$14="Yes",IF(COUNTBLANK('Capacity summary'!$H142:$BG142)&lt;52,IF('Capacity summary'!AJ142&lt;&gt;"",IF(LOWER('Capacity summary'!AJ142)="x",$BI23*AJ23,VALUE('Capacity summary'!AJ142)),0),AJ23*$BI23),AJ23*$BI23),0)</f>
        <v>0</v>
      </c>
      <c r="CN23" s="311">
        <f>IF($BI23&lt;&gt;"",IF('Capacity summary'!$D$14="Yes",IF(COUNTBLANK('Capacity summary'!$H142:$BG142)&lt;52,IF('Capacity summary'!AK142&lt;&gt;"",IF(LOWER('Capacity summary'!AK142)="x",$BI23*AK23,VALUE('Capacity summary'!AK142)),0),AK23*$BI23),AK23*$BI23),0)</f>
        <v>0</v>
      </c>
      <c r="CO23" s="311">
        <f>IF($BI23&lt;&gt;"",IF('Capacity summary'!$D$14="Yes",IF(COUNTBLANK('Capacity summary'!$H142:$BG142)&lt;52,IF('Capacity summary'!AL142&lt;&gt;"",IF(LOWER('Capacity summary'!AL142)="x",$BI23*AL23,VALUE('Capacity summary'!AL142)),0),AL23*$BI23),AL23*$BI23),0)</f>
        <v>0</v>
      </c>
      <c r="CP23" s="311">
        <f>IF($BI23&lt;&gt;"",IF('Capacity summary'!$D$14="Yes",IF(COUNTBLANK('Capacity summary'!$H142:$BG142)&lt;52,IF('Capacity summary'!AM142&lt;&gt;"",IF(LOWER('Capacity summary'!AM142)="x",$BI23*AM23,VALUE('Capacity summary'!AM142)),0),AM23*$BI23),AM23*$BI23),0)</f>
        <v>0</v>
      </c>
      <c r="CQ23" s="311">
        <f>IF($BI23&lt;&gt;"",IF('Capacity summary'!$D$14="Yes",IF(COUNTBLANK('Capacity summary'!$H142:$BG142)&lt;52,IF('Capacity summary'!AN142&lt;&gt;"",IF(LOWER('Capacity summary'!AN142)="x",$BI23*AN23,VALUE('Capacity summary'!AN142)),0),AN23*$BI23),AN23*$BI23),0)</f>
        <v>0</v>
      </c>
      <c r="CR23" s="311">
        <f>IF($BI23&lt;&gt;"",IF('Capacity summary'!$D$14="Yes",IF(COUNTBLANK('Capacity summary'!$H142:$BG142)&lt;52,IF('Capacity summary'!AO142&lt;&gt;"",IF(LOWER('Capacity summary'!AO142)="x",$BI23*AO23,VALUE('Capacity summary'!AO142)),0),AO23*$BI23),AO23*$BI23),0)</f>
        <v>0</v>
      </c>
      <c r="CS23" s="311">
        <f>IF($BI23&lt;&gt;"",IF('Capacity summary'!$D$14="Yes",IF(COUNTBLANK('Capacity summary'!$H142:$BG142)&lt;52,IF('Capacity summary'!AP142&lt;&gt;"",IF(LOWER('Capacity summary'!AP142)="x",$BI23*AP23,VALUE('Capacity summary'!AP142)),0),AP23*$BI23),AP23*$BI23),0)</f>
        <v>0</v>
      </c>
      <c r="CT23" s="311">
        <f>IF($BI23&lt;&gt;"",IF('Capacity summary'!$D$14="Yes",IF(COUNTBLANK('Capacity summary'!$H142:$BG142)&lt;52,IF('Capacity summary'!AQ142&lt;&gt;"",IF(LOWER('Capacity summary'!AQ142)="x",$BI23*AQ23,VALUE('Capacity summary'!AQ142)),0),AQ23*$BI23),AQ23*$BI23),0)</f>
        <v>0</v>
      </c>
      <c r="CU23" s="311">
        <f>IF($BI23&lt;&gt;"",IF('Capacity summary'!$D$14="Yes",IF(COUNTBLANK('Capacity summary'!$H142:$BG142)&lt;52,IF('Capacity summary'!AR142&lt;&gt;"",IF(LOWER('Capacity summary'!AR142)="x",$BI23*AR23,VALUE('Capacity summary'!AR142)),0),AR23*$BI23),AR23*$BI23),0)</f>
        <v>0</v>
      </c>
      <c r="CV23" s="311">
        <f>IF($BI23&lt;&gt;"",IF('Capacity summary'!$D$14="Yes",IF(COUNTBLANK('Capacity summary'!$H142:$BG142)&lt;52,IF('Capacity summary'!AS142&lt;&gt;"",IF(LOWER('Capacity summary'!AS142)="x",$BI23*AS23,VALUE('Capacity summary'!AS142)),0),AS23*$BI23),AS23*$BI23),0)</f>
        <v>0</v>
      </c>
      <c r="CW23" s="311">
        <f>IF($BI23&lt;&gt;"",IF('Capacity summary'!$D$14="Yes",IF(COUNTBLANK('Capacity summary'!$H142:$BG142)&lt;52,IF('Capacity summary'!AT142&lt;&gt;"",IF(LOWER('Capacity summary'!AT142)="x",$BI23*AT23,VALUE('Capacity summary'!AT142)),0),AT23*$BI23),AT23*$BI23),0)</f>
        <v>0</v>
      </c>
      <c r="CX23" s="311">
        <f>IF($BI23&lt;&gt;"",IF('Capacity summary'!$D$14="Yes",IF(COUNTBLANK('Capacity summary'!$H142:$BG142)&lt;52,IF('Capacity summary'!AU142&lt;&gt;"",IF(LOWER('Capacity summary'!AU142)="x",$BI23*AU23,VALUE('Capacity summary'!AU142)),0),AU23*$BI23),AU23*$BI23),0)</f>
        <v>0</v>
      </c>
      <c r="CY23" s="311">
        <f>IF($BI23&lt;&gt;"",IF('Capacity summary'!$D$14="Yes",IF(COUNTBLANK('Capacity summary'!$H142:$BG142)&lt;52,IF('Capacity summary'!AV142&lt;&gt;"",IF(LOWER('Capacity summary'!AV142)="x",$BI23*AV23,VALUE('Capacity summary'!AV142)),0),AV23*$BI23),AV23*$BI23),0)</f>
        <v>0</v>
      </c>
      <c r="CZ23" s="311">
        <f>IF($BI23&lt;&gt;"",IF('Capacity summary'!$D$14="Yes",IF(COUNTBLANK('Capacity summary'!$H142:$BG142)&lt;52,IF('Capacity summary'!AW142&lt;&gt;"",IF(LOWER('Capacity summary'!AW142)="x",$BI23*AW23,VALUE('Capacity summary'!AW142)),0),AW23*$BI23),AW23*$BI23),0)</f>
        <v>0</v>
      </c>
      <c r="DA23" s="311">
        <f>IF($BI23&lt;&gt;"",IF('Capacity summary'!$D$14="Yes",IF(COUNTBLANK('Capacity summary'!$H142:$BG142)&lt;52,IF('Capacity summary'!AX142&lt;&gt;"",IF(LOWER('Capacity summary'!AX142)="x",$BI23*AX23,VALUE('Capacity summary'!AX142)),0),AX23*$BI23),AX23*$BI23),0)</f>
        <v>0</v>
      </c>
      <c r="DB23" s="311">
        <f>IF($BI23&lt;&gt;"",IF('Capacity summary'!$D$14="Yes",IF(COUNTBLANK('Capacity summary'!$H142:$BG142)&lt;52,IF('Capacity summary'!AY142&lt;&gt;"",IF(LOWER('Capacity summary'!AY142)="x",$BI23*AY23,VALUE('Capacity summary'!AY142)),0),AY23*$BI23),AY23*$BI23),0)</f>
        <v>0</v>
      </c>
      <c r="DC23" s="311">
        <f>IF($BI23&lt;&gt;"",IF('Capacity summary'!$D$14="Yes",IF(COUNTBLANK('Capacity summary'!$H142:$BG142)&lt;52,IF('Capacity summary'!AZ142&lt;&gt;"",IF(LOWER('Capacity summary'!AZ142)="x",$BI23*AZ23,VALUE('Capacity summary'!AZ142)),0),AZ23*$BI23),AZ23*$BI23),0)</f>
        <v>0</v>
      </c>
      <c r="DD23" s="311">
        <f>IF($BI23&lt;&gt;"",IF('Capacity summary'!$D$14="Yes",IF(COUNTBLANK('Capacity summary'!$H142:$BG142)&lt;52,IF('Capacity summary'!BA142&lt;&gt;"",IF(LOWER('Capacity summary'!BA142)="x",$BI23*BA23,VALUE('Capacity summary'!BA142)),0),BA23*$BI23),BA23*$BI23),0)</f>
        <v>0</v>
      </c>
      <c r="DE23" s="311">
        <f>IF($BI23&lt;&gt;"",IF('Capacity summary'!$D$14="Yes",IF(COUNTBLANK('Capacity summary'!$H142:$BG142)&lt;52,IF('Capacity summary'!BB142&lt;&gt;"",IF(LOWER('Capacity summary'!BB142)="x",$BI23*BB23,VALUE('Capacity summary'!BB142)),0),BB23*$BI23),BB23*$BI23),0)</f>
        <v>0</v>
      </c>
      <c r="DF23" s="311">
        <f>IF($BI23&lt;&gt;"",IF('Capacity summary'!$D$14="Yes",IF(COUNTBLANK('Capacity summary'!$H142:$BG142)&lt;52,IF('Capacity summary'!BC142&lt;&gt;"",IF(LOWER('Capacity summary'!BC142)="x",$BI23*BC23,VALUE('Capacity summary'!BC142)),0),BC23*$BI23),BC23*$BI23),0)</f>
        <v>0</v>
      </c>
      <c r="DG23" s="311">
        <f>IF($BI23&lt;&gt;"",IF('Capacity summary'!$D$14="Yes",IF(COUNTBLANK('Capacity summary'!$H142:$BG142)&lt;52,IF('Capacity summary'!BD142&lt;&gt;"",IF(LOWER('Capacity summary'!BD142)="x",$BI23*BD23,VALUE('Capacity summary'!BD142)),0),BD23*$BI23),BD23*$BI23),0)</f>
        <v>0</v>
      </c>
      <c r="DH23" s="311">
        <f>IF($BI23&lt;&gt;"",IF('Capacity summary'!$D$14="Yes",IF(COUNTBLANK('Capacity summary'!$H142:$BG142)&lt;52,IF('Capacity summary'!BE142&lt;&gt;"",IF(LOWER('Capacity summary'!BE142)="x",$BI23*BE23,VALUE('Capacity summary'!BE142)),0),BE23*$BI23),BE23*$BI23),0)</f>
        <v>0</v>
      </c>
      <c r="DI23" s="311">
        <f>IF($BI23&lt;&gt;"",IF('Capacity summary'!$D$14="Yes",IF(COUNTBLANK('Capacity summary'!$H142:$BG142)&lt;52,IF('Capacity summary'!BF142&lt;&gt;"",IF(LOWER('Capacity summary'!BF142)="x",$BI23*BF23,VALUE('Capacity summary'!BF142)),0),BF23*$BI23),BF23*$BI23),0)</f>
        <v>0</v>
      </c>
      <c r="DJ23" s="311">
        <f>IF($BI23&lt;&gt;"",IF('Capacity summary'!$D$14="Yes",IF(COUNTBLANK('Capacity summary'!$H142:$BG142)&lt;52,IF('Capacity summary'!BG142&lt;&gt;"",IF(LOWER('Capacity summary'!BG142)="x",$BI23*BG23,VALUE('Capacity summary'!BG142)),0),BG23*$BI23),BG23*$BI23),0)</f>
        <v>0</v>
      </c>
      <c r="DK23" s="391">
        <f t="shared" si="2"/>
        <v>0</v>
      </c>
      <c r="DL23" s="136">
        <f t="shared" si="3"/>
        <v>0</v>
      </c>
      <c r="DM23" s="311" t="str">
        <f>Capacity!H35</f>
        <v/>
      </c>
      <c r="DQ23" s="5"/>
    </row>
    <row r="24" spans="1:121" x14ac:dyDescent="0.2">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1">
        <f>IF($BI24&lt;&gt;"",IF('Capacity summary'!$D$14="Yes",IF(COUNTBLANK('Capacity summary'!$H143:$BG143)&lt;52,IF('Capacity summary'!H143&lt;&gt;"",IF(LOWER('Capacity summary'!H143)="x",$BI24*H24,VALUE('Capacity summary'!H143)),0),H24*$BI24),H24*$BI24),0)</f>
        <v>0</v>
      </c>
      <c r="BL24" s="311">
        <f>IF($BI24&lt;&gt;"",IF('Capacity summary'!$D$14="Yes",IF(COUNTBLANK('Capacity summary'!$H143:$BG143)&lt;52,IF('Capacity summary'!I143&lt;&gt;"",IF(LOWER('Capacity summary'!I143)="x",$BI24*I24,VALUE('Capacity summary'!I143)),0),I24*$BI24),I24*$BI24),0)</f>
        <v>0</v>
      </c>
      <c r="BM24" s="311">
        <f>IF($BI24&lt;&gt;"",IF('Capacity summary'!$D$14="Yes",IF(COUNTBLANK('Capacity summary'!$H143:$BG143)&lt;52,IF('Capacity summary'!J143&lt;&gt;"",IF(LOWER('Capacity summary'!J143)="x",$BI24*J24,VALUE('Capacity summary'!J143)),0),J24*$BI24),J24*$BI24),0)</f>
        <v>0</v>
      </c>
      <c r="BN24" s="311">
        <f>IF($BI24&lt;&gt;"",IF('Capacity summary'!$D$14="Yes",IF(COUNTBLANK('Capacity summary'!$H143:$BG143)&lt;52,IF('Capacity summary'!K143&lt;&gt;"",IF(LOWER('Capacity summary'!K143)="x",$BI24*K24,VALUE('Capacity summary'!K143)),0),K24*$BI24),K24*$BI24),0)</f>
        <v>0</v>
      </c>
      <c r="BO24" s="311">
        <f>IF($BI24&lt;&gt;"",IF('Capacity summary'!$D$14="Yes",IF(COUNTBLANK('Capacity summary'!$H143:$BG143)&lt;52,IF('Capacity summary'!L143&lt;&gt;"",IF(LOWER('Capacity summary'!L143)="x",$BI24*L24,VALUE('Capacity summary'!L143)),0),L24*$BI24),L24*$BI24),0)</f>
        <v>0</v>
      </c>
      <c r="BP24" s="311">
        <f>IF($BI24&lt;&gt;"",IF('Capacity summary'!$D$14="Yes",IF(COUNTBLANK('Capacity summary'!$H143:$BG143)&lt;52,IF('Capacity summary'!M143&lt;&gt;"",IF(LOWER('Capacity summary'!M143)="x",$BI24*M24,VALUE('Capacity summary'!M143)),0),M24*$BI24),M24*$BI24),0)</f>
        <v>0</v>
      </c>
      <c r="BQ24" s="311">
        <f>IF($BI24&lt;&gt;"",IF('Capacity summary'!$D$14="Yes",IF(COUNTBLANK('Capacity summary'!$H143:$BG143)&lt;52,IF('Capacity summary'!N143&lt;&gt;"",IF(LOWER('Capacity summary'!N143)="x",$BI24*N24,VALUE('Capacity summary'!N143)),0),N24*$BI24),N24*$BI24),0)</f>
        <v>0</v>
      </c>
      <c r="BR24" s="311">
        <f>IF($BI24&lt;&gt;"",IF('Capacity summary'!$D$14="Yes",IF(COUNTBLANK('Capacity summary'!$H143:$BG143)&lt;52,IF('Capacity summary'!O143&lt;&gt;"",IF(LOWER('Capacity summary'!O143)="x",$BI24*O24,VALUE('Capacity summary'!O143)),0),O24*$BI24),O24*$BI24),0)</f>
        <v>0</v>
      </c>
      <c r="BS24" s="311">
        <f>IF($BI24&lt;&gt;"",IF('Capacity summary'!$D$14="Yes",IF(COUNTBLANK('Capacity summary'!$H143:$BG143)&lt;52,IF('Capacity summary'!P143&lt;&gt;"",IF(LOWER('Capacity summary'!P143)="x",$BI24*P24,VALUE('Capacity summary'!P143)),0),P24*$BI24),P24*$BI24),0)</f>
        <v>0</v>
      </c>
      <c r="BT24" s="311">
        <f>IF($BI24&lt;&gt;"",IF('Capacity summary'!$D$14="Yes",IF(COUNTBLANK('Capacity summary'!$H143:$BG143)&lt;52,IF('Capacity summary'!Q143&lt;&gt;"",IF(LOWER('Capacity summary'!Q143)="x",$BI24*Q24,VALUE('Capacity summary'!Q143)),0),Q24*$BI24),Q24*$BI24),0)</f>
        <v>0</v>
      </c>
      <c r="BU24" s="311">
        <f>IF($BI24&lt;&gt;"",IF('Capacity summary'!$D$14="Yes",IF(COUNTBLANK('Capacity summary'!$H143:$BG143)&lt;52,IF('Capacity summary'!R143&lt;&gt;"",IF(LOWER('Capacity summary'!R143)="x",$BI24*R24,VALUE('Capacity summary'!R143)),0),R24*$BI24),R24*$BI24),0)</f>
        <v>0</v>
      </c>
      <c r="BV24" s="311">
        <f>IF($BI24&lt;&gt;"",IF('Capacity summary'!$D$14="Yes",IF(COUNTBLANK('Capacity summary'!$H143:$BG143)&lt;52,IF('Capacity summary'!S143&lt;&gt;"",IF(LOWER('Capacity summary'!S143)="x",$BI24*S24,VALUE('Capacity summary'!S143)),0),S24*$BI24),S24*$BI24),0)</f>
        <v>0</v>
      </c>
      <c r="BW24" s="311">
        <f>IF($BI24&lt;&gt;"",IF('Capacity summary'!$D$14="Yes",IF(COUNTBLANK('Capacity summary'!$H143:$BG143)&lt;52,IF('Capacity summary'!T143&lt;&gt;"",IF(LOWER('Capacity summary'!T143)="x",$BI24*T24,VALUE('Capacity summary'!T143)),0),T24*$BI24),T24*$BI24),0)</f>
        <v>0</v>
      </c>
      <c r="BX24" s="311">
        <f>IF($BI24&lt;&gt;"",IF('Capacity summary'!$D$14="Yes",IF(COUNTBLANK('Capacity summary'!$H143:$BG143)&lt;52,IF('Capacity summary'!U143&lt;&gt;"",IF(LOWER('Capacity summary'!U143)="x",$BI24*U24,VALUE('Capacity summary'!U143)),0),U24*$BI24),U24*$BI24),0)</f>
        <v>0</v>
      </c>
      <c r="BY24" s="311">
        <f>IF($BI24&lt;&gt;"",IF('Capacity summary'!$D$14="Yes",IF(COUNTBLANK('Capacity summary'!$H143:$BG143)&lt;52,IF('Capacity summary'!V143&lt;&gt;"",IF(LOWER('Capacity summary'!V143)="x",$BI24*V24,VALUE('Capacity summary'!V143)),0),V24*$BI24),V24*$BI24),0)</f>
        <v>0</v>
      </c>
      <c r="BZ24" s="311">
        <f>IF($BI24&lt;&gt;"",IF('Capacity summary'!$D$14="Yes",IF(COUNTBLANK('Capacity summary'!$H143:$BG143)&lt;52,IF('Capacity summary'!W143&lt;&gt;"",IF(LOWER('Capacity summary'!W143)="x",$BI24*W24,VALUE('Capacity summary'!W143)),0),W24*$BI24),W24*$BI24),0)</f>
        <v>0</v>
      </c>
      <c r="CA24" s="311">
        <f>IF($BI24&lt;&gt;"",IF('Capacity summary'!$D$14="Yes",IF(COUNTBLANK('Capacity summary'!$H143:$BG143)&lt;52,IF('Capacity summary'!X143&lt;&gt;"",IF(LOWER('Capacity summary'!X143)="x",$BI24*X24,VALUE('Capacity summary'!X143)),0),X24*$BI24),X24*$BI24),0)</f>
        <v>0</v>
      </c>
      <c r="CB24" s="311">
        <f>IF($BI24&lt;&gt;"",IF('Capacity summary'!$D$14="Yes",IF(COUNTBLANK('Capacity summary'!$H143:$BG143)&lt;52,IF('Capacity summary'!Y143&lt;&gt;"",IF(LOWER('Capacity summary'!Y143)="x",$BI24*Y24,VALUE('Capacity summary'!Y143)),0),Y24*$BI24),Y24*$BI24),0)</f>
        <v>0</v>
      </c>
      <c r="CC24" s="311">
        <f>IF($BI24&lt;&gt;"",IF('Capacity summary'!$D$14="Yes",IF(COUNTBLANK('Capacity summary'!$H143:$BG143)&lt;52,IF('Capacity summary'!Z143&lt;&gt;"",IF(LOWER('Capacity summary'!Z143)="x",$BI24*Z24,VALUE('Capacity summary'!Z143)),0),Z24*$BI24),Z24*$BI24),0)</f>
        <v>0</v>
      </c>
      <c r="CD24" s="311">
        <f>IF($BI24&lt;&gt;"",IF('Capacity summary'!$D$14="Yes",IF(COUNTBLANK('Capacity summary'!$H143:$BG143)&lt;52,IF('Capacity summary'!AA143&lt;&gt;"",IF(LOWER('Capacity summary'!AA143)="x",$BI24*AA24,VALUE('Capacity summary'!AA143)),0),AA24*$BI24),AA24*$BI24),0)</f>
        <v>0</v>
      </c>
      <c r="CE24" s="311">
        <f>IF($BI24&lt;&gt;"",IF('Capacity summary'!$D$14="Yes",IF(COUNTBLANK('Capacity summary'!$H143:$BG143)&lt;52,IF('Capacity summary'!AB143&lt;&gt;"",IF(LOWER('Capacity summary'!AB143)="x",$BI24*AB24,VALUE('Capacity summary'!AB143)),0),AB24*$BI24),AB24*$BI24),0)</f>
        <v>0</v>
      </c>
      <c r="CF24" s="311">
        <f>IF($BI24&lt;&gt;"",IF('Capacity summary'!$D$14="Yes",IF(COUNTBLANK('Capacity summary'!$H143:$BG143)&lt;52,IF('Capacity summary'!AC143&lt;&gt;"",IF(LOWER('Capacity summary'!AC143)="x",$BI24*AC24,VALUE('Capacity summary'!AC143)),0),AC24*$BI24),AC24*$BI24),0)</f>
        <v>0</v>
      </c>
      <c r="CG24" s="311">
        <f>IF($BI24&lt;&gt;"",IF('Capacity summary'!$D$14="Yes",IF(COUNTBLANK('Capacity summary'!$H143:$BG143)&lt;52,IF('Capacity summary'!AD143&lt;&gt;"",IF(LOWER('Capacity summary'!AD143)="x",$BI24*AD24,VALUE('Capacity summary'!AD143)),0),AD24*$BI24),AD24*$BI24),0)</f>
        <v>0</v>
      </c>
      <c r="CH24" s="311">
        <f>IF($BI24&lt;&gt;"",IF('Capacity summary'!$D$14="Yes",IF(COUNTBLANK('Capacity summary'!$H143:$BG143)&lt;52,IF('Capacity summary'!AE143&lt;&gt;"",IF(LOWER('Capacity summary'!AE143)="x",$BI24*AE24,VALUE('Capacity summary'!AE143)),0),AE24*$BI24),AE24*$BI24),0)</f>
        <v>0</v>
      </c>
      <c r="CI24" s="311">
        <f>IF($BI24&lt;&gt;"",IF('Capacity summary'!$D$14="Yes",IF(COUNTBLANK('Capacity summary'!$H143:$BG143)&lt;52,IF('Capacity summary'!AF143&lt;&gt;"",IF(LOWER('Capacity summary'!AF143)="x",$BI24*AF24,VALUE('Capacity summary'!AF143)),0),AF24*$BI24),AF24*$BI24),0)</f>
        <v>0</v>
      </c>
      <c r="CJ24" s="311">
        <f>IF($BI24&lt;&gt;"",IF('Capacity summary'!$D$14="Yes",IF(COUNTBLANK('Capacity summary'!$H143:$BG143)&lt;52,IF('Capacity summary'!AG143&lt;&gt;"",IF(LOWER('Capacity summary'!AG143)="x",$BI24*AG24,VALUE('Capacity summary'!AG143)),0),AG24*$BI24),AG24*$BI24),0)</f>
        <v>0</v>
      </c>
      <c r="CK24" s="311">
        <f>IF($BI24&lt;&gt;"",IF('Capacity summary'!$D$14="Yes",IF(COUNTBLANK('Capacity summary'!$H143:$BG143)&lt;52,IF('Capacity summary'!AH143&lt;&gt;"",IF(LOWER('Capacity summary'!AH143)="x",$BI24*AH24,VALUE('Capacity summary'!AH143)),0),AH24*$BI24),AH24*$BI24),0)</f>
        <v>0</v>
      </c>
      <c r="CL24" s="311">
        <f>IF($BI24&lt;&gt;"",IF('Capacity summary'!$D$14="Yes",IF(COUNTBLANK('Capacity summary'!$H143:$BG143)&lt;52,IF('Capacity summary'!AI143&lt;&gt;"",IF(LOWER('Capacity summary'!AI143)="x",$BI24*AI24,VALUE('Capacity summary'!AI143)),0),AI24*$BI24),AI24*$BI24),0)</f>
        <v>0</v>
      </c>
      <c r="CM24" s="311">
        <f>IF($BI24&lt;&gt;"",IF('Capacity summary'!$D$14="Yes",IF(COUNTBLANK('Capacity summary'!$H143:$BG143)&lt;52,IF('Capacity summary'!AJ143&lt;&gt;"",IF(LOWER('Capacity summary'!AJ143)="x",$BI24*AJ24,VALUE('Capacity summary'!AJ143)),0),AJ24*$BI24),AJ24*$BI24),0)</f>
        <v>0</v>
      </c>
      <c r="CN24" s="311">
        <f>IF($BI24&lt;&gt;"",IF('Capacity summary'!$D$14="Yes",IF(COUNTBLANK('Capacity summary'!$H143:$BG143)&lt;52,IF('Capacity summary'!AK143&lt;&gt;"",IF(LOWER('Capacity summary'!AK143)="x",$BI24*AK24,VALUE('Capacity summary'!AK143)),0),AK24*$BI24),AK24*$BI24),0)</f>
        <v>0</v>
      </c>
      <c r="CO24" s="311">
        <f>IF($BI24&lt;&gt;"",IF('Capacity summary'!$D$14="Yes",IF(COUNTBLANK('Capacity summary'!$H143:$BG143)&lt;52,IF('Capacity summary'!AL143&lt;&gt;"",IF(LOWER('Capacity summary'!AL143)="x",$BI24*AL24,VALUE('Capacity summary'!AL143)),0),AL24*$BI24),AL24*$BI24),0)</f>
        <v>0</v>
      </c>
      <c r="CP24" s="311">
        <f>IF($BI24&lt;&gt;"",IF('Capacity summary'!$D$14="Yes",IF(COUNTBLANK('Capacity summary'!$H143:$BG143)&lt;52,IF('Capacity summary'!AM143&lt;&gt;"",IF(LOWER('Capacity summary'!AM143)="x",$BI24*AM24,VALUE('Capacity summary'!AM143)),0),AM24*$BI24),AM24*$BI24),0)</f>
        <v>0</v>
      </c>
      <c r="CQ24" s="311">
        <f>IF($BI24&lt;&gt;"",IF('Capacity summary'!$D$14="Yes",IF(COUNTBLANK('Capacity summary'!$H143:$BG143)&lt;52,IF('Capacity summary'!AN143&lt;&gt;"",IF(LOWER('Capacity summary'!AN143)="x",$BI24*AN24,VALUE('Capacity summary'!AN143)),0),AN24*$BI24),AN24*$BI24),0)</f>
        <v>0</v>
      </c>
      <c r="CR24" s="311">
        <f>IF($BI24&lt;&gt;"",IF('Capacity summary'!$D$14="Yes",IF(COUNTBLANK('Capacity summary'!$H143:$BG143)&lt;52,IF('Capacity summary'!AO143&lt;&gt;"",IF(LOWER('Capacity summary'!AO143)="x",$BI24*AO24,VALUE('Capacity summary'!AO143)),0),AO24*$BI24),AO24*$BI24),0)</f>
        <v>0</v>
      </c>
      <c r="CS24" s="311">
        <f>IF($BI24&lt;&gt;"",IF('Capacity summary'!$D$14="Yes",IF(COUNTBLANK('Capacity summary'!$H143:$BG143)&lt;52,IF('Capacity summary'!AP143&lt;&gt;"",IF(LOWER('Capacity summary'!AP143)="x",$BI24*AP24,VALUE('Capacity summary'!AP143)),0),AP24*$BI24),AP24*$BI24),0)</f>
        <v>0</v>
      </c>
      <c r="CT24" s="311">
        <f>IF($BI24&lt;&gt;"",IF('Capacity summary'!$D$14="Yes",IF(COUNTBLANK('Capacity summary'!$H143:$BG143)&lt;52,IF('Capacity summary'!AQ143&lt;&gt;"",IF(LOWER('Capacity summary'!AQ143)="x",$BI24*AQ24,VALUE('Capacity summary'!AQ143)),0),AQ24*$BI24),AQ24*$BI24),0)</f>
        <v>0</v>
      </c>
      <c r="CU24" s="311">
        <f>IF($BI24&lt;&gt;"",IF('Capacity summary'!$D$14="Yes",IF(COUNTBLANK('Capacity summary'!$H143:$BG143)&lt;52,IF('Capacity summary'!AR143&lt;&gt;"",IF(LOWER('Capacity summary'!AR143)="x",$BI24*AR24,VALUE('Capacity summary'!AR143)),0),AR24*$BI24),AR24*$BI24),0)</f>
        <v>0</v>
      </c>
      <c r="CV24" s="311">
        <f>IF($BI24&lt;&gt;"",IF('Capacity summary'!$D$14="Yes",IF(COUNTBLANK('Capacity summary'!$H143:$BG143)&lt;52,IF('Capacity summary'!AS143&lt;&gt;"",IF(LOWER('Capacity summary'!AS143)="x",$BI24*AS24,VALUE('Capacity summary'!AS143)),0),AS24*$BI24),AS24*$BI24),0)</f>
        <v>0</v>
      </c>
      <c r="CW24" s="311">
        <f>IF($BI24&lt;&gt;"",IF('Capacity summary'!$D$14="Yes",IF(COUNTBLANK('Capacity summary'!$H143:$BG143)&lt;52,IF('Capacity summary'!AT143&lt;&gt;"",IF(LOWER('Capacity summary'!AT143)="x",$BI24*AT24,VALUE('Capacity summary'!AT143)),0),AT24*$BI24),AT24*$BI24),0)</f>
        <v>0</v>
      </c>
      <c r="CX24" s="311">
        <f>IF($BI24&lt;&gt;"",IF('Capacity summary'!$D$14="Yes",IF(COUNTBLANK('Capacity summary'!$H143:$BG143)&lt;52,IF('Capacity summary'!AU143&lt;&gt;"",IF(LOWER('Capacity summary'!AU143)="x",$BI24*AU24,VALUE('Capacity summary'!AU143)),0),AU24*$BI24),AU24*$BI24),0)</f>
        <v>0</v>
      </c>
      <c r="CY24" s="311">
        <f>IF($BI24&lt;&gt;"",IF('Capacity summary'!$D$14="Yes",IF(COUNTBLANK('Capacity summary'!$H143:$BG143)&lt;52,IF('Capacity summary'!AV143&lt;&gt;"",IF(LOWER('Capacity summary'!AV143)="x",$BI24*AV24,VALUE('Capacity summary'!AV143)),0),AV24*$BI24),AV24*$BI24),0)</f>
        <v>0</v>
      </c>
      <c r="CZ24" s="311">
        <f>IF($BI24&lt;&gt;"",IF('Capacity summary'!$D$14="Yes",IF(COUNTBLANK('Capacity summary'!$H143:$BG143)&lt;52,IF('Capacity summary'!AW143&lt;&gt;"",IF(LOWER('Capacity summary'!AW143)="x",$BI24*AW24,VALUE('Capacity summary'!AW143)),0),AW24*$BI24),AW24*$BI24),0)</f>
        <v>0</v>
      </c>
      <c r="DA24" s="311">
        <f>IF($BI24&lt;&gt;"",IF('Capacity summary'!$D$14="Yes",IF(COUNTBLANK('Capacity summary'!$H143:$BG143)&lt;52,IF('Capacity summary'!AX143&lt;&gt;"",IF(LOWER('Capacity summary'!AX143)="x",$BI24*AX24,VALUE('Capacity summary'!AX143)),0),AX24*$BI24),AX24*$BI24),0)</f>
        <v>0</v>
      </c>
      <c r="DB24" s="311">
        <f>IF($BI24&lt;&gt;"",IF('Capacity summary'!$D$14="Yes",IF(COUNTBLANK('Capacity summary'!$H143:$BG143)&lt;52,IF('Capacity summary'!AY143&lt;&gt;"",IF(LOWER('Capacity summary'!AY143)="x",$BI24*AY24,VALUE('Capacity summary'!AY143)),0),AY24*$BI24),AY24*$BI24),0)</f>
        <v>0</v>
      </c>
      <c r="DC24" s="311">
        <f>IF($BI24&lt;&gt;"",IF('Capacity summary'!$D$14="Yes",IF(COUNTBLANK('Capacity summary'!$H143:$BG143)&lt;52,IF('Capacity summary'!AZ143&lt;&gt;"",IF(LOWER('Capacity summary'!AZ143)="x",$BI24*AZ24,VALUE('Capacity summary'!AZ143)),0),AZ24*$BI24),AZ24*$BI24),0)</f>
        <v>0</v>
      </c>
      <c r="DD24" s="311">
        <f>IF($BI24&lt;&gt;"",IF('Capacity summary'!$D$14="Yes",IF(COUNTBLANK('Capacity summary'!$H143:$BG143)&lt;52,IF('Capacity summary'!BA143&lt;&gt;"",IF(LOWER('Capacity summary'!BA143)="x",$BI24*BA24,VALUE('Capacity summary'!BA143)),0),BA24*$BI24),BA24*$BI24),0)</f>
        <v>0</v>
      </c>
      <c r="DE24" s="311">
        <f>IF($BI24&lt;&gt;"",IF('Capacity summary'!$D$14="Yes",IF(COUNTBLANK('Capacity summary'!$H143:$BG143)&lt;52,IF('Capacity summary'!BB143&lt;&gt;"",IF(LOWER('Capacity summary'!BB143)="x",$BI24*BB24,VALUE('Capacity summary'!BB143)),0),BB24*$BI24),BB24*$BI24),0)</f>
        <v>0</v>
      </c>
      <c r="DF24" s="311">
        <f>IF($BI24&lt;&gt;"",IF('Capacity summary'!$D$14="Yes",IF(COUNTBLANK('Capacity summary'!$H143:$BG143)&lt;52,IF('Capacity summary'!BC143&lt;&gt;"",IF(LOWER('Capacity summary'!BC143)="x",$BI24*BC24,VALUE('Capacity summary'!BC143)),0),BC24*$BI24),BC24*$BI24),0)</f>
        <v>0</v>
      </c>
      <c r="DG24" s="311">
        <f>IF($BI24&lt;&gt;"",IF('Capacity summary'!$D$14="Yes",IF(COUNTBLANK('Capacity summary'!$H143:$BG143)&lt;52,IF('Capacity summary'!BD143&lt;&gt;"",IF(LOWER('Capacity summary'!BD143)="x",$BI24*BD24,VALUE('Capacity summary'!BD143)),0),BD24*$BI24),BD24*$BI24),0)</f>
        <v>0</v>
      </c>
      <c r="DH24" s="311">
        <f>IF($BI24&lt;&gt;"",IF('Capacity summary'!$D$14="Yes",IF(COUNTBLANK('Capacity summary'!$H143:$BG143)&lt;52,IF('Capacity summary'!BE143&lt;&gt;"",IF(LOWER('Capacity summary'!BE143)="x",$BI24*BE24,VALUE('Capacity summary'!BE143)),0),BE24*$BI24),BE24*$BI24),0)</f>
        <v>0</v>
      </c>
      <c r="DI24" s="311">
        <f>IF($BI24&lt;&gt;"",IF('Capacity summary'!$D$14="Yes",IF(COUNTBLANK('Capacity summary'!$H143:$BG143)&lt;52,IF('Capacity summary'!BF143&lt;&gt;"",IF(LOWER('Capacity summary'!BF143)="x",$BI24*BF24,VALUE('Capacity summary'!BF143)),0),BF24*$BI24),BF24*$BI24),0)</f>
        <v>0</v>
      </c>
      <c r="DJ24" s="311">
        <f>IF($BI24&lt;&gt;"",IF('Capacity summary'!$D$14="Yes",IF(COUNTBLANK('Capacity summary'!$H143:$BG143)&lt;52,IF('Capacity summary'!BG143&lt;&gt;"",IF(LOWER('Capacity summary'!BG143)="x",$BI24*BG24,VALUE('Capacity summary'!BG143)),0),BG24*$BI24),BG24*$BI24),0)</f>
        <v>0</v>
      </c>
      <c r="DK24" s="391">
        <f t="shared" si="2"/>
        <v>0</v>
      </c>
      <c r="DL24" s="136">
        <f t="shared" si="3"/>
        <v>0</v>
      </c>
      <c r="DM24" s="311" t="str">
        <f>Capacity!H36</f>
        <v/>
      </c>
      <c r="DQ24" s="5"/>
    </row>
    <row r="25" spans="1:121" x14ac:dyDescent="0.2">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1">
        <f>IF($BI25&lt;&gt;"",IF('Capacity summary'!$D$14="Yes",IF(COUNTBLANK('Capacity summary'!$H144:$BG144)&lt;52,IF('Capacity summary'!H144&lt;&gt;"",IF(LOWER('Capacity summary'!H144)="x",$BI25*H25,VALUE('Capacity summary'!H144)),0),H25*$BI25),H25*$BI25),0)</f>
        <v>0</v>
      </c>
      <c r="BL25" s="311">
        <f>IF($BI25&lt;&gt;"",IF('Capacity summary'!$D$14="Yes",IF(COUNTBLANK('Capacity summary'!$H144:$BG144)&lt;52,IF('Capacity summary'!I144&lt;&gt;"",IF(LOWER('Capacity summary'!I144)="x",$BI25*I25,VALUE('Capacity summary'!I144)),0),I25*$BI25),I25*$BI25),0)</f>
        <v>0</v>
      </c>
      <c r="BM25" s="311">
        <f>IF($BI25&lt;&gt;"",IF('Capacity summary'!$D$14="Yes",IF(COUNTBLANK('Capacity summary'!$H144:$BG144)&lt;52,IF('Capacity summary'!J144&lt;&gt;"",IF(LOWER('Capacity summary'!J144)="x",$BI25*J25,VALUE('Capacity summary'!J144)),0),J25*$BI25),J25*$BI25),0)</f>
        <v>0</v>
      </c>
      <c r="BN25" s="311">
        <f>IF($BI25&lt;&gt;"",IF('Capacity summary'!$D$14="Yes",IF(COUNTBLANK('Capacity summary'!$H144:$BG144)&lt;52,IF('Capacity summary'!K144&lt;&gt;"",IF(LOWER('Capacity summary'!K144)="x",$BI25*K25,VALUE('Capacity summary'!K144)),0),K25*$BI25),K25*$BI25),0)</f>
        <v>0</v>
      </c>
      <c r="BO25" s="311">
        <f>IF($BI25&lt;&gt;"",IF('Capacity summary'!$D$14="Yes",IF(COUNTBLANK('Capacity summary'!$H144:$BG144)&lt;52,IF('Capacity summary'!L144&lt;&gt;"",IF(LOWER('Capacity summary'!L144)="x",$BI25*L25,VALUE('Capacity summary'!L144)),0),L25*$BI25),L25*$BI25),0)</f>
        <v>0</v>
      </c>
      <c r="BP25" s="311">
        <f>IF($BI25&lt;&gt;"",IF('Capacity summary'!$D$14="Yes",IF(COUNTBLANK('Capacity summary'!$H144:$BG144)&lt;52,IF('Capacity summary'!M144&lt;&gt;"",IF(LOWER('Capacity summary'!M144)="x",$BI25*M25,VALUE('Capacity summary'!M144)),0),M25*$BI25),M25*$BI25),0)</f>
        <v>0</v>
      </c>
      <c r="BQ25" s="311">
        <f>IF($BI25&lt;&gt;"",IF('Capacity summary'!$D$14="Yes",IF(COUNTBLANK('Capacity summary'!$H144:$BG144)&lt;52,IF('Capacity summary'!N144&lt;&gt;"",IF(LOWER('Capacity summary'!N144)="x",$BI25*N25,VALUE('Capacity summary'!N144)),0),N25*$BI25),N25*$BI25),0)</f>
        <v>0</v>
      </c>
      <c r="BR25" s="311">
        <f>IF($BI25&lt;&gt;"",IF('Capacity summary'!$D$14="Yes",IF(COUNTBLANK('Capacity summary'!$H144:$BG144)&lt;52,IF('Capacity summary'!O144&lt;&gt;"",IF(LOWER('Capacity summary'!O144)="x",$BI25*O25,VALUE('Capacity summary'!O144)),0),O25*$BI25),O25*$BI25),0)</f>
        <v>0</v>
      </c>
      <c r="BS25" s="311">
        <f>IF($BI25&lt;&gt;"",IF('Capacity summary'!$D$14="Yes",IF(COUNTBLANK('Capacity summary'!$H144:$BG144)&lt;52,IF('Capacity summary'!P144&lt;&gt;"",IF(LOWER('Capacity summary'!P144)="x",$BI25*P25,VALUE('Capacity summary'!P144)),0),P25*$BI25),P25*$BI25),0)</f>
        <v>0</v>
      </c>
      <c r="BT25" s="311">
        <f>IF($BI25&lt;&gt;"",IF('Capacity summary'!$D$14="Yes",IF(COUNTBLANK('Capacity summary'!$H144:$BG144)&lt;52,IF('Capacity summary'!Q144&lt;&gt;"",IF(LOWER('Capacity summary'!Q144)="x",$BI25*Q25,VALUE('Capacity summary'!Q144)),0),Q25*$BI25),Q25*$BI25),0)</f>
        <v>0</v>
      </c>
      <c r="BU25" s="311">
        <f>IF($BI25&lt;&gt;"",IF('Capacity summary'!$D$14="Yes",IF(COUNTBLANK('Capacity summary'!$H144:$BG144)&lt;52,IF('Capacity summary'!R144&lt;&gt;"",IF(LOWER('Capacity summary'!R144)="x",$BI25*R25,VALUE('Capacity summary'!R144)),0),R25*$BI25),R25*$BI25),0)</f>
        <v>0</v>
      </c>
      <c r="BV25" s="311">
        <f>IF($BI25&lt;&gt;"",IF('Capacity summary'!$D$14="Yes",IF(COUNTBLANK('Capacity summary'!$H144:$BG144)&lt;52,IF('Capacity summary'!S144&lt;&gt;"",IF(LOWER('Capacity summary'!S144)="x",$BI25*S25,VALUE('Capacity summary'!S144)),0),S25*$BI25),S25*$BI25),0)</f>
        <v>0</v>
      </c>
      <c r="BW25" s="311">
        <f>IF($BI25&lt;&gt;"",IF('Capacity summary'!$D$14="Yes",IF(COUNTBLANK('Capacity summary'!$H144:$BG144)&lt;52,IF('Capacity summary'!T144&lt;&gt;"",IF(LOWER('Capacity summary'!T144)="x",$BI25*T25,VALUE('Capacity summary'!T144)),0),T25*$BI25),T25*$BI25),0)</f>
        <v>0</v>
      </c>
      <c r="BX25" s="311">
        <f>IF($BI25&lt;&gt;"",IF('Capacity summary'!$D$14="Yes",IF(COUNTBLANK('Capacity summary'!$H144:$BG144)&lt;52,IF('Capacity summary'!U144&lt;&gt;"",IF(LOWER('Capacity summary'!U144)="x",$BI25*U25,VALUE('Capacity summary'!U144)),0),U25*$BI25),U25*$BI25),0)</f>
        <v>0</v>
      </c>
      <c r="BY25" s="311">
        <f>IF($BI25&lt;&gt;"",IF('Capacity summary'!$D$14="Yes",IF(COUNTBLANK('Capacity summary'!$H144:$BG144)&lt;52,IF('Capacity summary'!V144&lt;&gt;"",IF(LOWER('Capacity summary'!V144)="x",$BI25*V25,VALUE('Capacity summary'!V144)),0),V25*$BI25),V25*$BI25),0)</f>
        <v>0</v>
      </c>
      <c r="BZ25" s="311">
        <f>IF($BI25&lt;&gt;"",IF('Capacity summary'!$D$14="Yes",IF(COUNTBLANK('Capacity summary'!$H144:$BG144)&lt;52,IF('Capacity summary'!W144&lt;&gt;"",IF(LOWER('Capacity summary'!W144)="x",$BI25*W25,VALUE('Capacity summary'!W144)),0),W25*$BI25),W25*$BI25),0)</f>
        <v>0</v>
      </c>
      <c r="CA25" s="311">
        <f>IF($BI25&lt;&gt;"",IF('Capacity summary'!$D$14="Yes",IF(COUNTBLANK('Capacity summary'!$H144:$BG144)&lt;52,IF('Capacity summary'!X144&lt;&gt;"",IF(LOWER('Capacity summary'!X144)="x",$BI25*X25,VALUE('Capacity summary'!X144)),0),X25*$BI25),X25*$BI25),0)</f>
        <v>0</v>
      </c>
      <c r="CB25" s="311">
        <f>IF($BI25&lt;&gt;"",IF('Capacity summary'!$D$14="Yes",IF(COUNTBLANK('Capacity summary'!$H144:$BG144)&lt;52,IF('Capacity summary'!Y144&lt;&gt;"",IF(LOWER('Capacity summary'!Y144)="x",$BI25*Y25,VALUE('Capacity summary'!Y144)),0),Y25*$BI25),Y25*$BI25),0)</f>
        <v>0</v>
      </c>
      <c r="CC25" s="311">
        <f>IF($BI25&lt;&gt;"",IF('Capacity summary'!$D$14="Yes",IF(COUNTBLANK('Capacity summary'!$H144:$BG144)&lt;52,IF('Capacity summary'!Z144&lt;&gt;"",IF(LOWER('Capacity summary'!Z144)="x",$BI25*Z25,VALUE('Capacity summary'!Z144)),0),Z25*$BI25),Z25*$BI25),0)</f>
        <v>0</v>
      </c>
      <c r="CD25" s="311">
        <f>IF($BI25&lt;&gt;"",IF('Capacity summary'!$D$14="Yes",IF(COUNTBLANK('Capacity summary'!$H144:$BG144)&lt;52,IF('Capacity summary'!AA144&lt;&gt;"",IF(LOWER('Capacity summary'!AA144)="x",$BI25*AA25,VALUE('Capacity summary'!AA144)),0),AA25*$BI25),AA25*$BI25),0)</f>
        <v>0</v>
      </c>
      <c r="CE25" s="311">
        <f>IF($BI25&lt;&gt;"",IF('Capacity summary'!$D$14="Yes",IF(COUNTBLANK('Capacity summary'!$H144:$BG144)&lt;52,IF('Capacity summary'!AB144&lt;&gt;"",IF(LOWER('Capacity summary'!AB144)="x",$BI25*AB25,VALUE('Capacity summary'!AB144)),0),AB25*$BI25),AB25*$BI25),0)</f>
        <v>0</v>
      </c>
      <c r="CF25" s="311">
        <f>IF($BI25&lt;&gt;"",IF('Capacity summary'!$D$14="Yes",IF(COUNTBLANK('Capacity summary'!$H144:$BG144)&lt;52,IF('Capacity summary'!AC144&lt;&gt;"",IF(LOWER('Capacity summary'!AC144)="x",$BI25*AC25,VALUE('Capacity summary'!AC144)),0),AC25*$BI25),AC25*$BI25),0)</f>
        <v>0</v>
      </c>
      <c r="CG25" s="311">
        <f>IF($BI25&lt;&gt;"",IF('Capacity summary'!$D$14="Yes",IF(COUNTBLANK('Capacity summary'!$H144:$BG144)&lt;52,IF('Capacity summary'!AD144&lt;&gt;"",IF(LOWER('Capacity summary'!AD144)="x",$BI25*AD25,VALUE('Capacity summary'!AD144)),0),AD25*$BI25),AD25*$BI25),0)</f>
        <v>0</v>
      </c>
      <c r="CH25" s="311">
        <f>IF($BI25&lt;&gt;"",IF('Capacity summary'!$D$14="Yes",IF(COUNTBLANK('Capacity summary'!$H144:$BG144)&lt;52,IF('Capacity summary'!AE144&lt;&gt;"",IF(LOWER('Capacity summary'!AE144)="x",$BI25*AE25,VALUE('Capacity summary'!AE144)),0),AE25*$BI25),AE25*$BI25),0)</f>
        <v>0</v>
      </c>
      <c r="CI25" s="311">
        <f>IF($BI25&lt;&gt;"",IF('Capacity summary'!$D$14="Yes",IF(COUNTBLANK('Capacity summary'!$H144:$BG144)&lt;52,IF('Capacity summary'!AF144&lt;&gt;"",IF(LOWER('Capacity summary'!AF144)="x",$BI25*AF25,VALUE('Capacity summary'!AF144)),0),AF25*$BI25),AF25*$BI25),0)</f>
        <v>0</v>
      </c>
      <c r="CJ25" s="311">
        <f>IF($BI25&lt;&gt;"",IF('Capacity summary'!$D$14="Yes",IF(COUNTBLANK('Capacity summary'!$H144:$BG144)&lt;52,IF('Capacity summary'!AG144&lt;&gt;"",IF(LOWER('Capacity summary'!AG144)="x",$BI25*AG25,VALUE('Capacity summary'!AG144)),0),AG25*$BI25),AG25*$BI25),0)</f>
        <v>0</v>
      </c>
      <c r="CK25" s="311">
        <f>IF($BI25&lt;&gt;"",IF('Capacity summary'!$D$14="Yes",IF(COUNTBLANK('Capacity summary'!$H144:$BG144)&lt;52,IF('Capacity summary'!AH144&lt;&gt;"",IF(LOWER('Capacity summary'!AH144)="x",$BI25*AH25,VALUE('Capacity summary'!AH144)),0),AH25*$BI25),AH25*$BI25),0)</f>
        <v>0</v>
      </c>
      <c r="CL25" s="311">
        <f>IF($BI25&lt;&gt;"",IF('Capacity summary'!$D$14="Yes",IF(COUNTBLANK('Capacity summary'!$H144:$BG144)&lt;52,IF('Capacity summary'!AI144&lt;&gt;"",IF(LOWER('Capacity summary'!AI144)="x",$BI25*AI25,VALUE('Capacity summary'!AI144)),0),AI25*$BI25),AI25*$BI25),0)</f>
        <v>0</v>
      </c>
      <c r="CM25" s="311">
        <f>IF($BI25&lt;&gt;"",IF('Capacity summary'!$D$14="Yes",IF(COUNTBLANK('Capacity summary'!$H144:$BG144)&lt;52,IF('Capacity summary'!AJ144&lt;&gt;"",IF(LOWER('Capacity summary'!AJ144)="x",$BI25*AJ25,VALUE('Capacity summary'!AJ144)),0),AJ25*$BI25),AJ25*$BI25),0)</f>
        <v>0</v>
      </c>
      <c r="CN25" s="311">
        <f>IF($BI25&lt;&gt;"",IF('Capacity summary'!$D$14="Yes",IF(COUNTBLANK('Capacity summary'!$H144:$BG144)&lt;52,IF('Capacity summary'!AK144&lt;&gt;"",IF(LOWER('Capacity summary'!AK144)="x",$BI25*AK25,VALUE('Capacity summary'!AK144)),0),AK25*$BI25),AK25*$BI25),0)</f>
        <v>0</v>
      </c>
      <c r="CO25" s="311">
        <f>IF($BI25&lt;&gt;"",IF('Capacity summary'!$D$14="Yes",IF(COUNTBLANK('Capacity summary'!$H144:$BG144)&lt;52,IF('Capacity summary'!AL144&lt;&gt;"",IF(LOWER('Capacity summary'!AL144)="x",$BI25*AL25,VALUE('Capacity summary'!AL144)),0),AL25*$BI25),AL25*$BI25),0)</f>
        <v>0</v>
      </c>
      <c r="CP25" s="311">
        <f>IF($BI25&lt;&gt;"",IF('Capacity summary'!$D$14="Yes",IF(COUNTBLANK('Capacity summary'!$H144:$BG144)&lt;52,IF('Capacity summary'!AM144&lt;&gt;"",IF(LOWER('Capacity summary'!AM144)="x",$BI25*AM25,VALUE('Capacity summary'!AM144)),0),AM25*$BI25),AM25*$BI25),0)</f>
        <v>0</v>
      </c>
      <c r="CQ25" s="311">
        <f>IF($BI25&lt;&gt;"",IF('Capacity summary'!$D$14="Yes",IF(COUNTBLANK('Capacity summary'!$H144:$BG144)&lt;52,IF('Capacity summary'!AN144&lt;&gt;"",IF(LOWER('Capacity summary'!AN144)="x",$BI25*AN25,VALUE('Capacity summary'!AN144)),0),AN25*$BI25),AN25*$BI25),0)</f>
        <v>0</v>
      </c>
      <c r="CR25" s="311">
        <f>IF($BI25&lt;&gt;"",IF('Capacity summary'!$D$14="Yes",IF(COUNTBLANK('Capacity summary'!$H144:$BG144)&lt;52,IF('Capacity summary'!AO144&lt;&gt;"",IF(LOWER('Capacity summary'!AO144)="x",$BI25*AO25,VALUE('Capacity summary'!AO144)),0),AO25*$BI25),AO25*$BI25),0)</f>
        <v>0</v>
      </c>
      <c r="CS25" s="311">
        <f>IF($BI25&lt;&gt;"",IF('Capacity summary'!$D$14="Yes",IF(COUNTBLANK('Capacity summary'!$H144:$BG144)&lt;52,IF('Capacity summary'!AP144&lt;&gt;"",IF(LOWER('Capacity summary'!AP144)="x",$BI25*AP25,VALUE('Capacity summary'!AP144)),0),AP25*$BI25),AP25*$BI25),0)</f>
        <v>0</v>
      </c>
      <c r="CT25" s="311">
        <f>IF($BI25&lt;&gt;"",IF('Capacity summary'!$D$14="Yes",IF(COUNTBLANK('Capacity summary'!$H144:$BG144)&lt;52,IF('Capacity summary'!AQ144&lt;&gt;"",IF(LOWER('Capacity summary'!AQ144)="x",$BI25*AQ25,VALUE('Capacity summary'!AQ144)),0),AQ25*$BI25),AQ25*$BI25),0)</f>
        <v>0</v>
      </c>
      <c r="CU25" s="311">
        <f>IF($BI25&lt;&gt;"",IF('Capacity summary'!$D$14="Yes",IF(COUNTBLANK('Capacity summary'!$H144:$BG144)&lt;52,IF('Capacity summary'!AR144&lt;&gt;"",IF(LOWER('Capacity summary'!AR144)="x",$BI25*AR25,VALUE('Capacity summary'!AR144)),0),AR25*$BI25),AR25*$BI25),0)</f>
        <v>0</v>
      </c>
      <c r="CV25" s="311">
        <f>IF($BI25&lt;&gt;"",IF('Capacity summary'!$D$14="Yes",IF(COUNTBLANK('Capacity summary'!$H144:$BG144)&lt;52,IF('Capacity summary'!AS144&lt;&gt;"",IF(LOWER('Capacity summary'!AS144)="x",$BI25*AS25,VALUE('Capacity summary'!AS144)),0),AS25*$BI25),AS25*$BI25),0)</f>
        <v>0</v>
      </c>
      <c r="CW25" s="311">
        <f>IF($BI25&lt;&gt;"",IF('Capacity summary'!$D$14="Yes",IF(COUNTBLANK('Capacity summary'!$H144:$BG144)&lt;52,IF('Capacity summary'!AT144&lt;&gt;"",IF(LOWER('Capacity summary'!AT144)="x",$BI25*AT25,VALUE('Capacity summary'!AT144)),0),AT25*$BI25),AT25*$BI25),0)</f>
        <v>0</v>
      </c>
      <c r="CX25" s="311">
        <f>IF($BI25&lt;&gt;"",IF('Capacity summary'!$D$14="Yes",IF(COUNTBLANK('Capacity summary'!$H144:$BG144)&lt;52,IF('Capacity summary'!AU144&lt;&gt;"",IF(LOWER('Capacity summary'!AU144)="x",$BI25*AU25,VALUE('Capacity summary'!AU144)),0),AU25*$BI25),AU25*$BI25),0)</f>
        <v>0</v>
      </c>
      <c r="CY25" s="311">
        <f>IF($BI25&lt;&gt;"",IF('Capacity summary'!$D$14="Yes",IF(COUNTBLANK('Capacity summary'!$H144:$BG144)&lt;52,IF('Capacity summary'!AV144&lt;&gt;"",IF(LOWER('Capacity summary'!AV144)="x",$BI25*AV25,VALUE('Capacity summary'!AV144)),0),AV25*$BI25),AV25*$BI25),0)</f>
        <v>0</v>
      </c>
      <c r="CZ25" s="311">
        <f>IF($BI25&lt;&gt;"",IF('Capacity summary'!$D$14="Yes",IF(COUNTBLANK('Capacity summary'!$H144:$BG144)&lt;52,IF('Capacity summary'!AW144&lt;&gt;"",IF(LOWER('Capacity summary'!AW144)="x",$BI25*AW25,VALUE('Capacity summary'!AW144)),0),AW25*$BI25),AW25*$BI25),0)</f>
        <v>0</v>
      </c>
      <c r="DA25" s="311">
        <f>IF($BI25&lt;&gt;"",IF('Capacity summary'!$D$14="Yes",IF(COUNTBLANK('Capacity summary'!$H144:$BG144)&lt;52,IF('Capacity summary'!AX144&lt;&gt;"",IF(LOWER('Capacity summary'!AX144)="x",$BI25*AX25,VALUE('Capacity summary'!AX144)),0),AX25*$BI25),AX25*$BI25),0)</f>
        <v>0</v>
      </c>
      <c r="DB25" s="311">
        <f>IF($BI25&lt;&gt;"",IF('Capacity summary'!$D$14="Yes",IF(COUNTBLANK('Capacity summary'!$H144:$BG144)&lt;52,IF('Capacity summary'!AY144&lt;&gt;"",IF(LOWER('Capacity summary'!AY144)="x",$BI25*AY25,VALUE('Capacity summary'!AY144)),0),AY25*$BI25),AY25*$BI25),0)</f>
        <v>0</v>
      </c>
      <c r="DC25" s="311">
        <f>IF($BI25&lt;&gt;"",IF('Capacity summary'!$D$14="Yes",IF(COUNTBLANK('Capacity summary'!$H144:$BG144)&lt;52,IF('Capacity summary'!AZ144&lt;&gt;"",IF(LOWER('Capacity summary'!AZ144)="x",$BI25*AZ25,VALUE('Capacity summary'!AZ144)),0),AZ25*$BI25),AZ25*$BI25),0)</f>
        <v>0</v>
      </c>
      <c r="DD25" s="311">
        <f>IF($BI25&lt;&gt;"",IF('Capacity summary'!$D$14="Yes",IF(COUNTBLANK('Capacity summary'!$H144:$BG144)&lt;52,IF('Capacity summary'!BA144&lt;&gt;"",IF(LOWER('Capacity summary'!BA144)="x",$BI25*BA25,VALUE('Capacity summary'!BA144)),0),BA25*$BI25),BA25*$BI25),0)</f>
        <v>0</v>
      </c>
      <c r="DE25" s="311">
        <f>IF($BI25&lt;&gt;"",IF('Capacity summary'!$D$14="Yes",IF(COUNTBLANK('Capacity summary'!$H144:$BG144)&lt;52,IF('Capacity summary'!BB144&lt;&gt;"",IF(LOWER('Capacity summary'!BB144)="x",$BI25*BB25,VALUE('Capacity summary'!BB144)),0),BB25*$BI25),BB25*$BI25),0)</f>
        <v>0</v>
      </c>
      <c r="DF25" s="311">
        <f>IF($BI25&lt;&gt;"",IF('Capacity summary'!$D$14="Yes",IF(COUNTBLANK('Capacity summary'!$H144:$BG144)&lt;52,IF('Capacity summary'!BC144&lt;&gt;"",IF(LOWER('Capacity summary'!BC144)="x",$BI25*BC25,VALUE('Capacity summary'!BC144)),0),BC25*$BI25),BC25*$BI25),0)</f>
        <v>0</v>
      </c>
      <c r="DG25" s="311">
        <f>IF($BI25&lt;&gt;"",IF('Capacity summary'!$D$14="Yes",IF(COUNTBLANK('Capacity summary'!$H144:$BG144)&lt;52,IF('Capacity summary'!BD144&lt;&gt;"",IF(LOWER('Capacity summary'!BD144)="x",$BI25*BD25,VALUE('Capacity summary'!BD144)),0),BD25*$BI25),BD25*$BI25),0)</f>
        <v>0</v>
      </c>
      <c r="DH25" s="311">
        <f>IF($BI25&lt;&gt;"",IF('Capacity summary'!$D$14="Yes",IF(COUNTBLANK('Capacity summary'!$H144:$BG144)&lt;52,IF('Capacity summary'!BE144&lt;&gt;"",IF(LOWER('Capacity summary'!BE144)="x",$BI25*BE25,VALUE('Capacity summary'!BE144)),0),BE25*$BI25),BE25*$BI25),0)</f>
        <v>0</v>
      </c>
      <c r="DI25" s="311">
        <f>IF($BI25&lt;&gt;"",IF('Capacity summary'!$D$14="Yes",IF(COUNTBLANK('Capacity summary'!$H144:$BG144)&lt;52,IF('Capacity summary'!BF144&lt;&gt;"",IF(LOWER('Capacity summary'!BF144)="x",$BI25*BF25,VALUE('Capacity summary'!BF144)),0),BF25*$BI25),BF25*$BI25),0)</f>
        <v>0</v>
      </c>
      <c r="DJ25" s="311">
        <f>IF($BI25&lt;&gt;"",IF('Capacity summary'!$D$14="Yes",IF(COUNTBLANK('Capacity summary'!$H144:$BG144)&lt;52,IF('Capacity summary'!BG144&lt;&gt;"",IF(LOWER('Capacity summary'!BG144)="x",$BI25*BG25,VALUE('Capacity summary'!BG144)),0),BG25*$BI25),BG25*$BI25),0)</f>
        <v>0</v>
      </c>
      <c r="DK25" s="391">
        <f t="shared" si="2"/>
        <v>0</v>
      </c>
      <c r="DL25" s="136">
        <f t="shared" si="3"/>
        <v>0</v>
      </c>
      <c r="DM25" s="311" t="str">
        <f>Capacity!H37</f>
        <v/>
      </c>
      <c r="DQ25" s="5"/>
    </row>
    <row r="26" spans="1:121" x14ac:dyDescent="0.2">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1">
        <f>IF($BI26&lt;&gt;"",IF('Capacity summary'!$D$14="Yes",IF(COUNTBLANK('Capacity summary'!$H145:$BG145)&lt;52,IF('Capacity summary'!H145&lt;&gt;"",IF(LOWER('Capacity summary'!H145)="x",$BI26*H26,VALUE('Capacity summary'!H145)),0),H26*$BI26),H26*$BI26),0)</f>
        <v>0</v>
      </c>
      <c r="BL26" s="311">
        <f>IF($BI26&lt;&gt;"",IF('Capacity summary'!$D$14="Yes",IF(COUNTBLANK('Capacity summary'!$H145:$BG145)&lt;52,IF('Capacity summary'!I145&lt;&gt;"",IF(LOWER('Capacity summary'!I145)="x",$BI26*I26,VALUE('Capacity summary'!I145)),0),I26*$BI26),I26*$BI26),0)</f>
        <v>0</v>
      </c>
      <c r="BM26" s="311">
        <f>IF($BI26&lt;&gt;"",IF('Capacity summary'!$D$14="Yes",IF(COUNTBLANK('Capacity summary'!$H145:$BG145)&lt;52,IF('Capacity summary'!J145&lt;&gt;"",IF(LOWER('Capacity summary'!J145)="x",$BI26*J26,VALUE('Capacity summary'!J145)),0),J26*$BI26),J26*$BI26),0)</f>
        <v>0</v>
      </c>
      <c r="BN26" s="311">
        <f>IF($BI26&lt;&gt;"",IF('Capacity summary'!$D$14="Yes",IF(COUNTBLANK('Capacity summary'!$H145:$BG145)&lt;52,IF('Capacity summary'!K145&lt;&gt;"",IF(LOWER('Capacity summary'!K145)="x",$BI26*K26,VALUE('Capacity summary'!K145)),0),K26*$BI26),K26*$BI26),0)</f>
        <v>0</v>
      </c>
      <c r="BO26" s="311">
        <f>IF($BI26&lt;&gt;"",IF('Capacity summary'!$D$14="Yes",IF(COUNTBLANK('Capacity summary'!$H145:$BG145)&lt;52,IF('Capacity summary'!L145&lt;&gt;"",IF(LOWER('Capacity summary'!L145)="x",$BI26*L26,VALUE('Capacity summary'!L145)),0),L26*$BI26),L26*$BI26),0)</f>
        <v>0</v>
      </c>
      <c r="BP26" s="311">
        <f>IF($BI26&lt;&gt;"",IF('Capacity summary'!$D$14="Yes",IF(COUNTBLANK('Capacity summary'!$H145:$BG145)&lt;52,IF('Capacity summary'!M145&lt;&gt;"",IF(LOWER('Capacity summary'!M145)="x",$BI26*M26,VALUE('Capacity summary'!M145)),0),M26*$BI26),M26*$BI26),0)</f>
        <v>0</v>
      </c>
      <c r="BQ26" s="311">
        <f>IF($BI26&lt;&gt;"",IF('Capacity summary'!$D$14="Yes",IF(COUNTBLANK('Capacity summary'!$H145:$BG145)&lt;52,IF('Capacity summary'!N145&lt;&gt;"",IF(LOWER('Capacity summary'!N145)="x",$BI26*N26,VALUE('Capacity summary'!N145)),0),N26*$BI26),N26*$BI26),0)</f>
        <v>0</v>
      </c>
      <c r="BR26" s="311">
        <f>IF($BI26&lt;&gt;"",IF('Capacity summary'!$D$14="Yes",IF(COUNTBLANK('Capacity summary'!$H145:$BG145)&lt;52,IF('Capacity summary'!O145&lt;&gt;"",IF(LOWER('Capacity summary'!O145)="x",$BI26*O26,VALUE('Capacity summary'!O145)),0),O26*$BI26),O26*$BI26),0)</f>
        <v>0</v>
      </c>
      <c r="BS26" s="311">
        <f>IF($BI26&lt;&gt;"",IF('Capacity summary'!$D$14="Yes",IF(COUNTBLANK('Capacity summary'!$H145:$BG145)&lt;52,IF('Capacity summary'!P145&lt;&gt;"",IF(LOWER('Capacity summary'!P145)="x",$BI26*P26,VALUE('Capacity summary'!P145)),0),P26*$BI26),P26*$BI26),0)</f>
        <v>0</v>
      </c>
      <c r="BT26" s="311">
        <f>IF($BI26&lt;&gt;"",IF('Capacity summary'!$D$14="Yes",IF(COUNTBLANK('Capacity summary'!$H145:$BG145)&lt;52,IF('Capacity summary'!Q145&lt;&gt;"",IF(LOWER('Capacity summary'!Q145)="x",$BI26*Q26,VALUE('Capacity summary'!Q145)),0),Q26*$BI26),Q26*$BI26),0)</f>
        <v>0</v>
      </c>
      <c r="BU26" s="311">
        <f>IF($BI26&lt;&gt;"",IF('Capacity summary'!$D$14="Yes",IF(COUNTBLANK('Capacity summary'!$H145:$BG145)&lt;52,IF('Capacity summary'!R145&lt;&gt;"",IF(LOWER('Capacity summary'!R145)="x",$BI26*R26,VALUE('Capacity summary'!R145)),0),R26*$BI26),R26*$BI26),0)</f>
        <v>0</v>
      </c>
      <c r="BV26" s="311">
        <f>IF($BI26&lt;&gt;"",IF('Capacity summary'!$D$14="Yes",IF(COUNTBLANK('Capacity summary'!$H145:$BG145)&lt;52,IF('Capacity summary'!S145&lt;&gt;"",IF(LOWER('Capacity summary'!S145)="x",$BI26*S26,VALUE('Capacity summary'!S145)),0),S26*$BI26),S26*$BI26),0)</f>
        <v>0</v>
      </c>
      <c r="BW26" s="311">
        <f>IF($BI26&lt;&gt;"",IF('Capacity summary'!$D$14="Yes",IF(COUNTBLANK('Capacity summary'!$H145:$BG145)&lt;52,IF('Capacity summary'!T145&lt;&gt;"",IF(LOWER('Capacity summary'!T145)="x",$BI26*T26,VALUE('Capacity summary'!T145)),0),T26*$BI26),T26*$BI26),0)</f>
        <v>0</v>
      </c>
      <c r="BX26" s="311">
        <f>IF($BI26&lt;&gt;"",IF('Capacity summary'!$D$14="Yes",IF(COUNTBLANK('Capacity summary'!$H145:$BG145)&lt;52,IF('Capacity summary'!U145&lt;&gt;"",IF(LOWER('Capacity summary'!U145)="x",$BI26*U26,VALUE('Capacity summary'!U145)),0),U26*$BI26),U26*$BI26),0)</f>
        <v>0</v>
      </c>
      <c r="BY26" s="311">
        <f>IF($BI26&lt;&gt;"",IF('Capacity summary'!$D$14="Yes",IF(COUNTBLANK('Capacity summary'!$H145:$BG145)&lt;52,IF('Capacity summary'!V145&lt;&gt;"",IF(LOWER('Capacity summary'!V145)="x",$BI26*V26,VALUE('Capacity summary'!V145)),0),V26*$BI26),V26*$BI26),0)</f>
        <v>0</v>
      </c>
      <c r="BZ26" s="311">
        <f>IF($BI26&lt;&gt;"",IF('Capacity summary'!$D$14="Yes",IF(COUNTBLANK('Capacity summary'!$H145:$BG145)&lt;52,IF('Capacity summary'!W145&lt;&gt;"",IF(LOWER('Capacity summary'!W145)="x",$BI26*W26,VALUE('Capacity summary'!W145)),0),W26*$BI26),W26*$BI26),0)</f>
        <v>0</v>
      </c>
      <c r="CA26" s="311">
        <f>IF($BI26&lt;&gt;"",IF('Capacity summary'!$D$14="Yes",IF(COUNTBLANK('Capacity summary'!$H145:$BG145)&lt;52,IF('Capacity summary'!X145&lt;&gt;"",IF(LOWER('Capacity summary'!X145)="x",$BI26*X26,VALUE('Capacity summary'!X145)),0),X26*$BI26),X26*$BI26),0)</f>
        <v>0</v>
      </c>
      <c r="CB26" s="311">
        <f>IF($BI26&lt;&gt;"",IF('Capacity summary'!$D$14="Yes",IF(COUNTBLANK('Capacity summary'!$H145:$BG145)&lt;52,IF('Capacity summary'!Y145&lt;&gt;"",IF(LOWER('Capacity summary'!Y145)="x",$BI26*Y26,VALUE('Capacity summary'!Y145)),0),Y26*$BI26),Y26*$BI26),0)</f>
        <v>0</v>
      </c>
      <c r="CC26" s="311">
        <f>IF($BI26&lt;&gt;"",IF('Capacity summary'!$D$14="Yes",IF(COUNTBLANK('Capacity summary'!$H145:$BG145)&lt;52,IF('Capacity summary'!Z145&lt;&gt;"",IF(LOWER('Capacity summary'!Z145)="x",$BI26*Z26,VALUE('Capacity summary'!Z145)),0),Z26*$BI26),Z26*$BI26),0)</f>
        <v>0</v>
      </c>
      <c r="CD26" s="311">
        <f>IF($BI26&lt;&gt;"",IF('Capacity summary'!$D$14="Yes",IF(COUNTBLANK('Capacity summary'!$H145:$BG145)&lt;52,IF('Capacity summary'!AA145&lt;&gt;"",IF(LOWER('Capacity summary'!AA145)="x",$BI26*AA26,VALUE('Capacity summary'!AA145)),0),AA26*$BI26),AA26*$BI26),0)</f>
        <v>0</v>
      </c>
      <c r="CE26" s="311">
        <f>IF($BI26&lt;&gt;"",IF('Capacity summary'!$D$14="Yes",IF(COUNTBLANK('Capacity summary'!$H145:$BG145)&lt;52,IF('Capacity summary'!AB145&lt;&gt;"",IF(LOWER('Capacity summary'!AB145)="x",$BI26*AB26,VALUE('Capacity summary'!AB145)),0),AB26*$BI26),AB26*$BI26),0)</f>
        <v>0</v>
      </c>
      <c r="CF26" s="311">
        <f>IF($BI26&lt;&gt;"",IF('Capacity summary'!$D$14="Yes",IF(COUNTBLANK('Capacity summary'!$H145:$BG145)&lt;52,IF('Capacity summary'!AC145&lt;&gt;"",IF(LOWER('Capacity summary'!AC145)="x",$BI26*AC26,VALUE('Capacity summary'!AC145)),0),AC26*$BI26),AC26*$BI26),0)</f>
        <v>0</v>
      </c>
      <c r="CG26" s="311">
        <f>IF($BI26&lt;&gt;"",IF('Capacity summary'!$D$14="Yes",IF(COUNTBLANK('Capacity summary'!$H145:$BG145)&lt;52,IF('Capacity summary'!AD145&lt;&gt;"",IF(LOWER('Capacity summary'!AD145)="x",$BI26*AD26,VALUE('Capacity summary'!AD145)),0),AD26*$BI26),AD26*$BI26),0)</f>
        <v>0</v>
      </c>
      <c r="CH26" s="311">
        <f>IF($BI26&lt;&gt;"",IF('Capacity summary'!$D$14="Yes",IF(COUNTBLANK('Capacity summary'!$H145:$BG145)&lt;52,IF('Capacity summary'!AE145&lt;&gt;"",IF(LOWER('Capacity summary'!AE145)="x",$BI26*AE26,VALUE('Capacity summary'!AE145)),0),AE26*$BI26),AE26*$BI26),0)</f>
        <v>0</v>
      </c>
      <c r="CI26" s="311">
        <f>IF($BI26&lt;&gt;"",IF('Capacity summary'!$D$14="Yes",IF(COUNTBLANK('Capacity summary'!$H145:$BG145)&lt;52,IF('Capacity summary'!AF145&lt;&gt;"",IF(LOWER('Capacity summary'!AF145)="x",$BI26*AF26,VALUE('Capacity summary'!AF145)),0),AF26*$BI26),AF26*$BI26),0)</f>
        <v>0</v>
      </c>
      <c r="CJ26" s="311">
        <f>IF($BI26&lt;&gt;"",IF('Capacity summary'!$D$14="Yes",IF(COUNTBLANK('Capacity summary'!$H145:$BG145)&lt;52,IF('Capacity summary'!AG145&lt;&gt;"",IF(LOWER('Capacity summary'!AG145)="x",$BI26*AG26,VALUE('Capacity summary'!AG145)),0),AG26*$BI26),AG26*$BI26),0)</f>
        <v>0</v>
      </c>
      <c r="CK26" s="311">
        <f>IF($BI26&lt;&gt;"",IF('Capacity summary'!$D$14="Yes",IF(COUNTBLANK('Capacity summary'!$H145:$BG145)&lt;52,IF('Capacity summary'!AH145&lt;&gt;"",IF(LOWER('Capacity summary'!AH145)="x",$BI26*AH26,VALUE('Capacity summary'!AH145)),0),AH26*$BI26),AH26*$BI26),0)</f>
        <v>0</v>
      </c>
      <c r="CL26" s="311">
        <f>IF($BI26&lt;&gt;"",IF('Capacity summary'!$D$14="Yes",IF(COUNTBLANK('Capacity summary'!$H145:$BG145)&lt;52,IF('Capacity summary'!AI145&lt;&gt;"",IF(LOWER('Capacity summary'!AI145)="x",$BI26*AI26,VALUE('Capacity summary'!AI145)),0),AI26*$BI26),AI26*$BI26),0)</f>
        <v>0</v>
      </c>
      <c r="CM26" s="311">
        <f>IF($BI26&lt;&gt;"",IF('Capacity summary'!$D$14="Yes",IF(COUNTBLANK('Capacity summary'!$H145:$BG145)&lt;52,IF('Capacity summary'!AJ145&lt;&gt;"",IF(LOWER('Capacity summary'!AJ145)="x",$BI26*AJ26,VALUE('Capacity summary'!AJ145)),0),AJ26*$BI26),AJ26*$BI26),0)</f>
        <v>0</v>
      </c>
      <c r="CN26" s="311">
        <f>IF($BI26&lt;&gt;"",IF('Capacity summary'!$D$14="Yes",IF(COUNTBLANK('Capacity summary'!$H145:$BG145)&lt;52,IF('Capacity summary'!AK145&lt;&gt;"",IF(LOWER('Capacity summary'!AK145)="x",$BI26*AK26,VALUE('Capacity summary'!AK145)),0),AK26*$BI26),AK26*$BI26),0)</f>
        <v>0</v>
      </c>
      <c r="CO26" s="311">
        <f>IF($BI26&lt;&gt;"",IF('Capacity summary'!$D$14="Yes",IF(COUNTBLANK('Capacity summary'!$H145:$BG145)&lt;52,IF('Capacity summary'!AL145&lt;&gt;"",IF(LOWER('Capacity summary'!AL145)="x",$BI26*AL26,VALUE('Capacity summary'!AL145)),0),AL26*$BI26),AL26*$BI26),0)</f>
        <v>0</v>
      </c>
      <c r="CP26" s="311">
        <f>IF($BI26&lt;&gt;"",IF('Capacity summary'!$D$14="Yes",IF(COUNTBLANK('Capacity summary'!$H145:$BG145)&lt;52,IF('Capacity summary'!AM145&lt;&gt;"",IF(LOWER('Capacity summary'!AM145)="x",$BI26*AM26,VALUE('Capacity summary'!AM145)),0),AM26*$BI26),AM26*$BI26),0)</f>
        <v>0</v>
      </c>
      <c r="CQ26" s="311">
        <f>IF($BI26&lt;&gt;"",IF('Capacity summary'!$D$14="Yes",IF(COUNTBLANK('Capacity summary'!$H145:$BG145)&lt;52,IF('Capacity summary'!AN145&lt;&gt;"",IF(LOWER('Capacity summary'!AN145)="x",$BI26*AN26,VALUE('Capacity summary'!AN145)),0),AN26*$BI26),AN26*$BI26),0)</f>
        <v>0</v>
      </c>
      <c r="CR26" s="311">
        <f>IF($BI26&lt;&gt;"",IF('Capacity summary'!$D$14="Yes",IF(COUNTBLANK('Capacity summary'!$H145:$BG145)&lt;52,IF('Capacity summary'!AO145&lt;&gt;"",IF(LOWER('Capacity summary'!AO145)="x",$BI26*AO26,VALUE('Capacity summary'!AO145)),0),AO26*$BI26),AO26*$BI26),0)</f>
        <v>0</v>
      </c>
      <c r="CS26" s="311">
        <f>IF($BI26&lt;&gt;"",IF('Capacity summary'!$D$14="Yes",IF(COUNTBLANK('Capacity summary'!$H145:$BG145)&lt;52,IF('Capacity summary'!AP145&lt;&gt;"",IF(LOWER('Capacity summary'!AP145)="x",$BI26*AP26,VALUE('Capacity summary'!AP145)),0),AP26*$BI26),AP26*$BI26),0)</f>
        <v>0</v>
      </c>
      <c r="CT26" s="311">
        <f>IF($BI26&lt;&gt;"",IF('Capacity summary'!$D$14="Yes",IF(COUNTBLANK('Capacity summary'!$H145:$BG145)&lt;52,IF('Capacity summary'!AQ145&lt;&gt;"",IF(LOWER('Capacity summary'!AQ145)="x",$BI26*AQ26,VALUE('Capacity summary'!AQ145)),0),AQ26*$BI26),AQ26*$BI26),0)</f>
        <v>0</v>
      </c>
      <c r="CU26" s="311">
        <f>IF($BI26&lt;&gt;"",IF('Capacity summary'!$D$14="Yes",IF(COUNTBLANK('Capacity summary'!$H145:$BG145)&lt;52,IF('Capacity summary'!AR145&lt;&gt;"",IF(LOWER('Capacity summary'!AR145)="x",$BI26*AR26,VALUE('Capacity summary'!AR145)),0),AR26*$BI26),AR26*$BI26),0)</f>
        <v>0</v>
      </c>
      <c r="CV26" s="311">
        <f>IF($BI26&lt;&gt;"",IF('Capacity summary'!$D$14="Yes",IF(COUNTBLANK('Capacity summary'!$H145:$BG145)&lt;52,IF('Capacity summary'!AS145&lt;&gt;"",IF(LOWER('Capacity summary'!AS145)="x",$BI26*AS26,VALUE('Capacity summary'!AS145)),0),AS26*$BI26),AS26*$BI26),0)</f>
        <v>0</v>
      </c>
      <c r="CW26" s="311">
        <f>IF($BI26&lt;&gt;"",IF('Capacity summary'!$D$14="Yes",IF(COUNTBLANK('Capacity summary'!$H145:$BG145)&lt;52,IF('Capacity summary'!AT145&lt;&gt;"",IF(LOWER('Capacity summary'!AT145)="x",$BI26*AT26,VALUE('Capacity summary'!AT145)),0),AT26*$BI26),AT26*$BI26),0)</f>
        <v>0</v>
      </c>
      <c r="CX26" s="311">
        <f>IF($BI26&lt;&gt;"",IF('Capacity summary'!$D$14="Yes",IF(COUNTBLANK('Capacity summary'!$H145:$BG145)&lt;52,IF('Capacity summary'!AU145&lt;&gt;"",IF(LOWER('Capacity summary'!AU145)="x",$BI26*AU26,VALUE('Capacity summary'!AU145)),0),AU26*$BI26),AU26*$BI26),0)</f>
        <v>0</v>
      </c>
      <c r="CY26" s="311">
        <f>IF($BI26&lt;&gt;"",IF('Capacity summary'!$D$14="Yes",IF(COUNTBLANK('Capacity summary'!$H145:$BG145)&lt;52,IF('Capacity summary'!AV145&lt;&gt;"",IF(LOWER('Capacity summary'!AV145)="x",$BI26*AV26,VALUE('Capacity summary'!AV145)),0),AV26*$BI26),AV26*$BI26),0)</f>
        <v>0</v>
      </c>
      <c r="CZ26" s="311">
        <f>IF($BI26&lt;&gt;"",IF('Capacity summary'!$D$14="Yes",IF(COUNTBLANK('Capacity summary'!$H145:$BG145)&lt;52,IF('Capacity summary'!AW145&lt;&gt;"",IF(LOWER('Capacity summary'!AW145)="x",$BI26*AW26,VALUE('Capacity summary'!AW145)),0),AW26*$BI26),AW26*$BI26),0)</f>
        <v>0</v>
      </c>
      <c r="DA26" s="311">
        <f>IF($BI26&lt;&gt;"",IF('Capacity summary'!$D$14="Yes",IF(COUNTBLANK('Capacity summary'!$H145:$BG145)&lt;52,IF('Capacity summary'!AX145&lt;&gt;"",IF(LOWER('Capacity summary'!AX145)="x",$BI26*AX26,VALUE('Capacity summary'!AX145)),0),AX26*$BI26),AX26*$BI26),0)</f>
        <v>0</v>
      </c>
      <c r="DB26" s="311">
        <f>IF($BI26&lt;&gt;"",IF('Capacity summary'!$D$14="Yes",IF(COUNTBLANK('Capacity summary'!$H145:$BG145)&lt;52,IF('Capacity summary'!AY145&lt;&gt;"",IF(LOWER('Capacity summary'!AY145)="x",$BI26*AY26,VALUE('Capacity summary'!AY145)),0),AY26*$BI26),AY26*$BI26),0)</f>
        <v>0</v>
      </c>
      <c r="DC26" s="311">
        <f>IF($BI26&lt;&gt;"",IF('Capacity summary'!$D$14="Yes",IF(COUNTBLANK('Capacity summary'!$H145:$BG145)&lt;52,IF('Capacity summary'!AZ145&lt;&gt;"",IF(LOWER('Capacity summary'!AZ145)="x",$BI26*AZ26,VALUE('Capacity summary'!AZ145)),0),AZ26*$BI26),AZ26*$BI26),0)</f>
        <v>0</v>
      </c>
      <c r="DD26" s="311">
        <f>IF($BI26&lt;&gt;"",IF('Capacity summary'!$D$14="Yes",IF(COUNTBLANK('Capacity summary'!$H145:$BG145)&lt;52,IF('Capacity summary'!BA145&lt;&gt;"",IF(LOWER('Capacity summary'!BA145)="x",$BI26*BA26,VALUE('Capacity summary'!BA145)),0),BA26*$BI26),BA26*$BI26),0)</f>
        <v>0</v>
      </c>
      <c r="DE26" s="311">
        <f>IF($BI26&lt;&gt;"",IF('Capacity summary'!$D$14="Yes",IF(COUNTBLANK('Capacity summary'!$H145:$BG145)&lt;52,IF('Capacity summary'!BB145&lt;&gt;"",IF(LOWER('Capacity summary'!BB145)="x",$BI26*BB26,VALUE('Capacity summary'!BB145)),0),BB26*$BI26),BB26*$BI26),0)</f>
        <v>0</v>
      </c>
      <c r="DF26" s="311">
        <f>IF($BI26&lt;&gt;"",IF('Capacity summary'!$D$14="Yes",IF(COUNTBLANK('Capacity summary'!$H145:$BG145)&lt;52,IF('Capacity summary'!BC145&lt;&gt;"",IF(LOWER('Capacity summary'!BC145)="x",$BI26*BC26,VALUE('Capacity summary'!BC145)),0),BC26*$BI26),BC26*$BI26),0)</f>
        <v>0</v>
      </c>
      <c r="DG26" s="311">
        <f>IF($BI26&lt;&gt;"",IF('Capacity summary'!$D$14="Yes",IF(COUNTBLANK('Capacity summary'!$H145:$BG145)&lt;52,IF('Capacity summary'!BD145&lt;&gt;"",IF(LOWER('Capacity summary'!BD145)="x",$BI26*BD26,VALUE('Capacity summary'!BD145)),0),BD26*$BI26),BD26*$BI26),0)</f>
        <v>0</v>
      </c>
      <c r="DH26" s="311">
        <f>IF($BI26&lt;&gt;"",IF('Capacity summary'!$D$14="Yes",IF(COUNTBLANK('Capacity summary'!$H145:$BG145)&lt;52,IF('Capacity summary'!BE145&lt;&gt;"",IF(LOWER('Capacity summary'!BE145)="x",$BI26*BE26,VALUE('Capacity summary'!BE145)),0),BE26*$BI26),BE26*$BI26),0)</f>
        <v>0</v>
      </c>
      <c r="DI26" s="311">
        <f>IF($BI26&lt;&gt;"",IF('Capacity summary'!$D$14="Yes",IF(COUNTBLANK('Capacity summary'!$H145:$BG145)&lt;52,IF('Capacity summary'!BF145&lt;&gt;"",IF(LOWER('Capacity summary'!BF145)="x",$BI26*BF26,VALUE('Capacity summary'!BF145)),0),BF26*$BI26),BF26*$BI26),0)</f>
        <v>0</v>
      </c>
      <c r="DJ26" s="311">
        <f>IF($BI26&lt;&gt;"",IF('Capacity summary'!$D$14="Yes",IF(COUNTBLANK('Capacity summary'!$H145:$BG145)&lt;52,IF('Capacity summary'!BG145&lt;&gt;"",IF(LOWER('Capacity summary'!BG145)="x",$BI26*BG26,VALUE('Capacity summary'!BG145)),0),BG26*$BI26),BG26*$BI26),0)</f>
        <v>0</v>
      </c>
      <c r="DK26" s="391">
        <f t="shared" si="2"/>
        <v>0</v>
      </c>
      <c r="DL26" s="136">
        <f t="shared" si="3"/>
        <v>0</v>
      </c>
      <c r="DM26" s="311" t="str">
        <f>Capacity!H38</f>
        <v/>
      </c>
      <c r="DQ26" s="5"/>
    </row>
    <row r="27" spans="1:121" x14ac:dyDescent="0.2">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1">
        <f>IF($BI27&lt;&gt;"",IF('Capacity summary'!$D$14="Yes",IF(COUNTBLANK('Capacity summary'!$H146:$BG146)&lt;52,IF('Capacity summary'!H146&lt;&gt;"",IF(LOWER('Capacity summary'!H146)="x",$BI27*H27,VALUE('Capacity summary'!H146)),0),H27*$BI27),H27*$BI27),0)</f>
        <v>0</v>
      </c>
      <c r="BL27" s="311">
        <f>IF($BI27&lt;&gt;"",IF('Capacity summary'!$D$14="Yes",IF(COUNTBLANK('Capacity summary'!$H146:$BG146)&lt;52,IF('Capacity summary'!I146&lt;&gt;"",IF(LOWER('Capacity summary'!I146)="x",$BI27*I27,VALUE('Capacity summary'!I146)),0),I27*$BI27),I27*$BI27),0)</f>
        <v>0</v>
      </c>
      <c r="BM27" s="311">
        <f>IF($BI27&lt;&gt;"",IF('Capacity summary'!$D$14="Yes",IF(COUNTBLANK('Capacity summary'!$H146:$BG146)&lt;52,IF('Capacity summary'!J146&lt;&gt;"",IF(LOWER('Capacity summary'!J146)="x",$BI27*J27,VALUE('Capacity summary'!J146)),0),J27*$BI27),J27*$BI27),0)</f>
        <v>0</v>
      </c>
      <c r="BN27" s="311">
        <f>IF($BI27&lt;&gt;"",IF('Capacity summary'!$D$14="Yes",IF(COUNTBLANK('Capacity summary'!$H146:$BG146)&lt;52,IF('Capacity summary'!K146&lt;&gt;"",IF(LOWER('Capacity summary'!K146)="x",$BI27*K27,VALUE('Capacity summary'!K146)),0),K27*$BI27),K27*$BI27),0)</f>
        <v>0</v>
      </c>
      <c r="BO27" s="311">
        <f>IF($BI27&lt;&gt;"",IF('Capacity summary'!$D$14="Yes",IF(COUNTBLANK('Capacity summary'!$H146:$BG146)&lt;52,IF('Capacity summary'!L146&lt;&gt;"",IF(LOWER('Capacity summary'!L146)="x",$BI27*L27,VALUE('Capacity summary'!L146)),0),L27*$BI27),L27*$BI27),0)</f>
        <v>0</v>
      </c>
      <c r="BP27" s="311">
        <f>IF($BI27&lt;&gt;"",IF('Capacity summary'!$D$14="Yes",IF(COUNTBLANK('Capacity summary'!$H146:$BG146)&lt;52,IF('Capacity summary'!M146&lt;&gt;"",IF(LOWER('Capacity summary'!M146)="x",$BI27*M27,VALUE('Capacity summary'!M146)),0),M27*$BI27),M27*$BI27),0)</f>
        <v>0</v>
      </c>
      <c r="BQ27" s="311">
        <f>IF($BI27&lt;&gt;"",IF('Capacity summary'!$D$14="Yes",IF(COUNTBLANK('Capacity summary'!$H146:$BG146)&lt;52,IF('Capacity summary'!N146&lt;&gt;"",IF(LOWER('Capacity summary'!N146)="x",$BI27*N27,VALUE('Capacity summary'!N146)),0),N27*$BI27),N27*$BI27),0)</f>
        <v>0</v>
      </c>
      <c r="BR27" s="311">
        <f>IF($BI27&lt;&gt;"",IF('Capacity summary'!$D$14="Yes",IF(COUNTBLANK('Capacity summary'!$H146:$BG146)&lt;52,IF('Capacity summary'!O146&lt;&gt;"",IF(LOWER('Capacity summary'!O146)="x",$BI27*O27,VALUE('Capacity summary'!O146)),0),O27*$BI27),O27*$BI27),0)</f>
        <v>0</v>
      </c>
      <c r="BS27" s="311">
        <f>IF($BI27&lt;&gt;"",IF('Capacity summary'!$D$14="Yes",IF(COUNTBLANK('Capacity summary'!$H146:$BG146)&lt;52,IF('Capacity summary'!P146&lt;&gt;"",IF(LOWER('Capacity summary'!P146)="x",$BI27*P27,VALUE('Capacity summary'!P146)),0),P27*$BI27),P27*$BI27),0)</f>
        <v>0</v>
      </c>
      <c r="BT27" s="311">
        <f>IF($BI27&lt;&gt;"",IF('Capacity summary'!$D$14="Yes",IF(COUNTBLANK('Capacity summary'!$H146:$BG146)&lt;52,IF('Capacity summary'!Q146&lt;&gt;"",IF(LOWER('Capacity summary'!Q146)="x",$BI27*Q27,VALUE('Capacity summary'!Q146)),0),Q27*$BI27),Q27*$BI27),0)</f>
        <v>0</v>
      </c>
      <c r="BU27" s="311">
        <f>IF($BI27&lt;&gt;"",IF('Capacity summary'!$D$14="Yes",IF(COUNTBLANK('Capacity summary'!$H146:$BG146)&lt;52,IF('Capacity summary'!R146&lt;&gt;"",IF(LOWER('Capacity summary'!R146)="x",$BI27*R27,VALUE('Capacity summary'!R146)),0),R27*$BI27),R27*$BI27),0)</f>
        <v>0</v>
      </c>
      <c r="BV27" s="311">
        <f>IF($BI27&lt;&gt;"",IF('Capacity summary'!$D$14="Yes",IF(COUNTBLANK('Capacity summary'!$H146:$BG146)&lt;52,IF('Capacity summary'!S146&lt;&gt;"",IF(LOWER('Capacity summary'!S146)="x",$BI27*S27,VALUE('Capacity summary'!S146)),0),S27*$BI27),S27*$BI27),0)</f>
        <v>0</v>
      </c>
      <c r="BW27" s="311">
        <f>IF($BI27&lt;&gt;"",IF('Capacity summary'!$D$14="Yes",IF(COUNTBLANK('Capacity summary'!$H146:$BG146)&lt;52,IF('Capacity summary'!T146&lt;&gt;"",IF(LOWER('Capacity summary'!T146)="x",$BI27*T27,VALUE('Capacity summary'!T146)),0),T27*$BI27),T27*$BI27),0)</f>
        <v>0</v>
      </c>
      <c r="BX27" s="311">
        <f>IF($BI27&lt;&gt;"",IF('Capacity summary'!$D$14="Yes",IF(COUNTBLANK('Capacity summary'!$H146:$BG146)&lt;52,IF('Capacity summary'!U146&lt;&gt;"",IF(LOWER('Capacity summary'!U146)="x",$BI27*U27,VALUE('Capacity summary'!U146)),0),U27*$BI27),U27*$BI27),0)</f>
        <v>0</v>
      </c>
      <c r="BY27" s="311">
        <f>IF($BI27&lt;&gt;"",IF('Capacity summary'!$D$14="Yes",IF(COUNTBLANK('Capacity summary'!$H146:$BG146)&lt;52,IF('Capacity summary'!V146&lt;&gt;"",IF(LOWER('Capacity summary'!V146)="x",$BI27*V27,VALUE('Capacity summary'!V146)),0),V27*$BI27),V27*$BI27),0)</f>
        <v>0</v>
      </c>
      <c r="BZ27" s="311">
        <f>IF($BI27&lt;&gt;"",IF('Capacity summary'!$D$14="Yes",IF(COUNTBLANK('Capacity summary'!$H146:$BG146)&lt;52,IF('Capacity summary'!W146&lt;&gt;"",IF(LOWER('Capacity summary'!W146)="x",$BI27*W27,VALUE('Capacity summary'!W146)),0),W27*$BI27),W27*$BI27),0)</f>
        <v>0</v>
      </c>
      <c r="CA27" s="311">
        <f>IF($BI27&lt;&gt;"",IF('Capacity summary'!$D$14="Yes",IF(COUNTBLANK('Capacity summary'!$H146:$BG146)&lt;52,IF('Capacity summary'!X146&lt;&gt;"",IF(LOWER('Capacity summary'!X146)="x",$BI27*X27,VALUE('Capacity summary'!X146)),0),X27*$BI27),X27*$BI27),0)</f>
        <v>0</v>
      </c>
      <c r="CB27" s="311">
        <f>IF($BI27&lt;&gt;"",IF('Capacity summary'!$D$14="Yes",IF(COUNTBLANK('Capacity summary'!$H146:$BG146)&lt;52,IF('Capacity summary'!Y146&lt;&gt;"",IF(LOWER('Capacity summary'!Y146)="x",$BI27*Y27,VALUE('Capacity summary'!Y146)),0),Y27*$BI27),Y27*$BI27),0)</f>
        <v>0</v>
      </c>
      <c r="CC27" s="311">
        <f>IF($BI27&lt;&gt;"",IF('Capacity summary'!$D$14="Yes",IF(COUNTBLANK('Capacity summary'!$H146:$BG146)&lt;52,IF('Capacity summary'!Z146&lt;&gt;"",IF(LOWER('Capacity summary'!Z146)="x",$BI27*Z27,VALUE('Capacity summary'!Z146)),0),Z27*$BI27),Z27*$BI27),0)</f>
        <v>0</v>
      </c>
      <c r="CD27" s="311">
        <f>IF($BI27&lt;&gt;"",IF('Capacity summary'!$D$14="Yes",IF(COUNTBLANK('Capacity summary'!$H146:$BG146)&lt;52,IF('Capacity summary'!AA146&lt;&gt;"",IF(LOWER('Capacity summary'!AA146)="x",$BI27*AA27,VALUE('Capacity summary'!AA146)),0),AA27*$BI27),AA27*$BI27),0)</f>
        <v>0</v>
      </c>
      <c r="CE27" s="311">
        <f>IF($BI27&lt;&gt;"",IF('Capacity summary'!$D$14="Yes",IF(COUNTBLANK('Capacity summary'!$H146:$BG146)&lt;52,IF('Capacity summary'!AB146&lt;&gt;"",IF(LOWER('Capacity summary'!AB146)="x",$BI27*AB27,VALUE('Capacity summary'!AB146)),0),AB27*$BI27),AB27*$BI27),0)</f>
        <v>0</v>
      </c>
      <c r="CF27" s="311">
        <f>IF($BI27&lt;&gt;"",IF('Capacity summary'!$D$14="Yes",IF(COUNTBLANK('Capacity summary'!$H146:$BG146)&lt;52,IF('Capacity summary'!AC146&lt;&gt;"",IF(LOWER('Capacity summary'!AC146)="x",$BI27*AC27,VALUE('Capacity summary'!AC146)),0),AC27*$BI27),AC27*$BI27),0)</f>
        <v>0</v>
      </c>
      <c r="CG27" s="311">
        <f>IF($BI27&lt;&gt;"",IF('Capacity summary'!$D$14="Yes",IF(COUNTBLANK('Capacity summary'!$H146:$BG146)&lt;52,IF('Capacity summary'!AD146&lt;&gt;"",IF(LOWER('Capacity summary'!AD146)="x",$BI27*AD27,VALUE('Capacity summary'!AD146)),0),AD27*$BI27),AD27*$BI27),0)</f>
        <v>0</v>
      </c>
      <c r="CH27" s="311">
        <f>IF($BI27&lt;&gt;"",IF('Capacity summary'!$D$14="Yes",IF(COUNTBLANK('Capacity summary'!$H146:$BG146)&lt;52,IF('Capacity summary'!AE146&lt;&gt;"",IF(LOWER('Capacity summary'!AE146)="x",$BI27*AE27,VALUE('Capacity summary'!AE146)),0),AE27*$BI27),AE27*$BI27),0)</f>
        <v>0</v>
      </c>
      <c r="CI27" s="311">
        <f>IF($BI27&lt;&gt;"",IF('Capacity summary'!$D$14="Yes",IF(COUNTBLANK('Capacity summary'!$H146:$BG146)&lt;52,IF('Capacity summary'!AF146&lt;&gt;"",IF(LOWER('Capacity summary'!AF146)="x",$BI27*AF27,VALUE('Capacity summary'!AF146)),0),AF27*$BI27),AF27*$BI27),0)</f>
        <v>0</v>
      </c>
      <c r="CJ27" s="311">
        <f>IF($BI27&lt;&gt;"",IF('Capacity summary'!$D$14="Yes",IF(COUNTBLANK('Capacity summary'!$H146:$BG146)&lt;52,IF('Capacity summary'!AG146&lt;&gt;"",IF(LOWER('Capacity summary'!AG146)="x",$BI27*AG27,VALUE('Capacity summary'!AG146)),0),AG27*$BI27),AG27*$BI27),0)</f>
        <v>0</v>
      </c>
      <c r="CK27" s="311">
        <f>IF($BI27&lt;&gt;"",IF('Capacity summary'!$D$14="Yes",IF(COUNTBLANK('Capacity summary'!$H146:$BG146)&lt;52,IF('Capacity summary'!AH146&lt;&gt;"",IF(LOWER('Capacity summary'!AH146)="x",$BI27*AH27,VALUE('Capacity summary'!AH146)),0),AH27*$BI27),AH27*$BI27),0)</f>
        <v>0</v>
      </c>
      <c r="CL27" s="311">
        <f>IF($BI27&lt;&gt;"",IF('Capacity summary'!$D$14="Yes",IF(COUNTBLANK('Capacity summary'!$H146:$BG146)&lt;52,IF('Capacity summary'!AI146&lt;&gt;"",IF(LOWER('Capacity summary'!AI146)="x",$BI27*AI27,VALUE('Capacity summary'!AI146)),0),AI27*$BI27),AI27*$BI27),0)</f>
        <v>0</v>
      </c>
      <c r="CM27" s="311">
        <f>IF($BI27&lt;&gt;"",IF('Capacity summary'!$D$14="Yes",IF(COUNTBLANK('Capacity summary'!$H146:$BG146)&lt;52,IF('Capacity summary'!AJ146&lt;&gt;"",IF(LOWER('Capacity summary'!AJ146)="x",$BI27*AJ27,VALUE('Capacity summary'!AJ146)),0),AJ27*$BI27),AJ27*$BI27),0)</f>
        <v>0</v>
      </c>
      <c r="CN27" s="311">
        <f>IF($BI27&lt;&gt;"",IF('Capacity summary'!$D$14="Yes",IF(COUNTBLANK('Capacity summary'!$H146:$BG146)&lt;52,IF('Capacity summary'!AK146&lt;&gt;"",IF(LOWER('Capacity summary'!AK146)="x",$BI27*AK27,VALUE('Capacity summary'!AK146)),0),AK27*$BI27),AK27*$BI27),0)</f>
        <v>0</v>
      </c>
      <c r="CO27" s="311">
        <f>IF($BI27&lt;&gt;"",IF('Capacity summary'!$D$14="Yes",IF(COUNTBLANK('Capacity summary'!$H146:$BG146)&lt;52,IF('Capacity summary'!AL146&lt;&gt;"",IF(LOWER('Capacity summary'!AL146)="x",$BI27*AL27,VALUE('Capacity summary'!AL146)),0),AL27*$BI27),AL27*$BI27),0)</f>
        <v>0</v>
      </c>
      <c r="CP27" s="311">
        <f>IF($BI27&lt;&gt;"",IF('Capacity summary'!$D$14="Yes",IF(COUNTBLANK('Capacity summary'!$H146:$BG146)&lt;52,IF('Capacity summary'!AM146&lt;&gt;"",IF(LOWER('Capacity summary'!AM146)="x",$BI27*AM27,VALUE('Capacity summary'!AM146)),0),AM27*$BI27),AM27*$BI27),0)</f>
        <v>0</v>
      </c>
      <c r="CQ27" s="311">
        <f>IF($BI27&lt;&gt;"",IF('Capacity summary'!$D$14="Yes",IF(COUNTBLANK('Capacity summary'!$H146:$BG146)&lt;52,IF('Capacity summary'!AN146&lt;&gt;"",IF(LOWER('Capacity summary'!AN146)="x",$BI27*AN27,VALUE('Capacity summary'!AN146)),0),AN27*$BI27),AN27*$BI27),0)</f>
        <v>0</v>
      </c>
      <c r="CR27" s="311">
        <f>IF($BI27&lt;&gt;"",IF('Capacity summary'!$D$14="Yes",IF(COUNTBLANK('Capacity summary'!$H146:$BG146)&lt;52,IF('Capacity summary'!AO146&lt;&gt;"",IF(LOWER('Capacity summary'!AO146)="x",$BI27*AO27,VALUE('Capacity summary'!AO146)),0),AO27*$BI27),AO27*$BI27),0)</f>
        <v>0</v>
      </c>
      <c r="CS27" s="311">
        <f>IF($BI27&lt;&gt;"",IF('Capacity summary'!$D$14="Yes",IF(COUNTBLANK('Capacity summary'!$H146:$BG146)&lt;52,IF('Capacity summary'!AP146&lt;&gt;"",IF(LOWER('Capacity summary'!AP146)="x",$BI27*AP27,VALUE('Capacity summary'!AP146)),0),AP27*$BI27),AP27*$BI27),0)</f>
        <v>0</v>
      </c>
      <c r="CT27" s="311">
        <f>IF($BI27&lt;&gt;"",IF('Capacity summary'!$D$14="Yes",IF(COUNTBLANK('Capacity summary'!$H146:$BG146)&lt;52,IF('Capacity summary'!AQ146&lt;&gt;"",IF(LOWER('Capacity summary'!AQ146)="x",$BI27*AQ27,VALUE('Capacity summary'!AQ146)),0),AQ27*$BI27),AQ27*$BI27),0)</f>
        <v>0</v>
      </c>
      <c r="CU27" s="311">
        <f>IF($BI27&lt;&gt;"",IF('Capacity summary'!$D$14="Yes",IF(COUNTBLANK('Capacity summary'!$H146:$BG146)&lt;52,IF('Capacity summary'!AR146&lt;&gt;"",IF(LOWER('Capacity summary'!AR146)="x",$BI27*AR27,VALUE('Capacity summary'!AR146)),0),AR27*$BI27),AR27*$BI27),0)</f>
        <v>0</v>
      </c>
      <c r="CV27" s="311">
        <f>IF($BI27&lt;&gt;"",IF('Capacity summary'!$D$14="Yes",IF(COUNTBLANK('Capacity summary'!$H146:$BG146)&lt;52,IF('Capacity summary'!AS146&lt;&gt;"",IF(LOWER('Capacity summary'!AS146)="x",$BI27*AS27,VALUE('Capacity summary'!AS146)),0),AS27*$BI27),AS27*$BI27),0)</f>
        <v>0</v>
      </c>
      <c r="CW27" s="311">
        <f>IF($BI27&lt;&gt;"",IF('Capacity summary'!$D$14="Yes",IF(COUNTBLANK('Capacity summary'!$H146:$BG146)&lt;52,IF('Capacity summary'!AT146&lt;&gt;"",IF(LOWER('Capacity summary'!AT146)="x",$BI27*AT27,VALUE('Capacity summary'!AT146)),0),AT27*$BI27),AT27*$BI27),0)</f>
        <v>0</v>
      </c>
      <c r="CX27" s="311">
        <f>IF($BI27&lt;&gt;"",IF('Capacity summary'!$D$14="Yes",IF(COUNTBLANK('Capacity summary'!$H146:$BG146)&lt;52,IF('Capacity summary'!AU146&lt;&gt;"",IF(LOWER('Capacity summary'!AU146)="x",$BI27*AU27,VALUE('Capacity summary'!AU146)),0),AU27*$BI27),AU27*$BI27),0)</f>
        <v>0</v>
      </c>
      <c r="CY27" s="311">
        <f>IF($BI27&lt;&gt;"",IF('Capacity summary'!$D$14="Yes",IF(COUNTBLANK('Capacity summary'!$H146:$BG146)&lt;52,IF('Capacity summary'!AV146&lt;&gt;"",IF(LOWER('Capacity summary'!AV146)="x",$BI27*AV27,VALUE('Capacity summary'!AV146)),0),AV27*$BI27),AV27*$BI27),0)</f>
        <v>0</v>
      </c>
      <c r="CZ27" s="311">
        <f>IF($BI27&lt;&gt;"",IF('Capacity summary'!$D$14="Yes",IF(COUNTBLANK('Capacity summary'!$H146:$BG146)&lt;52,IF('Capacity summary'!AW146&lt;&gt;"",IF(LOWER('Capacity summary'!AW146)="x",$BI27*AW27,VALUE('Capacity summary'!AW146)),0),AW27*$BI27),AW27*$BI27),0)</f>
        <v>0</v>
      </c>
      <c r="DA27" s="311">
        <f>IF($BI27&lt;&gt;"",IF('Capacity summary'!$D$14="Yes",IF(COUNTBLANK('Capacity summary'!$H146:$BG146)&lt;52,IF('Capacity summary'!AX146&lt;&gt;"",IF(LOWER('Capacity summary'!AX146)="x",$BI27*AX27,VALUE('Capacity summary'!AX146)),0),AX27*$BI27),AX27*$BI27),0)</f>
        <v>0</v>
      </c>
      <c r="DB27" s="311">
        <f>IF($BI27&lt;&gt;"",IF('Capacity summary'!$D$14="Yes",IF(COUNTBLANK('Capacity summary'!$H146:$BG146)&lt;52,IF('Capacity summary'!AY146&lt;&gt;"",IF(LOWER('Capacity summary'!AY146)="x",$BI27*AY27,VALUE('Capacity summary'!AY146)),0),AY27*$BI27),AY27*$BI27),0)</f>
        <v>0</v>
      </c>
      <c r="DC27" s="311">
        <f>IF($BI27&lt;&gt;"",IF('Capacity summary'!$D$14="Yes",IF(COUNTBLANK('Capacity summary'!$H146:$BG146)&lt;52,IF('Capacity summary'!AZ146&lt;&gt;"",IF(LOWER('Capacity summary'!AZ146)="x",$BI27*AZ27,VALUE('Capacity summary'!AZ146)),0),AZ27*$BI27),AZ27*$BI27),0)</f>
        <v>0</v>
      </c>
      <c r="DD27" s="311">
        <f>IF($BI27&lt;&gt;"",IF('Capacity summary'!$D$14="Yes",IF(COUNTBLANK('Capacity summary'!$H146:$BG146)&lt;52,IF('Capacity summary'!BA146&lt;&gt;"",IF(LOWER('Capacity summary'!BA146)="x",$BI27*BA27,VALUE('Capacity summary'!BA146)),0),BA27*$BI27),BA27*$BI27),0)</f>
        <v>0</v>
      </c>
      <c r="DE27" s="311">
        <f>IF($BI27&lt;&gt;"",IF('Capacity summary'!$D$14="Yes",IF(COUNTBLANK('Capacity summary'!$H146:$BG146)&lt;52,IF('Capacity summary'!BB146&lt;&gt;"",IF(LOWER('Capacity summary'!BB146)="x",$BI27*BB27,VALUE('Capacity summary'!BB146)),0),BB27*$BI27),BB27*$BI27),0)</f>
        <v>0</v>
      </c>
      <c r="DF27" s="311">
        <f>IF($BI27&lt;&gt;"",IF('Capacity summary'!$D$14="Yes",IF(COUNTBLANK('Capacity summary'!$H146:$BG146)&lt;52,IF('Capacity summary'!BC146&lt;&gt;"",IF(LOWER('Capacity summary'!BC146)="x",$BI27*BC27,VALUE('Capacity summary'!BC146)),0),BC27*$BI27),BC27*$BI27),0)</f>
        <v>0</v>
      </c>
      <c r="DG27" s="311">
        <f>IF($BI27&lt;&gt;"",IF('Capacity summary'!$D$14="Yes",IF(COUNTBLANK('Capacity summary'!$H146:$BG146)&lt;52,IF('Capacity summary'!BD146&lt;&gt;"",IF(LOWER('Capacity summary'!BD146)="x",$BI27*BD27,VALUE('Capacity summary'!BD146)),0),BD27*$BI27),BD27*$BI27),0)</f>
        <v>0</v>
      </c>
      <c r="DH27" s="311">
        <f>IF($BI27&lt;&gt;"",IF('Capacity summary'!$D$14="Yes",IF(COUNTBLANK('Capacity summary'!$H146:$BG146)&lt;52,IF('Capacity summary'!BE146&lt;&gt;"",IF(LOWER('Capacity summary'!BE146)="x",$BI27*BE27,VALUE('Capacity summary'!BE146)),0),BE27*$BI27),BE27*$BI27),0)</f>
        <v>0</v>
      </c>
      <c r="DI27" s="311">
        <f>IF($BI27&lt;&gt;"",IF('Capacity summary'!$D$14="Yes",IF(COUNTBLANK('Capacity summary'!$H146:$BG146)&lt;52,IF('Capacity summary'!BF146&lt;&gt;"",IF(LOWER('Capacity summary'!BF146)="x",$BI27*BF27,VALUE('Capacity summary'!BF146)),0),BF27*$BI27),BF27*$BI27),0)</f>
        <v>0</v>
      </c>
      <c r="DJ27" s="311">
        <f>IF($BI27&lt;&gt;"",IF('Capacity summary'!$D$14="Yes",IF(COUNTBLANK('Capacity summary'!$H146:$BG146)&lt;52,IF('Capacity summary'!BG146&lt;&gt;"",IF(LOWER('Capacity summary'!BG146)="x",$BI27*BG27,VALUE('Capacity summary'!BG146)),0),BG27*$BI27),BG27*$BI27),0)</f>
        <v>0</v>
      </c>
      <c r="DK27" s="391">
        <f t="shared" si="2"/>
        <v>0</v>
      </c>
      <c r="DL27" s="136">
        <f t="shared" si="3"/>
        <v>0</v>
      </c>
      <c r="DM27" s="311" t="str">
        <f>Capacity!H39</f>
        <v/>
      </c>
      <c r="DQ27" s="5"/>
    </row>
    <row r="28" spans="1:121" x14ac:dyDescent="0.2">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1">
        <f>IF($BI28&lt;&gt;"",IF('Capacity summary'!$D$14="Yes",IF(COUNTBLANK('Capacity summary'!$H147:$BG147)&lt;52,IF('Capacity summary'!H147&lt;&gt;"",IF(LOWER('Capacity summary'!H147)="x",$BI28*H28,VALUE('Capacity summary'!H147)),0),H28*$BI28),H28*$BI28),0)</f>
        <v>0</v>
      </c>
      <c r="BL28" s="311">
        <f>IF($BI28&lt;&gt;"",IF('Capacity summary'!$D$14="Yes",IF(COUNTBLANK('Capacity summary'!$H147:$BG147)&lt;52,IF('Capacity summary'!I147&lt;&gt;"",IF(LOWER('Capacity summary'!I147)="x",$BI28*I28,VALUE('Capacity summary'!I147)),0),I28*$BI28),I28*$BI28),0)</f>
        <v>0</v>
      </c>
      <c r="BM28" s="311">
        <f>IF($BI28&lt;&gt;"",IF('Capacity summary'!$D$14="Yes",IF(COUNTBLANK('Capacity summary'!$H147:$BG147)&lt;52,IF('Capacity summary'!J147&lt;&gt;"",IF(LOWER('Capacity summary'!J147)="x",$BI28*J28,VALUE('Capacity summary'!J147)),0),J28*$BI28),J28*$BI28),0)</f>
        <v>0</v>
      </c>
      <c r="BN28" s="311">
        <f>IF($BI28&lt;&gt;"",IF('Capacity summary'!$D$14="Yes",IF(COUNTBLANK('Capacity summary'!$H147:$BG147)&lt;52,IF('Capacity summary'!K147&lt;&gt;"",IF(LOWER('Capacity summary'!K147)="x",$BI28*K28,VALUE('Capacity summary'!K147)),0),K28*$BI28),K28*$BI28),0)</f>
        <v>0</v>
      </c>
      <c r="BO28" s="311">
        <f>IF($BI28&lt;&gt;"",IF('Capacity summary'!$D$14="Yes",IF(COUNTBLANK('Capacity summary'!$H147:$BG147)&lt;52,IF('Capacity summary'!L147&lt;&gt;"",IF(LOWER('Capacity summary'!L147)="x",$BI28*L28,VALUE('Capacity summary'!L147)),0),L28*$BI28),L28*$BI28),0)</f>
        <v>0</v>
      </c>
      <c r="BP28" s="311">
        <f>IF($BI28&lt;&gt;"",IF('Capacity summary'!$D$14="Yes",IF(COUNTBLANK('Capacity summary'!$H147:$BG147)&lt;52,IF('Capacity summary'!M147&lt;&gt;"",IF(LOWER('Capacity summary'!M147)="x",$BI28*M28,VALUE('Capacity summary'!M147)),0),M28*$BI28),M28*$BI28),0)</f>
        <v>0</v>
      </c>
      <c r="BQ28" s="311">
        <f>IF($BI28&lt;&gt;"",IF('Capacity summary'!$D$14="Yes",IF(COUNTBLANK('Capacity summary'!$H147:$BG147)&lt;52,IF('Capacity summary'!N147&lt;&gt;"",IF(LOWER('Capacity summary'!N147)="x",$BI28*N28,VALUE('Capacity summary'!N147)),0),N28*$BI28),N28*$BI28),0)</f>
        <v>0</v>
      </c>
      <c r="BR28" s="311">
        <f>IF($BI28&lt;&gt;"",IF('Capacity summary'!$D$14="Yes",IF(COUNTBLANK('Capacity summary'!$H147:$BG147)&lt;52,IF('Capacity summary'!O147&lt;&gt;"",IF(LOWER('Capacity summary'!O147)="x",$BI28*O28,VALUE('Capacity summary'!O147)),0),O28*$BI28),O28*$BI28),0)</f>
        <v>0</v>
      </c>
      <c r="BS28" s="311">
        <f>IF($BI28&lt;&gt;"",IF('Capacity summary'!$D$14="Yes",IF(COUNTBLANK('Capacity summary'!$H147:$BG147)&lt;52,IF('Capacity summary'!P147&lt;&gt;"",IF(LOWER('Capacity summary'!P147)="x",$BI28*P28,VALUE('Capacity summary'!P147)),0),P28*$BI28),P28*$BI28),0)</f>
        <v>0</v>
      </c>
      <c r="BT28" s="311">
        <f>IF($BI28&lt;&gt;"",IF('Capacity summary'!$D$14="Yes",IF(COUNTBLANK('Capacity summary'!$H147:$BG147)&lt;52,IF('Capacity summary'!Q147&lt;&gt;"",IF(LOWER('Capacity summary'!Q147)="x",$BI28*Q28,VALUE('Capacity summary'!Q147)),0),Q28*$BI28),Q28*$BI28),0)</f>
        <v>0</v>
      </c>
      <c r="BU28" s="311">
        <f>IF($BI28&lt;&gt;"",IF('Capacity summary'!$D$14="Yes",IF(COUNTBLANK('Capacity summary'!$H147:$BG147)&lt;52,IF('Capacity summary'!R147&lt;&gt;"",IF(LOWER('Capacity summary'!R147)="x",$BI28*R28,VALUE('Capacity summary'!R147)),0),R28*$BI28),R28*$BI28),0)</f>
        <v>0</v>
      </c>
      <c r="BV28" s="311">
        <f>IF($BI28&lt;&gt;"",IF('Capacity summary'!$D$14="Yes",IF(COUNTBLANK('Capacity summary'!$H147:$BG147)&lt;52,IF('Capacity summary'!S147&lt;&gt;"",IF(LOWER('Capacity summary'!S147)="x",$BI28*S28,VALUE('Capacity summary'!S147)),0),S28*$BI28),S28*$BI28),0)</f>
        <v>0</v>
      </c>
      <c r="BW28" s="311">
        <f>IF($BI28&lt;&gt;"",IF('Capacity summary'!$D$14="Yes",IF(COUNTBLANK('Capacity summary'!$H147:$BG147)&lt;52,IF('Capacity summary'!T147&lt;&gt;"",IF(LOWER('Capacity summary'!T147)="x",$BI28*T28,VALUE('Capacity summary'!T147)),0),T28*$BI28),T28*$BI28),0)</f>
        <v>0</v>
      </c>
      <c r="BX28" s="311">
        <f>IF($BI28&lt;&gt;"",IF('Capacity summary'!$D$14="Yes",IF(COUNTBLANK('Capacity summary'!$H147:$BG147)&lt;52,IF('Capacity summary'!U147&lt;&gt;"",IF(LOWER('Capacity summary'!U147)="x",$BI28*U28,VALUE('Capacity summary'!U147)),0),U28*$BI28),U28*$BI28),0)</f>
        <v>0</v>
      </c>
      <c r="BY28" s="311">
        <f>IF($BI28&lt;&gt;"",IF('Capacity summary'!$D$14="Yes",IF(COUNTBLANK('Capacity summary'!$H147:$BG147)&lt;52,IF('Capacity summary'!V147&lt;&gt;"",IF(LOWER('Capacity summary'!V147)="x",$BI28*V28,VALUE('Capacity summary'!V147)),0),V28*$BI28),V28*$BI28),0)</f>
        <v>0</v>
      </c>
      <c r="BZ28" s="311">
        <f>IF($BI28&lt;&gt;"",IF('Capacity summary'!$D$14="Yes",IF(COUNTBLANK('Capacity summary'!$H147:$BG147)&lt;52,IF('Capacity summary'!W147&lt;&gt;"",IF(LOWER('Capacity summary'!W147)="x",$BI28*W28,VALUE('Capacity summary'!W147)),0),W28*$BI28),W28*$BI28),0)</f>
        <v>0</v>
      </c>
      <c r="CA28" s="311">
        <f>IF($BI28&lt;&gt;"",IF('Capacity summary'!$D$14="Yes",IF(COUNTBLANK('Capacity summary'!$H147:$BG147)&lt;52,IF('Capacity summary'!X147&lt;&gt;"",IF(LOWER('Capacity summary'!X147)="x",$BI28*X28,VALUE('Capacity summary'!X147)),0),X28*$BI28),X28*$BI28),0)</f>
        <v>0</v>
      </c>
      <c r="CB28" s="311">
        <f>IF($BI28&lt;&gt;"",IF('Capacity summary'!$D$14="Yes",IF(COUNTBLANK('Capacity summary'!$H147:$BG147)&lt;52,IF('Capacity summary'!Y147&lt;&gt;"",IF(LOWER('Capacity summary'!Y147)="x",$BI28*Y28,VALUE('Capacity summary'!Y147)),0),Y28*$BI28),Y28*$BI28),0)</f>
        <v>0</v>
      </c>
      <c r="CC28" s="311">
        <f>IF($BI28&lt;&gt;"",IF('Capacity summary'!$D$14="Yes",IF(COUNTBLANK('Capacity summary'!$H147:$BG147)&lt;52,IF('Capacity summary'!Z147&lt;&gt;"",IF(LOWER('Capacity summary'!Z147)="x",$BI28*Z28,VALUE('Capacity summary'!Z147)),0),Z28*$BI28),Z28*$BI28),0)</f>
        <v>0</v>
      </c>
      <c r="CD28" s="311">
        <f>IF($BI28&lt;&gt;"",IF('Capacity summary'!$D$14="Yes",IF(COUNTBLANK('Capacity summary'!$H147:$BG147)&lt;52,IF('Capacity summary'!AA147&lt;&gt;"",IF(LOWER('Capacity summary'!AA147)="x",$BI28*AA28,VALUE('Capacity summary'!AA147)),0),AA28*$BI28),AA28*$BI28),0)</f>
        <v>0</v>
      </c>
      <c r="CE28" s="311">
        <f>IF($BI28&lt;&gt;"",IF('Capacity summary'!$D$14="Yes",IF(COUNTBLANK('Capacity summary'!$H147:$BG147)&lt;52,IF('Capacity summary'!AB147&lt;&gt;"",IF(LOWER('Capacity summary'!AB147)="x",$BI28*AB28,VALUE('Capacity summary'!AB147)),0),AB28*$BI28),AB28*$BI28),0)</f>
        <v>0</v>
      </c>
      <c r="CF28" s="311">
        <f>IF($BI28&lt;&gt;"",IF('Capacity summary'!$D$14="Yes",IF(COUNTBLANK('Capacity summary'!$H147:$BG147)&lt;52,IF('Capacity summary'!AC147&lt;&gt;"",IF(LOWER('Capacity summary'!AC147)="x",$BI28*AC28,VALUE('Capacity summary'!AC147)),0),AC28*$BI28),AC28*$BI28),0)</f>
        <v>0</v>
      </c>
      <c r="CG28" s="311">
        <f>IF($BI28&lt;&gt;"",IF('Capacity summary'!$D$14="Yes",IF(COUNTBLANK('Capacity summary'!$H147:$BG147)&lt;52,IF('Capacity summary'!AD147&lt;&gt;"",IF(LOWER('Capacity summary'!AD147)="x",$BI28*AD28,VALUE('Capacity summary'!AD147)),0),AD28*$BI28),AD28*$BI28),0)</f>
        <v>0</v>
      </c>
      <c r="CH28" s="311">
        <f>IF($BI28&lt;&gt;"",IF('Capacity summary'!$D$14="Yes",IF(COUNTBLANK('Capacity summary'!$H147:$BG147)&lt;52,IF('Capacity summary'!AE147&lt;&gt;"",IF(LOWER('Capacity summary'!AE147)="x",$BI28*AE28,VALUE('Capacity summary'!AE147)),0),AE28*$BI28),AE28*$BI28),0)</f>
        <v>0</v>
      </c>
      <c r="CI28" s="311">
        <f>IF($BI28&lt;&gt;"",IF('Capacity summary'!$D$14="Yes",IF(COUNTBLANK('Capacity summary'!$H147:$BG147)&lt;52,IF('Capacity summary'!AF147&lt;&gt;"",IF(LOWER('Capacity summary'!AF147)="x",$BI28*AF28,VALUE('Capacity summary'!AF147)),0),AF28*$BI28),AF28*$BI28),0)</f>
        <v>0</v>
      </c>
      <c r="CJ28" s="311">
        <f>IF($BI28&lt;&gt;"",IF('Capacity summary'!$D$14="Yes",IF(COUNTBLANK('Capacity summary'!$H147:$BG147)&lt;52,IF('Capacity summary'!AG147&lt;&gt;"",IF(LOWER('Capacity summary'!AG147)="x",$BI28*AG28,VALUE('Capacity summary'!AG147)),0),AG28*$BI28),AG28*$BI28),0)</f>
        <v>0</v>
      </c>
      <c r="CK28" s="311">
        <f>IF($BI28&lt;&gt;"",IF('Capacity summary'!$D$14="Yes",IF(COUNTBLANK('Capacity summary'!$H147:$BG147)&lt;52,IF('Capacity summary'!AH147&lt;&gt;"",IF(LOWER('Capacity summary'!AH147)="x",$BI28*AH28,VALUE('Capacity summary'!AH147)),0),AH28*$BI28),AH28*$BI28),0)</f>
        <v>0</v>
      </c>
      <c r="CL28" s="311">
        <f>IF($BI28&lt;&gt;"",IF('Capacity summary'!$D$14="Yes",IF(COUNTBLANK('Capacity summary'!$H147:$BG147)&lt;52,IF('Capacity summary'!AI147&lt;&gt;"",IF(LOWER('Capacity summary'!AI147)="x",$BI28*AI28,VALUE('Capacity summary'!AI147)),0),AI28*$BI28),AI28*$BI28),0)</f>
        <v>0</v>
      </c>
      <c r="CM28" s="311">
        <f>IF($BI28&lt;&gt;"",IF('Capacity summary'!$D$14="Yes",IF(COUNTBLANK('Capacity summary'!$H147:$BG147)&lt;52,IF('Capacity summary'!AJ147&lt;&gt;"",IF(LOWER('Capacity summary'!AJ147)="x",$BI28*AJ28,VALUE('Capacity summary'!AJ147)),0),AJ28*$BI28),AJ28*$BI28),0)</f>
        <v>0</v>
      </c>
      <c r="CN28" s="311">
        <f>IF($BI28&lt;&gt;"",IF('Capacity summary'!$D$14="Yes",IF(COUNTBLANK('Capacity summary'!$H147:$BG147)&lt;52,IF('Capacity summary'!AK147&lt;&gt;"",IF(LOWER('Capacity summary'!AK147)="x",$BI28*AK28,VALUE('Capacity summary'!AK147)),0),AK28*$BI28),AK28*$BI28),0)</f>
        <v>0</v>
      </c>
      <c r="CO28" s="311">
        <f>IF($BI28&lt;&gt;"",IF('Capacity summary'!$D$14="Yes",IF(COUNTBLANK('Capacity summary'!$H147:$BG147)&lt;52,IF('Capacity summary'!AL147&lt;&gt;"",IF(LOWER('Capacity summary'!AL147)="x",$BI28*AL28,VALUE('Capacity summary'!AL147)),0),AL28*$BI28),AL28*$BI28),0)</f>
        <v>0</v>
      </c>
      <c r="CP28" s="311">
        <f>IF($BI28&lt;&gt;"",IF('Capacity summary'!$D$14="Yes",IF(COUNTBLANK('Capacity summary'!$H147:$BG147)&lt;52,IF('Capacity summary'!AM147&lt;&gt;"",IF(LOWER('Capacity summary'!AM147)="x",$BI28*AM28,VALUE('Capacity summary'!AM147)),0),AM28*$BI28),AM28*$BI28),0)</f>
        <v>0</v>
      </c>
      <c r="CQ28" s="311">
        <f>IF($BI28&lt;&gt;"",IF('Capacity summary'!$D$14="Yes",IF(COUNTBLANK('Capacity summary'!$H147:$BG147)&lt;52,IF('Capacity summary'!AN147&lt;&gt;"",IF(LOWER('Capacity summary'!AN147)="x",$BI28*AN28,VALUE('Capacity summary'!AN147)),0),AN28*$BI28),AN28*$BI28),0)</f>
        <v>0</v>
      </c>
      <c r="CR28" s="311">
        <f>IF($BI28&lt;&gt;"",IF('Capacity summary'!$D$14="Yes",IF(COUNTBLANK('Capacity summary'!$H147:$BG147)&lt;52,IF('Capacity summary'!AO147&lt;&gt;"",IF(LOWER('Capacity summary'!AO147)="x",$BI28*AO28,VALUE('Capacity summary'!AO147)),0),AO28*$BI28),AO28*$BI28),0)</f>
        <v>0</v>
      </c>
      <c r="CS28" s="311">
        <f>IF($BI28&lt;&gt;"",IF('Capacity summary'!$D$14="Yes",IF(COUNTBLANK('Capacity summary'!$H147:$BG147)&lt;52,IF('Capacity summary'!AP147&lt;&gt;"",IF(LOWER('Capacity summary'!AP147)="x",$BI28*AP28,VALUE('Capacity summary'!AP147)),0),AP28*$BI28),AP28*$BI28),0)</f>
        <v>0</v>
      </c>
      <c r="CT28" s="311">
        <f>IF($BI28&lt;&gt;"",IF('Capacity summary'!$D$14="Yes",IF(COUNTBLANK('Capacity summary'!$H147:$BG147)&lt;52,IF('Capacity summary'!AQ147&lt;&gt;"",IF(LOWER('Capacity summary'!AQ147)="x",$BI28*AQ28,VALUE('Capacity summary'!AQ147)),0),AQ28*$BI28),AQ28*$BI28),0)</f>
        <v>0</v>
      </c>
      <c r="CU28" s="311">
        <f>IF($BI28&lt;&gt;"",IF('Capacity summary'!$D$14="Yes",IF(COUNTBLANK('Capacity summary'!$H147:$BG147)&lt;52,IF('Capacity summary'!AR147&lt;&gt;"",IF(LOWER('Capacity summary'!AR147)="x",$BI28*AR28,VALUE('Capacity summary'!AR147)),0),AR28*$BI28),AR28*$BI28),0)</f>
        <v>0</v>
      </c>
      <c r="CV28" s="311">
        <f>IF($BI28&lt;&gt;"",IF('Capacity summary'!$D$14="Yes",IF(COUNTBLANK('Capacity summary'!$H147:$BG147)&lt;52,IF('Capacity summary'!AS147&lt;&gt;"",IF(LOWER('Capacity summary'!AS147)="x",$BI28*AS28,VALUE('Capacity summary'!AS147)),0),AS28*$BI28),AS28*$BI28),0)</f>
        <v>0</v>
      </c>
      <c r="CW28" s="311">
        <f>IF($BI28&lt;&gt;"",IF('Capacity summary'!$D$14="Yes",IF(COUNTBLANK('Capacity summary'!$H147:$BG147)&lt;52,IF('Capacity summary'!AT147&lt;&gt;"",IF(LOWER('Capacity summary'!AT147)="x",$BI28*AT28,VALUE('Capacity summary'!AT147)),0),AT28*$BI28),AT28*$BI28),0)</f>
        <v>0</v>
      </c>
      <c r="CX28" s="311">
        <f>IF($BI28&lt;&gt;"",IF('Capacity summary'!$D$14="Yes",IF(COUNTBLANK('Capacity summary'!$H147:$BG147)&lt;52,IF('Capacity summary'!AU147&lt;&gt;"",IF(LOWER('Capacity summary'!AU147)="x",$BI28*AU28,VALUE('Capacity summary'!AU147)),0),AU28*$BI28),AU28*$BI28),0)</f>
        <v>0</v>
      </c>
      <c r="CY28" s="311">
        <f>IF($BI28&lt;&gt;"",IF('Capacity summary'!$D$14="Yes",IF(COUNTBLANK('Capacity summary'!$H147:$BG147)&lt;52,IF('Capacity summary'!AV147&lt;&gt;"",IF(LOWER('Capacity summary'!AV147)="x",$BI28*AV28,VALUE('Capacity summary'!AV147)),0),AV28*$BI28),AV28*$BI28),0)</f>
        <v>0</v>
      </c>
      <c r="CZ28" s="311">
        <f>IF($BI28&lt;&gt;"",IF('Capacity summary'!$D$14="Yes",IF(COUNTBLANK('Capacity summary'!$H147:$BG147)&lt;52,IF('Capacity summary'!AW147&lt;&gt;"",IF(LOWER('Capacity summary'!AW147)="x",$BI28*AW28,VALUE('Capacity summary'!AW147)),0),AW28*$BI28),AW28*$BI28),0)</f>
        <v>0</v>
      </c>
      <c r="DA28" s="311">
        <f>IF($BI28&lt;&gt;"",IF('Capacity summary'!$D$14="Yes",IF(COUNTBLANK('Capacity summary'!$H147:$BG147)&lt;52,IF('Capacity summary'!AX147&lt;&gt;"",IF(LOWER('Capacity summary'!AX147)="x",$BI28*AX28,VALUE('Capacity summary'!AX147)),0),AX28*$BI28),AX28*$BI28),0)</f>
        <v>0</v>
      </c>
      <c r="DB28" s="311">
        <f>IF($BI28&lt;&gt;"",IF('Capacity summary'!$D$14="Yes",IF(COUNTBLANK('Capacity summary'!$H147:$BG147)&lt;52,IF('Capacity summary'!AY147&lt;&gt;"",IF(LOWER('Capacity summary'!AY147)="x",$BI28*AY28,VALUE('Capacity summary'!AY147)),0),AY28*$BI28),AY28*$BI28),0)</f>
        <v>0</v>
      </c>
      <c r="DC28" s="311">
        <f>IF($BI28&lt;&gt;"",IF('Capacity summary'!$D$14="Yes",IF(COUNTBLANK('Capacity summary'!$H147:$BG147)&lt;52,IF('Capacity summary'!AZ147&lt;&gt;"",IF(LOWER('Capacity summary'!AZ147)="x",$BI28*AZ28,VALUE('Capacity summary'!AZ147)),0),AZ28*$BI28),AZ28*$BI28),0)</f>
        <v>0</v>
      </c>
      <c r="DD28" s="311">
        <f>IF($BI28&lt;&gt;"",IF('Capacity summary'!$D$14="Yes",IF(COUNTBLANK('Capacity summary'!$H147:$BG147)&lt;52,IF('Capacity summary'!BA147&lt;&gt;"",IF(LOWER('Capacity summary'!BA147)="x",$BI28*BA28,VALUE('Capacity summary'!BA147)),0),BA28*$BI28),BA28*$BI28),0)</f>
        <v>0</v>
      </c>
      <c r="DE28" s="311">
        <f>IF($BI28&lt;&gt;"",IF('Capacity summary'!$D$14="Yes",IF(COUNTBLANK('Capacity summary'!$H147:$BG147)&lt;52,IF('Capacity summary'!BB147&lt;&gt;"",IF(LOWER('Capacity summary'!BB147)="x",$BI28*BB28,VALUE('Capacity summary'!BB147)),0),BB28*$BI28),BB28*$BI28),0)</f>
        <v>0</v>
      </c>
      <c r="DF28" s="311">
        <f>IF($BI28&lt;&gt;"",IF('Capacity summary'!$D$14="Yes",IF(COUNTBLANK('Capacity summary'!$H147:$BG147)&lt;52,IF('Capacity summary'!BC147&lt;&gt;"",IF(LOWER('Capacity summary'!BC147)="x",$BI28*BC28,VALUE('Capacity summary'!BC147)),0),BC28*$BI28),BC28*$BI28),0)</f>
        <v>0</v>
      </c>
      <c r="DG28" s="311">
        <f>IF($BI28&lt;&gt;"",IF('Capacity summary'!$D$14="Yes",IF(COUNTBLANK('Capacity summary'!$H147:$BG147)&lt;52,IF('Capacity summary'!BD147&lt;&gt;"",IF(LOWER('Capacity summary'!BD147)="x",$BI28*BD28,VALUE('Capacity summary'!BD147)),0),BD28*$BI28),BD28*$BI28),0)</f>
        <v>0</v>
      </c>
      <c r="DH28" s="311">
        <f>IF($BI28&lt;&gt;"",IF('Capacity summary'!$D$14="Yes",IF(COUNTBLANK('Capacity summary'!$H147:$BG147)&lt;52,IF('Capacity summary'!BE147&lt;&gt;"",IF(LOWER('Capacity summary'!BE147)="x",$BI28*BE28,VALUE('Capacity summary'!BE147)),0),BE28*$BI28),BE28*$BI28),0)</f>
        <v>0</v>
      </c>
      <c r="DI28" s="311">
        <f>IF($BI28&lt;&gt;"",IF('Capacity summary'!$D$14="Yes",IF(COUNTBLANK('Capacity summary'!$H147:$BG147)&lt;52,IF('Capacity summary'!BF147&lt;&gt;"",IF(LOWER('Capacity summary'!BF147)="x",$BI28*BF28,VALUE('Capacity summary'!BF147)),0),BF28*$BI28),BF28*$BI28),0)</f>
        <v>0</v>
      </c>
      <c r="DJ28" s="311">
        <f>IF($BI28&lt;&gt;"",IF('Capacity summary'!$D$14="Yes",IF(COUNTBLANK('Capacity summary'!$H147:$BG147)&lt;52,IF('Capacity summary'!BG147&lt;&gt;"",IF(LOWER('Capacity summary'!BG147)="x",$BI28*BG28,VALUE('Capacity summary'!BG147)),0),BG28*$BI28),BG28*$BI28),0)</f>
        <v>0</v>
      </c>
      <c r="DK28" s="391">
        <f t="shared" si="2"/>
        <v>0</v>
      </c>
      <c r="DL28" s="136">
        <f t="shared" si="3"/>
        <v>0</v>
      </c>
      <c r="DM28" s="311" t="str">
        <f>Capacity!H40</f>
        <v/>
      </c>
      <c r="DQ28" s="5"/>
    </row>
    <row r="29" spans="1:121" x14ac:dyDescent="0.2">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1">
        <f>IF($BI29&lt;&gt;"",IF('Capacity summary'!$D$14="Yes",IF(COUNTBLANK('Capacity summary'!$H148:$BG148)&lt;52,IF('Capacity summary'!H148&lt;&gt;"",IF(LOWER('Capacity summary'!H148)="x",$BI29*H29,VALUE('Capacity summary'!H148)),0),H29*$BI29),H29*$BI29),0)</f>
        <v>0</v>
      </c>
      <c r="BL29" s="311">
        <f>IF($BI29&lt;&gt;"",IF('Capacity summary'!$D$14="Yes",IF(COUNTBLANK('Capacity summary'!$H148:$BG148)&lt;52,IF('Capacity summary'!I148&lt;&gt;"",IF(LOWER('Capacity summary'!I148)="x",$BI29*I29,VALUE('Capacity summary'!I148)),0),I29*$BI29),I29*$BI29),0)</f>
        <v>0</v>
      </c>
      <c r="BM29" s="311">
        <f>IF($BI29&lt;&gt;"",IF('Capacity summary'!$D$14="Yes",IF(COUNTBLANK('Capacity summary'!$H148:$BG148)&lt;52,IF('Capacity summary'!J148&lt;&gt;"",IF(LOWER('Capacity summary'!J148)="x",$BI29*J29,VALUE('Capacity summary'!J148)),0),J29*$BI29),J29*$BI29),0)</f>
        <v>0</v>
      </c>
      <c r="BN29" s="311">
        <f>IF($BI29&lt;&gt;"",IF('Capacity summary'!$D$14="Yes",IF(COUNTBLANK('Capacity summary'!$H148:$BG148)&lt;52,IF('Capacity summary'!K148&lt;&gt;"",IF(LOWER('Capacity summary'!K148)="x",$BI29*K29,VALUE('Capacity summary'!K148)),0),K29*$BI29),K29*$BI29),0)</f>
        <v>0</v>
      </c>
      <c r="BO29" s="311">
        <f>IF($BI29&lt;&gt;"",IF('Capacity summary'!$D$14="Yes",IF(COUNTBLANK('Capacity summary'!$H148:$BG148)&lt;52,IF('Capacity summary'!L148&lt;&gt;"",IF(LOWER('Capacity summary'!L148)="x",$BI29*L29,VALUE('Capacity summary'!L148)),0),L29*$BI29),L29*$BI29),0)</f>
        <v>0</v>
      </c>
      <c r="BP29" s="311">
        <f>IF($BI29&lt;&gt;"",IF('Capacity summary'!$D$14="Yes",IF(COUNTBLANK('Capacity summary'!$H148:$BG148)&lt;52,IF('Capacity summary'!M148&lt;&gt;"",IF(LOWER('Capacity summary'!M148)="x",$BI29*M29,VALUE('Capacity summary'!M148)),0),M29*$BI29),M29*$BI29),0)</f>
        <v>0</v>
      </c>
      <c r="BQ29" s="311">
        <f>IF($BI29&lt;&gt;"",IF('Capacity summary'!$D$14="Yes",IF(COUNTBLANK('Capacity summary'!$H148:$BG148)&lt;52,IF('Capacity summary'!N148&lt;&gt;"",IF(LOWER('Capacity summary'!N148)="x",$BI29*N29,VALUE('Capacity summary'!N148)),0),N29*$BI29),N29*$BI29),0)</f>
        <v>0</v>
      </c>
      <c r="BR29" s="311">
        <f>IF($BI29&lt;&gt;"",IF('Capacity summary'!$D$14="Yes",IF(COUNTBLANK('Capacity summary'!$H148:$BG148)&lt;52,IF('Capacity summary'!O148&lt;&gt;"",IF(LOWER('Capacity summary'!O148)="x",$BI29*O29,VALUE('Capacity summary'!O148)),0),O29*$BI29),O29*$BI29),0)</f>
        <v>0</v>
      </c>
      <c r="BS29" s="311">
        <f>IF($BI29&lt;&gt;"",IF('Capacity summary'!$D$14="Yes",IF(COUNTBLANK('Capacity summary'!$H148:$BG148)&lt;52,IF('Capacity summary'!P148&lt;&gt;"",IF(LOWER('Capacity summary'!P148)="x",$BI29*P29,VALUE('Capacity summary'!P148)),0),P29*$BI29),P29*$BI29),0)</f>
        <v>0</v>
      </c>
      <c r="BT29" s="311">
        <f>IF($BI29&lt;&gt;"",IF('Capacity summary'!$D$14="Yes",IF(COUNTBLANK('Capacity summary'!$H148:$BG148)&lt;52,IF('Capacity summary'!Q148&lt;&gt;"",IF(LOWER('Capacity summary'!Q148)="x",$BI29*Q29,VALUE('Capacity summary'!Q148)),0),Q29*$BI29),Q29*$BI29),0)</f>
        <v>0</v>
      </c>
      <c r="BU29" s="311">
        <f>IF($BI29&lt;&gt;"",IF('Capacity summary'!$D$14="Yes",IF(COUNTBLANK('Capacity summary'!$H148:$BG148)&lt;52,IF('Capacity summary'!R148&lt;&gt;"",IF(LOWER('Capacity summary'!R148)="x",$BI29*R29,VALUE('Capacity summary'!R148)),0),R29*$BI29),R29*$BI29),0)</f>
        <v>0</v>
      </c>
      <c r="BV29" s="311">
        <f>IF($BI29&lt;&gt;"",IF('Capacity summary'!$D$14="Yes",IF(COUNTBLANK('Capacity summary'!$H148:$BG148)&lt;52,IF('Capacity summary'!S148&lt;&gt;"",IF(LOWER('Capacity summary'!S148)="x",$BI29*S29,VALUE('Capacity summary'!S148)),0),S29*$BI29),S29*$BI29),0)</f>
        <v>0</v>
      </c>
      <c r="BW29" s="311">
        <f>IF($BI29&lt;&gt;"",IF('Capacity summary'!$D$14="Yes",IF(COUNTBLANK('Capacity summary'!$H148:$BG148)&lt;52,IF('Capacity summary'!T148&lt;&gt;"",IF(LOWER('Capacity summary'!T148)="x",$BI29*T29,VALUE('Capacity summary'!T148)),0),T29*$BI29),T29*$BI29),0)</f>
        <v>0</v>
      </c>
      <c r="BX29" s="311">
        <f>IF($BI29&lt;&gt;"",IF('Capacity summary'!$D$14="Yes",IF(COUNTBLANK('Capacity summary'!$H148:$BG148)&lt;52,IF('Capacity summary'!U148&lt;&gt;"",IF(LOWER('Capacity summary'!U148)="x",$BI29*U29,VALUE('Capacity summary'!U148)),0),U29*$BI29),U29*$BI29),0)</f>
        <v>0</v>
      </c>
      <c r="BY29" s="311">
        <f>IF($BI29&lt;&gt;"",IF('Capacity summary'!$D$14="Yes",IF(COUNTBLANK('Capacity summary'!$H148:$BG148)&lt;52,IF('Capacity summary'!V148&lt;&gt;"",IF(LOWER('Capacity summary'!V148)="x",$BI29*V29,VALUE('Capacity summary'!V148)),0),V29*$BI29),V29*$BI29),0)</f>
        <v>0</v>
      </c>
      <c r="BZ29" s="311">
        <f>IF($BI29&lt;&gt;"",IF('Capacity summary'!$D$14="Yes",IF(COUNTBLANK('Capacity summary'!$H148:$BG148)&lt;52,IF('Capacity summary'!W148&lt;&gt;"",IF(LOWER('Capacity summary'!W148)="x",$BI29*W29,VALUE('Capacity summary'!W148)),0),W29*$BI29),W29*$BI29),0)</f>
        <v>0</v>
      </c>
      <c r="CA29" s="311">
        <f>IF($BI29&lt;&gt;"",IF('Capacity summary'!$D$14="Yes",IF(COUNTBLANK('Capacity summary'!$H148:$BG148)&lt;52,IF('Capacity summary'!X148&lt;&gt;"",IF(LOWER('Capacity summary'!X148)="x",$BI29*X29,VALUE('Capacity summary'!X148)),0),X29*$BI29),X29*$BI29),0)</f>
        <v>0</v>
      </c>
      <c r="CB29" s="311">
        <f>IF($BI29&lt;&gt;"",IF('Capacity summary'!$D$14="Yes",IF(COUNTBLANK('Capacity summary'!$H148:$BG148)&lt;52,IF('Capacity summary'!Y148&lt;&gt;"",IF(LOWER('Capacity summary'!Y148)="x",$BI29*Y29,VALUE('Capacity summary'!Y148)),0),Y29*$BI29),Y29*$BI29),0)</f>
        <v>0</v>
      </c>
      <c r="CC29" s="311">
        <f>IF($BI29&lt;&gt;"",IF('Capacity summary'!$D$14="Yes",IF(COUNTBLANK('Capacity summary'!$H148:$BG148)&lt;52,IF('Capacity summary'!Z148&lt;&gt;"",IF(LOWER('Capacity summary'!Z148)="x",$BI29*Z29,VALUE('Capacity summary'!Z148)),0),Z29*$BI29),Z29*$BI29),0)</f>
        <v>0</v>
      </c>
      <c r="CD29" s="311">
        <f>IF($BI29&lt;&gt;"",IF('Capacity summary'!$D$14="Yes",IF(COUNTBLANK('Capacity summary'!$H148:$BG148)&lt;52,IF('Capacity summary'!AA148&lt;&gt;"",IF(LOWER('Capacity summary'!AA148)="x",$BI29*AA29,VALUE('Capacity summary'!AA148)),0),AA29*$BI29),AA29*$BI29),0)</f>
        <v>0</v>
      </c>
      <c r="CE29" s="311">
        <f>IF($BI29&lt;&gt;"",IF('Capacity summary'!$D$14="Yes",IF(COUNTBLANK('Capacity summary'!$H148:$BG148)&lt;52,IF('Capacity summary'!AB148&lt;&gt;"",IF(LOWER('Capacity summary'!AB148)="x",$BI29*AB29,VALUE('Capacity summary'!AB148)),0),AB29*$BI29),AB29*$BI29),0)</f>
        <v>0</v>
      </c>
      <c r="CF29" s="311">
        <f>IF($BI29&lt;&gt;"",IF('Capacity summary'!$D$14="Yes",IF(COUNTBLANK('Capacity summary'!$H148:$BG148)&lt;52,IF('Capacity summary'!AC148&lt;&gt;"",IF(LOWER('Capacity summary'!AC148)="x",$BI29*AC29,VALUE('Capacity summary'!AC148)),0),AC29*$BI29),AC29*$BI29),0)</f>
        <v>0</v>
      </c>
      <c r="CG29" s="311">
        <f>IF($BI29&lt;&gt;"",IF('Capacity summary'!$D$14="Yes",IF(COUNTBLANK('Capacity summary'!$H148:$BG148)&lt;52,IF('Capacity summary'!AD148&lt;&gt;"",IF(LOWER('Capacity summary'!AD148)="x",$BI29*AD29,VALUE('Capacity summary'!AD148)),0),AD29*$BI29),AD29*$BI29),0)</f>
        <v>0</v>
      </c>
      <c r="CH29" s="311">
        <f>IF($BI29&lt;&gt;"",IF('Capacity summary'!$D$14="Yes",IF(COUNTBLANK('Capacity summary'!$H148:$BG148)&lt;52,IF('Capacity summary'!AE148&lt;&gt;"",IF(LOWER('Capacity summary'!AE148)="x",$BI29*AE29,VALUE('Capacity summary'!AE148)),0),AE29*$BI29),AE29*$BI29),0)</f>
        <v>0</v>
      </c>
      <c r="CI29" s="311">
        <f>IF($BI29&lt;&gt;"",IF('Capacity summary'!$D$14="Yes",IF(COUNTBLANK('Capacity summary'!$H148:$BG148)&lt;52,IF('Capacity summary'!AF148&lt;&gt;"",IF(LOWER('Capacity summary'!AF148)="x",$BI29*AF29,VALUE('Capacity summary'!AF148)),0),AF29*$BI29),AF29*$BI29),0)</f>
        <v>0</v>
      </c>
      <c r="CJ29" s="311">
        <f>IF($BI29&lt;&gt;"",IF('Capacity summary'!$D$14="Yes",IF(COUNTBLANK('Capacity summary'!$H148:$BG148)&lt;52,IF('Capacity summary'!AG148&lt;&gt;"",IF(LOWER('Capacity summary'!AG148)="x",$BI29*AG29,VALUE('Capacity summary'!AG148)),0),AG29*$BI29),AG29*$BI29),0)</f>
        <v>0</v>
      </c>
      <c r="CK29" s="311">
        <f>IF($BI29&lt;&gt;"",IF('Capacity summary'!$D$14="Yes",IF(COUNTBLANK('Capacity summary'!$H148:$BG148)&lt;52,IF('Capacity summary'!AH148&lt;&gt;"",IF(LOWER('Capacity summary'!AH148)="x",$BI29*AH29,VALUE('Capacity summary'!AH148)),0),AH29*$BI29),AH29*$BI29),0)</f>
        <v>0</v>
      </c>
      <c r="CL29" s="311">
        <f>IF($BI29&lt;&gt;"",IF('Capacity summary'!$D$14="Yes",IF(COUNTBLANK('Capacity summary'!$H148:$BG148)&lt;52,IF('Capacity summary'!AI148&lt;&gt;"",IF(LOWER('Capacity summary'!AI148)="x",$BI29*AI29,VALUE('Capacity summary'!AI148)),0),AI29*$BI29),AI29*$BI29),0)</f>
        <v>0</v>
      </c>
      <c r="CM29" s="311">
        <f>IF($BI29&lt;&gt;"",IF('Capacity summary'!$D$14="Yes",IF(COUNTBLANK('Capacity summary'!$H148:$BG148)&lt;52,IF('Capacity summary'!AJ148&lt;&gt;"",IF(LOWER('Capacity summary'!AJ148)="x",$BI29*AJ29,VALUE('Capacity summary'!AJ148)),0),AJ29*$BI29),AJ29*$BI29),0)</f>
        <v>0</v>
      </c>
      <c r="CN29" s="311">
        <f>IF($BI29&lt;&gt;"",IF('Capacity summary'!$D$14="Yes",IF(COUNTBLANK('Capacity summary'!$H148:$BG148)&lt;52,IF('Capacity summary'!AK148&lt;&gt;"",IF(LOWER('Capacity summary'!AK148)="x",$BI29*AK29,VALUE('Capacity summary'!AK148)),0),AK29*$BI29),AK29*$BI29),0)</f>
        <v>0</v>
      </c>
      <c r="CO29" s="311">
        <f>IF($BI29&lt;&gt;"",IF('Capacity summary'!$D$14="Yes",IF(COUNTBLANK('Capacity summary'!$H148:$BG148)&lt;52,IF('Capacity summary'!AL148&lt;&gt;"",IF(LOWER('Capacity summary'!AL148)="x",$BI29*AL29,VALUE('Capacity summary'!AL148)),0),AL29*$BI29),AL29*$BI29),0)</f>
        <v>0</v>
      </c>
      <c r="CP29" s="311">
        <f>IF($BI29&lt;&gt;"",IF('Capacity summary'!$D$14="Yes",IF(COUNTBLANK('Capacity summary'!$H148:$BG148)&lt;52,IF('Capacity summary'!AM148&lt;&gt;"",IF(LOWER('Capacity summary'!AM148)="x",$BI29*AM29,VALUE('Capacity summary'!AM148)),0),AM29*$BI29),AM29*$BI29),0)</f>
        <v>0</v>
      </c>
      <c r="CQ29" s="311">
        <f>IF($BI29&lt;&gt;"",IF('Capacity summary'!$D$14="Yes",IF(COUNTBLANK('Capacity summary'!$H148:$BG148)&lt;52,IF('Capacity summary'!AN148&lt;&gt;"",IF(LOWER('Capacity summary'!AN148)="x",$BI29*AN29,VALUE('Capacity summary'!AN148)),0),AN29*$BI29),AN29*$BI29),0)</f>
        <v>0</v>
      </c>
      <c r="CR29" s="311">
        <f>IF($BI29&lt;&gt;"",IF('Capacity summary'!$D$14="Yes",IF(COUNTBLANK('Capacity summary'!$H148:$BG148)&lt;52,IF('Capacity summary'!AO148&lt;&gt;"",IF(LOWER('Capacity summary'!AO148)="x",$BI29*AO29,VALUE('Capacity summary'!AO148)),0),AO29*$BI29),AO29*$BI29),0)</f>
        <v>0</v>
      </c>
      <c r="CS29" s="311">
        <f>IF($BI29&lt;&gt;"",IF('Capacity summary'!$D$14="Yes",IF(COUNTBLANK('Capacity summary'!$H148:$BG148)&lt;52,IF('Capacity summary'!AP148&lt;&gt;"",IF(LOWER('Capacity summary'!AP148)="x",$BI29*AP29,VALUE('Capacity summary'!AP148)),0),AP29*$BI29),AP29*$BI29),0)</f>
        <v>0</v>
      </c>
      <c r="CT29" s="311">
        <f>IF($BI29&lt;&gt;"",IF('Capacity summary'!$D$14="Yes",IF(COUNTBLANK('Capacity summary'!$H148:$BG148)&lt;52,IF('Capacity summary'!AQ148&lt;&gt;"",IF(LOWER('Capacity summary'!AQ148)="x",$BI29*AQ29,VALUE('Capacity summary'!AQ148)),0),AQ29*$BI29),AQ29*$BI29),0)</f>
        <v>0</v>
      </c>
      <c r="CU29" s="311">
        <f>IF($BI29&lt;&gt;"",IF('Capacity summary'!$D$14="Yes",IF(COUNTBLANK('Capacity summary'!$H148:$BG148)&lt;52,IF('Capacity summary'!AR148&lt;&gt;"",IF(LOWER('Capacity summary'!AR148)="x",$BI29*AR29,VALUE('Capacity summary'!AR148)),0),AR29*$BI29),AR29*$BI29),0)</f>
        <v>0</v>
      </c>
      <c r="CV29" s="311">
        <f>IF($BI29&lt;&gt;"",IF('Capacity summary'!$D$14="Yes",IF(COUNTBLANK('Capacity summary'!$H148:$BG148)&lt;52,IF('Capacity summary'!AS148&lt;&gt;"",IF(LOWER('Capacity summary'!AS148)="x",$BI29*AS29,VALUE('Capacity summary'!AS148)),0),AS29*$BI29),AS29*$BI29),0)</f>
        <v>0</v>
      </c>
      <c r="CW29" s="311">
        <f>IF($BI29&lt;&gt;"",IF('Capacity summary'!$D$14="Yes",IF(COUNTBLANK('Capacity summary'!$H148:$BG148)&lt;52,IF('Capacity summary'!AT148&lt;&gt;"",IF(LOWER('Capacity summary'!AT148)="x",$BI29*AT29,VALUE('Capacity summary'!AT148)),0),AT29*$BI29),AT29*$BI29),0)</f>
        <v>0</v>
      </c>
      <c r="CX29" s="311">
        <f>IF($BI29&lt;&gt;"",IF('Capacity summary'!$D$14="Yes",IF(COUNTBLANK('Capacity summary'!$H148:$BG148)&lt;52,IF('Capacity summary'!AU148&lt;&gt;"",IF(LOWER('Capacity summary'!AU148)="x",$BI29*AU29,VALUE('Capacity summary'!AU148)),0),AU29*$BI29),AU29*$BI29),0)</f>
        <v>0</v>
      </c>
      <c r="CY29" s="311">
        <f>IF($BI29&lt;&gt;"",IF('Capacity summary'!$D$14="Yes",IF(COUNTBLANK('Capacity summary'!$H148:$BG148)&lt;52,IF('Capacity summary'!AV148&lt;&gt;"",IF(LOWER('Capacity summary'!AV148)="x",$BI29*AV29,VALUE('Capacity summary'!AV148)),0),AV29*$BI29),AV29*$BI29),0)</f>
        <v>0</v>
      </c>
      <c r="CZ29" s="311">
        <f>IF($BI29&lt;&gt;"",IF('Capacity summary'!$D$14="Yes",IF(COUNTBLANK('Capacity summary'!$H148:$BG148)&lt;52,IF('Capacity summary'!AW148&lt;&gt;"",IF(LOWER('Capacity summary'!AW148)="x",$BI29*AW29,VALUE('Capacity summary'!AW148)),0),AW29*$BI29),AW29*$BI29),0)</f>
        <v>0</v>
      </c>
      <c r="DA29" s="311">
        <f>IF($BI29&lt;&gt;"",IF('Capacity summary'!$D$14="Yes",IF(COUNTBLANK('Capacity summary'!$H148:$BG148)&lt;52,IF('Capacity summary'!AX148&lt;&gt;"",IF(LOWER('Capacity summary'!AX148)="x",$BI29*AX29,VALUE('Capacity summary'!AX148)),0),AX29*$BI29),AX29*$BI29),0)</f>
        <v>0</v>
      </c>
      <c r="DB29" s="311">
        <f>IF($BI29&lt;&gt;"",IF('Capacity summary'!$D$14="Yes",IF(COUNTBLANK('Capacity summary'!$H148:$BG148)&lt;52,IF('Capacity summary'!AY148&lt;&gt;"",IF(LOWER('Capacity summary'!AY148)="x",$BI29*AY29,VALUE('Capacity summary'!AY148)),0),AY29*$BI29),AY29*$BI29),0)</f>
        <v>0</v>
      </c>
      <c r="DC29" s="311">
        <f>IF($BI29&lt;&gt;"",IF('Capacity summary'!$D$14="Yes",IF(COUNTBLANK('Capacity summary'!$H148:$BG148)&lt;52,IF('Capacity summary'!AZ148&lt;&gt;"",IF(LOWER('Capacity summary'!AZ148)="x",$BI29*AZ29,VALUE('Capacity summary'!AZ148)),0),AZ29*$BI29),AZ29*$BI29),0)</f>
        <v>0</v>
      </c>
      <c r="DD29" s="311">
        <f>IF($BI29&lt;&gt;"",IF('Capacity summary'!$D$14="Yes",IF(COUNTBLANK('Capacity summary'!$H148:$BG148)&lt;52,IF('Capacity summary'!BA148&lt;&gt;"",IF(LOWER('Capacity summary'!BA148)="x",$BI29*BA29,VALUE('Capacity summary'!BA148)),0),BA29*$BI29),BA29*$BI29),0)</f>
        <v>0</v>
      </c>
      <c r="DE29" s="311">
        <f>IF($BI29&lt;&gt;"",IF('Capacity summary'!$D$14="Yes",IF(COUNTBLANK('Capacity summary'!$H148:$BG148)&lt;52,IF('Capacity summary'!BB148&lt;&gt;"",IF(LOWER('Capacity summary'!BB148)="x",$BI29*BB29,VALUE('Capacity summary'!BB148)),0),BB29*$BI29),BB29*$BI29),0)</f>
        <v>0</v>
      </c>
      <c r="DF29" s="311">
        <f>IF($BI29&lt;&gt;"",IF('Capacity summary'!$D$14="Yes",IF(COUNTBLANK('Capacity summary'!$H148:$BG148)&lt;52,IF('Capacity summary'!BC148&lt;&gt;"",IF(LOWER('Capacity summary'!BC148)="x",$BI29*BC29,VALUE('Capacity summary'!BC148)),0),BC29*$BI29),BC29*$BI29),0)</f>
        <v>0</v>
      </c>
      <c r="DG29" s="311">
        <f>IF($BI29&lt;&gt;"",IF('Capacity summary'!$D$14="Yes",IF(COUNTBLANK('Capacity summary'!$H148:$BG148)&lt;52,IF('Capacity summary'!BD148&lt;&gt;"",IF(LOWER('Capacity summary'!BD148)="x",$BI29*BD29,VALUE('Capacity summary'!BD148)),0),BD29*$BI29),BD29*$BI29),0)</f>
        <v>0</v>
      </c>
      <c r="DH29" s="311">
        <f>IF($BI29&lt;&gt;"",IF('Capacity summary'!$D$14="Yes",IF(COUNTBLANK('Capacity summary'!$H148:$BG148)&lt;52,IF('Capacity summary'!BE148&lt;&gt;"",IF(LOWER('Capacity summary'!BE148)="x",$BI29*BE29,VALUE('Capacity summary'!BE148)),0),BE29*$BI29),BE29*$BI29),0)</f>
        <v>0</v>
      </c>
      <c r="DI29" s="311">
        <f>IF($BI29&lt;&gt;"",IF('Capacity summary'!$D$14="Yes",IF(COUNTBLANK('Capacity summary'!$H148:$BG148)&lt;52,IF('Capacity summary'!BF148&lt;&gt;"",IF(LOWER('Capacity summary'!BF148)="x",$BI29*BF29,VALUE('Capacity summary'!BF148)),0),BF29*$BI29),BF29*$BI29),0)</f>
        <v>0</v>
      </c>
      <c r="DJ29" s="311">
        <f>IF($BI29&lt;&gt;"",IF('Capacity summary'!$D$14="Yes",IF(COUNTBLANK('Capacity summary'!$H148:$BG148)&lt;52,IF('Capacity summary'!BG148&lt;&gt;"",IF(LOWER('Capacity summary'!BG148)="x",$BI29*BG29,VALUE('Capacity summary'!BG148)),0),BG29*$BI29),BG29*$BI29),0)</f>
        <v>0</v>
      </c>
      <c r="DK29" s="391">
        <f t="shared" si="2"/>
        <v>0</v>
      </c>
      <c r="DL29" s="136">
        <f t="shared" si="3"/>
        <v>0</v>
      </c>
      <c r="DM29" s="311" t="str">
        <f>Capacity!H41</f>
        <v/>
      </c>
      <c r="DQ29" s="5"/>
    </row>
    <row r="30" spans="1:121" x14ac:dyDescent="0.2">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1">
        <f>IF($BI30&lt;&gt;"",IF('Capacity summary'!$D$14="Yes",IF(COUNTBLANK('Capacity summary'!$H149:$BG149)&lt;52,IF('Capacity summary'!H149&lt;&gt;"",IF(LOWER('Capacity summary'!H149)="x",$BI30*H30,VALUE('Capacity summary'!H149)),0),H30*$BI30),H30*$BI30),0)</f>
        <v>0</v>
      </c>
      <c r="BL30" s="311">
        <f>IF($BI30&lt;&gt;"",IF('Capacity summary'!$D$14="Yes",IF(COUNTBLANK('Capacity summary'!$H149:$BG149)&lt;52,IF('Capacity summary'!I149&lt;&gt;"",IF(LOWER('Capacity summary'!I149)="x",$BI30*I30,VALUE('Capacity summary'!I149)),0),I30*$BI30),I30*$BI30),0)</f>
        <v>0</v>
      </c>
      <c r="BM30" s="311">
        <f>IF($BI30&lt;&gt;"",IF('Capacity summary'!$D$14="Yes",IF(COUNTBLANK('Capacity summary'!$H149:$BG149)&lt;52,IF('Capacity summary'!J149&lt;&gt;"",IF(LOWER('Capacity summary'!J149)="x",$BI30*J30,VALUE('Capacity summary'!J149)),0),J30*$BI30),J30*$BI30),0)</f>
        <v>0</v>
      </c>
      <c r="BN30" s="311">
        <f>IF($BI30&lt;&gt;"",IF('Capacity summary'!$D$14="Yes",IF(COUNTBLANK('Capacity summary'!$H149:$BG149)&lt;52,IF('Capacity summary'!K149&lt;&gt;"",IF(LOWER('Capacity summary'!K149)="x",$BI30*K30,VALUE('Capacity summary'!K149)),0),K30*$BI30),K30*$BI30),0)</f>
        <v>0</v>
      </c>
      <c r="BO30" s="311">
        <f>IF($BI30&lt;&gt;"",IF('Capacity summary'!$D$14="Yes",IF(COUNTBLANK('Capacity summary'!$H149:$BG149)&lt;52,IF('Capacity summary'!L149&lt;&gt;"",IF(LOWER('Capacity summary'!L149)="x",$BI30*L30,VALUE('Capacity summary'!L149)),0),L30*$BI30),L30*$BI30),0)</f>
        <v>0</v>
      </c>
      <c r="BP30" s="311">
        <f>IF($BI30&lt;&gt;"",IF('Capacity summary'!$D$14="Yes",IF(COUNTBLANK('Capacity summary'!$H149:$BG149)&lt;52,IF('Capacity summary'!M149&lt;&gt;"",IF(LOWER('Capacity summary'!M149)="x",$BI30*M30,VALUE('Capacity summary'!M149)),0),M30*$BI30),M30*$BI30),0)</f>
        <v>0</v>
      </c>
      <c r="BQ30" s="311">
        <f>IF($BI30&lt;&gt;"",IF('Capacity summary'!$D$14="Yes",IF(COUNTBLANK('Capacity summary'!$H149:$BG149)&lt;52,IF('Capacity summary'!N149&lt;&gt;"",IF(LOWER('Capacity summary'!N149)="x",$BI30*N30,VALUE('Capacity summary'!N149)),0),N30*$BI30),N30*$BI30),0)</f>
        <v>0</v>
      </c>
      <c r="BR30" s="311">
        <f>IF($BI30&lt;&gt;"",IF('Capacity summary'!$D$14="Yes",IF(COUNTBLANK('Capacity summary'!$H149:$BG149)&lt;52,IF('Capacity summary'!O149&lt;&gt;"",IF(LOWER('Capacity summary'!O149)="x",$BI30*O30,VALUE('Capacity summary'!O149)),0),O30*$BI30),O30*$BI30),0)</f>
        <v>0</v>
      </c>
      <c r="BS30" s="311">
        <f>IF($BI30&lt;&gt;"",IF('Capacity summary'!$D$14="Yes",IF(COUNTBLANK('Capacity summary'!$H149:$BG149)&lt;52,IF('Capacity summary'!P149&lt;&gt;"",IF(LOWER('Capacity summary'!P149)="x",$BI30*P30,VALUE('Capacity summary'!P149)),0),P30*$BI30),P30*$BI30),0)</f>
        <v>0</v>
      </c>
      <c r="BT30" s="311">
        <f>IF($BI30&lt;&gt;"",IF('Capacity summary'!$D$14="Yes",IF(COUNTBLANK('Capacity summary'!$H149:$BG149)&lt;52,IF('Capacity summary'!Q149&lt;&gt;"",IF(LOWER('Capacity summary'!Q149)="x",$BI30*Q30,VALUE('Capacity summary'!Q149)),0),Q30*$BI30),Q30*$BI30),0)</f>
        <v>0</v>
      </c>
      <c r="BU30" s="311">
        <f>IF($BI30&lt;&gt;"",IF('Capacity summary'!$D$14="Yes",IF(COUNTBLANK('Capacity summary'!$H149:$BG149)&lt;52,IF('Capacity summary'!R149&lt;&gt;"",IF(LOWER('Capacity summary'!R149)="x",$BI30*R30,VALUE('Capacity summary'!R149)),0),R30*$BI30),R30*$BI30),0)</f>
        <v>0</v>
      </c>
      <c r="BV30" s="311">
        <f>IF($BI30&lt;&gt;"",IF('Capacity summary'!$D$14="Yes",IF(COUNTBLANK('Capacity summary'!$H149:$BG149)&lt;52,IF('Capacity summary'!S149&lt;&gt;"",IF(LOWER('Capacity summary'!S149)="x",$BI30*S30,VALUE('Capacity summary'!S149)),0),S30*$BI30),S30*$BI30),0)</f>
        <v>0</v>
      </c>
      <c r="BW30" s="311">
        <f>IF($BI30&lt;&gt;"",IF('Capacity summary'!$D$14="Yes",IF(COUNTBLANK('Capacity summary'!$H149:$BG149)&lt;52,IF('Capacity summary'!T149&lt;&gt;"",IF(LOWER('Capacity summary'!T149)="x",$BI30*T30,VALUE('Capacity summary'!T149)),0),T30*$BI30),T30*$BI30),0)</f>
        <v>0</v>
      </c>
      <c r="BX30" s="311">
        <f>IF($BI30&lt;&gt;"",IF('Capacity summary'!$D$14="Yes",IF(COUNTBLANK('Capacity summary'!$H149:$BG149)&lt;52,IF('Capacity summary'!U149&lt;&gt;"",IF(LOWER('Capacity summary'!U149)="x",$BI30*U30,VALUE('Capacity summary'!U149)),0),U30*$BI30),U30*$BI30),0)</f>
        <v>0</v>
      </c>
      <c r="BY30" s="311">
        <f>IF($BI30&lt;&gt;"",IF('Capacity summary'!$D$14="Yes",IF(COUNTBLANK('Capacity summary'!$H149:$BG149)&lt;52,IF('Capacity summary'!V149&lt;&gt;"",IF(LOWER('Capacity summary'!V149)="x",$BI30*V30,VALUE('Capacity summary'!V149)),0),V30*$BI30),V30*$BI30),0)</f>
        <v>0</v>
      </c>
      <c r="BZ30" s="311">
        <f>IF($BI30&lt;&gt;"",IF('Capacity summary'!$D$14="Yes",IF(COUNTBLANK('Capacity summary'!$H149:$BG149)&lt;52,IF('Capacity summary'!W149&lt;&gt;"",IF(LOWER('Capacity summary'!W149)="x",$BI30*W30,VALUE('Capacity summary'!W149)),0),W30*$BI30),W30*$BI30),0)</f>
        <v>0</v>
      </c>
      <c r="CA30" s="311">
        <f>IF($BI30&lt;&gt;"",IF('Capacity summary'!$D$14="Yes",IF(COUNTBLANK('Capacity summary'!$H149:$BG149)&lt;52,IF('Capacity summary'!X149&lt;&gt;"",IF(LOWER('Capacity summary'!X149)="x",$BI30*X30,VALUE('Capacity summary'!X149)),0),X30*$BI30),X30*$BI30),0)</f>
        <v>0</v>
      </c>
      <c r="CB30" s="311">
        <f>IF($BI30&lt;&gt;"",IF('Capacity summary'!$D$14="Yes",IF(COUNTBLANK('Capacity summary'!$H149:$BG149)&lt;52,IF('Capacity summary'!Y149&lt;&gt;"",IF(LOWER('Capacity summary'!Y149)="x",$BI30*Y30,VALUE('Capacity summary'!Y149)),0),Y30*$BI30),Y30*$BI30),0)</f>
        <v>0</v>
      </c>
      <c r="CC30" s="311">
        <f>IF($BI30&lt;&gt;"",IF('Capacity summary'!$D$14="Yes",IF(COUNTBLANK('Capacity summary'!$H149:$BG149)&lt;52,IF('Capacity summary'!Z149&lt;&gt;"",IF(LOWER('Capacity summary'!Z149)="x",$BI30*Z30,VALUE('Capacity summary'!Z149)),0),Z30*$BI30),Z30*$BI30),0)</f>
        <v>0</v>
      </c>
      <c r="CD30" s="311">
        <f>IF($BI30&lt;&gt;"",IF('Capacity summary'!$D$14="Yes",IF(COUNTBLANK('Capacity summary'!$H149:$BG149)&lt;52,IF('Capacity summary'!AA149&lt;&gt;"",IF(LOWER('Capacity summary'!AA149)="x",$BI30*AA30,VALUE('Capacity summary'!AA149)),0),AA30*$BI30),AA30*$BI30),0)</f>
        <v>0</v>
      </c>
      <c r="CE30" s="311">
        <f>IF($BI30&lt;&gt;"",IF('Capacity summary'!$D$14="Yes",IF(COUNTBLANK('Capacity summary'!$H149:$BG149)&lt;52,IF('Capacity summary'!AB149&lt;&gt;"",IF(LOWER('Capacity summary'!AB149)="x",$BI30*AB30,VALUE('Capacity summary'!AB149)),0),AB30*$BI30),AB30*$BI30),0)</f>
        <v>0</v>
      </c>
      <c r="CF30" s="311">
        <f>IF($BI30&lt;&gt;"",IF('Capacity summary'!$D$14="Yes",IF(COUNTBLANK('Capacity summary'!$H149:$BG149)&lt;52,IF('Capacity summary'!AC149&lt;&gt;"",IF(LOWER('Capacity summary'!AC149)="x",$BI30*AC30,VALUE('Capacity summary'!AC149)),0),AC30*$BI30),AC30*$BI30),0)</f>
        <v>0</v>
      </c>
      <c r="CG30" s="311">
        <f>IF($BI30&lt;&gt;"",IF('Capacity summary'!$D$14="Yes",IF(COUNTBLANK('Capacity summary'!$H149:$BG149)&lt;52,IF('Capacity summary'!AD149&lt;&gt;"",IF(LOWER('Capacity summary'!AD149)="x",$BI30*AD30,VALUE('Capacity summary'!AD149)),0),AD30*$BI30),AD30*$BI30),0)</f>
        <v>0</v>
      </c>
      <c r="CH30" s="311">
        <f>IF($BI30&lt;&gt;"",IF('Capacity summary'!$D$14="Yes",IF(COUNTBLANK('Capacity summary'!$H149:$BG149)&lt;52,IF('Capacity summary'!AE149&lt;&gt;"",IF(LOWER('Capacity summary'!AE149)="x",$BI30*AE30,VALUE('Capacity summary'!AE149)),0),AE30*$BI30),AE30*$BI30),0)</f>
        <v>0</v>
      </c>
      <c r="CI30" s="311">
        <f>IF($BI30&lt;&gt;"",IF('Capacity summary'!$D$14="Yes",IF(COUNTBLANK('Capacity summary'!$H149:$BG149)&lt;52,IF('Capacity summary'!AF149&lt;&gt;"",IF(LOWER('Capacity summary'!AF149)="x",$BI30*AF30,VALUE('Capacity summary'!AF149)),0),AF30*$BI30),AF30*$BI30),0)</f>
        <v>0</v>
      </c>
      <c r="CJ30" s="311">
        <f>IF($BI30&lt;&gt;"",IF('Capacity summary'!$D$14="Yes",IF(COUNTBLANK('Capacity summary'!$H149:$BG149)&lt;52,IF('Capacity summary'!AG149&lt;&gt;"",IF(LOWER('Capacity summary'!AG149)="x",$BI30*AG30,VALUE('Capacity summary'!AG149)),0),AG30*$BI30),AG30*$BI30),0)</f>
        <v>0</v>
      </c>
      <c r="CK30" s="311">
        <f>IF($BI30&lt;&gt;"",IF('Capacity summary'!$D$14="Yes",IF(COUNTBLANK('Capacity summary'!$H149:$BG149)&lt;52,IF('Capacity summary'!AH149&lt;&gt;"",IF(LOWER('Capacity summary'!AH149)="x",$BI30*AH30,VALUE('Capacity summary'!AH149)),0),AH30*$BI30),AH30*$BI30),0)</f>
        <v>0</v>
      </c>
      <c r="CL30" s="311">
        <f>IF($BI30&lt;&gt;"",IF('Capacity summary'!$D$14="Yes",IF(COUNTBLANK('Capacity summary'!$H149:$BG149)&lt;52,IF('Capacity summary'!AI149&lt;&gt;"",IF(LOWER('Capacity summary'!AI149)="x",$BI30*AI30,VALUE('Capacity summary'!AI149)),0),AI30*$BI30),AI30*$BI30),0)</f>
        <v>0</v>
      </c>
      <c r="CM30" s="311">
        <f>IF($BI30&lt;&gt;"",IF('Capacity summary'!$D$14="Yes",IF(COUNTBLANK('Capacity summary'!$H149:$BG149)&lt;52,IF('Capacity summary'!AJ149&lt;&gt;"",IF(LOWER('Capacity summary'!AJ149)="x",$BI30*AJ30,VALUE('Capacity summary'!AJ149)),0),AJ30*$BI30),AJ30*$BI30),0)</f>
        <v>0</v>
      </c>
      <c r="CN30" s="311">
        <f>IF($BI30&lt;&gt;"",IF('Capacity summary'!$D$14="Yes",IF(COUNTBLANK('Capacity summary'!$H149:$BG149)&lt;52,IF('Capacity summary'!AK149&lt;&gt;"",IF(LOWER('Capacity summary'!AK149)="x",$BI30*AK30,VALUE('Capacity summary'!AK149)),0),AK30*$BI30),AK30*$BI30),0)</f>
        <v>0</v>
      </c>
      <c r="CO30" s="311">
        <f>IF($BI30&lt;&gt;"",IF('Capacity summary'!$D$14="Yes",IF(COUNTBLANK('Capacity summary'!$H149:$BG149)&lt;52,IF('Capacity summary'!AL149&lt;&gt;"",IF(LOWER('Capacity summary'!AL149)="x",$BI30*AL30,VALUE('Capacity summary'!AL149)),0),AL30*$BI30),AL30*$BI30),0)</f>
        <v>0</v>
      </c>
      <c r="CP30" s="311">
        <f>IF($BI30&lt;&gt;"",IF('Capacity summary'!$D$14="Yes",IF(COUNTBLANK('Capacity summary'!$H149:$BG149)&lt;52,IF('Capacity summary'!AM149&lt;&gt;"",IF(LOWER('Capacity summary'!AM149)="x",$BI30*AM30,VALUE('Capacity summary'!AM149)),0),AM30*$BI30),AM30*$BI30),0)</f>
        <v>0</v>
      </c>
      <c r="CQ30" s="311">
        <f>IF($BI30&lt;&gt;"",IF('Capacity summary'!$D$14="Yes",IF(COUNTBLANK('Capacity summary'!$H149:$BG149)&lt;52,IF('Capacity summary'!AN149&lt;&gt;"",IF(LOWER('Capacity summary'!AN149)="x",$BI30*AN30,VALUE('Capacity summary'!AN149)),0),AN30*$BI30),AN30*$BI30),0)</f>
        <v>0</v>
      </c>
      <c r="CR30" s="311">
        <f>IF($BI30&lt;&gt;"",IF('Capacity summary'!$D$14="Yes",IF(COUNTBLANK('Capacity summary'!$H149:$BG149)&lt;52,IF('Capacity summary'!AO149&lt;&gt;"",IF(LOWER('Capacity summary'!AO149)="x",$BI30*AO30,VALUE('Capacity summary'!AO149)),0),AO30*$BI30),AO30*$BI30),0)</f>
        <v>0</v>
      </c>
      <c r="CS30" s="311">
        <f>IF($BI30&lt;&gt;"",IF('Capacity summary'!$D$14="Yes",IF(COUNTBLANK('Capacity summary'!$H149:$BG149)&lt;52,IF('Capacity summary'!AP149&lt;&gt;"",IF(LOWER('Capacity summary'!AP149)="x",$BI30*AP30,VALUE('Capacity summary'!AP149)),0),AP30*$BI30),AP30*$BI30),0)</f>
        <v>0</v>
      </c>
      <c r="CT30" s="311">
        <f>IF($BI30&lt;&gt;"",IF('Capacity summary'!$D$14="Yes",IF(COUNTBLANK('Capacity summary'!$H149:$BG149)&lt;52,IF('Capacity summary'!AQ149&lt;&gt;"",IF(LOWER('Capacity summary'!AQ149)="x",$BI30*AQ30,VALUE('Capacity summary'!AQ149)),0),AQ30*$BI30),AQ30*$BI30),0)</f>
        <v>0</v>
      </c>
      <c r="CU30" s="311">
        <f>IF($BI30&lt;&gt;"",IF('Capacity summary'!$D$14="Yes",IF(COUNTBLANK('Capacity summary'!$H149:$BG149)&lt;52,IF('Capacity summary'!AR149&lt;&gt;"",IF(LOWER('Capacity summary'!AR149)="x",$BI30*AR30,VALUE('Capacity summary'!AR149)),0),AR30*$BI30),AR30*$BI30),0)</f>
        <v>0</v>
      </c>
      <c r="CV30" s="311">
        <f>IF($BI30&lt;&gt;"",IF('Capacity summary'!$D$14="Yes",IF(COUNTBLANK('Capacity summary'!$H149:$BG149)&lt;52,IF('Capacity summary'!AS149&lt;&gt;"",IF(LOWER('Capacity summary'!AS149)="x",$BI30*AS30,VALUE('Capacity summary'!AS149)),0),AS30*$BI30),AS30*$BI30),0)</f>
        <v>0</v>
      </c>
      <c r="CW30" s="311">
        <f>IF($BI30&lt;&gt;"",IF('Capacity summary'!$D$14="Yes",IF(COUNTBLANK('Capacity summary'!$H149:$BG149)&lt;52,IF('Capacity summary'!AT149&lt;&gt;"",IF(LOWER('Capacity summary'!AT149)="x",$BI30*AT30,VALUE('Capacity summary'!AT149)),0),AT30*$BI30),AT30*$BI30),0)</f>
        <v>0</v>
      </c>
      <c r="CX30" s="311">
        <f>IF($BI30&lt;&gt;"",IF('Capacity summary'!$D$14="Yes",IF(COUNTBLANK('Capacity summary'!$H149:$BG149)&lt;52,IF('Capacity summary'!AU149&lt;&gt;"",IF(LOWER('Capacity summary'!AU149)="x",$BI30*AU30,VALUE('Capacity summary'!AU149)),0),AU30*$BI30),AU30*$BI30),0)</f>
        <v>0</v>
      </c>
      <c r="CY30" s="311">
        <f>IF($BI30&lt;&gt;"",IF('Capacity summary'!$D$14="Yes",IF(COUNTBLANK('Capacity summary'!$H149:$BG149)&lt;52,IF('Capacity summary'!AV149&lt;&gt;"",IF(LOWER('Capacity summary'!AV149)="x",$BI30*AV30,VALUE('Capacity summary'!AV149)),0),AV30*$BI30),AV30*$BI30),0)</f>
        <v>0</v>
      </c>
      <c r="CZ30" s="311">
        <f>IF($BI30&lt;&gt;"",IF('Capacity summary'!$D$14="Yes",IF(COUNTBLANK('Capacity summary'!$H149:$BG149)&lt;52,IF('Capacity summary'!AW149&lt;&gt;"",IF(LOWER('Capacity summary'!AW149)="x",$BI30*AW30,VALUE('Capacity summary'!AW149)),0),AW30*$BI30),AW30*$BI30),0)</f>
        <v>0</v>
      </c>
      <c r="DA30" s="311">
        <f>IF($BI30&lt;&gt;"",IF('Capacity summary'!$D$14="Yes",IF(COUNTBLANK('Capacity summary'!$H149:$BG149)&lt;52,IF('Capacity summary'!AX149&lt;&gt;"",IF(LOWER('Capacity summary'!AX149)="x",$BI30*AX30,VALUE('Capacity summary'!AX149)),0),AX30*$BI30),AX30*$BI30),0)</f>
        <v>0</v>
      </c>
      <c r="DB30" s="311">
        <f>IF($BI30&lt;&gt;"",IF('Capacity summary'!$D$14="Yes",IF(COUNTBLANK('Capacity summary'!$H149:$BG149)&lt;52,IF('Capacity summary'!AY149&lt;&gt;"",IF(LOWER('Capacity summary'!AY149)="x",$BI30*AY30,VALUE('Capacity summary'!AY149)),0),AY30*$BI30),AY30*$BI30),0)</f>
        <v>0</v>
      </c>
      <c r="DC30" s="311">
        <f>IF($BI30&lt;&gt;"",IF('Capacity summary'!$D$14="Yes",IF(COUNTBLANK('Capacity summary'!$H149:$BG149)&lt;52,IF('Capacity summary'!AZ149&lt;&gt;"",IF(LOWER('Capacity summary'!AZ149)="x",$BI30*AZ30,VALUE('Capacity summary'!AZ149)),0),AZ30*$BI30),AZ30*$BI30),0)</f>
        <v>0</v>
      </c>
      <c r="DD30" s="311">
        <f>IF($BI30&lt;&gt;"",IF('Capacity summary'!$D$14="Yes",IF(COUNTBLANK('Capacity summary'!$H149:$BG149)&lt;52,IF('Capacity summary'!BA149&lt;&gt;"",IF(LOWER('Capacity summary'!BA149)="x",$BI30*BA30,VALUE('Capacity summary'!BA149)),0),BA30*$BI30),BA30*$BI30),0)</f>
        <v>0</v>
      </c>
      <c r="DE30" s="311">
        <f>IF($BI30&lt;&gt;"",IF('Capacity summary'!$D$14="Yes",IF(COUNTBLANK('Capacity summary'!$H149:$BG149)&lt;52,IF('Capacity summary'!BB149&lt;&gt;"",IF(LOWER('Capacity summary'!BB149)="x",$BI30*BB30,VALUE('Capacity summary'!BB149)),0),BB30*$BI30),BB30*$BI30),0)</f>
        <v>0</v>
      </c>
      <c r="DF30" s="311">
        <f>IF($BI30&lt;&gt;"",IF('Capacity summary'!$D$14="Yes",IF(COUNTBLANK('Capacity summary'!$H149:$BG149)&lt;52,IF('Capacity summary'!BC149&lt;&gt;"",IF(LOWER('Capacity summary'!BC149)="x",$BI30*BC30,VALUE('Capacity summary'!BC149)),0),BC30*$BI30),BC30*$BI30),0)</f>
        <v>0</v>
      </c>
      <c r="DG30" s="311">
        <f>IF($BI30&lt;&gt;"",IF('Capacity summary'!$D$14="Yes",IF(COUNTBLANK('Capacity summary'!$H149:$BG149)&lt;52,IF('Capacity summary'!BD149&lt;&gt;"",IF(LOWER('Capacity summary'!BD149)="x",$BI30*BD30,VALUE('Capacity summary'!BD149)),0),BD30*$BI30),BD30*$BI30),0)</f>
        <v>0</v>
      </c>
      <c r="DH30" s="311">
        <f>IF($BI30&lt;&gt;"",IF('Capacity summary'!$D$14="Yes",IF(COUNTBLANK('Capacity summary'!$H149:$BG149)&lt;52,IF('Capacity summary'!BE149&lt;&gt;"",IF(LOWER('Capacity summary'!BE149)="x",$BI30*BE30,VALUE('Capacity summary'!BE149)),0),BE30*$BI30),BE30*$BI30),0)</f>
        <v>0</v>
      </c>
      <c r="DI30" s="311">
        <f>IF($BI30&lt;&gt;"",IF('Capacity summary'!$D$14="Yes",IF(COUNTBLANK('Capacity summary'!$H149:$BG149)&lt;52,IF('Capacity summary'!BF149&lt;&gt;"",IF(LOWER('Capacity summary'!BF149)="x",$BI30*BF30,VALUE('Capacity summary'!BF149)),0),BF30*$BI30),BF30*$BI30),0)</f>
        <v>0</v>
      </c>
      <c r="DJ30" s="311">
        <f>IF($BI30&lt;&gt;"",IF('Capacity summary'!$D$14="Yes",IF(COUNTBLANK('Capacity summary'!$H149:$BG149)&lt;52,IF('Capacity summary'!BG149&lt;&gt;"",IF(LOWER('Capacity summary'!BG149)="x",$BI30*BG30,VALUE('Capacity summary'!BG149)),0),BG30*$BI30),BG30*$BI30),0)</f>
        <v>0</v>
      </c>
      <c r="DK30" s="391">
        <f t="shared" si="2"/>
        <v>0</v>
      </c>
      <c r="DL30" s="136">
        <f t="shared" si="3"/>
        <v>0</v>
      </c>
      <c r="DM30" s="311" t="str">
        <f>Capacity!H42</f>
        <v/>
      </c>
      <c r="DQ30" s="5"/>
    </row>
    <row r="31" spans="1:121" x14ac:dyDescent="0.2">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1">
        <f>IF($BI31&lt;&gt;"",IF('Capacity summary'!$D$14="Yes",IF(COUNTBLANK('Capacity summary'!$H150:$BG150)&lt;52,IF('Capacity summary'!H150&lt;&gt;"",IF(LOWER('Capacity summary'!H150)="x",$BI31*H31,VALUE('Capacity summary'!H150)),0),H31*$BI31),H31*$BI31),0)</f>
        <v>0</v>
      </c>
      <c r="BL31" s="311">
        <f>IF($BI31&lt;&gt;"",IF('Capacity summary'!$D$14="Yes",IF(COUNTBLANK('Capacity summary'!$H150:$BG150)&lt;52,IF('Capacity summary'!I150&lt;&gt;"",IF(LOWER('Capacity summary'!I150)="x",$BI31*I31,VALUE('Capacity summary'!I150)),0),I31*$BI31),I31*$BI31),0)</f>
        <v>0</v>
      </c>
      <c r="BM31" s="311">
        <f>IF($BI31&lt;&gt;"",IF('Capacity summary'!$D$14="Yes",IF(COUNTBLANK('Capacity summary'!$H150:$BG150)&lt;52,IF('Capacity summary'!J150&lt;&gt;"",IF(LOWER('Capacity summary'!J150)="x",$BI31*J31,VALUE('Capacity summary'!J150)),0),J31*$BI31),J31*$BI31),0)</f>
        <v>0</v>
      </c>
      <c r="BN31" s="311">
        <f>IF($BI31&lt;&gt;"",IF('Capacity summary'!$D$14="Yes",IF(COUNTBLANK('Capacity summary'!$H150:$BG150)&lt;52,IF('Capacity summary'!K150&lt;&gt;"",IF(LOWER('Capacity summary'!K150)="x",$BI31*K31,VALUE('Capacity summary'!K150)),0),K31*$BI31),K31*$BI31),0)</f>
        <v>0</v>
      </c>
      <c r="BO31" s="311">
        <f>IF($BI31&lt;&gt;"",IF('Capacity summary'!$D$14="Yes",IF(COUNTBLANK('Capacity summary'!$H150:$BG150)&lt;52,IF('Capacity summary'!L150&lt;&gt;"",IF(LOWER('Capacity summary'!L150)="x",$BI31*L31,VALUE('Capacity summary'!L150)),0),L31*$BI31),L31*$BI31),0)</f>
        <v>0</v>
      </c>
      <c r="BP31" s="311">
        <f>IF($BI31&lt;&gt;"",IF('Capacity summary'!$D$14="Yes",IF(COUNTBLANK('Capacity summary'!$H150:$BG150)&lt;52,IF('Capacity summary'!M150&lt;&gt;"",IF(LOWER('Capacity summary'!M150)="x",$BI31*M31,VALUE('Capacity summary'!M150)),0),M31*$BI31),M31*$BI31),0)</f>
        <v>0</v>
      </c>
      <c r="BQ31" s="311">
        <f>IF($BI31&lt;&gt;"",IF('Capacity summary'!$D$14="Yes",IF(COUNTBLANK('Capacity summary'!$H150:$BG150)&lt;52,IF('Capacity summary'!N150&lt;&gt;"",IF(LOWER('Capacity summary'!N150)="x",$BI31*N31,VALUE('Capacity summary'!N150)),0),N31*$BI31),N31*$BI31),0)</f>
        <v>0</v>
      </c>
      <c r="BR31" s="311">
        <f>IF($BI31&lt;&gt;"",IF('Capacity summary'!$D$14="Yes",IF(COUNTBLANK('Capacity summary'!$H150:$BG150)&lt;52,IF('Capacity summary'!O150&lt;&gt;"",IF(LOWER('Capacity summary'!O150)="x",$BI31*O31,VALUE('Capacity summary'!O150)),0),O31*$BI31),O31*$BI31),0)</f>
        <v>0</v>
      </c>
      <c r="BS31" s="311">
        <f>IF($BI31&lt;&gt;"",IF('Capacity summary'!$D$14="Yes",IF(COUNTBLANK('Capacity summary'!$H150:$BG150)&lt;52,IF('Capacity summary'!P150&lt;&gt;"",IF(LOWER('Capacity summary'!P150)="x",$BI31*P31,VALUE('Capacity summary'!P150)),0),P31*$BI31),P31*$BI31),0)</f>
        <v>0</v>
      </c>
      <c r="BT31" s="311">
        <f>IF($BI31&lt;&gt;"",IF('Capacity summary'!$D$14="Yes",IF(COUNTBLANK('Capacity summary'!$H150:$BG150)&lt;52,IF('Capacity summary'!Q150&lt;&gt;"",IF(LOWER('Capacity summary'!Q150)="x",$BI31*Q31,VALUE('Capacity summary'!Q150)),0),Q31*$BI31),Q31*$BI31),0)</f>
        <v>0</v>
      </c>
      <c r="BU31" s="311">
        <f>IF($BI31&lt;&gt;"",IF('Capacity summary'!$D$14="Yes",IF(COUNTBLANK('Capacity summary'!$H150:$BG150)&lt;52,IF('Capacity summary'!R150&lt;&gt;"",IF(LOWER('Capacity summary'!R150)="x",$BI31*R31,VALUE('Capacity summary'!R150)),0),R31*$BI31),R31*$BI31),0)</f>
        <v>0</v>
      </c>
      <c r="BV31" s="311">
        <f>IF($BI31&lt;&gt;"",IF('Capacity summary'!$D$14="Yes",IF(COUNTBLANK('Capacity summary'!$H150:$BG150)&lt;52,IF('Capacity summary'!S150&lt;&gt;"",IF(LOWER('Capacity summary'!S150)="x",$BI31*S31,VALUE('Capacity summary'!S150)),0),S31*$BI31),S31*$BI31),0)</f>
        <v>0</v>
      </c>
      <c r="BW31" s="311">
        <f>IF($BI31&lt;&gt;"",IF('Capacity summary'!$D$14="Yes",IF(COUNTBLANK('Capacity summary'!$H150:$BG150)&lt;52,IF('Capacity summary'!T150&lt;&gt;"",IF(LOWER('Capacity summary'!T150)="x",$BI31*T31,VALUE('Capacity summary'!T150)),0),T31*$BI31),T31*$BI31),0)</f>
        <v>0</v>
      </c>
      <c r="BX31" s="311">
        <f>IF($BI31&lt;&gt;"",IF('Capacity summary'!$D$14="Yes",IF(COUNTBLANK('Capacity summary'!$H150:$BG150)&lt;52,IF('Capacity summary'!U150&lt;&gt;"",IF(LOWER('Capacity summary'!U150)="x",$BI31*U31,VALUE('Capacity summary'!U150)),0),U31*$BI31),U31*$BI31),0)</f>
        <v>0</v>
      </c>
      <c r="BY31" s="311">
        <f>IF($BI31&lt;&gt;"",IF('Capacity summary'!$D$14="Yes",IF(COUNTBLANK('Capacity summary'!$H150:$BG150)&lt;52,IF('Capacity summary'!V150&lt;&gt;"",IF(LOWER('Capacity summary'!V150)="x",$BI31*V31,VALUE('Capacity summary'!V150)),0),V31*$BI31),V31*$BI31),0)</f>
        <v>0</v>
      </c>
      <c r="BZ31" s="311">
        <f>IF($BI31&lt;&gt;"",IF('Capacity summary'!$D$14="Yes",IF(COUNTBLANK('Capacity summary'!$H150:$BG150)&lt;52,IF('Capacity summary'!W150&lt;&gt;"",IF(LOWER('Capacity summary'!W150)="x",$BI31*W31,VALUE('Capacity summary'!W150)),0),W31*$BI31),W31*$BI31),0)</f>
        <v>0</v>
      </c>
      <c r="CA31" s="311">
        <f>IF($BI31&lt;&gt;"",IF('Capacity summary'!$D$14="Yes",IF(COUNTBLANK('Capacity summary'!$H150:$BG150)&lt;52,IF('Capacity summary'!X150&lt;&gt;"",IF(LOWER('Capacity summary'!X150)="x",$BI31*X31,VALUE('Capacity summary'!X150)),0),X31*$BI31),X31*$BI31),0)</f>
        <v>0</v>
      </c>
      <c r="CB31" s="311">
        <f>IF($BI31&lt;&gt;"",IF('Capacity summary'!$D$14="Yes",IF(COUNTBLANK('Capacity summary'!$H150:$BG150)&lt;52,IF('Capacity summary'!Y150&lt;&gt;"",IF(LOWER('Capacity summary'!Y150)="x",$BI31*Y31,VALUE('Capacity summary'!Y150)),0),Y31*$BI31),Y31*$BI31),0)</f>
        <v>0</v>
      </c>
      <c r="CC31" s="311">
        <f>IF($BI31&lt;&gt;"",IF('Capacity summary'!$D$14="Yes",IF(COUNTBLANK('Capacity summary'!$H150:$BG150)&lt;52,IF('Capacity summary'!Z150&lt;&gt;"",IF(LOWER('Capacity summary'!Z150)="x",$BI31*Z31,VALUE('Capacity summary'!Z150)),0),Z31*$BI31),Z31*$BI31),0)</f>
        <v>0</v>
      </c>
      <c r="CD31" s="311">
        <f>IF($BI31&lt;&gt;"",IF('Capacity summary'!$D$14="Yes",IF(COUNTBLANK('Capacity summary'!$H150:$BG150)&lt;52,IF('Capacity summary'!AA150&lt;&gt;"",IF(LOWER('Capacity summary'!AA150)="x",$BI31*AA31,VALUE('Capacity summary'!AA150)),0),AA31*$BI31),AA31*$BI31),0)</f>
        <v>0</v>
      </c>
      <c r="CE31" s="311">
        <f>IF($BI31&lt;&gt;"",IF('Capacity summary'!$D$14="Yes",IF(COUNTBLANK('Capacity summary'!$H150:$BG150)&lt;52,IF('Capacity summary'!AB150&lt;&gt;"",IF(LOWER('Capacity summary'!AB150)="x",$BI31*AB31,VALUE('Capacity summary'!AB150)),0),AB31*$BI31),AB31*$BI31),0)</f>
        <v>0</v>
      </c>
      <c r="CF31" s="311">
        <f>IF($BI31&lt;&gt;"",IF('Capacity summary'!$D$14="Yes",IF(COUNTBLANK('Capacity summary'!$H150:$BG150)&lt;52,IF('Capacity summary'!AC150&lt;&gt;"",IF(LOWER('Capacity summary'!AC150)="x",$BI31*AC31,VALUE('Capacity summary'!AC150)),0),AC31*$BI31),AC31*$BI31),0)</f>
        <v>0</v>
      </c>
      <c r="CG31" s="311">
        <f>IF($BI31&lt;&gt;"",IF('Capacity summary'!$D$14="Yes",IF(COUNTBLANK('Capacity summary'!$H150:$BG150)&lt;52,IF('Capacity summary'!AD150&lt;&gt;"",IF(LOWER('Capacity summary'!AD150)="x",$BI31*AD31,VALUE('Capacity summary'!AD150)),0),AD31*$BI31),AD31*$BI31),0)</f>
        <v>0</v>
      </c>
      <c r="CH31" s="311">
        <f>IF($BI31&lt;&gt;"",IF('Capacity summary'!$D$14="Yes",IF(COUNTBLANK('Capacity summary'!$H150:$BG150)&lt;52,IF('Capacity summary'!AE150&lt;&gt;"",IF(LOWER('Capacity summary'!AE150)="x",$BI31*AE31,VALUE('Capacity summary'!AE150)),0),AE31*$BI31),AE31*$BI31),0)</f>
        <v>0</v>
      </c>
      <c r="CI31" s="311">
        <f>IF($BI31&lt;&gt;"",IF('Capacity summary'!$D$14="Yes",IF(COUNTBLANK('Capacity summary'!$H150:$BG150)&lt;52,IF('Capacity summary'!AF150&lt;&gt;"",IF(LOWER('Capacity summary'!AF150)="x",$BI31*AF31,VALUE('Capacity summary'!AF150)),0),AF31*$BI31),AF31*$BI31),0)</f>
        <v>0</v>
      </c>
      <c r="CJ31" s="311">
        <f>IF($BI31&lt;&gt;"",IF('Capacity summary'!$D$14="Yes",IF(COUNTBLANK('Capacity summary'!$H150:$BG150)&lt;52,IF('Capacity summary'!AG150&lt;&gt;"",IF(LOWER('Capacity summary'!AG150)="x",$BI31*AG31,VALUE('Capacity summary'!AG150)),0),AG31*$BI31),AG31*$BI31),0)</f>
        <v>0</v>
      </c>
      <c r="CK31" s="311">
        <f>IF($BI31&lt;&gt;"",IF('Capacity summary'!$D$14="Yes",IF(COUNTBLANK('Capacity summary'!$H150:$BG150)&lt;52,IF('Capacity summary'!AH150&lt;&gt;"",IF(LOWER('Capacity summary'!AH150)="x",$BI31*AH31,VALUE('Capacity summary'!AH150)),0),AH31*$BI31),AH31*$BI31),0)</f>
        <v>0</v>
      </c>
      <c r="CL31" s="311">
        <f>IF($BI31&lt;&gt;"",IF('Capacity summary'!$D$14="Yes",IF(COUNTBLANK('Capacity summary'!$H150:$BG150)&lt;52,IF('Capacity summary'!AI150&lt;&gt;"",IF(LOWER('Capacity summary'!AI150)="x",$BI31*AI31,VALUE('Capacity summary'!AI150)),0),AI31*$BI31),AI31*$BI31),0)</f>
        <v>0</v>
      </c>
      <c r="CM31" s="311">
        <f>IF($BI31&lt;&gt;"",IF('Capacity summary'!$D$14="Yes",IF(COUNTBLANK('Capacity summary'!$H150:$BG150)&lt;52,IF('Capacity summary'!AJ150&lt;&gt;"",IF(LOWER('Capacity summary'!AJ150)="x",$BI31*AJ31,VALUE('Capacity summary'!AJ150)),0),AJ31*$BI31),AJ31*$BI31),0)</f>
        <v>0</v>
      </c>
      <c r="CN31" s="311">
        <f>IF($BI31&lt;&gt;"",IF('Capacity summary'!$D$14="Yes",IF(COUNTBLANK('Capacity summary'!$H150:$BG150)&lt;52,IF('Capacity summary'!AK150&lt;&gt;"",IF(LOWER('Capacity summary'!AK150)="x",$BI31*AK31,VALUE('Capacity summary'!AK150)),0),AK31*$BI31),AK31*$BI31),0)</f>
        <v>0</v>
      </c>
      <c r="CO31" s="311">
        <f>IF($BI31&lt;&gt;"",IF('Capacity summary'!$D$14="Yes",IF(COUNTBLANK('Capacity summary'!$H150:$BG150)&lt;52,IF('Capacity summary'!AL150&lt;&gt;"",IF(LOWER('Capacity summary'!AL150)="x",$BI31*AL31,VALUE('Capacity summary'!AL150)),0),AL31*$BI31),AL31*$BI31),0)</f>
        <v>0</v>
      </c>
      <c r="CP31" s="311">
        <f>IF($BI31&lt;&gt;"",IF('Capacity summary'!$D$14="Yes",IF(COUNTBLANK('Capacity summary'!$H150:$BG150)&lt;52,IF('Capacity summary'!AM150&lt;&gt;"",IF(LOWER('Capacity summary'!AM150)="x",$BI31*AM31,VALUE('Capacity summary'!AM150)),0),AM31*$BI31),AM31*$BI31),0)</f>
        <v>0</v>
      </c>
      <c r="CQ31" s="311">
        <f>IF($BI31&lt;&gt;"",IF('Capacity summary'!$D$14="Yes",IF(COUNTBLANK('Capacity summary'!$H150:$BG150)&lt;52,IF('Capacity summary'!AN150&lt;&gt;"",IF(LOWER('Capacity summary'!AN150)="x",$BI31*AN31,VALUE('Capacity summary'!AN150)),0),AN31*$BI31),AN31*$BI31),0)</f>
        <v>0</v>
      </c>
      <c r="CR31" s="311">
        <f>IF($BI31&lt;&gt;"",IF('Capacity summary'!$D$14="Yes",IF(COUNTBLANK('Capacity summary'!$H150:$BG150)&lt;52,IF('Capacity summary'!AO150&lt;&gt;"",IF(LOWER('Capacity summary'!AO150)="x",$BI31*AO31,VALUE('Capacity summary'!AO150)),0),AO31*$BI31),AO31*$BI31),0)</f>
        <v>0</v>
      </c>
      <c r="CS31" s="311">
        <f>IF($BI31&lt;&gt;"",IF('Capacity summary'!$D$14="Yes",IF(COUNTBLANK('Capacity summary'!$H150:$BG150)&lt;52,IF('Capacity summary'!AP150&lt;&gt;"",IF(LOWER('Capacity summary'!AP150)="x",$BI31*AP31,VALUE('Capacity summary'!AP150)),0),AP31*$BI31),AP31*$BI31),0)</f>
        <v>0</v>
      </c>
      <c r="CT31" s="311">
        <f>IF($BI31&lt;&gt;"",IF('Capacity summary'!$D$14="Yes",IF(COUNTBLANK('Capacity summary'!$H150:$BG150)&lt;52,IF('Capacity summary'!AQ150&lt;&gt;"",IF(LOWER('Capacity summary'!AQ150)="x",$BI31*AQ31,VALUE('Capacity summary'!AQ150)),0),AQ31*$BI31),AQ31*$BI31),0)</f>
        <v>0</v>
      </c>
      <c r="CU31" s="311">
        <f>IF($BI31&lt;&gt;"",IF('Capacity summary'!$D$14="Yes",IF(COUNTBLANK('Capacity summary'!$H150:$BG150)&lt;52,IF('Capacity summary'!AR150&lt;&gt;"",IF(LOWER('Capacity summary'!AR150)="x",$BI31*AR31,VALUE('Capacity summary'!AR150)),0),AR31*$BI31),AR31*$BI31),0)</f>
        <v>0</v>
      </c>
      <c r="CV31" s="311">
        <f>IF($BI31&lt;&gt;"",IF('Capacity summary'!$D$14="Yes",IF(COUNTBLANK('Capacity summary'!$H150:$BG150)&lt;52,IF('Capacity summary'!AS150&lt;&gt;"",IF(LOWER('Capacity summary'!AS150)="x",$BI31*AS31,VALUE('Capacity summary'!AS150)),0),AS31*$BI31),AS31*$BI31),0)</f>
        <v>0</v>
      </c>
      <c r="CW31" s="311">
        <f>IF($BI31&lt;&gt;"",IF('Capacity summary'!$D$14="Yes",IF(COUNTBLANK('Capacity summary'!$H150:$BG150)&lt;52,IF('Capacity summary'!AT150&lt;&gt;"",IF(LOWER('Capacity summary'!AT150)="x",$BI31*AT31,VALUE('Capacity summary'!AT150)),0),AT31*$BI31),AT31*$BI31),0)</f>
        <v>0</v>
      </c>
      <c r="CX31" s="311">
        <f>IF($BI31&lt;&gt;"",IF('Capacity summary'!$D$14="Yes",IF(COUNTBLANK('Capacity summary'!$H150:$BG150)&lt;52,IF('Capacity summary'!AU150&lt;&gt;"",IF(LOWER('Capacity summary'!AU150)="x",$BI31*AU31,VALUE('Capacity summary'!AU150)),0),AU31*$BI31),AU31*$BI31),0)</f>
        <v>0</v>
      </c>
      <c r="CY31" s="311">
        <f>IF($BI31&lt;&gt;"",IF('Capacity summary'!$D$14="Yes",IF(COUNTBLANK('Capacity summary'!$H150:$BG150)&lt;52,IF('Capacity summary'!AV150&lt;&gt;"",IF(LOWER('Capacity summary'!AV150)="x",$BI31*AV31,VALUE('Capacity summary'!AV150)),0),AV31*$BI31),AV31*$BI31),0)</f>
        <v>0</v>
      </c>
      <c r="CZ31" s="311">
        <f>IF($BI31&lt;&gt;"",IF('Capacity summary'!$D$14="Yes",IF(COUNTBLANK('Capacity summary'!$H150:$BG150)&lt;52,IF('Capacity summary'!AW150&lt;&gt;"",IF(LOWER('Capacity summary'!AW150)="x",$BI31*AW31,VALUE('Capacity summary'!AW150)),0),AW31*$BI31),AW31*$BI31),0)</f>
        <v>0</v>
      </c>
      <c r="DA31" s="311">
        <f>IF($BI31&lt;&gt;"",IF('Capacity summary'!$D$14="Yes",IF(COUNTBLANK('Capacity summary'!$H150:$BG150)&lt;52,IF('Capacity summary'!AX150&lt;&gt;"",IF(LOWER('Capacity summary'!AX150)="x",$BI31*AX31,VALUE('Capacity summary'!AX150)),0),AX31*$BI31),AX31*$BI31),0)</f>
        <v>0</v>
      </c>
      <c r="DB31" s="311">
        <f>IF($BI31&lt;&gt;"",IF('Capacity summary'!$D$14="Yes",IF(COUNTBLANK('Capacity summary'!$H150:$BG150)&lt;52,IF('Capacity summary'!AY150&lt;&gt;"",IF(LOWER('Capacity summary'!AY150)="x",$BI31*AY31,VALUE('Capacity summary'!AY150)),0),AY31*$BI31),AY31*$BI31),0)</f>
        <v>0</v>
      </c>
      <c r="DC31" s="311">
        <f>IF($BI31&lt;&gt;"",IF('Capacity summary'!$D$14="Yes",IF(COUNTBLANK('Capacity summary'!$H150:$BG150)&lt;52,IF('Capacity summary'!AZ150&lt;&gt;"",IF(LOWER('Capacity summary'!AZ150)="x",$BI31*AZ31,VALUE('Capacity summary'!AZ150)),0),AZ31*$BI31),AZ31*$BI31),0)</f>
        <v>0</v>
      </c>
      <c r="DD31" s="311">
        <f>IF($BI31&lt;&gt;"",IF('Capacity summary'!$D$14="Yes",IF(COUNTBLANK('Capacity summary'!$H150:$BG150)&lt;52,IF('Capacity summary'!BA150&lt;&gt;"",IF(LOWER('Capacity summary'!BA150)="x",$BI31*BA31,VALUE('Capacity summary'!BA150)),0),BA31*$BI31),BA31*$BI31),0)</f>
        <v>0</v>
      </c>
      <c r="DE31" s="311">
        <f>IF($BI31&lt;&gt;"",IF('Capacity summary'!$D$14="Yes",IF(COUNTBLANK('Capacity summary'!$H150:$BG150)&lt;52,IF('Capacity summary'!BB150&lt;&gt;"",IF(LOWER('Capacity summary'!BB150)="x",$BI31*BB31,VALUE('Capacity summary'!BB150)),0),BB31*$BI31),BB31*$BI31),0)</f>
        <v>0</v>
      </c>
      <c r="DF31" s="311">
        <f>IF($BI31&lt;&gt;"",IF('Capacity summary'!$D$14="Yes",IF(COUNTBLANK('Capacity summary'!$H150:$BG150)&lt;52,IF('Capacity summary'!BC150&lt;&gt;"",IF(LOWER('Capacity summary'!BC150)="x",$BI31*BC31,VALUE('Capacity summary'!BC150)),0),BC31*$BI31),BC31*$BI31),0)</f>
        <v>0</v>
      </c>
      <c r="DG31" s="311">
        <f>IF($BI31&lt;&gt;"",IF('Capacity summary'!$D$14="Yes",IF(COUNTBLANK('Capacity summary'!$H150:$BG150)&lt;52,IF('Capacity summary'!BD150&lt;&gt;"",IF(LOWER('Capacity summary'!BD150)="x",$BI31*BD31,VALUE('Capacity summary'!BD150)),0),BD31*$BI31),BD31*$BI31),0)</f>
        <v>0</v>
      </c>
      <c r="DH31" s="311">
        <f>IF($BI31&lt;&gt;"",IF('Capacity summary'!$D$14="Yes",IF(COUNTBLANK('Capacity summary'!$H150:$BG150)&lt;52,IF('Capacity summary'!BE150&lt;&gt;"",IF(LOWER('Capacity summary'!BE150)="x",$BI31*BE31,VALUE('Capacity summary'!BE150)),0),BE31*$BI31),BE31*$BI31),0)</f>
        <v>0</v>
      </c>
      <c r="DI31" s="311">
        <f>IF($BI31&lt;&gt;"",IF('Capacity summary'!$D$14="Yes",IF(COUNTBLANK('Capacity summary'!$H150:$BG150)&lt;52,IF('Capacity summary'!BF150&lt;&gt;"",IF(LOWER('Capacity summary'!BF150)="x",$BI31*BF31,VALUE('Capacity summary'!BF150)),0),BF31*$BI31),BF31*$BI31),0)</f>
        <v>0</v>
      </c>
      <c r="DJ31" s="311">
        <f>IF($BI31&lt;&gt;"",IF('Capacity summary'!$D$14="Yes",IF(COUNTBLANK('Capacity summary'!$H150:$BG150)&lt;52,IF('Capacity summary'!BG150&lt;&gt;"",IF(LOWER('Capacity summary'!BG150)="x",$BI31*BG31,VALUE('Capacity summary'!BG150)),0),BG31*$BI31),BG31*$BI31),0)</f>
        <v>0</v>
      </c>
      <c r="DK31" s="391">
        <f t="shared" si="2"/>
        <v>0</v>
      </c>
      <c r="DL31" s="136">
        <f t="shared" si="3"/>
        <v>0</v>
      </c>
      <c r="DM31" s="311" t="str">
        <f>Capacity!H43</f>
        <v/>
      </c>
      <c r="DQ31" s="5"/>
    </row>
    <row r="32" spans="1:121" x14ac:dyDescent="0.2">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1">
        <f>IF($BI32&lt;&gt;"",IF('Capacity summary'!$D$14="Yes",IF(COUNTBLANK('Capacity summary'!$H151:$BG151)&lt;52,IF('Capacity summary'!H151&lt;&gt;"",IF(LOWER('Capacity summary'!H151)="x",$BI32*H32,VALUE('Capacity summary'!H151)),0),H32*$BI32),H32*$BI32),0)</f>
        <v>0</v>
      </c>
      <c r="BL32" s="311">
        <f>IF($BI32&lt;&gt;"",IF('Capacity summary'!$D$14="Yes",IF(COUNTBLANK('Capacity summary'!$H151:$BG151)&lt;52,IF('Capacity summary'!I151&lt;&gt;"",IF(LOWER('Capacity summary'!I151)="x",$BI32*I32,VALUE('Capacity summary'!I151)),0),I32*$BI32),I32*$BI32),0)</f>
        <v>0</v>
      </c>
      <c r="BM32" s="311">
        <f>IF($BI32&lt;&gt;"",IF('Capacity summary'!$D$14="Yes",IF(COUNTBLANK('Capacity summary'!$H151:$BG151)&lt;52,IF('Capacity summary'!J151&lt;&gt;"",IF(LOWER('Capacity summary'!J151)="x",$BI32*J32,VALUE('Capacity summary'!J151)),0),J32*$BI32),J32*$BI32),0)</f>
        <v>0</v>
      </c>
      <c r="BN32" s="311">
        <f>IF($BI32&lt;&gt;"",IF('Capacity summary'!$D$14="Yes",IF(COUNTBLANK('Capacity summary'!$H151:$BG151)&lt;52,IF('Capacity summary'!K151&lt;&gt;"",IF(LOWER('Capacity summary'!K151)="x",$BI32*K32,VALUE('Capacity summary'!K151)),0),K32*$BI32),K32*$BI32),0)</f>
        <v>0</v>
      </c>
      <c r="BO32" s="311">
        <f>IF($BI32&lt;&gt;"",IF('Capacity summary'!$D$14="Yes",IF(COUNTBLANK('Capacity summary'!$H151:$BG151)&lt;52,IF('Capacity summary'!L151&lt;&gt;"",IF(LOWER('Capacity summary'!L151)="x",$BI32*L32,VALUE('Capacity summary'!L151)),0),L32*$BI32),L32*$BI32),0)</f>
        <v>0</v>
      </c>
      <c r="BP32" s="311">
        <f>IF($BI32&lt;&gt;"",IF('Capacity summary'!$D$14="Yes",IF(COUNTBLANK('Capacity summary'!$H151:$BG151)&lt;52,IF('Capacity summary'!M151&lt;&gt;"",IF(LOWER('Capacity summary'!M151)="x",$BI32*M32,VALUE('Capacity summary'!M151)),0),M32*$BI32),M32*$BI32),0)</f>
        <v>0</v>
      </c>
      <c r="BQ32" s="311">
        <f>IF($BI32&lt;&gt;"",IF('Capacity summary'!$D$14="Yes",IF(COUNTBLANK('Capacity summary'!$H151:$BG151)&lt;52,IF('Capacity summary'!N151&lt;&gt;"",IF(LOWER('Capacity summary'!N151)="x",$BI32*N32,VALUE('Capacity summary'!N151)),0),N32*$BI32),N32*$BI32),0)</f>
        <v>0</v>
      </c>
      <c r="BR32" s="311">
        <f>IF($BI32&lt;&gt;"",IF('Capacity summary'!$D$14="Yes",IF(COUNTBLANK('Capacity summary'!$H151:$BG151)&lt;52,IF('Capacity summary'!O151&lt;&gt;"",IF(LOWER('Capacity summary'!O151)="x",$BI32*O32,VALUE('Capacity summary'!O151)),0),O32*$BI32),O32*$BI32),0)</f>
        <v>0</v>
      </c>
      <c r="BS32" s="311">
        <f>IF($BI32&lt;&gt;"",IF('Capacity summary'!$D$14="Yes",IF(COUNTBLANK('Capacity summary'!$H151:$BG151)&lt;52,IF('Capacity summary'!P151&lt;&gt;"",IF(LOWER('Capacity summary'!P151)="x",$BI32*P32,VALUE('Capacity summary'!P151)),0),P32*$BI32),P32*$BI32),0)</f>
        <v>0</v>
      </c>
      <c r="BT32" s="311">
        <f>IF($BI32&lt;&gt;"",IF('Capacity summary'!$D$14="Yes",IF(COUNTBLANK('Capacity summary'!$H151:$BG151)&lt;52,IF('Capacity summary'!Q151&lt;&gt;"",IF(LOWER('Capacity summary'!Q151)="x",$BI32*Q32,VALUE('Capacity summary'!Q151)),0),Q32*$BI32),Q32*$BI32),0)</f>
        <v>0</v>
      </c>
      <c r="BU32" s="311">
        <f>IF($BI32&lt;&gt;"",IF('Capacity summary'!$D$14="Yes",IF(COUNTBLANK('Capacity summary'!$H151:$BG151)&lt;52,IF('Capacity summary'!R151&lt;&gt;"",IF(LOWER('Capacity summary'!R151)="x",$BI32*R32,VALUE('Capacity summary'!R151)),0),R32*$BI32),R32*$BI32),0)</f>
        <v>0</v>
      </c>
      <c r="BV32" s="311">
        <f>IF($BI32&lt;&gt;"",IF('Capacity summary'!$D$14="Yes",IF(COUNTBLANK('Capacity summary'!$H151:$BG151)&lt;52,IF('Capacity summary'!S151&lt;&gt;"",IF(LOWER('Capacity summary'!S151)="x",$BI32*S32,VALUE('Capacity summary'!S151)),0),S32*$BI32),S32*$BI32),0)</f>
        <v>0</v>
      </c>
      <c r="BW32" s="311">
        <f>IF($BI32&lt;&gt;"",IF('Capacity summary'!$D$14="Yes",IF(COUNTBLANK('Capacity summary'!$H151:$BG151)&lt;52,IF('Capacity summary'!T151&lt;&gt;"",IF(LOWER('Capacity summary'!T151)="x",$BI32*T32,VALUE('Capacity summary'!T151)),0),T32*$BI32),T32*$BI32),0)</f>
        <v>0</v>
      </c>
      <c r="BX32" s="311">
        <f>IF($BI32&lt;&gt;"",IF('Capacity summary'!$D$14="Yes",IF(COUNTBLANK('Capacity summary'!$H151:$BG151)&lt;52,IF('Capacity summary'!U151&lt;&gt;"",IF(LOWER('Capacity summary'!U151)="x",$BI32*U32,VALUE('Capacity summary'!U151)),0),U32*$BI32),U32*$BI32),0)</f>
        <v>0</v>
      </c>
      <c r="BY32" s="311">
        <f>IF($BI32&lt;&gt;"",IF('Capacity summary'!$D$14="Yes",IF(COUNTBLANK('Capacity summary'!$H151:$BG151)&lt;52,IF('Capacity summary'!V151&lt;&gt;"",IF(LOWER('Capacity summary'!V151)="x",$BI32*V32,VALUE('Capacity summary'!V151)),0),V32*$BI32),V32*$BI32),0)</f>
        <v>0</v>
      </c>
      <c r="BZ32" s="311">
        <f>IF($BI32&lt;&gt;"",IF('Capacity summary'!$D$14="Yes",IF(COUNTBLANK('Capacity summary'!$H151:$BG151)&lt;52,IF('Capacity summary'!W151&lt;&gt;"",IF(LOWER('Capacity summary'!W151)="x",$BI32*W32,VALUE('Capacity summary'!W151)),0),W32*$BI32),W32*$BI32),0)</f>
        <v>0</v>
      </c>
      <c r="CA32" s="311">
        <f>IF($BI32&lt;&gt;"",IF('Capacity summary'!$D$14="Yes",IF(COUNTBLANK('Capacity summary'!$H151:$BG151)&lt;52,IF('Capacity summary'!X151&lt;&gt;"",IF(LOWER('Capacity summary'!X151)="x",$BI32*X32,VALUE('Capacity summary'!X151)),0),X32*$BI32),X32*$BI32),0)</f>
        <v>0</v>
      </c>
      <c r="CB32" s="311">
        <f>IF($BI32&lt;&gt;"",IF('Capacity summary'!$D$14="Yes",IF(COUNTBLANK('Capacity summary'!$H151:$BG151)&lt;52,IF('Capacity summary'!Y151&lt;&gt;"",IF(LOWER('Capacity summary'!Y151)="x",$BI32*Y32,VALUE('Capacity summary'!Y151)),0),Y32*$BI32),Y32*$BI32),0)</f>
        <v>0</v>
      </c>
      <c r="CC32" s="311">
        <f>IF($BI32&lt;&gt;"",IF('Capacity summary'!$D$14="Yes",IF(COUNTBLANK('Capacity summary'!$H151:$BG151)&lt;52,IF('Capacity summary'!Z151&lt;&gt;"",IF(LOWER('Capacity summary'!Z151)="x",$BI32*Z32,VALUE('Capacity summary'!Z151)),0),Z32*$BI32),Z32*$BI32),0)</f>
        <v>0</v>
      </c>
      <c r="CD32" s="311">
        <f>IF($BI32&lt;&gt;"",IF('Capacity summary'!$D$14="Yes",IF(COUNTBLANK('Capacity summary'!$H151:$BG151)&lt;52,IF('Capacity summary'!AA151&lt;&gt;"",IF(LOWER('Capacity summary'!AA151)="x",$BI32*AA32,VALUE('Capacity summary'!AA151)),0),AA32*$BI32),AA32*$BI32),0)</f>
        <v>0</v>
      </c>
      <c r="CE32" s="311">
        <f>IF($BI32&lt;&gt;"",IF('Capacity summary'!$D$14="Yes",IF(COUNTBLANK('Capacity summary'!$H151:$BG151)&lt;52,IF('Capacity summary'!AB151&lt;&gt;"",IF(LOWER('Capacity summary'!AB151)="x",$BI32*AB32,VALUE('Capacity summary'!AB151)),0),AB32*$BI32),AB32*$BI32),0)</f>
        <v>0</v>
      </c>
      <c r="CF32" s="311">
        <f>IF($BI32&lt;&gt;"",IF('Capacity summary'!$D$14="Yes",IF(COUNTBLANK('Capacity summary'!$H151:$BG151)&lt;52,IF('Capacity summary'!AC151&lt;&gt;"",IF(LOWER('Capacity summary'!AC151)="x",$BI32*AC32,VALUE('Capacity summary'!AC151)),0),AC32*$BI32),AC32*$BI32),0)</f>
        <v>0</v>
      </c>
      <c r="CG32" s="311">
        <f>IF($BI32&lt;&gt;"",IF('Capacity summary'!$D$14="Yes",IF(COUNTBLANK('Capacity summary'!$H151:$BG151)&lt;52,IF('Capacity summary'!AD151&lt;&gt;"",IF(LOWER('Capacity summary'!AD151)="x",$BI32*AD32,VALUE('Capacity summary'!AD151)),0),AD32*$BI32),AD32*$BI32),0)</f>
        <v>0</v>
      </c>
      <c r="CH32" s="311">
        <f>IF($BI32&lt;&gt;"",IF('Capacity summary'!$D$14="Yes",IF(COUNTBLANK('Capacity summary'!$H151:$BG151)&lt;52,IF('Capacity summary'!AE151&lt;&gt;"",IF(LOWER('Capacity summary'!AE151)="x",$BI32*AE32,VALUE('Capacity summary'!AE151)),0),AE32*$BI32),AE32*$BI32),0)</f>
        <v>0</v>
      </c>
      <c r="CI32" s="311">
        <f>IF($BI32&lt;&gt;"",IF('Capacity summary'!$D$14="Yes",IF(COUNTBLANK('Capacity summary'!$H151:$BG151)&lt;52,IF('Capacity summary'!AF151&lt;&gt;"",IF(LOWER('Capacity summary'!AF151)="x",$BI32*AF32,VALUE('Capacity summary'!AF151)),0),AF32*$BI32),AF32*$BI32),0)</f>
        <v>0</v>
      </c>
      <c r="CJ32" s="311">
        <f>IF($BI32&lt;&gt;"",IF('Capacity summary'!$D$14="Yes",IF(COUNTBLANK('Capacity summary'!$H151:$BG151)&lt;52,IF('Capacity summary'!AG151&lt;&gt;"",IF(LOWER('Capacity summary'!AG151)="x",$BI32*AG32,VALUE('Capacity summary'!AG151)),0),AG32*$BI32),AG32*$BI32),0)</f>
        <v>0</v>
      </c>
      <c r="CK32" s="311">
        <f>IF($BI32&lt;&gt;"",IF('Capacity summary'!$D$14="Yes",IF(COUNTBLANK('Capacity summary'!$H151:$BG151)&lt;52,IF('Capacity summary'!AH151&lt;&gt;"",IF(LOWER('Capacity summary'!AH151)="x",$BI32*AH32,VALUE('Capacity summary'!AH151)),0),AH32*$BI32),AH32*$BI32),0)</f>
        <v>0</v>
      </c>
      <c r="CL32" s="311">
        <f>IF($BI32&lt;&gt;"",IF('Capacity summary'!$D$14="Yes",IF(COUNTBLANK('Capacity summary'!$H151:$BG151)&lt;52,IF('Capacity summary'!AI151&lt;&gt;"",IF(LOWER('Capacity summary'!AI151)="x",$BI32*AI32,VALUE('Capacity summary'!AI151)),0),AI32*$BI32),AI32*$BI32),0)</f>
        <v>0</v>
      </c>
      <c r="CM32" s="311">
        <f>IF($BI32&lt;&gt;"",IF('Capacity summary'!$D$14="Yes",IF(COUNTBLANK('Capacity summary'!$H151:$BG151)&lt;52,IF('Capacity summary'!AJ151&lt;&gt;"",IF(LOWER('Capacity summary'!AJ151)="x",$BI32*AJ32,VALUE('Capacity summary'!AJ151)),0),AJ32*$BI32),AJ32*$BI32),0)</f>
        <v>0</v>
      </c>
      <c r="CN32" s="311">
        <f>IF($BI32&lt;&gt;"",IF('Capacity summary'!$D$14="Yes",IF(COUNTBLANK('Capacity summary'!$H151:$BG151)&lt;52,IF('Capacity summary'!AK151&lt;&gt;"",IF(LOWER('Capacity summary'!AK151)="x",$BI32*AK32,VALUE('Capacity summary'!AK151)),0),AK32*$BI32),AK32*$BI32),0)</f>
        <v>0</v>
      </c>
      <c r="CO32" s="311">
        <f>IF($BI32&lt;&gt;"",IF('Capacity summary'!$D$14="Yes",IF(COUNTBLANK('Capacity summary'!$H151:$BG151)&lt;52,IF('Capacity summary'!AL151&lt;&gt;"",IF(LOWER('Capacity summary'!AL151)="x",$BI32*AL32,VALUE('Capacity summary'!AL151)),0),AL32*$BI32),AL32*$BI32),0)</f>
        <v>0</v>
      </c>
      <c r="CP32" s="311">
        <f>IF($BI32&lt;&gt;"",IF('Capacity summary'!$D$14="Yes",IF(COUNTBLANK('Capacity summary'!$H151:$BG151)&lt;52,IF('Capacity summary'!AM151&lt;&gt;"",IF(LOWER('Capacity summary'!AM151)="x",$BI32*AM32,VALUE('Capacity summary'!AM151)),0),AM32*$BI32),AM32*$BI32),0)</f>
        <v>0</v>
      </c>
      <c r="CQ32" s="311">
        <f>IF($BI32&lt;&gt;"",IF('Capacity summary'!$D$14="Yes",IF(COUNTBLANK('Capacity summary'!$H151:$BG151)&lt;52,IF('Capacity summary'!AN151&lt;&gt;"",IF(LOWER('Capacity summary'!AN151)="x",$BI32*AN32,VALUE('Capacity summary'!AN151)),0),AN32*$BI32),AN32*$BI32),0)</f>
        <v>0</v>
      </c>
      <c r="CR32" s="311">
        <f>IF($BI32&lt;&gt;"",IF('Capacity summary'!$D$14="Yes",IF(COUNTBLANK('Capacity summary'!$H151:$BG151)&lt;52,IF('Capacity summary'!AO151&lt;&gt;"",IF(LOWER('Capacity summary'!AO151)="x",$BI32*AO32,VALUE('Capacity summary'!AO151)),0),AO32*$BI32),AO32*$BI32),0)</f>
        <v>0</v>
      </c>
      <c r="CS32" s="311">
        <f>IF($BI32&lt;&gt;"",IF('Capacity summary'!$D$14="Yes",IF(COUNTBLANK('Capacity summary'!$H151:$BG151)&lt;52,IF('Capacity summary'!AP151&lt;&gt;"",IF(LOWER('Capacity summary'!AP151)="x",$BI32*AP32,VALUE('Capacity summary'!AP151)),0),AP32*$BI32),AP32*$BI32),0)</f>
        <v>0</v>
      </c>
      <c r="CT32" s="311">
        <f>IF($BI32&lt;&gt;"",IF('Capacity summary'!$D$14="Yes",IF(COUNTBLANK('Capacity summary'!$H151:$BG151)&lt;52,IF('Capacity summary'!AQ151&lt;&gt;"",IF(LOWER('Capacity summary'!AQ151)="x",$BI32*AQ32,VALUE('Capacity summary'!AQ151)),0),AQ32*$BI32),AQ32*$BI32),0)</f>
        <v>0</v>
      </c>
      <c r="CU32" s="311">
        <f>IF($BI32&lt;&gt;"",IF('Capacity summary'!$D$14="Yes",IF(COUNTBLANK('Capacity summary'!$H151:$BG151)&lt;52,IF('Capacity summary'!AR151&lt;&gt;"",IF(LOWER('Capacity summary'!AR151)="x",$BI32*AR32,VALUE('Capacity summary'!AR151)),0),AR32*$BI32),AR32*$BI32),0)</f>
        <v>0</v>
      </c>
      <c r="CV32" s="311">
        <f>IF($BI32&lt;&gt;"",IF('Capacity summary'!$D$14="Yes",IF(COUNTBLANK('Capacity summary'!$H151:$BG151)&lt;52,IF('Capacity summary'!AS151&lt;&gt;"",IF(LOWER('Capacity summary'!AS151)="x",$BI32*AS32,VALUE('Capacity summary'!AS151)),0),AS32*$BI32),AS32*$BI32),0)</f>
        <v>0</v>
      </c>
      <c r="CW32" s="311">
        <f>IF($BI32&lt;&gt;"",IF('Capacity summary'!$D$14="Yes",IF(COUNTBLANK('Capacity summary'!$H151:$BG151)&lt;52,IF('Capacity summary'!AT151&lt;&gt;"",IF(LOWER('Capacity summary'!AT151)="x",$BI32*AT32,VALUE('Capacity summary'!AT151)),0),AT32*$BI32),AT32*$BI32),0)</f>
        <v>0</v>
      </c>
      <c r="CX32" s="311">
        <f>IF($BI32&lt;&gt;"",IF('Capacity summary'!$D$14="Yes",IF(COUNTBLANK('Capacity summary'!$H151:$BG151)&lt;52,IF('Capacity summary'!AU151&lt;&gt;"",IF(LOWER('Capacity summary'!AU151)="x",$BI32*AU32,VALUE('Capacity summary'!AU151)),0),AU32*$BI32),AU32*$BI32),0)</f>
        <v>0</v>
      </c>
      <c r="CY32" s="311">
        <f>IF($BI32&lt;&gt;"",IF('Capacity summary'!$D$14="Yes",IF(COUNTBLANK('Capacity summary'!$H151:$BG151)&lt;52,IF('Capacity summary'!AV151&lt;&gt;"",IF(LOWER('Capacity summary'!AV151)="x",$BI32*AV32,VALUE('Capacity summary'!AV151)),0),AV32*$BI32),AV32*$BI32),0)</f>
        <v>0</v>
      </c>
      <c r="CZ32" s="311">
        <f>IF($BI32&lt;&gt;"",IF('Capacity summary'!$D$14="Yes",IF(COUNTBLANK('Capacity summary'!$H151:$BG151)&lt;52,IF('Capacity summary'!AW151&lt;&gt;"",IF(LOWER('Capacity summary'!AW151)="x",$BI32*AW32,VALUE('Capacity summary'!AW151)),0),AW32*$BI32),AW32*$BI32),0)</f>
        <v>0</v>
      </c>
      <c r="DA32" s="311">
        <f>IF($BI32&lt;&gt;"",IF('Capacity summary'!$D$14="Yes",IF(COUNTBLANK('Capacity summary'!$H151:$BG151)&lt;52,IF('Capacity summary'!AX151&lt;&gt;"",IF(LOWER('Capacity summary'!AX151)="x",$BI32*AX32,VALUE('Capacity summary'!AX151)),0),AX32*$BI32),AX32*$BI32),0)</f>
        <v>0</v>
      </c>
      <c r="DB32" s="311">
        <f>IF($BI32&lt;&gt;"",IF('Capacity summary'!$D$14="Yes",IF(COUNTBLANK('Capacity summary'!$H151:$BG151)&lt;52,IF('Capacity summary'!AY151&lt;&gt;"",IF(LOWER('Capacity summary'!AY151)="x",$BI32*AY32,VALUE('Capacity summary'!AY151)),0),AY32*$BI32),AY32*$BI32),0)</f>
        <v>0</v>
      </c>
      <c r="DC32" s="311">
        <f>IF($BI32&lt;&gt;"",IF('Capacity summary'!$D$14="Yes",IF(COUNTBLANK('Capacity summary'!$H151:$BG151)&lt;52,IF('Capacity summary'!AZ151&lt;&gt;"",IF(LOWER('Capacity summary'!AZ151)="x",$BI32*AZ32,VALUE('Capacity summary'!AZ151)),0),AZ32*$BI32),AZ32*$BI32),0)</f>
        <v>0</v>
      </c>
      <c r="DD32" s="311">
        <f>IF($BI32&lt;&gt;"",IF('Capacity summary'!$D$14="Yes",IF(COUNTBLANK('Capacity summary'!$H151:$BG151)&lt;52,IF('Capacity summary'!BA151&lt;&gt;"",IF(LOWER('Capacity summary'!BA151)="x",$BI32*BA32,VALUE('Capacity summary'!BA151)),0),BA32*$BI32),BA32*$BI32),0)</f>
        <v>0</v>
      </c>
      <c r="DE32" s="311">
        <f>IF($BI32&lt;&gt;"",IF('Capacity summary'!$D$14="Yes",IF(COUNTBLANK('Capacity summary'!$H151:$BG151)&lt;52,IF('Capacity summary'!BB151&lt;&gt;"",IF(LOWER('Capacity summary'!BB151)="x",$BI32*BB32,VALUE('Capacity summary'!BB151)),0),BB32*$BI32),BB32*$BI32),0)</f>
        <v>0</v>
      </c>
      <c r="DF32" s="311">
        <f>IF($BI32&lt;&gt;"",IF('Capacity summary'!$D$14="Yes",IF(COUNTBLANK('Capacity summary'!$H151:$BG151)&lt;52,IF('Capacity summary'!BC151&lt;&gt;"",IF(LOWER('Capacity summary'!BC151)="x",$BI32*BC32,VALUE('Capacity summary'!BC151)),0),BC32*$BI32),BC32*$BI32),0)</f>
        <v>0</v>
      </c>
      <c r="DG32" s="311">
        <f>IF($BI32&lt;&gt;"",IF('Capacity summary'!$D$14="Yes",IF(COUNTBLANK('Capacity summary'!$H151:$BG151)&lt;52,IF('Capacity summary'!BD151&lt;&gt;"",IF(LOWER('Capacity summary'!BD151)="x",$BI32*BD32,VALUE('Capacity summary'!BD151)),0),BD32*$BI32),BD32*$BI32),0)</f>
        <v>0</v>
      </c>
      <c r="DH32" s="311">
        <f>IF($BI32&lt;&gt;"",IF('Capacity summary'!$D$14="Yes",IF(COUNTBLANK('Capacity summary'!$H151:$BG151)&lt;52,IF('Capacity summary'!BE151&lt;&gt;"",IF(LOWER('Capacity summary'!BE151)="x",$BI32*BE32,VALUE('Capacity summary'!BE151)),0),BE32*$BI32),BE32*$BI32),0)</f>
        <v>0</v>
      </c>
      <c r="DI32" s="311">
        <f>IF($BI32&lt;&gt;"",IF('Capacity summary'!$D$14="Yes",IF(COUNTBLANK('Capacity summary'!$H151:$BG151)&lt;52,IF('Capacity summary'!BF151&lt;&gt;"",IF(LOWER('Capacity summary'!BF151)="x",$BI32*BF32,VALUE('Capacity summary'!BF151)),0),BF32*$BI32),BF32*$BI32),0)</f>
        <v>0</v>
      </c>
      <c r="DJ32" s="311">
        <f>IF($BI32&lt;&gt;"",IF('Capacity summary'!$D$14="Yes",IF(COUNTBLANK('Capacity summary'!$H151:$BG151)&lt;52,IF('Capacity summary'!BG151&lt;&gt;"",IF(LOWER('Capacity summary'!BG151)="x",$BI32*BG32,VALUE('Capacity summary'!BG151)),0),BG32*$BI32),BG32*$BI32),0)</f>
        <v>0</v>
      </c>
      <c r="DK32" s="391">
        <f t="shared" si="2"/>
        <v>0</v>
      </c>
      <c r="DL32" s="136">
        <f t="shared" si="3"/>
        <v>0</v>
      </c>
      <c r="DM32" s="311" t="str">
        <f>Capacity!H44</f>
        <v/>
      </c>
      <c r="DQ32" s="5"/>
    </row>
    <row r="33" spans="1:121" x14ac:dyDescent="0.2">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1">
        <f>IF($BI33&lt;&gt;"",IF('Capacity summary'!$D$14="Yes",IF(COUNTBLANK('Capacity summary'!$H152:$BG152)&lt;52,IF('Capacity summary'!H152&lt;&gt;"",IF(LOWER('Capacity summary'!H152)="x",$BI33*H33,VALUE('Capacity summary'!H152)),0),H33*$BI33),H33*$BI33),0)</f>
        <v>0</v>
      </c>
      <c r="BL33" s="311">
        <f>IF($BI33&lt;&gt;"",IF('Capacity summary'!$D$14="Yes",IF(COUNTBLANK('Capacity summary'!$H152:$BG152)&lt;52,IF('Capacity summary'!I152&lt;&gt;"",IF(LOWER('Capacity summary'!I152)="x",$BI33*I33,VALUE('Capacity summary'!I152)),0),I33*$BI33),I33*$BI33),0)</f>
        <v>0</v>
      </c>
      <c r="BM33" s="311">
        <f>IF($BI33&lt;&gt;"",IF('Capacity summary'!$D$14="Yes",IF(COUNTBLANK('Capacity summary'!$H152:$BG152)&lt;52,IF('Capacity summary'!J152&lt;&gt;"",IF(LOWER('Capacity summary'!J152)="x",$BI33*J33,VALUE('Capacity summary'!J152)),0),J33*$BI33),J33*$BI33),0)</f>
        <v>0</v>
      </c>
      <c r="BN33" s="311">
        <f>IF($BI33&lt;&gt;"",IF('Capacity summary'!$D$14="Yes",IF(COUNTBLANK('Capacity summary'!$H152:$BG152)&lt;52,IF('Capacity summary'!K152&lt;&gt;"",IF(LOWER('Capacity summary'!K152)="x",$BI33*K33,VALUE('Capacity summary'!K152)),0),K33*$BI33),K33*$BI33),0)</f>
        <v>0</v>
      </c>
      <c r="BO33" s="311">
        <f>IF($BI33&lt;&gt;"",IF('Capacity summary'!$D$14="Yes",IF(COUNTBLANK('Capacity summary'!$H152:$BG152)&lt;52,IF('Capacity summary'!L152&lt;&gt;"",IF(LOWER('Capacity summary'!L152)="x",$BI33*L33,VALUE('Capacity summary'!L152)),0),L33*$BI33),L33*$BI33),0)</f>
        <v>0</v>
      </c>
      <c r="BP33" s="311">
        <f>IF($BI33&lt;&gt;"",IF('Capacity summary'!$D$14="Yes",IF(COUNTBLANK('Capacity summary'!$H152:$BG152)&lt;52,IF('Capacity summary'!M152&lt;&gt;"",IF(LOWER('Capacity summary'!M152)="x",$BI33*M33,VALUE('Capacity summary'!M152)),0),M33*$BI33),M33*$BI33),0)</f>
        <v>0</v>
      </c>
      <c r="BQ33" s="311">
        <f>IF($BI33&lt;&gt;"",IF('Capacity summary'!$D$14="Yes",IF(COUNTBLANK('Capacity summary'!$H152:$BG152)&lt;52,IF('Capacity summary'!N152&lt;&gt;"",IF(LOWER('Capacity summary'!N152)="x",$BI33*N33,VALUE('Capacity summary'!N152)),0),N33*$BI33),N33*$BI33),0)</f>
        <v>0</v>
      </c>
      <c r="BR33" s="311">
        <f>IF($BI33&lt;&gt;"",IF('Capacity summary'!$D$14="Yes",IF(COUNTBLANK('Capacity summary'!$H152:$BG152)&lt;52,IF('Capacity summary'!O152&lt;&gt;"",IF(LOWER('Capacity summary'!O152)="x",$BI33*O33,VALUE('Capacity summary'!O152)),0),O33*$BI33),O33*$BI33),0)</f>
        <v>0</v>
      </c>
      <c r="BS33" s="311">
        <f>IF($BI33&lt;&gt;"",IF('Capacity summary'!$D$14="Yes",IF(COUNTBLANK('Capacity summary'!$H152:$BG152)&lt;52,IF('Capacity summary'!P152&lt;&gt;"",IF(LOWER('Capacity summary'!P152)="x",$BI33*P33,VALUE('Capacity summary'!P152)),0),P33*$BI33),P33*$BI33),0)</f>
        <v>0</v>
      </c>
      <c r="BT33" s="311">
        <f>IF($BI33&lt;&gt;"",IF('Capacity summary'!$D$14="Yes",IF(COUNTBLANK('Capacity summary'!$H152:$BG152)&lt;52,IF('Capacity summary'!Q152&lt;&gt;"",IF(LOWER('Capacity summary'!Q152)="x",$BI33*Q33,VALUE('Capacity summary'!Q152)),0),Q33*$BI33),Q33*$BI33),0)</f>
        <v>0</v>
      </c>
      <c r="BU33" s="311">
        <f>IF($BI33&lt;&gt;"",IF('Capacity summary'!$D$14="Yes",IF(COUNTBLANK('Capacity summary'!$H152:$BG152)&lt;52,IF('Capacity summary'!R152&lt;&gt;"",IF(LOWER('Capacity summary'!R152)="x",$BI33*R33,VALUE('Capacity summary'!R152)),0),R33*$BI33),R33*$BI33),0)</f>
        <v>0</v>
      </c>
      <c r="BV33" s="311">
        <f>IF($BI33&lt;&gt;"",IF('Capacity summary'!$D$14="Yes",IF(COUNTBLANK('Capacity summary'!$H152:$BG152)&lt;52,IF('Capacity summary'!S152&lt;&gt;"",IF(LOWER('Capacity summary'!S152)="x",$BI33*S33,VALUE('Capacity summary'!S152)),0),S33*$BI33),S33*$BI33),0)</f>
        <v>0</v>
      </c>
      <c r="BW33" s="311">
        <f>IF($BI33&lt;&gt;"",IF('Capacity summary'!$D$14="Yes",IF(COUNTBLANK('Capacity summary'!$H152:$BG152)&lt;52,IF('Capacity summary'!T152&lt;&gt;"",IF(LOWER('Capacity summary'!T152)="x",$BI33*T33,VALUE('Capacity summary'!T152)),0),T33*$BI33),T33*$BI33),0)</f>
        <v>0</v>
      </c>
      <c r="BX33" s="311">
        <f>IF($BI33&lt;&gt;"",IF('Capacity summary'!$D$14="Yes",IF(COUNTBLANK('Capacity summary'!$H152:$BG152)&lt;52,IF('Capacity summary'!U152&lt;&gt;"",IF(LOWER('Capacity summary'!U152)="x",$BI33*U33,VALUE('Capacity summary'!U152)),0),U33*$BI33),U33*$BI33),0)</f>
        <v>0</v>
      </c>
      <c r="BY33" s="311">
        <f>IF($BI33&lt;&gt;"",IF('Capacity summary'!$D$14="Yes",IF(COUNTBLANK('Capacity summary'!$H152:$BG152)&lt;52,IF('Capacity summary'!V152&lt;&gt;"",IF(LOWER('Capacity summary'!V152)="x",$BI33*V33,VALUE('Capacity summary'!V152)),0),V33*$BI33),V33*$BI33),0)</f>
        <v>0</v>
      </c>
      <c r="BZ33" s="311">
        <f>IF($BI33&lt;&gt;"",IF('Capacity summary'!$D$14="Yes",IF(COUNTBLANK('Capacity summary'!$H152:$BG152)&lt;52,IF('Capacity summary'!W152&lt;&gt;"",IF(LOWER('Capacity summary'!W152)="x",$BI33*W33,VALUE('Capacity summary'!W152)),0),W33*$BI33),W33*$BI33),0)</f>
        <v>0</v>
      </c>
      <c r="CA33" s="311">
        <f>IF($BI33&lt;&gt;"",IF('Capacity summary'!$D$14="Yes",IF(COUNTBLANK('Capacity summary'!$H152:$BG152)&lt;52,IF('Capacity summary'!X152&lt;&gt;"",IF(LOWER('Capacity summary'!X152)="x",$BI33*X33,VALUE('Capacity summary'!X152)),0),X33*$BI33),X33*$BI33),0)</f>
        <v>0</v>
      </c>
      <c r="CB33" s="311">
        <f>IF($BI33&lt;&gt;"",IF('Capacity summary'!$D$14="Yes",IF(COUNTBLANK('Capacity summary'!$H152:$BG152)&lt;52,IF('Capacity summary'!Y152&lt;&gt;"",IF(LOWER('Capacity summary'!Y152)="x",$BI33*Y33,VALUE('Capacity summary'!Y152)),0),Y33*$BI33),Y33*$BI33),0)</f>
        <v>0</v>
      </c>
      <c r="CC33" s="311">
        <f>IF($BI33&lt;&gt;"",IF('Capacity summary'!$D$14="Yes",IF(COUNTBLANK('Capacity summary'!$H152:$BG152)&lt;52,IF('Capacity summary'!Z152&lt;&gt;"",IF(LOWER('Capacity summary'!Z152)="x",$BI33*Z33,VALUE('Capacity summary'!Z152)),0),Z33*$BI33),Z33*$BI33),0)</f>
        <v>0</v>
      </c>
      <c r="CD33" s="311">
        <f>IF($BI33&lt;&gt;"",IF('Capacity summary'!$D$14="Yes",IF(COUNTBLANK('Capacity summary'!$H152:$BG152)&lt;52,IF('Capacity summary'!AA152&lt;&gt;"",IF(LOWER('Capacity summary'!AA152)="x",$BI33*AA33,VALUE('Capacity summary'!AA152)),0),AA33*$BI33),AA33*$BI33),0)</f>
        <v>0</v>
      </c>
      <c r="CE33" s="311">
        <f>IF($BI33&lt;&gt;"",IF('Capacity summary'!$D$14="Yes",IF(COUNTBLANK('Capacity summary'!$H152:$BG152)&lt;52,IF('Capacity summary'!AB152&lt;&gt;"",IF(LOWER('Capacity summary'!AB152)="x",$BI33*AB33,VALUE('Capacity summary'!AB152)),0),AB33*$BI33),AB33*$BI33),0)</f>
        <v>0</v>
      </c>
      <c r="CF33" s="311">
        <f>IF($BI33&lt;&gt;"",IF('Capacity summary'!$D$14="Yes",IF(COUNTBLANK('Capacity summary'!$H152:$BG152)&lt;52,IF('Capacity summary'!AC152&lt;&gt;"",IF(LOWER('Capacity summary'!AC152)="x",$BI33*AC33,VALUE('Capacity summary'!AC152)),0),AC33*$BI33),AC33*$BI33),0)</f>
        <v>0</v>
      </c>
      <c r="CG33" s="311">
        <f>IF($BI33&lt;&gt;"",IF('Capacity summary'!$D$14="Yes",IF(COUNTBLANK('Capacity summary'!$H152:$BG152)&lt;52,IF('Capacity summary'!AD152&lt;&gt;"",IF(LOWER('Capacity summary'!AD152)="x",$BI33*AD33,VALUE('Capacity summary'!AD152)),0),AD33*$BI33),AD33*$BI33),0)</f>
        <v>0</v>
      </c>
      <c r="CH33" s="311">
        <f>IF($BI33&lt;&gt;"",IF('Capacity summary'!$D$14="Yes",IF(COUNTBLANK('Capacity summary'!$H152:$BG152)&lt;52,IF('Capacity summary'!AE152&lt;&gt;"",IF(LOWER('Capacity summary'!AE152)="x",$BI33*AE33,VALUE('Capacity summary'!AE152)),0),AE33*$BI33),AE33*$BI33),0)</f>
        <v>0</v>
      </c>
      <c r="CI33" s="311">
        <f>IF($BI33&lt;&gt;"",IF('Capacity summary'!$D$14="Yes",IF(COUNTBLANK('Capacity summary'!$H152:$BG152)&lt;52,IF('Capacity summary'!AF152&lt;&gt;"",IF(LOWER('Capacity summary'!AF152)="x",$BI33*AF33,VALUE('Capacity summary'!AF152)),0),AF33*$BI33),AF33*$BI33),0)</f>
        <v>0</v>
      </c>
      <c r="CJ33" s="311">
        <f>IF($BI33&lt;&gt;"",IF('Capacity summary'!$D$14="Yes",IF(COUNTBLANK('Capacity summary'!$H152:$BG152)&lt;52,IF('Capacity summary'!AG152&lt;&gt;"",IF(LOWER('Capacity summary'!AG152)="x",$BI33*AG33,VALUE('Capacity summary'!AG152)),0),AG33*$BI33),AG33*$BI33),0)</f>
        <v>0</v>
      </c>
      <c r="CK33" s="311">
        <f>IF($BI33&lt;&gt;"",IF('Capacity summary'!$D$14="Yes",IF(COUNTBLANK('Capacity summary'!$H152:$BG152)&lt;52,IF('Capacity summary'!AH152&lt;&gt;"",IF(LOWER('Capacity summary'!AH152)="x",$BI33*AH33,VALUE('Capacity summary'!AH152)),0),AH33*$BI33),AH33*$BI33),0)</f>
        <v>0</v>
      </c>
      <c r="CL33" s="311">
        <f>IF($BI33&lt;&gt;"",IF('Capacity summary'!$D$14="Yes",IF(COUNTBLANK('Capacity summary'!$H152:$BG152)&lt;52,IF('Capacity summary'!AI152&lt;&gt;"",IF(LOWER('Capacity summary'!AI152)="x",$BI33*AI33,VALUE('Capacity summary'!AI152)),0),AI33*$BI33),AI33*$BI33),0)</f>
        <v>0</v>
      </c>
      <c r="CM33" s="311">
        <f>IF($BI33&lt;&gt;"",IF('Capacity summary'!$D$14="Yes",IF(COUNTBLANK('Capacity summary'!$H152:$BG152)&lt;52,IF('Capacity summary'!AJ152&lt;&gt;"",IF(LOWER('Capacity summary'!AJ152)="x",$BI33*AJ33,VALUE('Capacity summary'!AJ152)),0),AJ33*$BI33),AJ33*$BI33),0)</f>
        <v>0</v>
      </c>
      <c r="CN33" s="311">
        <f>IF($BI33&lt;&gt;"",IF('Capacity summary'!$D$14="Yes",IF(COUNTBLANK('Capacity summary'!$H152:$BG152)&lt;52,IF('Capacity summary'!AK152&lt;&gt;"",IF(LOWER('Capacity summary'!AK152)="x",$BI33*AK33,VALUE('Capacity summary'!AK152)),0),AK33*$BI33),AK33*$BI33),0)</f>
        <v>0</v>
      </c>
      <c r="CO33" s="311">
        <f>IF($BI33&lt;&gt;"",IF('Capacity summary'!$D$14="Yes",IF(COUNTBLANK('Capacity summary'!$H152:$BG152)&lt;52,IF('Capacity summary'!AL152&lt;&gt;"",IF(LOWER('Capacity summary'!AL152)="x",$BI33*AL33,VALUE('Capacity summary'!AL152)),0),AL33*$BI33),AL33*$BI33),0)</f>
        <v>0</v>
      </c>
      <c r="CP33" s="311">
        <f>IF($BI33&lt;&gt;"",IF('Capacity summary'!$D$14="Yes",IF(COUNTBLANK('Capacity summary'!$H152:$BG152)&lt;52,IF('Capacity summary'!AM152&lt;&gt;"",IF(LOWER('Capacity summary'!AM152)="x",$BI33*AM33,VALUE('Capacity summary'!AM152)),0),AM33*$BI33),AM33*$BI33),0)</f>
        <v>0</v>
      </c>
      <c r="CQ33" s="311">
        <f>IF($BI33&lt;&gt;"",IF('Capacity summary'!$D$14="Yes",IF(COUNTBLANK('Capacity summary'!$H152:$BG152)&lt;52,IF('Capacity summary'!AN152&lt;&gt;"",IF(LOWER('Capacity summary'!AN152)="x",$BI33*AN33,VALUE('Capacity summary'!AN152)),0),AN33*$BI33),AN33*$BI33),0)</f>
        <v>0</v>
      </c>
      <c r="CR33" s="311">
        <f>IF($BI33&lt;&gt;"",IF('Capacity summary'!$D$14="Yes",IF(COUNTBLANK('Capacity summary'!$H152:$BG152)&lt;52,IF('Capacity summary'!AO152&lt;&gt;"",IF(LOWER('Capacity summary'!AO152)="x",$BI33*AO33,VALUE('Capacity summary'!AO152)),0),AO33*$BI33),AO33*$BI33),0)</f>
        <v>0</v>
      </c>
      <c r="CS33" s="311">
        <f>IF($BI33&lt;&gt;"",IF('Capacity summary'!$D$14="Yes",IF(COUNTBLANK('Capacity summary'!$H152:$BG152)&lt;52,IF('Capacity summary'!AP152&lt;&gt;"",IF(LOWER('Capacity summary'!AP152)="x",$BI33*AP33,VALUE('Capacity summary'!AP152)),0),AP33*$BI33),AP33*$BI33),0)</f>
        <v>0</v>
      </c>
      <c r="CT33" s="311">
        <f>IF($BI33&lt;&gt;"",IF('Capacity summary'!$D$14="Yes",IF(COUNTBLANK('Capacity summary'!$H152:$BG152)&lt;52,IF('Capacity summary'!AQ152&lt;&gt;"",IF(LOWER('Capacity summary'!AQ152)="x",$BI33*AQ33,VALUE('Capacity summary'!AQ152)),0),AQ33*$BI33),AQ33*$BI33),0)</f>
        <v>0</v>
      </c>
      <c r="CU33" s="311">
        <f>IF($BI33&lt;&gt;"",IF('Capacity summary'!$D$14="Yes",IF(COUNTBLANK('Capacity summary'!$H152:$BG152)&lt;52,IF('Capacity summary'!AR152&lt;&gt;"",IF(LOWER('Capacity summary'!AR152)="x",$BI33*AR33,VALUE('Capacity summary'!AR152)),0),AR33*$BI33),AR33*$BI33),0)</f>
        <v>0</v>
      </c>
      <c r="CV33" s="311">
        <f>IF($BI33&lt;&gt;"",IF('Capacity summary'!$D$14="Yes",IF(COUNTBLANK('Capacity summary'!$H152:$BG152)&lt;52,IF('Capacity summary'!AS152&lt;&gt;"",IF(LOWER('Capacity summary'!AS152)="x",$BI33*AS33,VALUE('Capacity summary'!AS152)),0),AS33*$BI33),AS33*$BI33),0)</f>
        <v>0</v>
      </c>
      <c r="CW33" s="311">
        <f>IF($BI33&lt;&gt;"",IF('Capacity summary'!$D$14="Yes",IF(COUNTBLANK('Capacity summary'!$H152:$BG152)&lt;52,IF('Capacity summary'!AT152&lt;&gt;"",IF(LOWER('Capacity summary'!AT152)="x",$BI33*AT33,VALUE('Capacity summary'!AT152)),0),AT33*$BI33),AT33*$BI33),0)</f>
        <v>0</v>
      </c>
      <c r="CX33" s="311">
        <f>IF($BI33&lt;&gt;"",IF('Capacity summary'!$D$14="Yes",IF(COUNTBLANK('Capacity summary'!$H152:$BG152)&lt;52,IF('Capacity summary'!AU152&lt;&gt;"",IF(LOWER('Capacity summary'!AU152)="x",$BI33*AU33,VALUE('Capacity summary'!AU152)),0),AU33*$BI33),AU33*$BI33),0)</f>
        <v>0</v>
      </c>
      <c r="CY33" s="311">
        <f>IF($BI33&lt;&gt;"",IF('Capacity summary'!$D$14="Yes",IF(COUNTBLANK('Capacity summary'!$H152:$BG152)&lt;52,IF('Capacity summary'!AV152&lt;&gt;"",IF(LOWER('Capacity summary'!AV152)="x",$BI33*AV33,VALUE('Capacity summary'!AV152)),0),AV33*$BI33),AV33*$BI33),0)</f>
        <v>0</v>
      </c>
      <c r="CZ33" s="311">
        <f>IF($BI33&lt;&gt;"",IF('Capacity summary'!$D$14="Yes",IF(COUNTBLANK('Capacity summary'!$H152:$BG152)&lt;52,IF('Capacity summary'!AW152&lt;&gt;"",IF(LOWER('Capacity summary'!AW152)="x",$BI33*AW33,VALUE('Capacity summary'!AW152)),0),AW33*$BI33),AW33*$BI33),0)</f>
        <v>0</v>
      </c>
      <c r="DA33" s="311">
        <f>IF($BI33&lt;&gt;"",IF('Capacity summary'!$D$14="Yes",IF(COUNTBLANK('Capacity summary'!$H152:$BG152)&lt;52,IF('Capacity summary'!AX152&lt;&gt;"",IF(LOWER('Capacity summary'!AX152)="x",$BI33*AX33,VALUE('Capacity summary'!AX152)),0),AX33*$BI33),AX33*$BI33),0)</f>
        <v>0</v>
      </c>
      <c r="DB33" s="311">
        <f>IF($BI33&lt;&gt;"",IF('Capacity summary'!$D$14="Yes",IF(COUNTBLANK('Capacity summary'!$H152:$BG152)&lt;52,IF('Capacity summary'!AY152&lt;&gt;"",IF(LOWER('Capacity summary'!AY152)="x",$BI33*AY33,VALUE('Capacity summary'!AY152)),0),AY33*$BI33),AY33*$BI33),0)</f>
        <v>0</v>
      </c>
      <c r="DC33" s="311">
        <f>IF($BI33&lt;&gt;"",IF('Capacity summary'!$D$14="Yes",IF(COUNTBLANK('Capacity summary'!$H152:$BG152)&lt;52,IF('Capacity summary'!AZ152&lt;&gt;"",IF(LOWER('Capacity summary'!AZ152)="x",$BI33*AZ33,VALUE('Capacity summary'!AZ152)),0),AZ33*$BI33),AZ33*$BI33),0)</f>
        <v>0</v>
      </c>
      <c r="DD33" s="311">
        <f>IF($BI33&lt;&gt;"",IF('Capacity summary'!$D$14="Yes",IF(COUNTBLANK('Capacity summary'!$H152:$BG152)&lt;52,IF('Capacity summary'!BA152&lt;&gt;"",IF(LOWER('Capacity summary'!BA152)="x",$BI33*BA33,VALUE('Capacity summary'!BA152)),0),BA33*$BI33),BA33*$BI33),0)</f>
        <v>0</v>
      </c>
      <c r="DE33" s="311">
        <f>IF($BI33&lt;&gt;"",IF('Capacity summary'!$D$14="Yes",IF(COUNTBLANK('Capacity summary'!$H152:$BG152)&lt;52,IF('Capacity summary'!BB152&lt;&gt;"",IF(LOWER('Capacity summary'!BB152)="x",$BI33*BB33,VALUE('Capacity summary'!BB152)),0),BB33*$BI33),BB33*$BI33),0)</f>
        <v>0</v>
      </c>
      <c r="DF33" s="311">
        <f>IF($BI33&lt;&gt;"",IF('Capacity summary'!$D$14="Yes",IF(COUNTBLANK('Capacity summary'!$H152:$BG152)&lt;52,IF('Capacity summary'!BC152&lt;&gt;"",IF(LOWER('Capacity summary'!BC152)="x",$BI33*BC33,VALUE('Capacity summary'!BC152)),0),BC33*$BI33),BC33*$BI33),0)</f>
        <v>0</v>
      </c>
      <c r="DG33" s="311">
        <f>IF($BI33&lt;&gt;"",IF('Capacity summary'!$D$14="Yes",IF(COUNTBLANK('Capacity summary'!$H152:$BG152)&lt;52,IF('Capacity summary'!BD152&lt;&gt;"",IF(LOWER('Capacity summary'!BD152)="x",$BI33*BD33,VALUE('Capacity summary'!BD152)),0),BD33*$BI33),BD33*$BI33),0)</f>
        <v>0</v>
      </c>
      <c r="DH33" s="311">
        <f>IF($BI33&lt;&gt;"",IF('Capacity summary'!$D$14="Yes",IF(COUNTBLANK('Capacity summary'!$H152:$BG152)&lt;52,IF('Capacity summary'!BE152&lt;&gt;"",IF(LOWER('Capacity summary'!BE152)="x",$BI33*BE33,VALUE('Capacity summary'!BE152)),0),BE33*$BI33),BE33*$BI33),0)</f>
        <v>0</v>
      </c>
      <c r="DI33" s="311">
        <f>IF($BI33&lt;&gt;"",IF('Capacity summary'!$D$14="Yes",IF(COUNTBLANK('Capacity summary'!$H152:$BG152)&lt;52,IF('Capacity summary'!BF152&lt;&gt;"",IF(LOWER('Capacity summary'!BF152)="x",$BI33*BF33,VALUE('Capacity summary'!BF152)),0),BF33*$BI33),BF33*$BI33),0)</f>
        <v>0</v>
      </c>
      <c r="DJ33" s="311">
        <f>IF($BI33&lt;&gt;"",IF('Capacity summary'!$D$14="Yes",IF(COUNTBLANK('Capacity summary'!$H152:$BG152)&lt;52,IF('Capacity summary'!BG152&lt;&gt;"",IF(LOWER('Capacity summary'!BG152)="x",$BI33*BG33,VALUE('Capacity summary'!BG152)),0),BG33*$BI33),BG33*$BI33),0)</f>
        <v>0</v>
      </c>
      <c r="DK33" s="391">
        <f t="shared" si="2"/>
        <v>0</v>
      </c>
      <c r="DL33" s="136">
        <f t="shared" si="3"/>
        <v>0</v>
      </c>
      <c r="DM33" s="311" t="str">
        <f>Capacity!H45</f>
        <v/>
      </c>
      <c r="DQ33" s="5"/>
    </row>
    <row r="34" spans="1:121" x14ac:dyDescent="0.2">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1">
        <f>IF($BI34&lt;&gt;"",IF('Capacity summary'!$D$14="Yes",IF(COUNTBLANK('Capacity summary'!$H153:$BG153)&lt;52,IF('Capacity summary'!H153&lt;&gt;"",IF(LOWER('Capacity summary'!H153)="x",$BI34*H34,VALUE('Capacity summary'!H153)),0),H34*$BI34),H34*$BI34),0)</f>
        <v>0</v>
      </c>
      <c r="BL34" s="311">
        <f>IF($BI34&lt;&gt;"",IF('Capacity summary'!$D$14="Yes",IF(COUNTBLANK('Capacity summary'!$H153:$BG153)&lt;52,IF('Capacity summary'!I153&lt;&gt;"",IF(LOWER('Capacity summary'!I153)="x",$BI34*I34,VALUE('Capacity summary'!I153)),0),I34*$BI34),I34*$BI34),0)</f>
        <v>0</v>
      </c>
      <c r="BM34" s="311">
        <f>IF($BI34&lt;&gt;"",IF('Capacity summary'!$D$14="Yes",IF(COUNTBLANK('Capacity summary'!$H153:$BG153)&lt;52,IF('Capacity summary'!J153&lt;&gt;"",IF(LOWER('Capacity summary'!J153)="x",$BI34*J34,VALUE('Capacity summary'!J153)),0),J34*$BI34),J34*$BI34),0)</f>
        <v>0</v>
      </c>
      <c r="BN34" s="311">
        <f>IF($BI34&lt;&gt;"",IF('Capacity summary'!$D$14="Yes",IF(COUNTBLANK('Capacity summary'!$H153:$BG153)&lt;52,IF('Capacity summary'!K153&lt;&gt;"",IF(LOWER('Capacity summary'!K153)="x",$BI34*K34,VALUE('Capacity summary'!K153)),0),K34*$BI34),K34*$BI34),0)</f>
        <v>0</v>
      </c>
      <c r="BO34" s="311">
        <f>IF($BI34&lt;&gt;"",IF('Capacity summary'!$D$14="Yes",IF(COUNTBLANK('Capacity summary'!$H153:$BG153)&lt;52,IF('Capacity summary'!L153&lt;&gt;"",IF(LOWER('Capacity summary'!L153)="x",$BI34*L34,VALUE('Capacity summary'!L153)),0),L34*$BI34),L34*$BI34),0)</f>
        <v>0</v>
      </c>
      <c r="BP34" s="311">
        <f>IF($BI34&lt;&gt;"",IF('Capacity summary'!$D$14="Yes",IF(COUNTBLANK('Capacity summary'!$H153:$BG153)&lt;52,IF('Capacity summary'!M153&lt;&gt;"",IF(LOWER('Capacity summary'!M153)="x",$BI34*M34,VALUE('Capacity summary'!M153)),0),M34*$BI34),M34*$BI34),0)</f>
        <v>0</v>
      </c>
      <c r="BQ34" s="311">
        <f>IF($BI34&lt;&gt;"",IF('Capacity summary'!$D$14="Yes",IF(COUNTBLANK('Capacity summary'!$H153:$BG153)&lt;52,IF('Capacity summary'!N153&lt;&gt;"",IF(LOWER('Capacity summary'!N153)="x",$BI34*N34,VALUE('Capacity summary'!N153)),0),N34*$BI34),N34*$BI34),0)</f>
        <v>0</v>
      </c>
      <c r="BR34" s="311">
        <f>IF($BI34&lt;&gt;"",IF('Capacity summary'!$D$14="Yes",IF(COUNTBLANK('Capacity summary'!$H153:$BG153)&lt;52,IF('Capacity summary'!O153&lt;&gt;"",IF(LOWER('Capacity summary'!O153)="x",$BI34*O34,VALUE('Capacity summary'!O153)),0),O34*$BI34),O34*$BI34),0)</f>
        <v>0</v>
      </c>
      <c r="BS34" s="311">
        <f>IF($BI34&lt;&gt;"",IF('Capacity summary'!$D$14="Yes",IF(COUNTBLANK('Capacity summary'!$H153:$BG153)&lt;52,IF('Capacity summary'!P153&lt;&gt;"",IF(LOWER('Capacity summary'!P153)="x",$BI34*P34,VALUE('Capacity summary'!P153)),0),P34*$BI34),P34*$BI34),0)</f>
        <v>0</v>
      </c>
      <c r="BT34" s="311">
        <f>IF($BI34&lt;&gt;"",IF('Capacity summary'!$D$14="Yes",IF(COUNTBLANK('Capacity summary'!$H153:$BG153)&lt;52,IF('Capacity summary'!Q153&lt;&gt;"",IF(LOWER('Capacity summary'!Q153)="x",$BI34*Q34,VALUE('Capacity summary'!Q153)),0),Q34*$BI34),Q34*$BI34),0)</f>
        <v>0</v>
      </c>
      <c r="BU34" s="311">
        <f>IF($BI34&lt;&gt;"",IF('Capacity summary'!$D$14="Yes",IF(COUNTBLANK('Capacity summary'!$H153:$BG153)&lt;52,IF('Capacity summary'!R153&lt;&gt;"",IF(LOWER('Capacity summary'!R153)="x",$BI34*R34,VALUE('Capacity summary'!R153)),0),R34*$BI34),R34*$BI34),0)</f>
        <v>0</v>
      </c>
      <c r="BV34" s="311">
        <f>IF($BI34&lt;&gt;"",IF('Capacity summary'!$D$14="Yes",IF(COUNTBLANK('Capacity summary'!$H153:$BG153)&lt;52,IF('Capacity summary'!S153&lt;&gt;"",IF(LOWER('Capacity summary'!S153)="x",$BI34*S34,VALUE('Capacity summary'!S153)),0),S34*$BI34),S34*$BI34),0)</f>
        <v>0</v>
      </c>
      <c r="BW34" s="311">
        <f>IF($BI34&lt;&gt;"",IF('Capacity summary'!$D$14="Yes",IF(COUNTBLANK('Capacity summary'!$H153:$BG153)&lt;52,IF('Capacity summary'!T153&lt;&gt;"",IF(LOWER('Capacity summary'!T153)="x",$BI34*T34,VALUE('Capacity summary'!T153)),0),T34*$BI34),T34*$BI34),0)</f>
        <v>0</v>
      </c>
      <c r="BX34" s="311">
        <f>IF($BI34&lt;&gt;"",IF('Capacity summary'!$D$14="Yes",IF(COUNTBLANK('Capacity summary'!$H153:$BG153)&lt;52,IF('Capacity summary'!U153&lt;&gt;"",IF(LOWER('Capacity summary'!U153)="x",$BI34*U34,VALUE('Capacity summary'!U153)),0),U34*$BI34),U34*$BI34),0)</f>
        <v>0</v>
      </c>
      <c r="BY34" s="311">
        <f>IF($BI34&lt;&gt;"",IF('Capacity summary'!$D$14="Yes",IF(COUNTBLANK('Capacity summary'!$H153:$BG153)&lt;52,IF('Capacity summary'!V153&lt;&gt;"",IF(LOWER('Capacity summary'!V153)="x",$BI34*V34,VALUE('Capacity summary'!V153)),0),V34*$BI34),V34*$BI34),0)</f>
        <v>0</v>
      </c>
      <c r="BZ34" s="311">
        <f>IF($BI34&lt;&gt;"",IF('Capacity summary'!$D$14="Yes",IF(COUNTBLANK('Capacity summary'!$H153:$BG153)&lt;52,IF('Capacity summary'!W153&lt;&gt;"",IF(LOWER('Capacity summary'!W153)="x",$BI34*W34,VALUE('Capacity summary'!W153)),0),W34*$BI34),W34*$BI34),0)</f>
        <v>0</v>
      </c>
      <c r="CA34" s="311">
        <f>IF($BI34&lt;&gt;"",IF('Capacity summary'!$D$14="Yes",IF(COUNTBLANK('Capacity summary'!$H153:$BG153)&lt;52,IF('Capacity summary'!X153&lt;&gt;"",IF(LOWER('Capacity summary'!X153)="x",$BI34*X34,VALUE('Capacity summary'!X153)),0),X34*$BI34),X34*$BI34),0)</f>
        <v>0</v>
      </c>
      <c r="CB34" s="311">
        <f>IF($BI34&lt;&gt;"",IF('Capacity summary'!$D$14="Yes",IF(COUNTBLANK('Capacity summary'!$H153:$BG153)&lt;52,IF('Capacity summary'!Y153&lt;&gt;"",IF(LOWER('Capacity summary'!Y153)="x",$BI34*Y34,VALUE('Capacity summary'!Y153)),0),Y34*$BI34),Y34*$BI34),0)</f>
        <v>0</v>
      </c>
      <c r="CC34" s="311">
        <f>IF($BI34&lt;&gt;"",IF('Capacity summary'!$D$14="Yes",IF(COUNTBLANK('Capacity summary'!$H153:$BG153)&lt;52,IF('Capacity summary'!Z153&lt;&gt;"",IF(LOWER('Capacity summary'!Z153)="x",$BI34*Z34,VALUE('Capacity summary'!Z153)),0),Z34*$BI34),Z34*$BI34),0)</f>
        <v>0</v>
      </c>
      <c r="CD34" s="311">
        <f>IF($BI34&lt;&gt;"",IF('Capacity summary'!$D$14="Yes",IF(COUNTBLANK('Capacity summary'!$H153:$BG153)&lt;52,IF('Capacity summary'!AA153&lt;&gt;"",IF(LOWER('Capacity summary'!AA153)="x",$BI34*AA34,VALUE('Capacity summary'!AA153)),0),AA34*$BI34),AA34*$BI34),0)</f>
        <v>0</v>
      </c>
      <c r="CE34" s="311">
        <f>IF($BI34&lt;&gt;"",IF('Capacity summary'!$D$14="Yes",IF(COUNTBLANK('Capacity summary'!$H153:$BG153)&lt;52,IF('Capacity summary'!AB153&lt;&gt;"",IF(LOWER('Capacity summary'!AB153)="x",$BI34*AB34,VALUE('Capacity summary'!AB153)),0),AB34*$BI34),AB34*$BI34),0)</f>
        <v>0</v>
      </c>
      <c r="CF34" s="311">
        <f>IF($BI34&lt;&gt;"",IF('Capacity summary'!$D$14="Yes",IF(COUNTBLANK('Capacity summary'!$H153:$BG153)&lt;52,IF('Capacity summary'!AC153&lt;&gt;"",IF(LOWER('Capacity summary'!AC153)="x",$BI34*AC34,VALUE('Capacity summary'!AC153)),0),AC34*$BI34),AC34*$BI34),0)</f>
        <v>0</v>
      </c>
      <c r="CG34" s="311">
        <f>IF($BI34&lt;&gt;"",IF('Capacity summary'!$D$14="Yes",IF(COUNTBLANK('Capacity summary'!$H153:$BG153)&lt;52,IF('Capacity summary'!AD153&lt;&gt;"",IF(LOWER('Capacity summary'!AD153)="x",$BI34*AD34,VALUE('Capacity summary'!AD153)),0),AD34*$BI34),AD34*$BI34),0)</f>
        <v>0</v>
      </c>
      <c r="CH34" s="311">
        <f>IF($BI34&lt;&gt;"",IF('Capacity summary'!$D$14="Yes",IF(COUNTBLANK('Capacity summary'!$H153:$BG153)&lt;52,IF('Capacity summary'!AE153&lt;&gt;"",IF(LOWER('Capacity summary'!AE153)="x",$BI34*AE34,VALUE('Capacity summary'!AE153)),0),AE34*$BI34),AE34*$BI34),0)</f>
        <v>0</v>
      </c>
      <c r="CI34" s="311">
        <f>IF($BI34&lt;&gt;"",IF('Capacity summary'!$D$14="Yes",IF(COUNTBLANK('Capacity summary'!$H153:$BG153)&lt;52,IF('Capacity summary'!AF153&lt;&gt;"",IF(LOWER('Capacity summary'!AF153)="x",$BI34*AF34,VALUE('Capacity summary'!AF153)),0),AF34*$BI34),AF34*$BI34),0)</f>
        <v>0</v>
      </c>
      <c r="CJ34" s="311">
        <f>IF($BI34&lt;&gt;"",IF('Capacity summary'!$D$14="Yes",IF(COUNTBLANK('Capacity summary'!$H153:$BG153)&lt;52,IF('Capacity summary'!AG153&lt;&gt;"",IF(LOWER('Capacity summary'!AG153)="x",$BI34*AG34,VALUE('Capacity summary'!AG153)),0),AG34*$BI34),AG34*$BI34),0)</f>
        <v>0</v>
      </c>
      <c r="CK34" s="311">
        <f>IF($BI34&lt;&gt;"",IF('Capacity summary'!$D$14="Yes",IF(COUNTBLANK('Capacity summary'!$H153:$BG153)&lt;52,IF('Capacity summary'!AH153&lt;&gt;"",IF(LOWER('Capacity summary'!AH153)="x",$BI34*AH34,VALUE('Capacity summary'!AH153)),0),AH34*$BI34),AH34*$BI34),0)</f>
        <v>0</v>
      </c>
      <c r="CL34" s="311">
        <f>IF($BI34&lt;&gt;"",IF('Capacity summary'!$D$14="Yes",IF(COUNTBLANK('Capacity summary'!$H153:$BG153)&lt;52,IF('Capacity summary'!AI153&lt;&gt;"",IF(LOWER('Capacity summary'!AI153)="x",$BI34*AI34,VALUE('Capacity summary'!AI153)),0),AI34*$BI34),AI34*$BI34),0)</f>
        <v>0</v>
      </c>
      <c r="CM34" s="311">
        <f>IF($BI34&lt;&gt;"",IF('Capacity summary'!$D$14="Yes",IF(COUNTBLANK('Capacity summary'!$H153:$BG153)&lt;52,IF('Capacity summary'!AJ153&lt;&gt;"",IF(LOWER('Capacity summary'!AJ153)="x",$BI34*AJ34,VALUE('Capacity summary'!AJ153)),0),AJ34*$BI34),AJ34*$BI34),0)</f>
        <v>0</v>
      </c>
      <c r="CN34" s="311">
        <f>IF($BI34&lt;&gt;"",IF('Capacity summary'!$D$14="Yes",IF(COUNTBLANK('Capacity summary'!$H153:$BG153)&lt;52,IF('Capacity summary'!AK153&lt;&gt;"",IF(LOWER('Capacity summary'!AK153)="x",$BI34*AK34,VALUE('Capacity summary'!AK153)),0),AK34*$BI34),AK34*$BI34),0)</f>
        <v>0</v>
      </c>
      <c r="CO34" s="311">
        <f>IF($BI34&lt;&gt;"",IF('Capacity summary'!$D$14="Yes",IF(COUNTBLANK('Capacity summary'!$H153:$BG153)&lt;52,IF('Capacity summary'!AL153&lt;&gt;"",IF(LOWER('Capacity summary'!AL153)="x",$BI34*AL34,VALUE('Capacity summary'!AL153)),0),AL34*$BI34),AL34*$BI34),0)</f>
        <v>0</v>
      </c>
      <c r="CP34" s="311">
        <f>IF($BI34&lt;&gt;"",IF('Capacity summary'!$D$14="Yes",IF(COUNTBLANK('Capacity summary'!$H153:$BG153)&lt;52,IF('Capacity summary'!AM153&lt;&gt;"",IF(LOWER('Capacity summary'!AM153)="x",$BI34*AM34,VALUE('Capacity summary'!AM153)),0),AM34*$BI34),AM34*$BI34),0)</f>
        <v>0</v>
      </c>
      <c r="CQ34" s="311">
        <f>IF($BI34&lt;&gt;"",IF('Capacity summary'!$D$14="Yes",IF(COUNTBLANK('Capacity summary'!$H153:$BG153)&lt;52,IF('Capacity summary'!AN153&lt;&gt;"",IF(LOWER('Capacity summary'!AN153)="x",$BI34*AN34,VALUE('Capacity summary'!AN153)),0),AN34*$BI34),AN34*$BI34),0)</f>
        <v>0</v>
      </c>
      <c r="CR34" s="311">
        <f>IF($BI34&lt;&gt;"",IF('Capacity summary'!$D$14="Yes",IF(COUNTBLANK('Capacity summary'!$H153:$BG153)&lt;52,IF('Capacity summary'!AO153&lt;&gt;"",IF(LOWER('Capacity summary'!AO153)="x",$BI34*AO34,VALUE('Capacity summary'!AO153)),0),AO34*$BI34),AO34*$BI34),0)</f>
        <v>0</v>
      </c>
      <c r="CS34" s="311">
        <f>IF($BI34&lt;&gt;"",IF('Capacity summary'!$D$14="Yes",IF(COUNTBLANK('Capacity summary'!$H153:$BG153)&lt;52,IF('Capacity summary'!AP153&lt;&gt;"",IF(LOWER('Capacity summary'!AP153)="x",$BI34*AP34,VALUE('Capacity summary'!AP153)),0),AP34*$BI34),AP34*$BI34),0)</f>
        <v>0</v>
      </c>
      <c r="CT34" s="311">
        <f>IF($BI34&lt;&gt;"",IF('Capacity summary'!$D$14="Yes",IF(COUNTBLANK('Capacity summary'!$H153:$BG153)&lt;52,IF('Capacity summary'!AQ153&lt;&gt;"",IF(LOWER('Capacity summary'!AQ153)="x",$BI34*AQ34,VALUE('Capacity summary'!AQ153)),0),AQ34*$BI34),AQ34*$BI34),0)</f>
        <v>0</v>
      </c>
      <c r="CU34" s="311">
        <f>IF($BI34&lt;&gt;"",IF('Capacity summary'!$D$14="Yes",IF(COUNTBLANK('Capacity summary'!$H153:$BG153)&lt;52,IF('Capacity summary'!AR153&lt;&gt;"",IF(LOWER('Capacity summary'!AR153)="x",$BI34*AR34,VALUE('Capacity summary'!AR153)),0),AR34*$BI34),AR34*$BI34),0)</f>
        <v>0</v>
      </c>
      <c r="CV34" s="311">
        <f>IF($BI34&lt;&gt;"",IF('Capacity summary'!$D$14="Yes",IF(COUNTBLANK('Capacity summary'!$H153:$BG153)&lt;52,IF('Capacity summary'!AS153&lt;&gt;"",IF(LOWER('Capacity summary'!AS153)="x",$BI34*AS34,VALUE('Capacity summary'!AS153)),0),AS34*$BI34),AS34*$BI34),0)</f>
        <v>0</v>
      </c>
      <c r="CW34" s="311">
        <f>IF($BI34&lt;&gt;"",IF('Capacity summary'!$D$14="Yes",IF(COUNTBLANK('Capacity summary'!$H153:$BG153)&lt;52,IF('Capacity summary'!AT153&lt;&gt;"",IF(LOWER('Capacity summary'!AT153)="x",$BI34*AT34,VALUE('Capacity summary'!AT153)),0),AT34*$BI34),AT34*$BI34),0)</f>
        <v>0</v>
      </c>
      <c r="CX34" s="311">
        <f>IF($BI34&lt;&gt;"",IF('Capacity summary'!$D$14="Yes",IF(COUNTBLANK('Capacity summary'!$H153:$BG153)&lt;52,IF('Capacity summary'!AU153&lt;&gt;"",IF(LOWER('Capacity summary'!AU153)="x",$BI34*AU34,VALUE('Capacity summary'!AU153)),0),AU34*$BI34),AU34*$BI34),0)</f>
        <v>0</v>
      </c>
      <c r="CY34" s="311">
        <f>IF($BI34&lt;&gt;"",IF('Capacity summary'!$D$14="Yes",IF(COUNTBLANK('Capacity summary'!$H153:$BG153)&lt;52,IF('Capacity summary'!AV153&lt;&gt;"",IF(LOWER('Capacity summary'!AV153)="x",$BI34*AV34,VALUE('Capacity summary'!AV153)),0),AV34*$BI34),AV34*$BI34),0)</f>
        <v>0</v>
      </c>
      <c r="CZ34" s="311">
        <f>IF($BI34&lt;&gt;"",IF('Capacity summary'!$D$14="Yes",IF(COUNTBLANK('Capacity summary'!$H153:$BG153)&lt;52,IF('Capacity summary'!AW153&lt;&gt;"",IF(LOWER('Capacity summary'!AW153)="x",$BI34*AW34,VALUE('Capacity summary'!AW153)),0),AW34*$BI34),AW34*$BI34),0)</f>
        <v>0</v>
      </c>
      <c r="DA34" s="311">
        <f>IF($BI34&lt;&gt;"",IF('Capacity summary'!$D$14="Yes",IF(COUNTBLANK('Capacity summary'!$H153:$BG153)&lt;52,IF('Capacity summary'!AX153&lt;&gt;"",IF(LOWER('Capacity summary'!AX153)="x",$BI34*AX34,VALUE('Capacity summary'!AX153)),0),AX34*$BI34),AX34*$BI34),0)</f>
        <v>0</v>
      </c>
      <c r="DB34" s="311">
        <f>IF($BI34&lt;&gt;"",IF('Capacity summary'!$D$14="Yes",IF(COUNTBLANK('Capacity summary'!$H153:$BG153)&lt;52,IF('Capacity summary'!AY153&lt;&gt;"",IF(LOWER('Capacity summary'!AY153)="x",$BI34*AY34,VALUE('Capacity summary'!AY153)),0),AY34*$BI34),AY34*$BI34),0)</f>
        <v>0</v>
      </c>
      <c r="DC34" s="311">
        <f>IF($BI34&lt;&gt;"",IF('Capacity summary'!$D$14="Yes",IF(COUNTBLANK('Capacity summary'!$H153:$BG153)&lt;52,IF('Capacity summary'!AZ153&lt;&gt;"",IF(LOWER('Capacity summary'!AZ153)="x",$BI34*AZ34,VALUE('Capacity summary'!AZ153)),0),AZ34*$BI34),AZ34*$BI34),0)</f>
        <v>0</v>
      </c>
      <c r="DD34" s="311">
        <f>IF($BI34&lt;&gt;"",IF('Capacity summary'!$D$14="Yes",IF(COUNTBLANK('Capacity summary'!$H153:$BG153)&lt;52,IF('Capacity summary'!BA153&lt;&gt;"",IF(LOWER('Capacity summary'!BA153)="x",$BI34*BA34,VALUE('Capacity summary'!BA153)),0),BA34*$BI34),BA34*$BI34),0)</f>
        <v>0</v>
      </c>
      <c r="DE34" s="311">
        <f>IF($BI34&lt;&gt;"",IF('Capacity summary'!$D$14="Yes",IF(COUNTBLANK('Capacity summary'!$H153:$BG153)&lt;52,IF('Capacity summary'!BB153&lt;&gt;"",IF(LOWER('Capacity summary'!BB153)="x",$BI34*BB34,VALUE('Capacity summary'!BB153)),0),BB34*$BI34),BB34*$BI34),0)</f>
        <v>0</v>
      </c>
      <c r="DF34" s="311">
        <f>IF($BI34&lt;&gt;"",IF('Capacity summary'!$D$14="Yes",IF(COUNTBLANK('Capacity summary'!$H153:$BG153)&lt;52,IF('Capacity summary'!BC153&lt;&gt;"",IF(LOWER('Capacity summary'!BC153)="x",$BI34*BC34,VALUE('Capacity summary'!BC153)),0),BC34*$BI34),BC34*$BI34),0)</f>
        <v>0</v>
      </c>
      <c r="DG34" s="311">
        <f>IF($BI34&lt;&gt;"",IF('Capacity summary'!$D$14="Yes",IF(COUNTBLANK('Capacity summary'!$H153:$BG153)&lt;52,IF('Capacity summary'!BD153&lt;&gt;"",IF(LOWER('Capacity summary'!BD153)="x",$BI34*BD34,VALUE('Capacity summary'!BD153)),0),BD34*$BI34),BD34*$BI34),0)</f>
        <v>0</v>
      </c>
      <c r="DH34" s="311">
        <f>IF($BI34&lt;&gt;"",IF('Capacity summary'!$D$14="Yes",IF(COUNTBLANK('Capacity summary'!$H153:$BG153)&lt;52,IF('Capacity summary'!BE153&lt;&gt;"",IF(LOWER('Capacity summary'!BE153)="x",$BI34*BE34,VALUE('Capacity summary'!BE153)),0),BE34*$BI34),BE34*$BI34),0)</f>
        <v>0</v>
      </c>
      <c r="DI34" s="311">
        <f>IF($BI34&lt;&gt;"",IF('Capacity summary'!$D$14="Yes",IF(COUNTBLANK('Capacity summary'!$H153:$BG153)&lt;52,IF('Capacity summary'!BF153&lt;&gt;"",IF(LOWER('Capacity summary'!BF153)="x",$BI34*BF34,VALUE('Capacity summary'!BF153)),0),BF34*$BI34),BF34*$BI34),0)</f>
        <v>0</v>
      </c>
      <c r="DJ34" s="311">
        <f>IF($BI34&lt;&gt;"",IF('Capacity summary'!$D$14="Yes",IF(COUNTBLANK('Capacity summary'!$H153:$BG153)&lt;52,IF('Capacity summary'!BG153&lt;&gt;"",IF(LOWER('Capacity summary'!BG153)="x",$BI34*BG34,VALUE('Capacity summary'!BG153)),0),BG34*$BI34),BG34*$BI34),0)</f>
        <v>0</v>
      </c>
      <c r="DK34" s="391">
        <f t="shared" si="2"/>
        <v>0</v>
      </c>
      <c r="DL34" s="136">
        <f t="shared" si="3"/>
        <v>0</v>
      </c>
      <c r="DM34" s="311" t="str">
        <f>Capacity!H46</f>
        <v/>
      </c>
      <c r="DQ34" s="5"/>
    </row>
    <row r="35" spans="1:121" x14ac:dyDescent="0.2">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1">
        <f>IF($BI35&lt;&gt;"",IF('Capacity summary'!$D$14="Yes",IF(COUNTBLANK('Capacity summary'!$H154:$BG154)&lt;52,IF('Capacity summary'!H154&lt;&gt;"",IF(LOWER('Capacity summary'!H154)="x",$BI35*H35,VALUE('Capacity summary'!H154)),0),H35*$BI35),H35*$BI35),0)</f>
        <v>0</v>
      </c>
      <c r="BL35" s="311">
        <f>IF($BI35&lt;&gt;"",IF('Capacity summary'!$D$14="Yes",IF(COUNTBLANK('Capacity summary'!$H154:$BG154)&lt;52,IF('Capacity summary'!I154&lt;&gt;"",IF(LOWER('Capacity summary'!I154)="x",$BI35*I35,VALUE('Capacity summary'!I154)),0),I35*$BI35),I35*$BI35),0)</f>
        <v>0</v>
      </c>
      <c r="BM35" s="311">
        <f>IF($BI35&lt;&gt;"",IF('Capacity summary'!$D$14="Yes",IF(COUNTBLANK('Capacity summary'!$H154:$BG154)&lt;52,IF('Capacity summary'!J154&lt;&gt;"",IF(LOWER('Capacity summary'!J154)="x",$BI35*J35,VALUE('Capacity summary'!J154)),0),J35*$BI35),J35*$BI35),0)</f>
        <v>0</v>
      </c>
      <c r="BN35" s="311">
        <f>IF($BI35&lt;&gt;"",IF('Capacity summary'!$D$14="Yes",IF(COUNTBLANK('Capacity summary'!$H154:$BG154)&lt;52,IF('Capacity summary'!K154&lt;&gt;"",IF(LOWER('Capacity summary'!K154)="x",$BI35*K35,VALUE('Capacity summary'!K154)),0),K35*$BI35),K35*$BI35),0)</f>
        <v>0</v>
      </c>
      <c r="BO35" s="311">
        <f>IF($BI35&lt;&gt;"",IF('Capacity summary'!$D$14="Yes",IF(COUNTBLANK('Capacity summary'!$H154:$BG154)&lt;52,IF('Capacity summary'!L154&lt;&gt;"",IF(LOWER('Capacity summary'!L154)="x",$BI35*L35,VALUE('Capacity summary'!L154)),0),L35*$BI35),L35*$BI35),0)</f>
        <v>0</v>
      </c>
      <c r="BP35" s="311">
        <f>IF($BI35&lt;&gt;"",IF('Capacity summary'!$D$14="Yes",IF(COUNTBLANK('Capacity summary'!$H154:$BG154)&lt;52,IF('Capacity summary'!M154&lt;&gt;"",IF(LOWER('Capacity summary'!M154)="x",$BI35*M35,VALUE('Capacity summary'!M154)),0),M35*$BI35),M35*$BI35),0)</f>
        <v>0</v>
      </c>
      <c r="BQ35" s="311">
        <f>IF($BI35&lt;&gt;"",IF('Capacity summary'!$D$14="Yes",IF(COUNTBLANK('Capacity summary'!$H154:$BG154)&lt;52,IF('Capacity summary'!N154&lt;&gt;"",IF(LOWER('Capacity summary'!N154)="x",$BI35*N35,VALUE('Capacity summary'!N154)),0),N35*$BI35),N35*$BI35),0)</f>
        <v>0</v>
      </c>
      <c r="BR35" s="311">
        <f>IF($BI35&lt;&gt;"",IF('Capacity summary'!$D$14="Yes",IF(COUNTBLANK('Capacity summary'!$H154:$BG154)&lt;52,IF('Capacity summary'!O154&lt;&gt;"",IF(LOWER('Capacity summary'!O154)="x",$BI35*O35,VALUE('Capacity summary'!O154)),0),O35*$BI35),O35*$BI35),0)</f>
        <v>0</v>
      </c>
      <c r="BS35" s="311">
        <f>IF($BI35&lt;&gt;"",IF('Capacity summary'!$D$14="Yes",IF(COUNTBLANK('Capacity summary'!$H154:$BG154)&lt;52,IF('Capacity summary'!P154&lt;&gt;"",IF(LOWER('Capacity summary'!P154)="x",$BI35*P35,VALUE('Capacity summary'!P154)),0),P35*$BI35),P35*$BI35),0)</f>
        <v>0</v>
      </c>
      <c r="BT35" s="311">
        <f>IF($BI35&lt;&gt;"",IF('Capacity summary'!$D$14="Yes",IF(COUNTBLANK('Capacity summary'!$H154:$BG154)&lt;52,IF('Capacity summary'!Q154&lt;&gt;"",IF(LOWER('Capacity summary'!Q154)="x",$BI35*Q35,VALUE('Capacity summary'!Q154)),0),Q35*$BI35),Q35*$BI35),0)</f>
        <v>0</v>
      </c>
      <c r="BU35" s="311">
        <f>IF($BI35&lt;&gt;"",IF('Capacity summary'!$D$14="Yes",IF(COUNTBLANK('Capacity summary'!$H154:$BG154)&lt;52,IF('Capacity summary'!R154&lt;&gt;"",IF(LOWER('Capacity summary'!R154)="x",$BI35*R35,VALUE('Capacity summary'!R154)),0),R35*$BI35),R35*$BI35),0)</f>
        <v>0</v>
      </c>
      <c r="BV35" s="311">
        <f>IF($BI35&lt;&gt;"",IF('Capacity summary'!$D$14="Yes",IF(COUNTBLANK('Capacity summary'!$H154:$BG154)&lt;52,IF('Capacity summary'!S154&lt;&gt;"",IF(LOWER('Capacity summary'!S154)="x",$BI35*S35,VALUE('Capacity summary'!S154)),0),S35*$BI35),S35*$BI35),0)</f>
        <v>0</v>
      </c>
      <c r="BW35" s="311">
        <f>IF($BI35&lt;&gt;"",IF('Capacity summary'!$D$14="Yes",IF(COUNTBLANK('Capacity summary'!$H154:$BG154)&lt;52,IF('Capacity summary'!T154&lt;&gt;"",IF(LOWER('Capacity summary'!T154)="x",$BI35*T35,VALUE('Capacity summary'!T154)),0),T35*$BI35),T35*$BI35),0)</f>
        <v>0</v>
      </c>
      <c r="BX35" s="311">
        <f>IF($BI35&lt;&gt;"",IF('Capacity summary'!$D$14="Yes",IF(COUNTBLANK('Capacity summary'!$H154:$BG154)&lt;52,IF('Capacity summary'!U154&lt;&gt;"",IF(LOWER('Capacity summary'!U154)="x",$BI35*U35,VALUE('Capacity summary'!U154)),0),U35*$BI35),U35*$BI35),0)</f>
        <v>0</v>
      </c>
      <c r="BY35" s="311">
        <f>IF($BI35&lt;&gt;"",IF('Capacity summary'!$D$14="Yes",IF(COUNTBLANK('Capacity summary'!$H154:$BG154)&lt;52,IF('Capacity summary'!V154&lt;&gt;"",IF(LOWER('Capacity summary'!V154)="x",$BI35*V35,VALUE('Capacity summary'!V154)),0),V35*$BI35),V35*$BI35),0)</f>
        <v>0</v>
      </c>
      <c r="BZ35" s="311">
        <f>IF($BI35&lt;&gt;"",IF('Capacity summary'!$D$14="Yes",IF(COUNTBLANK('Capacity summary'!$H154:$BG154)&lt;52,IF('Capacity summary'!W154&lt;&gt;"",IF(LOWER('Capacity summary'!W154)="x",$BI35*W35,VALUE('Capacity summary'!W154)),0),W35*$BI35),W35*$BI35),0)</f>
        <v>0</v>
      </c>
      <c r="CA35" s="311">
        <f>IF($BI35&lt;&gt;"",IF('Capacity summary'!$D$14="Yes",IF(COUNTBLANK('Capacity summary'!$H154:$BG154)&lt;52,IF('Capacity summary'!X154&lt;&gt;"",IF(LOWER('Capacity summary'!X154)="x",$BI35*X35,VALUE('Capacity summary'!X154)),0),X35*$BI35),X35*$BI35),0)</f>
        <v>0</v>
      </c>
      <c r="CB35" s="311">
        <f>IF($BI35&lt;&gt;"",IF('Capacity summary'!$D$14="Yes",IF(COUNTBLANK('Capacity summary'!$H154:$BG154)&lt;52,IF('Capacity summary'!Y154&lt;&gt;"",IF(LOWER('Capacity summary'!Y154)="x",$BI35*Y35,VALUE('Capacity summary'!Y154)),0),Y35*$BI35),Y35*$BI35),0)</f>
        <v>0</v>
      </c>
      <c r="CC35" s="311">
        <f>IF($BI35&lt;&gt;"",IF('Capacity summary'!$D$14="Yes",IF(COUNTBLANK('Capacity summary'!$H154:$BG154)&lt;52,IF('Capacity summary'!Z154&lt;&gt;"",IF(LOWER('Capacity summary'!Z154)="x",$BI35*Z35,VALUE('Capacity summary'!Z154)),0),Z35*$BI35),Z35*$BI35),0)</f>
        <v>0</v>
      </c>
      <c r="CD35" s="311">
        <f>IF($BI35&lt;&gt;"",IF('Capacity summary'!$D$14="Yes",IF(COUNTBLANK('Capacity summary'!$H154:$BG154)&lt;52,IF('Capacity summary'!AA154&lt;&gt;"",IF(LOWER('Capacity summary'!AA154)="x",$BI35*AA35,VALUE('Capacity summary'!AA154)),0),AA35*$BI35),AA35*$BI35),0)</f>
        <v>0</v>
      </c>
      <c r="CE35" s="311">
        <f>IF($BI35&lt;&gt;"",IF('Capacity summary'!$D$14="Yes",IF(COUNTBLANK('Capacity summary'!$H154:$BG154)&lt;52,IF('Capacity summary'!AB154&lt;&gt;"",IF(LOWER('Capacity summary'!AB154)="x",$BI35*AB35,VALUE('Capacity summary'!AB154)),0),AB35*$BI35),AB35*$BI35),0)</f>
        <v>0</v>
      </c>
      <c r="CF35" s="311">
        <f>IF($BI35&lt;&gt;"",IF('Capacity summary'!$D$14="Yes",IF(COUNTBLANK('Capacity summary'!$H154:$BG154)&lt;52,IF('Capacity summary'!AC154&lt;&gt;"",IF(LOWER('Capacity summary'!AC154)="x",$BI35*AC35,VALUE('Capacity summary'!AC154)),0),AC35*$BI35),AC35*$BI35),0)</f>
        <v>0</v>
      </c>
      <c r="CG35" s="311">
        <f>IF($BI35&lt;&gt;"",IF('Capacity summary'!$D$14="Yes",IF(COUNTBLANK('Capacity summary'!$H154:$BG154)&lt;52,IF('Capacity summary'!AD154&lt;&gt;"",IF(LOWER('Capacity summary'!AD154)="x",$BI35*AD35,VALUE('Capacity summary'!AD154)),0),AD35*$BI35),AD35*$BI35),0)</f>
        <v>0</v>
      </c>
      <c r="CH35" s="311">
        <f>IF($BI35&lt;&gt;"",IF('Capacity summary'!$D$14="Yes",IF(COUNTBLANK('Capacity summary'!$H154:$BG154)&lt;52,IF('Capacity summary'!AE154&lt;&gt;"",IF(LOWER('Capacity summary'!AE154)="x",$BI35*AE35,VALUE('Capacity summary'!AE154)),0),AE35*$BI35),AE35*$BI35),0)</f>
        <v>0</v>
      </c>
      <c r="CI35" s="311">
        <f>IF($BI35&lt;&gt;"",IF('Capacity summary'!$D$14="Yes",IF(COUNTBLANK('Capacity summary'!$H154:$BG154)&lt;52,IF('Capacity summary'!AF154&lt;&gt;"",IF(LOWER('Capacity summary'!AF154)="x",$BI35*AF35,VALUE('Capacity summary'!AF154)),0),AF35*$BI35),AF35*$BI35),0)</f>
        <v>0</v>
      </c>
      <c r="CJ35" s="311">
        <f>IF($BI35&lt;&gt;"",IF('Capacity summary'!$D$14="Yes",IF(COUNTBLANK('Capacity summary'!$H154:$BG154)&lt;52,IF('Capacity summary'!AG154&lt;&gt;"",IF(LOWER('Capacity summary'!AG154)="x",$BI35*AG35,VALUE('Capacity summary'!AG154)),0),AG35*$BI35),AG35*$BI35),0)</f>
        <v>0</v>
      </c>
      <c r="CK35" s="311">
        <f>IF($BI35&lt;&gt;"",IF('Capacity summary'!$D$14="Yes",IF(COUNTBLANK('Capacity summary'!$H154:$BG154)&lt;52,IF('Capacity summary'!AH154&lt;&gt;"",IF(LOWER('Capacity summary'!AH154)="x",$BI35*AH35,VALUE('Capacity summary'!AH154)),0),AH35*$BI35),AH35*$BI35),0)</f>
        <v>0</v>
      </c>
      <c r="CL35" s="311">
        <f>IF($BI35&lt;&gt;"",IF('Capacity summary'!$D$14="Yes",IF(COUNTBLANK('Capacity summary'!$H154:$BG154)&lt;52,IF('Capacity summary'!AI154&lt;&gt;"",IF(LOWER('Capacity summary'!AI154)="x",$BI35*AI35,VALUE('Capacity summary'!AI154)),0),AI35*$BI35),AI35*$BI35),0)</f>
        <v>0</v>
      </c>
      <c r="CM35" s="311">
        <f>IF($BI35&lt;&gt;"",IF('Capacity summary'!$D$14="Yes",IF(COUNTBLANK('Capacity summary'!$H154:$BG154)&lt;52,IF('Capacity summary'!AJ154&lt;&gt;"",IF(LOWER('Capacity summary'!AJ154)="x",$BI35*AJ35,VALUE('Capacity summary'!AJ154)),0),AJ35*$BI35),AJ35*$BI35),0)</f>
        <v>0</v>
      </c>
      <c r="CN35" s="311">
        <f>IF($BI35&lt;&gt;"",IF('Capacity summary'!$D$14="Yes",IF(COUNTBLANK('Capacity summary'!$H154:$BG154)&lt;52,IF('Capacity summary'!AK154&lt;&gt;"",IF(LOWER('Capacity summary'!AK154)="x",$BI35*AK35,VALUE('Capacity summary'!AK154)),0),AK35*$BI35),AK35*$BI35),0)</f>
        <v>0</v>
      </c>
      <c r="CO35" s="311">
        <f>IF($BI35&lt;&gt;"",IF('Capacity summary'!$D$14="Yes",IF(COUNTBLANK('Capacity summary'!$H154:$BG154)&lt;52,IF('Capacity summary'!AL154&lt;&gt;"",IF(LOWER('Capacity summary'!AL154)="x",$BI35*AL35,VALUE('Capacity summary'!AL154)),0),AL35*$BI35),AL35*$BI35),0)</f>
        <v>0</v>
      </c>
      <c r="CP35" s="311">
        <f>IF($BI35&lt;&gt;"",IF('Capacity summary'!$D$14="Yes",IF(COUNTBLANK('Capacity summary'!$H154:$BG154)&lt;52,IF('Capacity summary'!AM154&lt;&gt;"",IF(LOWER('Capacity summary'!AM154)="x",$BI35*AM35,VALUE('Capacity summary'!AM154)),0),AM35*$BI35),AM35*$BI35),0)</f>
        <v>0</v>
      </c>
      <c r="CQ35" s="311">
        <f>IF($BI35&lt;&gt;"",IF('Capacity summary'!$D$14="Yes",IF(COUNTBLANK('Capacity summary'!$H154:$BG154)&lt;52,IF('Capacity summary'!AN154&lt;&gt;"",IF(LOWER('Capacity summary'!AN154)="x",$BI35*AN35,VALUE('Capacity summary'!AN154)),0),AN35*$BI35),AN35*$BI35),0)</f>
        <v>0</v>
      </c>
      <c r="CR35" s="311">
        <f>IF($BI35&lt;&gt;"",IF('Capacity summary'!$D$14="Yes",IF(COUNTBLANK('Capacity summary'!$H154:$BG154)&lt;52,IF('Capacity summary'!AO154&lt;&gt;"",IF(LOWER('Capacity summary'!AO154)="x",$BI35*AO35,VALUE('Capacity summary'!AO154)),0),AO35*$BI35),AO35*$BI35),0)</f>
        <v>0</v>
      </c>
      <c r="CS35" s="311">
        <f>IF($BI35&lt;&gt;"",IF('Capacity summary'!$D$14="Yes",IF(COUNTBLANK('Capacity summary'!$H154:$BG154)&lt;52,IF('Capacity summary'!AP154&lt;&gt;"",IF(LOWER('Capacity summary'!AP154)="x",$BI35*AP35,VALUE('Capacity summary'!AP154)),0),AP35*$BI35),AP35*$BI35),0)</f>
        <v>0</v>
      </c>
      <c r="CT35" s="311">
        <f>IF($BI35&lt;&gt;"",IF('Capacity summary'!$D$14="Yes",IF(COUNTBLANK('Capacity summary'!$H154:$BG154)&lt;52,IF('Capacity summary'!AQ154&lt;&gt;"",IF(LOWER('Capacity summary'!AQ154)="x",$BI35*AQ35,VALUE('Capacity summary'!AQ154)),0),AQ35*$BI35),AQ35*$BI35),0)</f>
        <v>0</v>
      </c>
      <c r="CU35" s="311">
        <f>IF($BI35&lt;&gt;"",IF('Capacity summary'!$D$14="Yes",IF(COUNTBLANK('Capacity summary'!$H154:$BG154)&lt;52,IF('Capacity summary'!AR154&lt;&gt;"",IF(LOWER('Capacity summary'!AR154)="x",$BI35*AR35,VALUE('Capacity summary'!AR154)),0),AR35*$BI35),AR35*$BI35),0)</f>
        <v>0</v>
      </c>
      <c r="CV35" s="311">
        <f>IF($BI35&lt;&gt;"",IF('Capacity summary'!$D$14="Yes",IF(COUNTBLANK('Capacity summary'!$H154:$BG154)&lt;52,IF('Capacity summary'!AS154&lt;&gt;"",IF(LOWER('Capacity summary'!AS154)="x",$BI35*AS35,VALUE('Capacity summary'!AS154)),0),AS35*$BI35),AS35*$BI35),0)</f>
        <v>0</v>
      </c>
      <c r="CW35" s="311">
        <f>IF($BI35&lt;&gt;"",IF('Capacity summary'!$D$14="Yes",IF(COUNTBLANK('Capacity summary'!$H154:$BG154)&lt;52,IF('Capacity summary'!AT154&lt;&gt;"",IF(LOWER('Capacity summary'!AT154)="x",$BI35*AT35,VALUE('Capacity summary'!AT154)),0),AT35*$BI35),AT35*$BI35),0)</f>
        <v>0</v>
      </c>
      <c r="CX35" s="311">
        <f>IF($BI35&lt;&gt;"",IF('Capacity summary'!$D$14="Yes",IF(COUNTBLANK('Capacity summary'!$H154:$BG154)&lt;52,IF('Capacity summary'!AU154&lt;&gt;"",IF(LOWER('Capacity summary'!AU154)="x",$BI35*AU35,VALUE('Capacity summary'!AU154)),0),AU35*$BI35),AU35*$BI35),0)</f>
        <v>0</v>
      </c>
      <c r="CY35" s="311">
        <f>IF($BI35&lt;&gt;"",IF('Capacity summary'!$D$14="Yes",IF(COUNTBLANK('Capacity summary'!$H154:$BG154)&lt;52,IF('Capacity summary'!AV154&lt;&gt;"",IF(LOWER('Capacity summary'!AV154)="x",$BI35*AV35,VALUE('Capacity summary'!AV154)),0),AV35*$BI35),AV35*$BI35),0)</f>
        <v>0</v>
      </c>
      <c r="CZ35" s="311">
        <f>IF($BI35&lt;&gt;"",IF('Capacity summary'!$D$14="Yes",IF(COUNTBLANK('Capacity summary'!$H154:$BG154)&lt;52,IF('Capacity summary'!AW154&lt;&gt;"",IF(LOWER('Capacity summary'!AW154)="x",$BI35*AW35,VALUE('Capacity summary'!AW154)),0),AW35*$BI35),AW35*$BI35),0)</f>
        <v>0</v>
      </c>
      <c r="DA35" s="311">
        <f>IF($BI35&lt;&gt;"",IF('Capacity summary'!$D$14="Yes",IF(COUNTBLANK('Capacity summary'!$H154:$BG154)&lt;52,IF('Capacity summary'!AX154&lt;&gt;"",IF(LOWER('Capacity summary'!AX154)="x",$BI35*AX35,VALUE('Capacity summary'!AX154)),0),AX35*$BI35),AX35*$BI35),0)</f>
        <v>0</v>
      </c>
      <c r="DB35" s="311">
        <f>IF($BI35&lt;&gt;"",IF('Capacity summary'!$D$14="Yes",IF(COUNTBLANK('Capacity summary'!$H154:$BG154)&lt;52,IF('Capacity summary'!AY154&lt;&gt;"",IF(LOWER('Capacity summary'!AY154)="x",$BI35*AY35,VALUE('Capacity summary'!AY154)),0),AY35*$BI35),AY35*$BI35),0)</f>
        <v>0</v>
      </c>
      <c r="DC35" s="311">
        <f>IF($BI35&lt;&gt;"",IF('Capacity summary'!$D$14="Yes",IF(COUNTBLANK('Capacity summary'!$H154:$BG154)&lt;52,IF('Capacity summary'!AZ154&lt;&gt;"",IF(LOWER('Capacity summary'!AZ154)="x",$BI35*AZ35,VALUE('Capacity summary'!AZ154)),0),AZ35*$BI35),AZ35*$BI35),0)</f>
        <v>0</v>
      </c>
      <c r="DD35" s="311">
        <f>IF($BI35&lt;&gt;"",IF('Capacity summary'!$D$14="Yes",IF(COUNTBLANK('Capacity summary'!$H154:$BG154)&lt;52,IF('Capacity summary'!BA154&lt;&gt;"",IF(LOWER('Capacity summary'!BA154)="x",$BI35*BA35,VALUE('Capacity summary'!BA154)),0),BA35*$BI35),BA35*$BI35),0)</f>
        <v>0</v>
      </c>
      <c r="DE35" s="311">
        <f>IF($BI35&lt;&gt;"",IF('Capacity summary'!$D$14="Yes",IF(COUNTBLANK('Capacity summary'!$H154:$BG154)&lt;52,IF('Capacity summary'!BB154&lt;&gt;"",IF(LOWER('Capacity summary'!BB154)="x",$BI35*BB35,VALUE('Capacity summary'!BB154)),0),BB35*$BI35),BB35*$BI35),0)</f>
        <v>0</v>
      </c>
      <c r="DF35" s="311">
        <f>IF($BI35&lt;&gt;"",IF('Capacity summary'!$D$14="Yes",IF(COUNTBLANK('Capacity summary'!$H154:$BG154)&lt;52,IF('Capacity summary'!BC154&lt;&gt;"",IF(LOWER('Capacity summary'!BC154)="x",$BI35*BC35,VALUE('Capacity summary'!BC154)),0),BC35*$BI35),BC35*$BI35),0)</f>
        <v>0</v>
      </c>
      <c r="DG35" s="311">
        <f>IF($BI35&lt;&gt;"",IF('Capacity summary'!$D$14="Yes",IF(COUNTBLANK('Capacity summary'!$H154:$BG154)&lt;52,IF('Capacity summary'!BD154&lt;&gt;"",IF(LOWER('Capacity summary'!BD154)="x",$BI35*BD35,VALUE('Capacity summary'!BD154)),0),BD35*$BI35),BD35*$BI35),0)</f>
        <v>0</v>
      </c>
      <c r="DH35" s="311">
        <f>IF($BI35&lt;&gt;"",IF('Capacity summary'!$D$14="Yes",IF(COUNTBLANK('Capacity summary'!$H154:$BG154)&lt;52,IF('Capacity summary'!BE154&lt;&gt;"",IF(LOWER('Capacity summary'!BE154)="x",$BI35*BE35,VALUE('Capacity summary'!BE154)),0),BE35*$BI35),BE35*$BI35),0)</f>
        <v>0</v>
      </c>
      <c r="DI35" s="311">
        <f>IF($BI35&lt;&gt;"",IF('Capacity summary'!$D$14="Yes",IF(COUNTBLANK('Capacity summary'!$H154:$BG154)&lt;52,IF('Capacity summary'!BF154&lt;&gt;"",IF(LOWER('Capacity summary'!BF154)="x",$BI35*BF35,VALUE('Capacity summary'!BF154)),0),BF35*$BI35),BF35*$BI35),0)</f>
        <v>0</v>
      </c>
      <c r="DJ35" s="311">
        <f>IF($BI35&lt;&gt;"",IF('Capacity summary'!$D$14="Yes",IF(COUNTBLANK('Capacity summary'!$H154:$BG154)&lt;52,IF('Capacity summary'!BG154&lt;&gt;"",IF(LOWER('Capacity summary'!BG154)="x",$BI35*BG35,VALUE('Capacity summary'!BG154)),0),BG35*$BI35),BG35*$BI35),0)</f>
        <v>0</v>
      </c>
      <c r="DK35" s="391">
        <f t="shared" si="2"/>
        <v>0</v>
      </c>
      <c r="DL35" s="136">
        <f t="shared" si="3"/>
        <v>0</v>
      </c>
      <c r="DM35" s="311" t="str">
        <f>Capacity!H47</f>
        <v/>
      </c>
      <c r="DQ35" s="5"/>
    </row>
    <row r="36" spans="1:121" x14ac:dyDescent="0.2">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1">
        <f>IF($BI36&lt;&gt;"",IF('Capacity summary'!$D$14="Yes",IF(COUNTBLANK('Capacity summary'!$H155:$BG155)&lt;52,IF('Capacity summary'!H155&lt;&gt;"",IF(LOWER('Capacity summary'!H155)="x",$BI36*H36,VALUE('Capacity summary'!H155)),0),H36*$BI36),H36*$BI36),0)</f>
        <v>0</v>
      </c>
      <c r="BL36" s="311">
        <f>IF($BI36&lt;&gt;"",IF('Capacity summary'!$D$14="Yes",IF(COUNTBLANK('Capacity summary'!$H155:$BG155)&lt;52,IF('Capacity summary'!I155&lt;&gt;"",IF(LOWER('Capacity summary'!I155)="x",$BI36*I36,VALUE('Capacity summary'!I155)),0),I36*$BI36),I36*$BI36),0)</f>
        <v>0</v>
      </c>
      <c r="BM36" s="311">
        <f>IF($BI36&lt;&gt;"",IF('Capacity summary'!$D$14="Yes",IF(COUNTBLANK('Capacity summary'!$H155:$BG155)&lt;52,IF('Capacity summary'!J155&lt;&gt;"",IF(LOWER('Capacity summary'!J155)="x",$BI36*J36,VALUE('Capacity summary'!J155)),0),J36*$BI36),J36*$BI36),0)</f>
        <v>0</v>
      </c>
      <c r="BN36" s="311">
        <f>IF($BI36&lt;&gt;"",IF('Capacity summary'!$D$14="Yes",IF(COUNTBLANK('Capacity summary'!$H155:$BG155)&lt;52,IF('Capacity summary'!K155&lt;&gt;"",IF(LOWER('Capacity summary'!K155)="x",$BI36*K36,VALUE('Capacity summary'!K155)),0),K36*$BI36),K36*$BI36),0)</f>
        <v>0</v>
      </c>
      <c r="BO36" s="311">
        <f>IF($BI36&lt;&gt;"",IF('Capacity summary'!$D$14="Yes",IF(COUNTBLANK('Capacity summary'!$H155:$BG155)&lt;52,IF('Capacity summary'!L155&lt;&gt;"",IF(LOWER('Capacity summary'!L155)="x",$BI36*L36,VALUE('Capacity summary'!L155)),0),L36*$BI36),L36*$BI36),0)</f>
        <v>0</v>
      </c>
      <c r="BP36" s="311">
        <f>IF($BI36&lt;&gt;"",IF('Capacity summary'!$D$14="Yes",IF(COUNTBLANK('Capacity summary'!$H155:$BG155)&lt;52,IF('Capacity summary'!M155&lt;&gt;"",IF(LOWER('Capacity summary'!M155)="x",$BI36*M36,VALUE('Capacity summary'!M155)),0),M36*$BI36),M36*$BI36),0)</f>
        <v>0</v>
      </c>
      <c r="BQ36" s="311">
        <f>IF($BI36&lt;&gt;"",IF('Capacity summary'!$D$14="Yes",IF(COUNTBLANK('Capacity summary'!$H155:$BG155)&lt;52,IF('Capacity summary'!N155&lt;&gt;"",IF(LOWER('Capacity summary'!N155)="x",$BI36*N36,VALUE('Capacity summary'!N155)),0),N36*$BI36),N36*$BI36),0)</f>
        <v>0</v>
      </c>
      <c r="BR36" s="311">
        <f>IF($BI36&lt;&gt;"",IF('Capacity summary'!$D$14="Yes",IF(COUNTBLANK('Capacity summary'!$H155:$BG155)&lt;52,IF('Capacity summary'!O155&lt;&gt;"",IF(LOWER('Capacity summary'!O155)="x",$BI36*O36,VALUE('Capacity summary'!O155)),0),O36*$BI36),O36*$BI36),0)</f>
        <v>0</v>
      </c>
      <c r="BS36" s="311">
        <f>IF($BI36&lt;&gt;"",IF('Capacity summary'!$D$14="Yes",IF(COUNTBLANK('Capacity summary'!$H155:$BG155)&lt;52,IF('Capacity summary'!P155&lt;&gt;"",IF(LOWER('Capacity summary'!P155)="x",$BI36*P36,VALUE('Capacity summary'!P155)),0),P36*$BI36),P36*$BI36),0)</f>
        <v>0</v>
      </c>
      <c r="BT36" s="311">
        <f>IF($BI36&lt;&gt;"",IF('Capacity summary'!$D$14="Yes",IF(COUNTBLANK('Capacity summary'!$H155:$BG155)&lt;52,IF('Capacity summary'!Q155&lt;&gt;"",IF(LOWER('Capacity summary'!Q155)="x",$BI36*Q36,VALUE('Capacity summary'!Q155)),0),Q36*$BI36),Q36*$BI36),0)</f>
        <v>0</v>
      </c>
      <c r="BU36" s="311">
        <f>IF($BI36&lt;&gt;"",IF('Capacity summary'!$D$14="Yes",IF(COUNTBLANK('Capacity summary'!$H155:$BG155)&lt;52,IF('Capacity summary'!R155&lt;&gt;"",IF(LOWER('Capacity summary'!R155)="x",$BI36*R36,VALUE('Capacity summary'!R155)),0),R36*$BI36),R36*$BI36),0)</f>
        <v>0</v>
      </c>
      <c r="BV36" s="311">
        <f>IF($BI36&lt;&gt;"",IF('Capacity summary'!$D$14="Yes",IF(COUNTBLANK('Capacity summary'!$H155:$BG155)&lt;52,IF('Capacity summary'!S155&lt;&gt;"",IF(LOWER('Capacity summary'!S155)="x",$BI36*S36,VALUE('Capacity summary'!S155)),0),S36*$BI36),S36*$BI36),0)</f>
        <v>0</v>
      </c>
      <c r="BW36" s="311">
        <f>IF($BI36&lt;&gt;"",IF('Capacity summary'!$D$14="Yes",IF(COUNTBLANK('Capacity summary'!$H155:$BG155)&lt;52,IF('Capacity summary'!T155&lt;&gt;"",IF(LOWER('Capacity summary'!T155)="x",$BI36*T36,VALUE('Capacity summary'!T155)),0),T36*$BI36),T36*$BI36),0)</f>
        <v>0</v>
      </c>
      <c r="BX36" s="311">
        <f>IF($BI36&lt;&gt;"",IF('Capacity summary'!$D$14="Yes",IF(COUNTBLANK('Capacity summary'!$H155:$BG155)&lt;52,IF('Capacity summary'!U155&lt;&gt;"",IF(LOWER('Capacity summary'!U155)="x",$BI36*U36,VALUE('Capacity summary'!U155)),0),U36*$BI36),U36*$BI36),0)</f>
        <v>0</v>
      </c>
      <c r="BY36" s="311">
        <f>IF($BI36&lt;&gt;"",IF('Capacity summary'!$D$14="Yes",IF(COUNTBLANK('Capacity summary'!$H155:$BG155)&lt;52,IF('Capacity summary'!V155&lt;&gt;"",IF(LOWER('Capacity summary'!V155)="x",$BI36*V36,VALUE('Capacity summary'!V155)),0),V36*$BI36),V36*$BI36),0)</f>
        <v>0</v>
      </c>
      <c r="BZ36" s="311">
        <f>IF($BI36&lt;&gt;"",IF('Capacity summary'!$D$14="Yes",IF(COUNTBLANK('Capacity summary'!$H155:$BG155)&lt;52,IF('Capacity summary'!W155&lt;&gt;"",IF(LOWER('Capacity summary'!W155)="x",$BI36*W36,VALUE('Capacity summary'!W155)),0),W36*$BI36),W36*$BI36),0)</f>
        <v>0</v>
      </c>
      <c r="CA36" s="311">
        <f>IF($BI36&lt;&gt;"",IF('Capacity summary'!$D$14="Yes",IF(COUNTBLANK('Capacity summary'!$H155:$BG155)&lt;52,IF('Capacity summary'!X155&lt;&gt;"",IF(LOWER('Capacity summary'!X155)="x",$BI36*X36,VALUE('Capacity summary'!X155)),0),X36*$BI36),X36*$BI36),0)</f>
        <v>0</v>
      </c>
      <c r="CB36" s="311">
        <f>IF($BI36&lt;&gt;"",IF('Capacity summary'!$D$14="Yes",IF(COUNTBLANK('Capacity summary'!$H155:$BG155)&lt;52,IF('Capacity summary'!Y155&lt;&gt;"",IF(LOWER('Capacity summary'!Y155)="x",$BI36*Y36,VALUE('Capacity summary'!Y155)),0),Y36*$BI36),Y36*$BI36),0)</f>
        <v>0</v>
      </c>
      <c r="CC36" s="311">
        <f>IF($BI36&lt;&gt;"",IF('Capacity summary'!$D$14="Yes",IF(COUNTBLANK('Capacity summary'!$H155:$BG155)&lt;52,IF('Capacity summary'!Z155&lt;&gt;"",IF(LOWER('Capacity summary'!Z155)="x",$BI36*Z36,VALUE('Capacity summary'!Z155)),0),Z36*$BI36),Z36*$BI36),0)</f>
        <v>0</v>
      </c>
      <c r="CD36" s="311">
        <f>IF($BI36&lt;&gt;"",IF('Capacity summary'!$D$14="Yes",IF(COUNTBLANK('Capacity summary'!$H155:$BG155)&lt;52,IF('Capacity summary'!AA155&lt;&gt;"",IF(LOWER('Capacity summary'!AA155)="x",$BI36*AA36,VALUE('Capacity summary'!AA155)),0),AA36*$BI36),AA36*$BI36),0)</f>
        <v>0</v>
      </c>
      <c r="CE36" s="311">
        <f>IF($BI36&lt;&gt;"",IF('Capacity summary'!$D$14="Yes",IF(COUNTBLANK('Capacity summary'!$H155:$BG155)&lt;52,IF('Capacity summary'!AB155&lt;&gt;"",IF(LOWER('Capacity summary'!AB155)="x",$BI36*AB36,VALUE('Capacity summary'!AB155)),0),AB36*$BI36),AB36*$BI36),0)</f>
        <v>0</v>
      </c>
      <c r="CF36" s="311">
        <f>IF($BI36&lt;&gt;"",IF('Capacity summary'!$D$14="Yes",IF(COUNTBLANK('Capacity summary'!$H155:$BG155)&lt;52,IF('Capacity summary'!AC155&lt;&gt;"",IF(LOWER('Capacity summary'!AC155)="x",$BI36*AC36,VALUE('Capacity summary'!AC155)),0),AC36*$BI36),AC36*$BI36),0)</f>
        <v>0</v>
      </c>
      <c r="CG36" s="311">
        <f>IF($BI36&lt;&gt;"",IF('Capacity summary'!$D$14="Yes",IF(COUNTBLANK('Capacity summary'!$H155:$BG155)&lt;52,IF('Capacity summary'!AD155&lt;&gt;"",IF(LOWER('Capacity summary'!AD155)="x",$BI36*AD36,VALUE('Capacity summary'!AD155)),0),AD36*$BI36),AD36*$BI36),0)</f>
        <v>0</v>
      </c>
      <c r="CH36" s="311">
        <f>IF($BI36&lt;&gt;"",IF('Capacity summary'!$D$14="Yes",IF(COUNTBLANK('Capacity summary'!$H155:$BG155)&lt;52,IF('Capacity summary'!AE155&lt;&gt;"",IF(LOWER('Capacity summary'!AE155)="x",$BI36*AE36,VALUE('Capacity summary'!AE155)),0),AE36*$BI36),AE36*$BI36),0)</f>
        <v>0</v>
      </c>
      <c r="CI36" s="311">
        <f>IF($BI36&lt;&gt;"",IF('Capacity summary'!$D$14="Yes",IF(COUNTBLANK('Capacity summary'!$H155:$BG155)&lt;52,IF('Capacity summary'!AF155&lt;&gt;"",IF(LOWER('Capacity summary'!AF155)="x",$BI36*AF36,VALUE('Capacity summary'!AF155)),0),AF36*$BI36),AF36*$BI36),0)</f>
        <v>0</v>
      </c>
      <c r="CJ36" s="311">
        <f>IF($BI36&lt;&gt;"",IF('Capacity summary'!$D$14="Yes",IF(COUNTBLANK('Capacity summary'!$H155:$BG155)&lt;52,IF('Capacity summary'!AG155&lt;&gt;"",IF(LOWER('Capacity summary'!AG155)="x",$BI36*AG36,VALUE('Capacity summary'!AG155)),0),AG36*$BI36),AG36*$BI36),0)</f>
        <v>0</v>
      </c>
      <c r="CK36" s="311">
        <f>IF($BI36&lt;&gt;"",IF('Capacity summary'!$D$14="Yes",IF(COUNTBLANK('Capacity summary'!$H155:$BG155)&lt;52,IF('Capacity summary'!AH155&lt;&gt;"",IF(LOWER('Capacity summary'!AH155)="x",$BI36*AH36,VALUE('Capacity summary'!AH155)),0),AH36*$BI36),AH36*$BI36),0)</f>
        <v>0</v>
      </c>
      <c r="CL36" s="311">
        <f>IF($BI36&lt;&gt;"",IF('Capacity summary'!$D$14="Yes",IF(COUNTBLANK('Capacity summary'!$H155:$BG155)&lt;52,IF('Capacity summary'!AI155&lt;&gt;"",IF(LOWER('Capacity summary'!AI155)="x",$BI36*AI36,VALUE('Capacity summary'!AI155)),0),AI36*$BI36),AI36*$BI36),0)</f>
        <v>0</v>
      </c>
      <c r="CM36" s="311">
        <f>IF($BI36&lt;&gt;"",IF('Capacity summary'!$D$14="Yes",IF(COUNTBLANK('Capacity summary'!$H155:$BG155)&lt;52,IF('Capacity summary'!AJ155&lt;&gt;"",IF(LOWER('Capacity summary'!AJ155)="x",$BI36*AJ36,VALUE('Capacity summary'!AJ155)),0),AJ36*$BI36),AJ36*$BI36),0)</f>
        <v>0</v>
      </c>
      <c r="CN36" s="311">
        <f>IF($BI36&lt;&gt;"",IF('Capacity summary'!$D$14="Yes",IF(COUNTBLANK('Capacity summary'!$H155:$BG155)&lt;52,IF('Capacity summary'!AK155&lt;&gt;"",IF(LOWER('Capacity summary'!AK155)="x",$BI36*AK36,VALUE('Capacity summary'!AK155)),0),AK36*$BI36),AK36*$BI36),0)</f>
        <v>0</v>
      </c>
      <c r="CO36" s="311">
        <f>IF($BI36&lt;&gt;"",IF('Capacity summary'!$D$14="Yes",IF(COUNTBLANK('Capacity summary'!$H155:$BG155)&lt;52,IF('Capacity summary'!AL155&lt;&gt;"",IF(LOWER('Capacity summary'!AL155)="x",$BI36*AL36,VALUE('Capacity summary'!AL155)),0),AL36*$BI36),AL36*$BI36),0)</f>
        <v>0</v>
      </c>
      <c r="CP36" s="311">
        <f>IF($BI36&lt;&gt;"",IF('Capacity summary'!$D$14="Yes",IF(COUNTBLANK('Capacity summary'!$H155:$BG155)&lt;52,IF('Capacity summary'!AM155&lt;&gt;"",IF(LOWER('Capacity summary'!AM155)="x",$BI36*AM36,VALUE('Capacity summary'!AM155)),0),AM36*$BI36),AM36*$BI36),0)</f>
        <v>0</v>
      </c>
      <c r="CQ36" s="311">
        <f>IF($BI36&lt;&gt;"",IF('Capacity summary'!$D$14="Yes",IF(COUNTBLANK('Capacity summary'!$H155:$BG155)&lt;52,IF('Capacity summary'!AN155&lt;&gt;"",IF(LOWER('Capacity summary'!AN155)="x",$BI36*AN36,VALUE('Capacity summary'!AN155)),0),AN36*$BI36),AN36*$BI36),0)</f>
        <v>0</v>
      </c>
      <c r="CR36" s="311">
        <f>IF($BI36&lt;&gt;"",IF('Capacity summary'!$D$14="Yes",IF(COUNTBLANK('Capacity summary'!$H155:$BG155)&lt;52,IF('Capacity summary'!AO155&lt;&gt;"",IF(LOWER('Capacity summary'!AO155)="x",$BI36*AO36,VALUE('Capacity summary'!AO155)),0),AO36*$BI36),AO36*$BI36),0)</f>
        <v>0</v>
      </c>
      <c r="CS36" s="311">
        <f>IF($BI36&lt;&gt;"",IF('Capacity summary'!$D$14="Yes",IF(COUNTBLANK('Capacity summary'!$H155:$BG155)&lt;52,IF('Capacity summary'!AP155&lt;&gt;"",IF(LOWER('Capacity summary'!AP155)="x",$BI36*AP36,VALUE('Capacity summary'!AP155)),0),AP36*$BI36),AP36*$BI36),0)</f>
        <v>0</v>
      </c>
      <c r="CT36" s="311">
        <f>IF($BI36&lt;&gt;"",IF('Capacity summary'!$D$14="Yes",IF(COUNTBLANK('Capacity summary'!$H155:$BG155)&lt;52,IF('Capacity summary'!AQ155&lt;&gt;"",IF(LOWER('Capacity summary'!AQ155)="x",$BI36*AQ36,VALUE('Capacity summary'!AQ155)),0),AQ36*$BI36),AQ36*$BI36),0)</f>
        <v>0</v>
      </c>
      <c r="CU36" s="311">
        <f>IF($BI36&lt;&gt;"",IF('Capacity summary'!$D$14="Yes",IF(COUNTBLANK('Capacity summary'!$H155:$BG155)&lt;52,IF('Capacity summary'!AR155&lt;&gt;"",IF(LOWER('Capacity summary'!AR155)="x",$BI36*AR36,VALUE('Capacity summary'!AR155)),0),AR36*$BI36),AR36*$BI36),0)</f>
        <v>0</v>
      </c>
      <c r="CV36" s="311">
        <f>IF($BI36&lt;&gt;"",IF('Capacity summary'!$D$14="Yes",IF(COUNTBLANK('Capacity summary'!$H155:$BG155)&lt;52,IF('Capacity summary'!AS155&lt;&gt;"",IF(LOWER('Capacity summary'!AS155)="x",$BI36*AS36,VALUE('Capacity summary'!AS155)),0),AS36*$BI36),AS36*$BI36),0)</f>
        <v>0</v>
      </c>
      <c r="CW36" s="311">
        <f>IF($BI36&lt;&gt;"",IF('Capacity summary'!$D$14="Yes",IF(COUNTBLANK('Capacity summary'!$H155:$BG155)&lt;52,IF('Capacity summary'!AT155&lt;&gt;"",IF(LOWER('Capacity summary'!AT155)="x",$BI36*AT36,VALUE('Capacity summary'!AT155)),0),AT36*$BI36),AT36*$BI36),0)</f>
        <v>0</v>
      </c>
      <c r="CX36" s="311">
        <f>IF($BI36&lt;&gt;"",IF('Capacity summary'!$D$14="Yes",IF(COUNTBLANK('Capacity summary'!$H155:$BG155)&lt;52,IF('Capacity summary'!AU155&lt;&gt;"",IF(LOWER('Capacity summary'!AU155)="x",$BI36*AU36,VALUE('Capacity summary'!AU155)),0),AU36*$BI36),AU36*$BI36),0)</f>
        <v>0</v>
      </c>
      <c r="CY36" s="311">
        <f>IF($BI36&lt;&gt;"",IF('Capacity summary'!$D$14="Yes",IF(COUNTBLANK('Capacity summary'!$H155:$BG155)&lt;52,IF('Capacity summary'!AV155&lt;&gt;"",IF(LOWER('Capacity summary'!AV155)="x",$BI36*AV36,VALUE('Capacity summary'!AV155)),0),AV36*$BI36),AV36*$BI36),0)</f>
        <v>0</v>
      </c>
      <c r="CZ36" s="311">
        <f>IF($BI36&lt;&gt;"",IF('Capacity summary'!$D$14="Yes",IF(COUNTBLANK('Capacity summary'!$H155:$BG155)&lt;52,IF('Capacity summary'!AW155&lt;&gt;"",IF(LOWER('Capacity summary'!AW155)="x",$BI36*AW36,VALUE('Capacity summary'!AW155)),0),AW36*$BI36),AW36*$BI36),0)</f>
        <v>0</v>
      </c>
      <c r="DA36" s="311">
        <f>IF($BI36&lt;&gt;"",IF('Capacity summary'!$D$14="Yes",IF(COUNTBLANK('Capacity summary'!$H155:$BG155)&lt;52,IF('Capacity summary'!AX155&lt;&gt;"",IF(LOWER('Capacity summary'!AX155)="x",$BI36*AX36,VALUE('Capacity summary'!AX155)),0),AX36*$BI36),AX36*$BI36),0)</f>
        <v>0</v>
      </c>
      <c r="DB36" s="311">
        <f>IF($BI36&lt;&gt;"",IF('Capacity summary'!$D$14="Yes",IF(COUNTBLANK('Capacity summary'!$H155:$BG155)&lt;52,IF('Capacity summary'!AY155&lt;&gt;"",IF(LOWER('Capacity summary'!AY155)="x",$BI36*AY36,VALUE('Capacity summary'!AY155)),0),AY36*$BI36),AY36*$BI36),0)</f>
        <v>0</v>
      </c>
      <c r="DC36" s="311">
        <f>IF($BI36&lt;&gt;"",IF('Capacity summary'!$D$14="Yes",IF(COUNTBLANK('Capacity summary'!$H155:$BG155)&lt;52,IF('Capacity summary'!AZ155&lt;&gt;"",IF(LOWER('Capacity summary'!AZ155)="x",$BI36*AZ36,VALUE('Capacity summary'!AZ155)),0),AZ36*$BI36),AZ36*$BI36),0)</f>
        <v>0</v>
      </c>
      <c r="DD36" s="311">
        <f>IF($BI36&lt;&gt;"",IF('Capacity summary'!$D$14="Yes",IF(COUNTBLANK('Capacity summary'!$H155:$BG155)&lt;52,IF('Capacity summary'!BA155&lt;&gt;"",IF(LOWER('Capacity summary'!BA155)="x",$BI36*BA36,VALUE('Capacity summary'!BA155)),0),BA36*$BI36),BA36*$BI36),0)</f>
        <v>0</v>
      </c>
      <c r="DE36" s="311">
        <f>IF($BI36&lt;&gt;"",IF('Capacity summary'!$D$14="Yes",IF(COUNTBLANK('Capacity summary'!$H155:$BG155)&lt;52,IF('Capacity summary'!BB155&lt;&gt;"",IF(LOWER('Capacity summary'!BB155)="x",$BI36*BB36,VALUE('Capacity summary'!BB155)),0),BB36*$BI36),BB36*$BI36),0)</f>
        <v>0</v>
      </c>
      <c r="DF36" s="311">
        <f>IF($BI36&lt;&gt;"",IF('Capacity summary'!$D$14="Yes",IF(COUNTBLANK('Capacity summary'!$H155:$BG155)&lt;52,IF('Capacity summary'!BC155&lt;&gt;"",IF(LOWER('Capacity summary'!BC155)="x",$BI36*BC36,VALUE('Capacity summary'!BC155)),0),BC36*$BI36),BC36*$BI36),0)</f>
        <v>0</v>
      </c>
      <c r="DG36" s="311">
        <f>IF($BI36&lt;&gt;"",IF('Capacity summary'!$D$14="Yes",IF(COUNTBLANK('Capacity summary'!$H155:$BG155)&lt;52,IF('Capacity summary'!BD155&lt;&gt;"",IF(LOWER('Capacity summary'!BD155)="x",$BI36*BD36,VALUE('Capacity summary'!BD155)),0),BD36*$BI36),BD36*$BI36),0)</f>
        <v>0</v>
      </c>
      <c r="DH36" s="311">
        <f>IF($BI36&lt;&gt;"",IF('Capacity summary'!$D$14="Yes",IF(COUNTBLANK('Capacity summary'!$H155:$BG155)&lt;52,IF('Capacity summary'!BE155&lt;&gt;"",IF(LOWER('Capacity summary'!BE155)="x",$BI36*BE36,VALUE('Capacity summary'!BE155)),0),BE36*$BI36),BE36*$BI36),0)</f>
        <v>0</v>
      </c>
      <c r="DI36" s="311">
        <f>IF($BI36&lt;&gt;"",IF('Capacity summary'!$D$14="Yes",IF(COUNTBLANK('Capacity summary'!$H155:$BG155)&lt;52,IF('Capacity summary'!BF155&lt;&gt;"",IF(LOWER('Capacity summary'!BF155)="x",$BI36*BF36,VALUE('Capacity summary'!BF155)),0),BF36*$BI36),BF36*$BI36),0)</f>
        <v>0</v>
      </c>
      <c r="DJ36" s="311">
        <f>IF($BI36&lt;&gt;"",IF('Capacity summary'!$D$14="Yes",IF(COUNTBLANK('Capacity summary'!$H155:$BG155)&lt;52,IF('Capacity summary'!BG155&lt;&gt;"",IF(LOWER('Capacity summary'!BG155)="x",$BI36*BG36,VALUE('Capacity summary'!BG155)),0),BG36*$BI36),BG36*$BI36),0)</f>
        <v>0</v>
      </c>
      <c r="DK36" s="391">
        <f t="shared" si="2"/>
        <v>0</v>
      </c>
      <c r="DL36" s="136">
        <f t="shared" si="3"/>
        <v>0</v>
      </c>
      <c r="DM36" s="311" t="str">
        <f>Capacity!H48</f>
        <v/>
      </c>
      <c r="DQ36" s="5"/>
    </row>
    <row r="37" spans="1:121" x14ac:dyDescent="0.2">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1">
        <f>IF($BI37&lt;&gt;"",IF('Capacity summary'!$D$14="Yes",IF(COUNTBLANK('Capacity summary'!$H156:$BG156)&lt;52,IF('Capacity summary'!H156&lt;&gt;"",IF(LOWER('Capacity summary'!H156)="x",$BI37*H37,VALUE('Capacity summary'!H156)),0),H37*$BI37),H37*$BI37),0)</f>
        <v>0</v>
      </c>
      <c r="BL37" s="311">
        <f>IF($BI37&lt;&gt;"",IF('Capacity summary'!$D$14="Yes",IF(COUNTBLANK('Capacity summary'!$H156:$BG156)&lt;52,IF('Capacity summary'!I156&lt;&gt;"",IF(LOWER('Capacity summary'!I156)="x",$BI37*I37,VALUE('Capacity summary'!I156)),0),I37*$BI37),I37*$BI37),0)</f>
        <v>0</v>
      </c>
      <c r="BM37" s="311">
        <f>IF($BI37&lt;&gt;"",IF('Capacity summary'!$D$14="Yes",IF(COUNTBLANK('Capacity summary'!$H156:$BG156)&lt;52,IF('Capacity summary'!J156&lt;&gt;"",IF(LOWER('Capacity summary'!J156)="x",$BI37*J37,VALUE('Capacity summary'!J156)),0),J37*$BI37),J37*$BI37),0)</f>
        <v>0</v>
      </c>
      <c r="BN37" s="311">
        <f>IF($BI37&lt;&gt;"",IF('Capacity summary'!$D$14="Yes",IF(COUNTBLANK('Capacity summary'!$H156:$BG156)&lt;52,IF('Capacity summary'!K156&lt;&gt;"",IF(LOWER('Capacity summary'!K156)="x",$BI37*K37,VALUE('Capacity summary'!K156)),0),K37*$BI37),K37*$BI37),0)</f>
        <v>0</v>
      </c>
      <c r="BO37" s="311">
        <f>IF($BI37&lt;&gt;"",IF('Capacity summary'!$D$14="Yes",IF(COUNTBLANK('Capacity summary'!$H156:$BG156)&lt;52,IF('Capacity summary'!L156&lt;&gt;"",IF(LOWER('Capacity summary'!L156)="x",$BI37*L37,VALUE('Capacity summary'!L156)),0),L37*$BI37),L37*$BI37),0)</f>
        <v>0</v>
      </c>
      <c r="BP37" s="311">
        <f>IF($BI37&lt;&gt;"",IF('Capacity summary'!$D$14="Yes",IF(COUNTBLANK('Capacity summary'!$H156:$BG156)&lt;52,IF('Capacity summary'!M156&lt;&gt;"",IF(LOWER('Capacity summary'!M156)="x",$BI37*M37,VALUE('Capacity summary'!M156)),0),M37*$BI37),M37*$BI37),0)</f>
        <v>0</v>
      </c>
      <c r="BQ37" s="311">
        <f>IF($BI37&lt;&gt;"",IF('Capacity summary'!$D$14="Yes",IF(COUNTBLANK('Capacity summary'!$H156:$BG156)&lt;52,IF('Capacity summary'!N156&lt;&gt;"",IF(LOWER('Capacity summary'!N156)="x",$BI37*N37,VALUE('Capacity summary'!N156)),0),N37*$BI37),N37*$BI37),0)</f>
        <v>0</v>
      </c>
      <c r="BR37" s="311">
        <f>IF($BI37&lt;&gt;"",IF('Capacity summary'!$D$14="Yes",IF(COUNTBLANK('Capacity summary'!$H156:$BG156)&lt;52,IF('Capacity summary'!O156&lt;&gt;"",IF(LOWER('Capacity summary'!O156)="x",$BI37*O37,VALUE('Capacity summary'!O156)),0),O37*$BI37),O37*$BI37),0)</f>
        <v>0</v>
      </c>
      <c r="BS37" s="311">
        <f>IF($BI37&lt;&gt;"",IF('Capacity summary'!$D$14="Yes",IF(COUNTBLANK('Capacity summary'!$H156:$BG156)&lt;52,IF('Capacity summary'!P156&lt;&gt;"",IF(LOWER('Capacity summary'!P156)="x",$BI37*P37,VALUE('Capacity summary'!P156)),0),P37*$BI37),P37*$BI37),0)</f>
        <v>0</v>
      </c>
      <c r="BT37" s="311">
        <f>IF($BI37&lt;&gt;"",IF('Capacity summary'!$D$14="Yes",IF(COUNTBLANK('Capacity summary'!$H156:$BG156)&lt;52,IF('Capacity summary'!Q156&lt;&gt;"",IF(LOWER('Capacity summary'!Q156)="x",$BI37*Q37,VALUE('Capacity summary'!Q156)),0),Q37*$BI37),Q37*$BI37),0)</f>
        <v>0</v>
      </c>
      <c r="BU37" s="311">
        <f>IF($BI37&lt;&gt;"",IF('Capacity summary'!$D$14="Yes",IF(COUNTBLANK('Capacity summary'!$H156:$BG156)&lt;52,IF('Capacity summary'!R156&lt;&gt;"",IF(LOWER('Capacity summary'!R156)="x",$BI37*R37,VALUE('Capacity summary'!R156)),0),R37*$BI37),R37*$BI37),0)</f>
        <v>0</v>
      </c>
      <c r="BV37" s="311">
        <f>IF($BI37&lt;&gt;"",IF('Capacity summary'!$D$14="Yes",IF(COUNTBLANK('Capacity summary'!$H156:$BG156)&lt;52,IF('Capacity summary'!S156&lt;&gt;"",IF(LOWER('Capacity summary'!S156)="x",$BI37*S37,VALUE('Capacity summary'!S156)),0),S37*$BI37),S37*$BI37),0)</f>
        <v>0</v>
      </c>
      <c r="BW37" s="311">
        <f>IF($BI37&lt;&gt;"",IF('Capacity summary'!$D$14="Yes",IF(COUNTBLANK('Capacity summary'!$H156:$BG156)&lt;52,IF('Capacity summary'!T156&lt;&gt;"",IF(LOWER('Capacity summary'!T156)="x",$BI37*T37,VALUE('Capacity summary'!T156)),0),T37*$BI37),T37*$BI37),0)</f>
        <v>0</v>
      </c>
      <c r="BX37" s="311">
        <f>IF($BI37&lt;&gt;"",IF('Capacity summary'!$D$14="Yes",IF(COUNTBLANK('Capacity summary'!$H156:$BG156)&lt;52,IF('Capacity summary'!U156&lt;&gt;"",IF(LOWER('Capacity summary'!U156)="x",$BI37*U37,VALUE('Capacity summary'!U156)),0),U37*$BI37),U37*$BI37),0)</f>
        <v>0</v>
      </c>
      <c r="BY37" s="311">
        <f>IF($BI37&lt;&gt;"",IF('Capacity summary'!$D$14="Yes",IF(COUNTBLANK('Capacity summary'!$H156:$BG156)&lt;52,IF('Capacity summary'!V156&lt;&gt;"",IF(LOWER('Capacity summary'!V156)="x",$BI37*V37,VALUE('Capacity summary'!V156)),0),V37*$BI37),V37*$BI37),0)</f>
        <v>0</v>
      </c>
      <c r="BZ37" s="311">
        <f>IF($BI37&lt;&gt;"",IF('Capacity summary'!$D$14="Yes",IF(COUNTBLANK('Capacity summary'!$H156:$BG156)&lt;52,IF('Capacity summary'!W156&lt;&gt;"",IF(LOWER('Capacity summary'!W156)="x",$BI37*W37,VALUE('Capacity summary'!W156)),0),W37*$BI37),W37*$BI37),0)</f>
        <v>0</v>
      </c>
      <c r="CA37" s="311">
        <f>IF($BI37&lt;&gt;"",IF('Capacity summary'!$D$14="Yes",IF(COUNTBLANK('Capacity summary'!$H156:$BG156)&lt;52,IF('Capacity summary'!X156&lt;&gt;"",IF(LOWER('Capacity summary'!X156)="x",$BI37*X37,VALUE('Capacity summary'!X156)),0),X37*$BI37),X37*$BI37),0)</f>
        <v>0</v>
      </c>
      <c r="CB37" s="311">
        <f>IF($BI37&lt;&gt;"",IF('Capacity summary'!$D$14="Yes",IF(COUNTBLANK('Capacity summary'!$H156:$BG156)&lt;52,IF('Capacity summary'!Y156&lt;&gt;"",IF(LOWER('Capacity summary'!Y156)="x",$BI37*Y37,VALUE('Capacity summary'!Y156)),0),Y37*$BI37),Y37*$BI37),0)</f>
        <v>0</v>
      </c>
      <c r="CC37" s="311">
        <f>IF($BI37&lt;&gt;"",IF('Capacity summary'!$D$14="Yes",IF(COUNTBLANK('Capacity summary'!$H156:$BG156)&lt;52,IF('Capacity summary'!Z156&lt;&gt;"",IF(LOWER('Capacity summary'!Z156)="x",$BI37*Z37,VALUE('Capacity summary'!Z156)),0),Z37*$BI37),Z37*$BI37),0)</f>
        <v>0</v>
      </c>
      <c r="CD37" s="311">
        <f>IF($BI37&lt;&gt;"",IF('Capacity summary'!$D$14="Yes",IF(COUNTBLANK('Capacity summary'!$H156:$BG156)&lt;52,IF('Capacity summary'!AA156&lt;&gt;"",IF(LOWER('Capacity summary'!AA156)="x",$BI37*AA37,VALUE('Capacity summary'!AA156)),0),AA37*$BI37),AA37*$BI37),0)</f>
        <v>0</v>
      </c>
      <c r="CE37" s="311">
        <f>IF($BI37&lt;&gt;"",IF('Capacity summary'!$D$14="Yes",IF(COUNTBLANK('Capacity summary'!$H156:$BG156)&lt;52,IF('Capacity summary'!AB156&lt;&gt;"",IF(LOWER('Capacity summary'!AB156)="x",$BI37*AB37,VALUE('Capacity summary'!AB156)),0),AB37*$BI37),AB37*$BI37),0)</f>
        <v>0</v>
      </c>
      <c r="CF37" s="311">
        <f>IF($BI37&lt;&gt;"",IF('Capacity summary'!$D$14="Yes",IF(COUNTBLANK('Capacity summary'!$H156:$BG156)&lt;52,IF('Capacity summary'!AC156&lt;&gt;"",IF(LOWER('Capacity summary'!AC156)="x",$BI37*AC37,VALUE('Capacity summary'!AC156)),0),AC37*$BI37),AC37*$BI37),0)</f>
        <v>0</v>
      </c>
      <c r="CG37" s="311">
        <f>IF($BI37&lt;&gt;"",IF('Capacity summary'!$D$14="Yes",IF(COUNTBLANK('Capacity summary'!$H156:$BG156)&lt;52,IF('Capacity summary'!AD156&lt;&gt;"",IF(LOWER('Capacity summary'!AD156)="x",$BI37*AD37,VALUE('Capacity summary'!AD156)),0),AD37*$BI37),AD37*$BI37),0)</f>
        <v>0</v>
      </c>
      <c r="CH37" s="311">
        <f>IF($BI37&lt;&gt;"",IF('Capacity summary'!$D$14="Yes",IF(COUNTBLANK('Capacity summary'!$H156:$BG156)&lt;52,IF('Capacity summary'!AE156&lt;&gt;"",IF(LOWER('Capacity summary'!AE156)="x",$BI37*AE37,VALUE('Capacity summary'!AE156)),0),AE37*$BI37),AE37*$BI37),0)</f>
        <v>0</v>
      </c>
      <c r="CI37" s="311">
        <f>IF($BI37&lt;&gt;"",IF('Capacity summary'!$D$14="Yes",IF(COUNTBLANK('Capacity summary'!$H156:$BG156)&lt;52,IF('Capacity summary'!AF156&lt;&gt;"",IF(LOWER('Capacity summary'!AF156)="x",$BI37*AF37,VALUE('Capacity summary'!AF156)),0),AF37*$BI37),AF37*$BI37),0)</f>
        <v>0</v>
      </c>
      <c r="CJ37" s="311">
        <f>IF($BI37&lt;&gt;"",IF('Capacity summary'!$D$14="Yes",IF(COUNTBLANK('Capacity summary'!$H156:$BG156)&lt;52,IF('Capacity summary'!AG156&lt;&gt;"",IF(LOWER('Capacity summary'!AG156)="x",$BI37*AG37,VALUE('Capacity summary'!AG156)),0),AG37*$BI37),AG37*$BI37),0)</f>
        <v>0</v>
      </c>
      <c r="CK37" s="311">
        <f>IF($BI37&lt;&gt;"",IF('Capacity summary'!$D$14="Yes",IF(COUNTBLANK('Capacity summary'!$H156:$BG156)&lt;52,IF('Capacity summary'!AH156&lt;&gt;"",IF(LOWER('Capacity summary'!AH156)="x",$BI37*AH37,VALUE('Capacity summary'!AH156)),0),AH37*$BI37),AH37*$BI37),0)</f>
        <v>0</v>
      </c>
      <c r="CL37" s="311">
        <f>IF($BI37&lt;&gt;"",IF('Capacity summary'!$D$14="Yes",IF(COUNTBLANK('Capacity summary'!$H156:$BG156)&lt;52,IF('Capacity summary'!AI156&lt;&gt;"",IF(LOWER('Capacity summary'!AI156)="x",$BI37*AI37,VALUE('Capacity summary'!AI156)),0),AI37*$BI37),AI37*$BI37),0)</f>
        <v>0</v>
      </c>
      <c r="CM37" s="311">
        <f>IF($BI37&lt;&gt;"",IF('Capacity summary'!$D$14="Yes",IF(COUNTBLANK('Capacity summary'!$H156:$BG156)&lt;52,IF('Capacity summary'!AJ156&lt;&gt;"",IF(LOWER('Capacity summary'!AJ156)="x",$BI37*AJ37,VALUE('Capacity summary'!AJ156)),0),AJ37*$BI37),AJ37*$BI37),0)</f>
        <v>0</v>
      </c>
      <c r="CN37" s="311">
        <f>IF($BI37&lt;&gt;"",IF('Capacity summary'!$D$14="Yes",IF(COUNTBLANK('Capacity summary'!$H156:$BG156)&lt;52,IF('Capacity summary'!AK156&lt;&gt;"",IF(LOWER('Capacity summary'!AK156)="x",$BI37*AK37,VALUE('Capacity summary'!AK156)),0),AK37*$BI37),AK37*$BI37),0)</f>
        <v>0</v>
      </c>
      <c r="CO37" s="311">
        <f>IF($BI37&lt;&gt;"",IF('Capacity summary'!$D$14="Yes",IF(COUNTBLANK('Capacity summary'!$H156:$BG156)&lt;52,IF('Capacity summary'!AL156&lt;&gt;"",IF(LOWER('Capacity summary'!AL156)="x",$BI37*AL37,VALUE('Capacity summary'!AL156)),0),AL37*$BI37),AL37*$BI37),0)</f>
        <v>0</v>
      </c>
      <c r="CP37" s="311">
        <f>IF($BI37&lt;&gt;"",IF('Capacity summary'!$D$14="Yes",IF(COUNTBLANK('Capacity summary'!$H156:$BG156)&lt;52,IF('Capacity summary'!AM156&lt;&gt;"",IF(LOWER('Capacity summary'!AM156)="x",$BI37*AM37,VALUE('Capacity summary'!AM156)),0),AM37*$BI37),AM37*$BI37),0)</f>
        <v>0</v>
      </c>
      <c r="CQ37" s="311">
        <f>IF($BI37&lt;&gt;"",IF('Capacity summary'!$D$14="Yes",IF(COUNTBLANK('Capacity summary'!$H156:$BG156)&lt;52,IF('Capacity summary'!AN156&lt;&gt;"",IF(LOWER('Capacity summary'!AN156)="x",$BI37*AN37,VALUE('Capacity summary'!AN156)),0),AN37*$BI37),AN37*$BI37),0)</f>
        <v>0</v>
      </c>
      <c r="CR37" s="311">
        <f>IF($BI37&lt;&gt;"",IF('Capacity summary'!$D$14="Yes",IF(COUNTBLANK('Capacity summary'!$H156:$BG156)&lt;52,IF('Capacity summary'!AO156&lt;&gt;"",IF(LOWER('Capacity summary'!AO156)="x",$BI37*AO37,VALUE('Capacity summary'!AO156)),0),AO37*$BI37),AO37*$BI37),0)</f>
        <v>0</v>
      </c>
      <c r="CS37" s="311">
        <f>IF($BI37&lt;&gt;"",IF('Capacity summary'!$D$14="Yes",IF(COUNTBLANK('Capacity summary'!$H156:$BG156)&lt;52,IF('Capacity summary'!AP156&lt;&gt;"",IF(LOWER('Capacity summary'!AP156)="x",$BI37*AP37,VALUE('Capacity summary'!AP156)),0),AP37*$BI37),AP37*$BI37),0)</f>
        <v>0</v>
      </c>
      <c r="CT37" s="311">
        <f>IF($BI37&lt;&gt;"",IF('Capacity summary'!$D$14="Yes",IF(COUNTBLANK('Capacity summary'!$H156:$BG156)&lt;52,IF('Capacity summary'!AQ156&lt;&gt;"",IF(LOWER('Capacity summary'!AQ156)="x",$BI37*AQ37,VALUE('Capacity summary'!AQ156)),0),AQ37*$BI37),AQ37*$BI37),0)</f>
        <v>0</v>
      </c>
      <c r="CU37" s="311">
        <f>IF($BI37&lt;&gt;"",IF('Capacity summary'!$D$14="Yes",IF(COUNTBLANK('Capacity summary'!$H156:$BG156)&lt;52,IF('Capacity summary'!AR156&lt;&gt;"",IF(LOWER('Capacity summary'!AR156)="x",$BI37*AR37,VALUE('Capacity summary'!AR156)),0),AR37*$BI37),AR37*$BI37),0)</f>
        <v>0</v>
      </c>
      <c r="CV37" s="311">
        <f>IF($BI37&lt;&gt;"",IF('Capacity summary'!$D$14="Yes",IF(COUNTBLANK('Capacity summary'!$H156:$BG156)&lt;52,IF('Capacity summary'!AS156&lt;&gt;"",IF(LOWER('Capacity summary'!AS156)="x",$BI37*AS37,VALUE('Capacity summary'!AS156)),0),AS37*$BI37),AS37*$BI37),0)</f>
        <v>0</v>
      </c>
      <c r="CW37" s="311">
        <f>IF($BI37&lt;&gt;"",IF('Capacity summary'!$D$14="Yes",IF(COUNTBLANK('Capacity summary'!$H156:$BG156)&lt;52,IF('Capacity summary'!AT156&lt;&gt;"",IF(LOWER('Capacity summary'!AT156)="x",$BI37*AT37,VALUE('Capacity summary'!AT156)),0),AT37*$BI37),AT37*$BI37),0)</f>
        <v>0</v>
      </c>
      <c r="CX37" s="311">
        <f>IF($BI37&lt;&gt;"",IF('Capacity summary'!$D$14="Yes",IF(COUNTBLANK('Capacity summary'!$H156:$BG156)&lt;52,IF('Capacity summary'!AU156&lt;&gt;"",IF(LOWER('Capacity summary'!AU156)="x",$BI37*AU37,VALUE('Capacity summary'!AU156)),0),AU37*$BI37),AU37*$BI37),0)</f>
        <v>0</v>
      </c>
      <c r="CY37" s="311">
        <f>IF($BI37&lt;&gt;"",IF('Capacity summary'!$D$14="Yes",IF(COUNTBLANK('Capacity summary'!$H156:$BG156)&lt;52,IF('Capacity summary'!AV156&lt;&gt;"",IF(LOWER('Capacity summary'!AV156)="x",$BI37*AV37,VALUE('Capacity summary'!AV156)),0),AV37*$BI37),AV37*$BI37),0)</f>
        <v>0</v>
      </c>
      <c r="CZ37" s="311">
        <f>IF($BI37&lt;&gt;"",IF('Capacity summary'!$D$14="Yes",IF(COUNTBLANK('Capacity summary'!$H156:$BG156)&lt;52,IF('Capacity summary'!AW156&lt;&gt;"",IF(LOWER('Capacity summary'!AW156)="x",$BI37*AW37,VALUE('Capacity summary'!AW156)),0),AW37*$BI37),AW37*$BI37),0)</f>
        <v>0</v>
      </c>
      <c r="DA37" s="311">
        <f>IF($BI37&lt;&gt;"",IF('Capacity summary'!$D$14="Yes",IF(COUNTBLANK('Capacity summary'!$H156:$BG156)&lt;52,IF('Capacity summary'!AX156&lt;&gt;"",IF(LOWER('Capacity summary'!AX156)="x",$BI37*AX37,VALUE('Capacity summary'!AX156)),0),AX37*$BI37),AX37*$BI37),0)</f>
        <v>0</v>
      </c>
      <c r="DB37" s="311">
        <f>IF($BI37&lt;&gt;"",IF('Capacity summary'!$D$14="Yes",IF(COUNTBLANK('Capacity summary'!$H156:$BG156)&lt;52,IF('Capacity summary'!AY156&lt;&gt;"",IF(LOWER('Capacity summary'!AY156)="x",$BI37*AY37,VALUE('Capacity summary'!AY156)),0),AY37*$BI37),AY37*$BI37),0)</f>
        <v>0</v>
      </c>
      <c r="DC37" s="311">
        <f>IF($BI37&lt;&gt;"",IF('Capacity summary'!$D$14="Yes",IF(COUNTBLANK('Capacity summary'!$H156:$BG156)&lt;52,IF('Capacity summary'!AZ156&lt;&gt;"",IF(LOWER('Capacity summary'!AZ156)="x",$BI37*AZ37,VALUE('Capacity summary'!AZ156)),0),AZ37*$BI37),AZ37*$BI37),0)</f>
        <v>0</v>
      </c>
      <c r="DD37" s="311">
        <f>IF($BI37&lt;&gt;"",IF('Capacity summary'!$D$14="Yes",IF(COUNTBLANK('Capacity summary'!$H156:$BG156)&lt;52,IF('Capacity summary'!BA156&lt;&gt;"",IF(LOWER('Capacity summary'!BA156)="x",$BI37*BA37,VALUE('Capacity summary'!BA156)),0),BA37*$BI37),BA37*$BI37),0)</f>
        <v>0</v>
      </c>
      <c r="DE37" s="311">
        <f>IF($BI37&lt;&gt;"",IF('Capacity summary'!$D$14="Yes",IF(COUNTBLANK('Capacity summary'!$H156:$BG156)&lt;52,IF('Capacity summary'!BB156&lt;&gt;"",IF(LOWER('Capacity summary'!BB156)="x",$BI37*BB37,VALUE('Capacity summary'!BB156)),0),BB37*$BI37),BB37*$BI37),0)</f>
        <v>0</v>
      </c>
      <c r="DF37" s="311">
        <f>IF($BI37&lt;&gt;"",IF('Capacity summary'!$D$14="Yes",IF(COUNTBLANK('Capacity summary'!$H156:$BG156)&lt;52,IF('Capacity summary'!BC156&lt;&gt;"",IF(LOWER('Capacity summary'!BC156)="x",$BI37*BC37,VALUE('Capacity summary'!BC156)),0),BC37*$BI37),BC37*$BI37),0)</f>
        <v>0</v>
      </c>
      <c r="DG37" s="311">
        <f>IF($BI37&lt;&gt;"",IF('Capacity summary'!$D$14="Yes",IF(COUNTBLANK('Capacity summary'!$H156:$BG156)&lt;52,IF('Capacity summary'!BD156&lt;&gt;"",IF(LOWER('Capacity summary'!BD156)="x",$BI37*BD37,VALUE('Capacity summary'!BD156)),0),BD37*$BI37),BD37*$BI37),0)</f>
        <v>0</v>
      </c>
      <c r="DH37" s="311">
        <f>IF($BI37&lt;&gt;"",IF('Capacity summary'!$D$14="Yes",IF(COUNTBLANK('Capacity summary'!$H156:$BG156)&lt;52,IF('Capacity summary'!BE156&lt;&gt;"",IF(LOWER('Capacity summary'!BE156)="x",$BI37*BE37,VALUE('Capacity summary'!BE156)),0),BE37*$BI37),BE37*$BI37),0)</f>
        <v>0</v>
      </c>
      <c r="DI37" s="311">
        <f>IF($BI37&lt;&gt;"",IF('Capacity summary'!$D$14="Yes",IF(COUNTBLANK('Capacity summary'!$H156:$BG156)&lt;52,IF('Capacity summary'!BF156&lt;&gt;"",IF(LOWER('Capacity summary'!BF156)="x",$BI37*BF37,VALUE('Capacity summary'!BF156)),0),BF37*$BI37),BF37*$BI37),0)</f>
        <v>0</v>
      </c>
      <c r="DJ37" s="311">
        <f>IF($BI37&lt;&gt;"",IF('Capacity summary'!$D$14="Yes",IF(COUNTBLANK('Capacity summary'!$H156:$BG156)&lt;52,IF('Capacity summary'!BG156&lt;&gt;"",IF(LOWER('Capacity summary'!BG156)="x",$BI37*BG37,VALUE('Capacity summary'!BG156)),0),BG37*$BI37),BG37*$BI37),0)</f>
        <v>0</v>
      </c>
      <c r="DK37" s="391">
        <f t="shared" si="2"/>
        <v>0</v>
      </c>
      <c r="DL37" s="136">
        <f t="shared" si="3"/>
        <v>0</v>
      </c>
      <c r="DM37" s="311" t="str">
        <f>Capacity!H49</f>
        <v/>
      </c>
      <c r="DQ37" s="5"/>
    </row>
    <row r="38" spans="1:121" x14ac:dyDescent="0.2">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1">
        <f>IF($BI38&lt;&gt;"",IF('Capacity summary'!$D$14="Yes",IF(COUNTBLANK('Capacity summary'!$H157:$BG157)&lt;52,IF('Capacity summary'!H157&lt;&gt;"",IF(LOWER('Capacity summary'!H157)="x",$BI38*H38,VALUE('Capacity summary'!H157)),0),H38*$BI38),H38*$BI38),0)</f>
        <v>0</v>
      </c>
      <c r="BL38" s="311">
        <f>IF($BI38&lt;&gt;"",IF('Capacity summary'!$D$14="Yes",IF(COUNTBLANK('Capacity summary'!$H157:$BG157)&lt;52,IF('Capacity summary'!I157&lt;&gt;"",IF(LOWER('Capacity summary'!I157)="x",$BI38*I38,VALUE('Capacity summary'!I157)),0),I38*$BI38),I38*$BI38),0)</f>
        <v>0</v>
      </c>
      <c r="BM38" s="311">
        <f>IF($BI38&lt;&gt;"",IF('Capacity summary'!$D$14="Yes",IF(COUNTBLANK('Capacity summary'!$H157:$BG157)&lt;52,IF('Capacity summary'!J157&lt;&gt;"",IF(LOWER('Capacity summary'!J157)="x",$BI38*J38,VALUE('Capacity summary'!J157)),0),J38*$BI38),J38*$BI38),0)</f>
        <v>0</v>
      </c>
      <c r="BN38" s="311">
        <f>IF($BI38&lt;&gt;"",IF('Capacity summary'!$D$14="Yes",IF(COUNTBLANK('Capacity summary'!$H157:$BG157)&lt;52,IF('Capacity summary'!K157&lt;&gt;"",IF(LOWER('Capacity summary'!K157)="x",$BI38*K38,VALUE('Capacity summary'!K157)),0),K38*$BI38),K38*$BI38),0)</f>
        <v>0</v>
      </c>
      <c r="BO38" s="311">
        <f>IF($BI38&lt;&gt;"",IF('Capacity summary'!$D$14="Yes",IF(COUNTBLANK('Capacity summary'!$H157:$BG157)&lt;52,IF('Capacity summary'!L157&lt;&gt;"",IF(LOWER('Capacity summary'!L157)="x",$BI38*L38,VALUE('Capacity summary'!L157)),0),L38*$BI38),L38*$BI38),0)</f>
        <v>0</v>
      </c>
      <c r="BP38" s="311">
        <f>IF($BI38&lt;&gt;"",IF('Capacity summary'!$D$14="Yes",IF(COUNTBLANK('Capacity summary'!$H157:$BG157)&lt;52,IF('Capacity summary'!M157&lt;&gt;"",IF(LOWER('Capacity summary'!M157)="x",$BI38*M38,VALUE('Capacity summary'!M157)),0),M38*$BI38),M38*$BI38),0)</f>
        <v>0</v>
      </c>
      <c r="BQ38" s="311">
        <f>IF($BI38&lt;&gt;"",IF('Capacity summary'!$D$14="Yes",IF(COUNTBLANK('Capacity summary'!$H157:$BG157)&lt;52,IF('Capacity summary'!N157&lt;&gt;"",IF(LOWER('Capacity summary'!N157)="x",$BI38*N38,VALUE('Capacity summary'!N157)),0),N38*$BI38),N38*$BI38),0)</f>
        <v>0</v>
      </c>
      <c r="BR38" s="311">
        <f>IF($BI38&lt;&gt;"",IF('Capacity summary'!$D$14="Yes",IF(COUNTBLANK('Capacity summary'!$H157:$BG157)&lt;52,IF('Capacity summary'!O157&lt;&gt;"",IF(LOWER('Capacity summary'!O157)="x",$BI38*O38,VALUE('Capacity summary'!O157)),0),O38*$BI38),O38*$BI38),0)</f>
        <v>0</v>
      </c>
      <c r="BS38" s="311">
        <f>IF($BI38&lt;&gt;"",IF('Capacity summary'!$D$14="Yes",IF(COUNTBLANK('Capacity summary'!$H157:$BG157)&lt;52,IF('Capacity summary'!P157&lt;&gt;"",IF(LOWER('Capacity summary'!P157)="x",$BI38*P38,VALUE('Capacity summary'!P157)),0),P38*$BI38),P38*$BI38),0)</f>
        <v>0</v>
      </c>
      <c r="BT38" s="311">
        <f>IF($BI38&lt;&gt;"",IF('Capacity summary'!$D$14="Yes",IF(COUNTBLANK('Capacity summary'!$H157:$BG157)&lt;52,IF('Capacity summary'!Q157&lt;&gt;"",IF(LOWER('Capacity summary'!Q157)="x",$BI38*Q38,VALUE('Capacity summary'!Q157)),0),Q38*$BI38),Q38*$BI38),0)</f>
        <v>0</v>
      </c>
      <c r="BU38" s="311">
        <f>IF($BI38&lt;&gt;"",IF('Capacity summary'!$D$14="Yes",IF(COUNTBLANK('Capacity summary'!$H157:$BG157)&lt;52,IF('Capacity summary'!R157&lt;&gt;"",IF(LOWER('Capacity summary'!R157)="x",$BI38*R38,VALUE('Capacity summary'!R157)),0),R38*$BI38),R38*$BI38),0)</f>
        <v>0</v>
      </c>
      <c r="BV38" s="311">
        <f>IF($BI38&lt;&gt;"",IF('Capacity summary'!$D$14="Yes",IF(COUNTBLANK('Capacity summary'!$H157:$BG157)&lt;52,IF('Capacity summary'!S157&lt;&gt;"",IF(LOWER('Capacity summary'!S157)="x",$BI38*S38,VALUE('Capacity summary'!S157)),0),S38*$BI38),S38*$BI38),0)</f>
        <v>0</v>
      </c>
      <c r="BW38" s="311">
        <f>IF($BI38&lt;&gt;"",IF('Capacity summary'!$D$14="Yes",IF(COUNTBLANK('Capacity summary'!$H157:$BG157)&lt;52,IF('Capacity summary'!T157&lt;&gt;"",IF(LOWER('Capacity summary'!T157)="x",$BI38*T38,VALUE('Capacity summary'!T157)),0),T38*$BI38),T38*$BI38),0)</f>
        <v>0</v>
      </c>
      <c r="BX38" s="311">
        <f>IF($BI38&lt;&gt;"",IF('Capacity summary'!$D$14="Yes",IF(COUNTBLANK('Capacity summary'!$H157:$BG157)&lt;52,IF('Capacity summary'!U157&lt;&gt;"",IF(LOWER('Capacity summary'!U157)="x",$BI38*U38,VALUE('Capacity summary'!U157)),0),U38*$BI38),U38*$BI38),0)</f>
        <v>0</v>
      </c>
      <c r="BY38" s="311">
        <f>IF($BI38&lt;&gt;"",IF('Capacity summary'!$D$14="Yes",IF(COUNTBLANK('Capacity summary'!$H157:$BG157)&lt;52,IF('Capacity summary'!V157&lt;&gt;"",IF(LOWER('Capacity summary'!V157)="x",$BI38*V38,VALUE('Capacity summary'!V157)),0),V38*$BI38),V38*$BI38),0)</f>
        <v>0</v>
      </c>
      <c r="BZ38" s="311">
        <f>IF($BI38&lt;&gt;"",IF('Capacity summary'!$D$14="Yes",IF(COUNTBLANK('Capacity summary'!$H157:$BG157)&lt;52,IF('Capacity summary'!W157&lt;&gt;"",IF(LOWER('Capacity summary'!W157)="x",$BI38*W38,VALUE('Capacity summary'!W157)),0),W38*$BI38),W38*$BI38),0)</f>
        <v>0</v>
      </c>
      <c r="CA38" s="311">
        <f>IF($BI38&lt;&gt;"",IF('Capacity summary'!$D$14="Yes",IF(COUNTBLANK('Capacity summary'!$H157:$BG157)&lt;52,IF('Capacity summary'!X157&lt;&gt;"",IF(LOWER('Capacity summary'!X157)="x",$BI38*X38,VALUE('Capacity summary'!X157)),0),X38*$BI38),X38*$BI38),0)</f>
        <v>0</v>
      </c>
      <c r="CB38" s="311">
        <f>IF($BI38&lt;&gt;"",IF('Capacity summary'!$D$14="Yes",IF(COUNTBLANK('Capacity summary'!$H157:$BG157)&lt;52,IF('Capacity summary'!Y157&lt;&gt;"",IF(LOWER('Capacity summary'!Y157)="x",$BI38*Y38,VALUE('Capacity summary'!Y157)),0),Y38*$BI38),Y38*$BI38),0)</f>
        <v>0</v>
      </c>
      <c r="CC38" s="311">
        <f>IF($BI38&lt;&gt;"",IF('Capacity summary'!$D$14="Yes",IF(COUNTBLANK('Capacity summary'!$H157:$BG157)&lt;52,IF('Capacity summary'!Z157&lt;&gt;"",IF(LOWER('Capacity summary'!Z157)="x",$BI38*Z38,VALUE('Capacity summary'!Z157)),0),Z38*$BI38),Z38*$BI38),0)</f>
        <v>0</v>
      </c>
      <c r="CD38" s="311">
        <f>IF($BI38&lt;&gt;"",IF('Capacity summary'!$D$14="Yes",IF(COUNTBLANK('Capacity summary'!$H157:$BG157)&lt;52,IF('Capacity summary'!AA157&lt;&gt;"",IF(LOWER('Capacity summary'!AA157)="x",$BI38*AA38,VALUE('Capacity summary'!AA157)),0),AA38*$BI38),AA38*$BI38),0)</f>
        <v>0</v>
      </c>
      <c r="CE38" s="311">
        <f>IF($BI38&lt;&gt;"",IF('Capacity summary'!$D$14="Yes",IF(COUNTBLANK('Capacity summary'!$H157:$BG157)&lt;52,IF('Capacity summary'!AB157&lt;&gt;"",IF(LOWER('Capacity summary'!AB157)="x",$BI38*AB38,VALUE('Capacity summary'!AB157)),0),AB38*$BI38),AB38*$BI38),0)</f>
        <v>0</v>
      </c>
      <c r="CF38" s="311">
        <f>IF($BI38&lt;&gt;"",IF('Capacity summary'!$D$14="Yes",IF(COUNTBLANK('Capacity summary'!$H157:$BG157)&lt;52,IF('Capacity summary'!AC157&lt;&gt;"",IF(LOWER('Capacity summary'!AC157)="x",$BI38*AC38,VALUE('Capacity summary'!AC157)),0),AC38*$BI38),AC38*$BI38),0)</f>
        <v>0</v>
      </c>
      <c r="CG38" s="311">
        <f>IF($BI38&lt;&gt;"",IF('Capacity summary'!$D$14="Yes",IF(COUNTBLANK('Capacity summary'!$H157:$BG157)&lt;52,IF('Capacity summary'!AD157&lt;&gt;"",IF(LOWER('Capacity summary'!AD157)="x",$BI38*AD38,VALUE('Capacity summary'!AD157)),0),AD38*$BI38),AD38*$BI38),0)</f>
        <v>0</v>
      </c>
      <c r="CH38" s="311">
        <f>IF($BI38&lt;&gt;"",IF('Capacity summary'!$D$14="Yes",IF(COUNTBLANK('Capacity summary'!$H157:$BG157)&lt;52,IF('Capacity summary'!AE157&lt;&gt;"",IF(LOWER('Capacity summary'!AE157)="x",$BI38*AE38,VALUE('Capacity summary'!AE157)),0),AE38*$BI38),AE38*$BI38),0)</f>
        <v>0</v>
      </c>
      <c r="CI38" s="311">
        <f>IF($BI38&lt;&gt;"",IF('Capacity summary'!$D$14="Yes",IF(COUNTBLANK('Capacity summary'!$H157:$BG157)&lt;52,IF('Capacity summary'!AF157&lt;&gt;"",IF(LOWER('Capacity summary'!AF157)="x",$BI38*AF38,VALUE('Capacity summary'!AF157)),0),AF38*$BI38),AF38*$BI38),0)</f>
        <v>0</v>
      </c>
      <c r="CJ38" s="311">
        <f>IF($BI38&lt;&gt;"",IF('Capacity summary'!$D$14="Yes",IF(COUNTBLANK('Capacity summary'!$H157:$BG157)&lt;52,IF('Capacity summary'!AG157&lt;&gt;"",IF(LOWER('Capacity summary'!AG157)="x",$BI38*AG38,VALUE('Capacity summary'!AG157)),0),AG38*$BI38),AG38*$BI38),0)</f>
        <v>0</v>
      </c>
      <c r="CK38" s="311">
        <f>IF($BI38&lt;&gt;"",IF('Capacity summary'!$D$14="Yes",IF(COUNTBLANK('Capacity summary'!$H157:$BG157)&lt;52,IF('Capacity summary'!AH157&lt;&gt;"",IF(LOWER('Capacity summary'!AH157)="x",$BI38*AH38,VALUE('Capacity summary'!AH157)),0),AH38*$BI38),AH38*$BI38),0)</f>
        <v>0</v>
      </c>
      <c r="CL38" s="311">
        <f>IF($BI38&lt;&gt;"",IF('Capacity summary'!$D$14="Yes",IF(COUNTBLANK('Capacity summary'!$H157:$BG157)&lt;52,IF('Capacity summary'!AI157&lt;&gt;"",IF(LOWER('Capacity summary'!AI157)="x",$BI38*AI38,VALUE('Capacity summary'!AI157)),0),AI38*$BI38),AI38*$BI38),0)</f>
        <v>0</v>
      </c>
      <c r="CM38" s="311">
        <f>IF($BI38&lt;&gt;"",IF('Capacity summary'!$D$14="Yes",IF(COUNTBLANK('Capacity summary'!$H157:$BG157)&lt;52,IF('Capacity summary'!AJ157&lt;&gt;"",IF(LOWER('Capacity summary'!AJ157)="x",$BI38*AJ38,VALUE('Capacity summary'!AJ157)),0),AJ38*$BI38),AJ38*$BI38),0)</f>
        <v>0</v>
      </c>
      <c r="CN38" s="311">
        <f>IF($BI38&lt;&gt;"",IF('Capacity summary'!$D$14="Yes",IF(COUNTBLANK('Capacity summary'!$H157:$BG157)&lt;52,IF('Capacity summary'!AK157&lt;&gt;"",IF(LOWER('Capacity summary'!AK157)="x",$BI38*AK38,VALUE('Capacity summary'!AK157)),0),AK38*$BI38),AK38*$BI38),0)</f>
        <v>0</v>
      </c>
      <c r="CO38" s="311">
        <f>IF($BI38&lt;&gt;"",IF('Capacity summary'!$D$14="Yes",IF(COUNTBLANK('Capacity summary'!$H157:$BG157)&lt;52,IF('Capacity summary'!AL157&lt;&gt;"",IF(LOWER('Capacity summary'!AL157)="x",$BI38*AL38,VALUE('Capacity summary'!AL157)),0),AL38*$BI38),AL38*$BI38),0)</f>
        <v>0</v>
      </c>
      <c r="CP38" s="311">
        <f>IF($BI38&lt;&gt;"",IF('Capacity summary'!$D$14="Yes",IF(COUNTBLANK('Capacity summary'!$H157:$BG157)&lt;52,IF('Capacity summary'!AM157&lt;&gt;"",IF(LOWER('Capacity summary'!AM157)="x",$BI38*AM38,VALUE('Capacity summary'!AM157)),0),AM38*$BI38),AM38*$BI38),0)</f>
        <v>0</v>
      </c>
      <c r="CQ38" s="311">
        <f>IF($BI38&lt;&gt;"",IF('Capacity summary'!$D$14="Yes",IF(COUNTBLANK('Capacity summary'!$H157:$BG157)&lt;52,IF('Capacity summary'!AN157&lt;&gt;"",IF(LOWER('Capacity summary'!AN157)="x",$BI38*AN38,VALUE('Capacity summary'!AN157)),0),AN38*$BI38),AN38*$BI38),0)</f>
        <v>0</v>
      </c>
      <c r="CR38" s="311">
        <f>IF($BI38&lt;&gt;"",IF('Capacity summary'!$D$14="Yes",IF(COUNTBLANK('Capacity summary'!$H157:$BG157)&lt;52,IF('Capacity summary'!AO157&lt;&gt;"",IF(LOWER('Capacity summary'!AO157)="x",$BI38*AO38,VALUE('Capacity summary'!AO157)),0),AO38*$BI38),AO38*$BI38),0)</f>
        <v>0</v>
      </c>
      <c r="CS38" s="311">
        <f>IF($BI38&lt;&gt;"",IF('Capacity summary'!$D$14="Yes",IF(COUNTBLANK('Capacity summary'!$H157:$BG157)&lt;52,IF('Capacity summary'!AP157&lt;&gt;"",IF(LOWER('Capacity summary'!AP157)="x",$BI38*AP38,VALUE('Capacity summary'!AP157)),0),AP38*$BI38),AP38*$BI38),0)</f>
        <v>0</v>
      </c>
      <c r="CT38" s="311">
        <f>IF($BI38&lt;&gt;"",IF('Capacity summary'!$D$14="Yes",IF(COUNTBLANK('Capacity summary'!$H157:$BG157)&lt;52,IF('Capacity summary'!AQ157&lt;&gt;"",IF(LOWER('Capacity summary'!AQ157)="x",$BI38*AQ38,VALUE('Capacity summary'!AQ157)),0),AQ38*$BI38),AQ38*$BI38),0)</f>
        <v>0</v>
      </c>
      <c r="CU38" s="311">
        <f>IF($BI38&lt;&gt;"",IF('Capacity summary'!$D$14="Yes",IF(COUNTBLANK('Capacity summary'!$H157:$BG157)&lt;52,IF('Capacity summary'!AR157&lt;&gt;"",IF(LOWER('Capacity summary'!AR157)="x",$BI38*AR38,VALUE('Capacity summary'!AR157)),0),AR38*$BI38),AR38*$BI38),0)</f>
        <v>0</v>
      </c>
      <c r="CV38" s="311">
        <f>IF($BI38&lt;&gt;"",IF('Capacity summary'!$D$14="Yes",IF(COUNTBLANK('Capacity summary'!$H157:$BG157)&lt;52,IF('Capacity summary'!AS157&lt;&gt;"",IF(LOWER('Capacity summary'!AS157)="x",$BI38*AS38,VALUE('Capacity summary'!AS157)),0),AS38*$BI38),AS38*$BI38),0)</f>
        <v>0</v>
      </c>
      <c r="CW38" s="311">
        <f>IF($BI38&lt;&gt;"",IF('Capacity summary'!$D$14="Yes",IF(COUNTBLANK('Capacity summary'!$H157:$BG157)&lt;52,IF('Capacity summary'!AT157&lt;&gt;"",IF(LOWER('Capacity summary'!AT157)="x",$BI38*AT38,VALUE('Capacity summary'!AT157)),0),AT38*$BI38),AT38*$BI38),0)</f>
        <v>0</v>
      </c>
      <c r="CX38" s="311">
        <f>IF($BI38&lt;&gt;"",IF('Capacity summary'!$D$14="Yes",IF(COUNTBLANK('Capacity summary'!$H157:$BG157)&lt;52,IF('Capacity summary'!AU157&lt;&gt;"",IF(LOWER('Capacity summary'!AU157)="x",$BI38*AU38,VALUE('Capacity summary'!AU157)),0),AU38*$BI38),AU38*$BI38),0)</f>
        <v>0</v>
      </c>
      <c r="CY38" s="311">
        <f>IF($BI38&lt;&gt;"",IF('Capacity summary'!$D$14="Yes",IF(COUNTBLANK('Capacity summary'!$H157:$BG157)&lt;52,IF('Capacity summary'!AV157&lt;&gt;"",IF(LOWER('Capacity summary'!AV157)="x",$BI38*AV38,VALUE('Capacity summary'!AV157)),0),AV38*$BI38),AV38*$BI38),0)</f>
        <v>0</v>
      </c>
      <c r="CZ38" s="311">
        <f>IF($BI38&lt;&gt;"",IF('Capacity summary'!$D$14="Yes",IF(COUNTBLANK('Capacity summary'!$H157:$BG157)&lt;52,IF('Capacity summary'!AW157&lt;&gt;"",IF(LOWER('Capacity summary'!AW157)="x",$BI38*AW38,VALUE('Capacity summary'!AW157)),0),AW38*$BI38),AW38*$BI38),0)</f>
        <v>0</v>
      </c>
      <c r="DA38" s="311">
        <f>IF($BI38&lt;&gt;"",IF('Capacity summary'!$D$14="Yes",IF(COUNTBLANK('Capacity summary'!$H157:$BG157)&lt;52,IF('Capacity summary'!AX157&lt;&gt;"",IF(LOWER('Capacity summary'!AX157)="x",$BI38*AX38,VALUE('Capacity summary'!AX157)),0),AX38*$BI38),AX38*$BI38),0)</f>
        <v>0</v>
      </c>
      <c r="DB38" s="311">
        <f>IF($BI38&lt;&gt;"",IF('Capacity summary'!$D$14="Yes",IF(COUNTBLANK('Capacity summary'!$H157:$BG157)&lt;52,IF('Capacity summary'!AY157&lt;&gt;"",IF(LOWER('Capacity summary'!AY157)="x",$BI38*AY38,VALUE('Capacity summary'!AY157)),0),AY38*$BI38),AY38*$BI38),0)</f>
        <v>0</v>
      </c>
      <c r="DC38" s="311">
        <f>IF($BI38&lt;&gt;"",IF('Capacity summary'!$D$14="Yes",IF(COUNTBLANK('Capacity summary'!$H157:$BG157)&lt;52,IF('Capacity summary'!AZ157&lt;&gt;"",IF(LOWER('Capacity summary'!AZ157)="x",$BI38*AZ38,VALUE('Capacity summary'!AZ157)),0),AZ38*$BI38),AZ38*$BI38),0)</f>
        <v>0</v>
      </c>
      <c r="DD38" s="311">
        <f>IF($BI38&lt;&gt;"",IF('Capacity summary'!$D$14="Yes",IF(COUNTBLANK('Capacity summary'!$H157:$BG157)&lt;52,IF('Capacity summary'!BA157&lt;&gt;"",IF(LOWER('Capacity summary'!BA157)="x",$BI38*BA38,VALUE('Capacity summary'!BA157)),0),BA38*$BI38),BA38*$BI38),0)</f>
        <v>0</v>
      </c>
      <c r="DE38" s="311">
        <f>IF($BI38&lt;&gt;"",IF('Capacity summary'!$D$14="Yes",IF(COUNTBLANK('Capacity summary'!$H157:$BG157)&lt;52,IF('Capacity summary'!BB157&lt;&gt;"",IF(LOWER('Capacity summary'!BB157)="x",$BI38*BB38,VALUE('Capacity summary'!BB157)),0),BB38*$BI38),BB38*$BI38),0)</f>
        <v>0</v>
      </c>
      <c r="DF38" s="311">
        <f>IF($BI38&lt;&gt;"",IF('Capacity summary'!$D$14="Yes",IF(COUNTBLANK('Capacity summary'!$H157:$BG157)&lt;52,IF('Capacity summary'!BC157&lt;&gt;"",IF(LOWER('Capacity summary'!BC157)="x",$BI38*BC38,VALUE('Capacity summary'!BC157)),0),BC38*$BI38),BC38*$BI38),0)</f>
        <v>0</v>
      </c>
      <c r="DG38" s="311">
        <f>IF($BI38&lt;&gt;"",IF('Capacity summary'!$D$14="Yes",IF(COUNTBLANK('Capacity summary'!$H157:$BG157)&lt;52,IF('Capacity summary'!BD157&lt;&gt;"",IF(LOWER('Capacity summary'!BD157)="x",$BI38*BD38,VALUE('Capacity summary'!BD157)),0),BD38*$BI38),BD38*$BI38),0)</f>
        <v>0</v>
      </c>
      <c r="DH38" s="311">
        <f>IF($BI38&lt;&gt;"",IF('Capacity summary'!$D$14="Yes",IF(COUNTBLANK('Capacity summary'!$H157:$BG157)&lt;52,IF('Capacity summary'!BE157&lt;&gt;"",IF(LOWER('Capacity summary'!BE157)="x",$BI38*BE38,VALUE('Capacity summary'!BE157)),0),BE38*$BI38),BE38*$BI38),0)</f>
        <v>0</v>
      </c>
      <c r="DI38" s="311">
        <f>IF($BI38&lt;&gt;"",IF('Capacity summary'!$D$14="Yes",IF(COUNTBLANK('Capacity summary'!$H157:$BG157)&lt;52,IF('Capacity summary'!BF157&lt;&gt;"",IF(LOWER('Capacity summary'!BF157)="x",$BI38*BF38,VALUE('Capacity summary'!BF157)),0),BF38*$BI38),BF38*$BI38),0)</f>
        <v>0</v>
      </c>
      <c r="DJ38" s="311">
        <f>IF($BI38&lt;&gt;"",IF('Capacity summary'!$D$14="Yes",IF(COUNTBLANK('Capacity summary'!$H157:$BG157)&lt;52,IF('Capacity summary'!BG157&lt;&gt;"",IF(LOWER('Capacity summary'!BG157)="x",$BI38*BG38,VALUE('Capacity summary'!BG157)),0),BG38*$BI38),BG38*$BI38),0)</f>
        <v>0</v>
      </c>
      <c r="DK38" s="391">
        <f t="shared" si="2"/>
        <v>0</v>
      </c>
      <c r="DL38" s="136">
        <f t="shared" si="3"/>
        <v>0</v>
      </c>
      <c r="DM38" s="311" t="str">
        <f>Capacity!H50</f>
        <v/>
      </c>
      <c r="DQ38" s="5"/>
    </row>
    <row r="39" spans="1:121" x14ac:dyDescent="0.2">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1">
        <f>IF($BI39&lt;&gt;"",IF('Capacity summary'!$D$14="Yes",IF(COUNTBLANK('Capacity summary'!$H158:$BG158)&lt;52,IF('Capacity summary'!H158&lt;&gt;"",IF(LOWER('Capacity summary'!H158)="x",$BI39*H39,VALUE('Capacity summary'!H158)),0),H39*$BI39),H39*$BI39),0)</f>
        <v>0</v>
      </c>
      <c r="BL39" s="311">
        <f>IF($BI39&lt;&gt;"",IF('Capacity summary'!$D$14="Yes",IF(COUNTBLANK('Capacity summary'!$H158:$BG158)&lt;52,IF('Capacity summary'!I158&lt;&gt;"",IF(LOWER('Capacity summary'!I158)="x",$BI39*I39,VALUE('Capacity summary'!I158)),0),I39*$BI39),I39*$BI39),0)</f>
        <v>0</v>
      </c>
      <c r="BM39" s="311">
        <f>IF($BI39&lt;&gt;"",IF('Capacity summary'!$D$14="Yes",IF(COUNTBLANK('Capacity summary'!$H158:$BG158)&lt;52,IF('Capacity summary'!J158&lt;&gt;"",IF(LOWER('Capacity summary'!J158)="x",$BI39*J39,VALUE('Capacity summary'!J158)),0),J39*$BI39),J39*$BI39),0)</f>
        <v>0</v>
      </c>
      <c r="BN39" s="311">
        <f>IF($BI39&lt;&gt;"",IF('Capacity summary'!$D$14="Yes",IF(COUNTBLANK('Capacity summary'!$H158:$BG158)&lt;52,IF('Capacity summary'!K158&lt;&gt;"",IF(LOWER('Capacity summary'!K158)="x",$BI39*K39,VALUE('Capacity summary'!K158)),0),K39*$BI39),K39*$BI39),0)</f>
        <v>0</v>
      </c>
      <c r="BO39" s="311">
        <f>IF($BI39&lt;&gt;"",IF('Capacity summary'!$D$14="Yes",IF(COUNTBLANK('Capacity summary'!$H158:$BG158)&lt;52,IF('Capacity summary'!L158&lt;&gt;"",IF(LOWER('Capacity summary'!L158)="x",$BI39*L39,VALUE('Capacity summary'!L158)),0),L39*$BI39),L39*$BI39),0)</f>
        <v>0</v>
      </c>
      <c r="BP39" s="311">
        <f>IF($BI39&lt;&gt;"",IF('Capacity summary'!$D$14="Yes",IF(COUNTBLANK('Capacity summary'!$H158:$BG158)&lt;52,IF('Capacity summary'!M158&lt;&gt;"",IF(LOWER('Capacity summary'!M158)="x",$BI39*M39,VALUE('Capacity summary'!M158)),0),M39*$BI39),M39*$BI39),0)</f>
        <v>0</v>
      </c>
      <c r="BQ39" s="311">
        <f>IF($BI39&lt;&gt;"",IF('Capacity summary'!$D$14="Yes",IF(COUNTBLANK('Capacity summary'!$H158:$BG158)&lt;52,IF('Capacity summary'!N158&lt;&gt;"",IF(LOWER('Capacity summary'!N158)="x",$BI39*N39,VALUE('Capacity summary'!N158)),0),N39*$BI39),N39*$BI39),0)</f>
        <v>0</v>
      </c>
      <c r="BR39" s="311">
        <f>IF($BI39&lt;&gt;"",IF('Capacity summary'!$D$14="Yes",IF(COUNTBLANK('Capacity summary'!$H158:$BG158)&lt;52,IF('Capacity summary'!O158&lt;&gt;"",IF(LOWER('Capacity summary'!O158)="x",$BI39*O39,VALUE('Capacity summary'!O158)),0),O39*$BI39),O39*$BI39),0)</f>
        <v>0</v>
      </c>
      <c r="BS39" s="311">
        <f>IF($BI39&lt;&gt;"",IF('Capacity summary'!$D$14="Yes",IF(COUNTBLANK('Capacity summary'!$H158:$BG158)&lt;52,IF('Capacity summary'!P158&lt;&gt;"",IF(LOWER('Capacity summary'!P158)="x",$BI39*P39,VALUE('Capacity summary'!P158)),0),P39*$BI39),P39*$BI39),0)</f>
        <v>0</v>
      </c>
      <c r="BT39" s="311">
        <f>IF($BI39&lt;&gt;"",IF('Capacity summary'!$D$14="Yes",IF(COUNTBLANK('Capacity summary'!$H158:$BG158)&lt;52,IF('Capacity summary'!Q158&lt;&gt;"",IF(LOWER('Capacity summary'!Q158)="x",$BI39*Q39,VALUE('Capacity summary'!Q158)),0),Q39*$BI39),Q39*$BI39),0)</f>
        <v>0</v>
      </c>
      <c r="BU39" s="311">
        <f>IF($BI39&lt;&gt;"",IF('Capacity summary'!$D$14="Yes",IF(COUNTBLANK('Capacity summary'!$H158:$BG158)&lt;52,IF('Capacity summary'!R158&lt;&gt;"",IF(LOWER('Capacity summary'!R158)="x",$BI39*R39,VALUE('Capacity summary'!R158)),0),R39*$BI39),R39*$BI39),0)</f>
        <v>0</v>
      </c>
      <c r="BV39" s="311">
        <f>IF($BI39&lt;&gt;"",IF('Capacity summary'!$D$14="Yes",IF(COUNTBLANK('Capacity summary'!$H158:$BG158)&lt;52,IF('Capacity summary'!S158&lt;&gt;"",IF(LOWER('Capacity summary'!S158)="x",$BI39*S39,VALUE('Capacity summary'!S158)),0),S39*$BI39),S39*$BI39),0)</f>
        <v>0</v>
      </c>
      <c r="BW39" s="311">
        <f>IF($BI39&lt;&gt;"",IF('Capacity summary'!$D$14="Yes",IF(COUNTBLANK('Capacity summary'!$H158:$BG158)&lt;52,IF('Capacity summary'!T158&lt;&gt;"",IF(LOWER('Capacity summary'!T158)="x",$BI39*T39,VALUE('Capacity summary'!T158)),0),T39*$BI39),T39*$BI39),0)</f>
        <v>0</v>
      </c>
      <c r="BX39" s="311">
        <f>IF($BI39&lt;&gt;"",IF('Capacity summary'!$D$14="Yes",IF(COUNTBLANK('Capacity summary'!$H158:$BG158)&lt;52,IF('Capacity summary'!U158&lt;&gt;"",IF(LOWER('Capacity summary'!U158)="x",$BI39*U39,VALUE('Capacity summary'!U158)),0),U39*$BI39),U39*$BI39),0)</f>
        <v>0</v>
      </c>
      <c r="BY39" s="311">
        <f>IF($BI39&lt;&gt;"",IF('Capacity summary'!$D$14="Yes",IF(COUNTBLANK('Capacity summary'!$H158:$BG158)&lt;52,IF('Capacity summary'!V158&lt;&gt;"",IF(LOWER('Capacity summary'!V158)="x",$BI39*V39,VALUE('Capacity summary'!V158)),0),V39*$BI39),V39*$BI39),0)</f>
        <v>0</v>
      </c>
      <c r="BZ39" s="311">
        <f>IF($BI39&lt;&gt;"",IF('Capacity summary'!$D$14="Yes",IF(COUNTBLANK('Capacity summary'!$H158:$BG158)&lt;52,IF('Capacity summary'!W158&lt;&gt;"",IF(LOWER('Capacity summary'!W158)="x",$BI39*W39,VALUE('Capacity summary'!W158)),0),W39*$BI39),W39*$BI39),0)</f>
        <v>0</v>
      </c>
      <c r="CA39" s="311">
        <f>IF($BI39&lt;&gt;"",IF('Capacity summary'!$D$14="Yes",IF(COUNTBLANK('Capacity summary'!$H158:$BG158)&lt;52,IF('Capacity summary'!X158&lt;&gt;"",IF(LOWER('Capacity summary'!X158)="x",$BI39*X39,VALUE('Capacity summary'!X158)),0),X39*$BI39),X39*$BI39),0)</f>
        <v>0</v>
      </c>
      <c r="CB39" s="311">
        <f>IF($BI39&lt;&gt;"",IF('Capacity summary'!$D$14="Yes",IF(COUNTBLANK('Capacity summary'!$H158:$BG158)&lt;52,IF('Capacity summary'!Y158&lt;&gt;"",IF(LOWER('Capacity summary'!Y158)="x",$BI39*Y39,VALUE('Capacity summary'!Y158)),0),Y39*$BI39),Y39*$BI39),0)</f>
        <v>0</v>
      </c>
      <c r="CC39" s="311">
        <f>IF($BI39&lt;&gt;"",IF('Capacity summary'!$D$14="Yes",IF(COUNTBLANK('Capacity summary'!$H158:$BG158)&lt;52,IF('Capacity summary'!Z158&lt;&gt;"",IF(LOWER('Capacity summary'!Z158)="x",$BI39*Z39,VALUE('Capacity summary'!Z158)),0),Z39*$BI39),Z39*$BI39),0)</f>
        <v>0</v>
      </c>
      <c r="CD39" s="311">
        <f>IF($BI39&lt;&gt;"",IF('Capacity summary'!$D$14="Yes",IF(COUNTBLANK('Capacity summary'!$H158:$BG158)&lt;52,IF('Capacity summary'!AA158&lt;&gt;"",IF(LOWER('Capacity summary'!AA158)="x",$BI39*AA39,VALUE('Capacity summary'!AA158)),0),AA39*$BI39),AA39*$BI39),0)</f>
        <v>0</v>
      </c>
      <c r="CE39" s="311">
        <f>IF($BI39&lt;&gt;"",IF('Capacity summary'!$D$14="Yes",IF(COUNTBLANK('Capacity summary'!$H158:$BG158)&lt;52,IF('Capacity summary'!AB158&lt;&gt;"",IF(LOWER('Capacity summary'!AB158)="x",$BI39*AB39,VALUE('Capacity summary'!AB158)),0),AB39*$BI39),AB39*$BI39),0)</f>
        <v>0</v>
      </c>
      <c r="CF39" s="311">
        <f>IF($BI39&lt;&gt;"",IF('Capacity summary'!$D$14="Yes",IF(COUNTBLANK('Capacity summary'!$H158:$BG158)&lt;52,IF('Capacity summary'!AC158&lt;&gt;"",IF(LOWER('Capacity summary'!AC158)="x",$BI39*AC39,VALUE('Capacity summary'!AC158)),0),AC39*$BI39),AC39*$BI39),0)</f>
        <v>0</v>
      </c>
      <c r="CG39" s="311">
        <f>IF($BI39&lt;&gt;"",IF('Capacity summary'!$D$14="Yes",IF(COUNTBLANK('Capacity summary'!$H158:$BG158)&lt;52,IF('Capacity summary'!AD158&lt;&gt;"",IF(LOWER('Capacity summary'!AD158)="x",$BI39*AD39,VALUE('Capacity summary'!AD158)),0),AD39*$BI39),AD39*$BI39),0)</f>
        <v>0</v>
      </c>
      <c r="CH39" s="311">
        <f>IF($BI39&lt;&gt;"",IF('Capacity summary'!$D$14="Yes",IF(COUNTBLANK('Capacity summary'!$H158:$BG158)&lt;52,IF('Capacity summary'!AE158&lt;&gt;"",IF(LOWER('Capacity summary'!AE158)="x",$BI39*AE39,VALUE('Capacity summary'!AE158)),0),AE39*$BI39),AE39*$BI39),0)</f>
        <v>0</v>
      </c>
      <c r="CI39" s="311">
        <f>IF($BI39&lt;&gt;"",IF('Capacity summary'!$D$14="Yes",IF(COUNTBLANK('Capacity summary'!$H158:$BG158)&lt;52,IF('Capacity summary'!AF158&lt;&gt;"",IF(LOWER('Capacity summary'!AF158)="x",$BI39*AF39,VALUE('Capacity summary'!AF158)),0),AF39*$BI39),AF39*$BI39),0)</f>
        <v>0</v>
      </c>
      <c r="CJ39" s="311">
        <f>IF($BI39&lt;&gt;"",IF('Capacity summary'!$D$14="Yes",IF(COUNTBLANK('Capacity summary'!$H158:$BG158)&lt;52,IF('Capacity summary'!AG158&lt;&gt;"",IF(LOWER('Capacity summary'!AG158)="x",$BI39*AG39,VALUE('Capacity summary'!AG158)),0),AG39*$BI39),AG39*$BI39),0)</f>
        <v>0</v>
      </c>
      <c r="CK39" s="311">
        <f>IF($BI39&lt;&gt;"",IF('Capacity summary'!$D$14="Yes",IF(COUNTBLANK('Capacity summary'!$H158:$BG158)&lt;52,IF('Capacity summary'!AH158&lt;&gt;"",IF(LOWER('Capacity summary'!AH158)="x",$BI39*AH39,VALUE('Capacity summary'!AH158)),0),AH39*$BI39),AH39*$BI39),0)</f>
        <v>0</v>
      </c>
      <c r="CL39" s="311">
        <f>IF($BI39&lt;&gt;"",IF('Capacity summary'!$D$14="Yes",IF(COUNTBLANK('Capacity summary'!$H158:$BG158)&lt;52,IF('Capacity summary'!AI158&lt;&gt;"",IF(LOWER('Capacity summary'!AI158)="x",$BI39*AI39,VALUE('Capacity summary'!AI158)),0),AI39*$BI39),AI39*$BI39),0)</f>
        <v>0</v>
      </c>
      <c r="CM39" s="311">
        <f>IF($BI39&lt;&gt;"",IF('Capacity summary'!$D$14="Yes",IF(COUNTBLANK('Capacity summary'!$H158:$BG158)&lt;52,IF('Capacity summary'!AJ158&lt;&gt;"",IF(LOWER('Capacity summary'!AJ158)="x",$BI39*AJ39,VALUE('Capacity summary'!AJ158)),0),AJ39*$BI39),AJ39*$BI39),0)</f>
        <v>0</v>
      </c>
      <c r="CN39" s="311">
        <f>IF($BI39&lt;&gt;"",IF('Capacity summary'!$D$14="Yes",IF(COUNTBLANK('Capacity summary'!$H158:$BG158)&lt;52,IF('Capacity summary'!AK158&lt;&gt;"",IF(LOWER('Capacity summary'!AK158)="x",$BI39*AK39,VALUE('Capacity summary'!AK158)),0),AK39*$BI39),AK39*$BI39),0)</f>
        <v>0</v>
      </c>
      <c r="CO39" s="311">
        <f>IF($BI39&lt;&gt;"",IF('Capacity summary'!$D$14="Yes",IF(COUNTBLANK('Capacity summary'!$H158:$BG158)&lt;52,IF('Capacity summary'!AL158&lt;&gt;"",IF(LOWER('Capacity summary'!AL158)="x",$BI39*AL39,VALUE('Capacity summary'!AL158)),0),AL39*$BI39),AL39*$BI39),0)</f>
        <v>0</v>
      </c>
      <c r="CP39" s="311">
        <f>IF($BI39&lt;&gt;"",IF('Capacity summary'!$D$14="Yes",IF(COUNTBLANK('Capacity summary'!$H158:$BG158)&lt;52,IF('Capacity summary'!AM158&lt;&gt;"",IF(LOWER('Capacity summary'!AM158)="x",$BI39*AM39,VALUE('Capacity summary'!AM158)),0),AM39*$BI39),AM39*$BI39),0)</f>
        <v>0</v>
      </c>
      <c r="CQ39" s="311">
        <f>IF($BI39&lt;&gt;"",IF('Capacity summary'!$D$14="Yes",IF(COUNTBLANK('Capacity summary'!$H158:$BG158)&lt;52,IF('Capacity summary'!AN158&lt;&gt;"",IF(LOWER('Capacity summary'!AN158)="x",$BI39*AN39,VALUE('Capacity summary'!AN158)),0),AN39*$BI39),AN39*$BI39),0)</f>
        <v>0</v>
      </c>
      <c r="CR39" s="311">
        <f>IF($BI39&lt;&gt;"",IF('Capacity summary'!$D$14="Yes",IF(COUNTBLANK('Capacity summary'!$H158:$BG158)&lt;52,IF('Capacity summary'!AO158&lt;&gt;"",IF(LOWER('Capacity summary'!AO158)="x",$BI39*AO39,VALUE('Capacity summary'!AO158)),0),AO39*$BI39),AO39*$BI39),0)</f>
        <v>0</v>
      </c>
      <c r="CS39" s="311">
        <f>IF($BI39&lt;&gt;"",IF('Capacity summary'!$D$14="Yes",IF(COUNTBLANK('Capacity summary'!$H158:$BG158)&lt;52,IF('Capacity summary'!AP158&lt;&gt;"",IF(LOWER('Capacity summary'!AP158)="x",$BI39*AP39,VALUE('Capacity summary'!AP158)),0),AP39*$BI39),AP39*$BI39),0)</f>
        <v>0</v>
      </c>
      <c r="CT39" s="311">
        <f>IF($BI39&lt;&gt;"",IF('Capacity summary'!$D$14="Yes",IF(COUNTBLANK('Capacity summary'!$H158:$BG158)&lt;52,IF('Capacity summary'!AQ158&lt;&gt;"",IF(LOWER('Capacity summary'!AQ158)="x",$BI39*AQ39,VALUE('Capacity summary'!AQ158)),0),AQ39*$BI39),AQ39*$BI39),0)</f>
        <v>0</v>
      </c>
      <c r="CU39" s="311">
        <f>IF($BI39&lt;&gt;"",IF('Capacity summary'!$D$14="Yes",IF(COUNTBLANK('Capacity summary'!$H158:$BG158)&lt;52,IF('Capacity summary'!AR158&lt;&gt;"",IF(LOWER('Capacity summary'!AR158)="x",$BI39*AR39,VALUE('Capacity summary'!AR158)),0),AR39*$BI39),AR39*$BI39),0)</f>
        <v>0</v>
      </c>
      <c r="CV39" s="311">
        <f>IF($BI39&lt;&gt;"",IF('Capacity summary'!$D$14="Yes",IF(COUNTBLANK('Capacity summary'!$H158:$BG158)&lt;52,IF('Capacity summary'!AS158&lt;&gt;"",IF(LOWER('Capacity summary'!AS158)="x",$BI39*AS39,VALUE('Capacity summary'!AS158)),0),AS39*$BI39),AS39*$BI39),0)</f>
        <v>0</v>
      </c>
      <c r="CW39" s="311">
        <f>IF($BI39&lt;&gt;"",IF('Capacity summary'!$D$14="Yes",IF(COUNTBLANK('Capacity summary'!$H158:$BG158)&lt;52,IF('Capacity summary'!AT158&lt;&gt;"",IF(LOWER('Capacity summary'!AT158)="x",$BI39*AT39,VALUE('Capacity summary'!AT158)),0),AT39*$BI39),AT39*$BI39),0)</f>
        <v>0</v>
      </c>
      <c r="CX39" s="311">
        <f>IF($BI39&lt;&gt;"",IF('Capacity summary'!$D$14="Yes",IF(COUNTBLANK('Capacity summary'!$H158:$BG158)&lt;52,IF('Capacity summary'!AU158&lt;&gt;"",IF(LOWER('Capacity summary'!AU158)="x",$BI39*AU39,VALUE('Capacity summary'!AU158)),0),AU39*$BI39),AU39*$BI39),0)</f>
        <v>0</v>
      </c>
      <c r="CY39" s="311">
        <f>IF($BI39&lt;&gt;"",IF('Capacity summary'!$D$14="Yes",IF(COUNTBLANK('Capacity summary'!$H158:$BG158)&lt;52,IF('Capacity summary'!AV158&lt;&gt;"",IF(LOWER('Capacity summary'!AV158)="x",$BI39*AV39,VALUE('Capacity summary'!AV158)),0),AV39*$BI39),AV39*$BI39),0)</f>
        <v>0</v>
      </c>
      <c r="CZ39" s="311">
        <f>IF($BI39&lt;&gt;"",IF('Capacity summary'!$D$14="Yes",IF(COUNTBLANK('Capacity summary'!$H158:$BG158)&lt;52,IF('Capacity summary'!AW158&lt;&gt;"",IF(LOWER('Capacity summary'!AW158)="x",$BI39*AW39,VALUE('Capacity summary'!AW158)),0),AW39*$BI39),AW39*$BI39),0)</f>
        <v>0</v>
      </c>
      <c r="DA39" s="311">
        <f>IF($BI39&lt;&gt;"",IF('Capacity summary'!$D$14="Yes",IF(COUNTBLANK('Capacity summary'!$H158:$BG158)&lt;52,IF('Capacity summary'!AX158&lt;&gt;"",IF(LOWER('Capacity summary'!AX158)="x",$BI39*AX39,VALUE('Capacity summary'!AX158)),0),AX39*$BI39),AX39*$BI39),0)</f>
        <v>0</v>
      </c>
      <c r="DB39" s="311">
        <f>IF($BI39&lt;&gt;"",IF('Capacity summary'!$D$14="Yes",IF(COUNTBLANK('Capacity summary'!$H158:$BG158)&lt;52,IF('Capacity summary'!AY158&lt;&gt;"",IF(LOWER('Capacity summary'!AY158)="x",$BI39*AY39,VALUE('Capacity summary'!AY158)),0),AY39*$BI39),AY39*$BI39),0)</f>
        <v>0</v>
      </c>
      <c r="DC39" s="311">
        <f>IF($BI39&lt;&gt;"",IF('Capacity summary'!$D$14="Yes",IF(COUNTBLANK('Capacity summary'!$H158:$BG158)&lt;52,IF('Capacity summary'!AZ158&lt;&gt;"",IF(LOWER('Capacity summary'!AZ158)="x",$BI39*AZ39,VALUE('Capacity summary'!AZ158)),0),AZ39*$BI39),AZ39*$BI39),0)</f>
        <v>0</v>
      </c>
      <c r="DD39" s="311">
        <f>IF($BI39&lt;&gt;"",IF('Capacity summary'!$D$14="Yes",IF(COUNTBLANK('Capacity summary'!$H158:$BG158)&lt;52,IF('Capacity summary'!BA158&lt;&gt;"",IF(LOWER('Capacity summary'!BA158)="x",$BI39*BA39,VALUE('Capacity summary'!BA158)),0),BA39*$BI39),BA39*$BI39),0)</f>
        <v>0</v>
      </c>
      <c r="DE39" s="311">
        <f>IF($BI39&lt;&gt;"",IF('Capacity summary'!$D$14="Yes",IF(COUNTBLANK('Capacity summary'!$H158:$BG158)&lt;52,IF('Capacity summary'!BB158&lt;&gt;"",IF(LOWER('Capacity summary'!BB158)="x",$BI39*BB39,VALUE('Capacity summary'!BB158)),0),BB39*$BI39),BB39*$BI39),0)</f>
        <v>0</v>
      </c>
      <c r="DF39" s="311">
        <f>IF($BI39&lt;&gt;"",IF('Capacity summary'!$D$14="Yes",IF(COUNTBLANK('Capacity summary'!$H158:$BG158)&lt;52,IF('Capacity summary'!BC158&lt;&gt;"",IF(LOWER('Capacity summary'!BC158)="x",$BI39*BC39,VALUE('Capacity summary'!BC158)),0),BC39*$BI39),BC39*$BI39),0)</f>
        <v>0</v>
      </c>
      <c r="DG39" s="311">
        <f>IF($BI39&lt;&gt;"",IF('Capacity summary'!$D$14="Yes",IF(COUNTBLANK('Capacity summary'!$H158:$BG158)&lt;52,IF('Capacity summary'!BD158&lt;&gt;"",IF(LOWER('Capacity summary'!BD158)="x",$BI39*BD39,VALUE('Capacity summary'!BD158)),0),BD39*$BI39),BD39*$BI39),0)</f>
        <v>0</v>
      </c>
      <c r="DH39" s="311">
        <f>IF($BI39&lt;&gt;"",IF('Capacity summary'!$D$14="Yes",IF(COUNTBLANK('Capacity summary'!$H158:$BG158)&lt;52,IF('Capacity summary'!BE158&lt;&gt;"",IF(LOWER('Capacity summary'!BE158)="x",$BI39*BE39,VALUE('Capacity summary'!BE158)),0),BE39*$BI39),BE39*$BI39),0)</f>
        <v>0</v>
      </c>
      <c r="DI39" s="311">
        <f>IF($BI39&lt;&gt;"",IF('Capacity summary'!$D$14="Yes",IF(COUNTBLANK('Capacity summary'!$H158:$BG158)&lt;52,IF('Capacity summary'!BF158&lt;&gt;"",IF(LOWER('Capacity summary'!BF158)="x",$BI39*BF39,VALUE('Capacity summary'!BF158)),0),BF39*$BI39),BF39*$BI39),0)</f>
        <v>0</v>
      </c>
      <c r="DJ39" s="311">
        <f>IF($BI39&lt;&gt;"",IF('Capacity summary'!$D$14="Yes",IF(COUNTBLANK('Capacity summary'!$H158:$BG158)&lt;52,IF('Capacity summary'!BG158&lt;&gt;"",IF(LOWER('Capacity summary'!BG158)="x",$BI39*BG39,VALUE('Capacity summary'!BG158)),0),BG39*$BI39),BG39*$BI39),0)</f>
        <v>0</v>
      </c>
      <c r="DK39" s="391">
        <f t="shared" si="2"/>
        <v>0</v>
      </c>
      <c r="DL39" s="136">
        <f t="shared" si="3"/>
        <v>0</v>
      </c>
      <c r="DM39" s="311" t="str">
        <f>Capacity!H51</f>
        <v/>
      </c>
      <c r="DQ39" s="5"/>
    </row>
    <row r="40" spans="1:121" x14ac:dyDescent="0.2">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1">
        <f>IF($BI40&lt;&gt;"",IF('Capacity summary'!$D$14="Yes",IF(COUNTBLANK('Capacity summary'!$H159:$BG159)&lt;52,IF('Capacity summary'!H159&lt;&gt;"",IF(LOWER('Capacity summary'!H159)="x",$BI40*H40,VALUE('Capacity summary'!H159)),0),H40*$BI40),H40*$BI40),0)</f>
        <v>0</v>
      </c>
      <c r="BL40" s="311">
        <f>IF($BI40&lt;&gt;"",IF('Capacity summary'!$D$14="Yes",IF(COUNTBLANK('Capacity summary'!$H159:$BG159)&lt;52,IF('Capacity summary'!I159&lt;&gt;"",IF(LOWER('Capacity summary'!I159)="x",$BI40*I40,VALUE('Capacity summary'!I159)),0),I40*$BI40),I40*$BI40),0)</f>
        <v>0</v>
      </c>
      <c r="BM40" s="311">
        <f>IF($BI40&lt;&gt;"",IF('Capacity summary'!$D$14="Yes",IF(COUNTBLANK('Capacity summary'!$H159:$BG159)&lt;52,IF('Capacity summary'!J159&lt;&gt;"",IF(LOWER('Capacity summary'!J159)="x",$BI40*J40,VALUE('Capacity summary'!J159)),0),J40*$BI40),J40*$BI40),0)</f>
        <v>0</v>
      </c>
      <c r="BN40" s="311">
        <f>IF($BI40&lt;&gt;"",IF('Capacity summary'!$D$14="Yes",IF(COUNTBLANK('Capacity summary'!$H159:$BG159)&lt;52,IF('Capacity summary'!K159&lt;&gt;"",IF(LOWER('Capacity summary'!K159)="x",$BI40*K40,VALUE('Capacity summary'!K159)),0),K40*$BI40),K40*$BI40),0)</f>
        <v>0</v>
      </c>
      <c r="BO40" s="311">
        <f>IF($BI40&lt;&gt;"",IF('Capacity summary'!$D$14="Yes",IF(COUNTBLANK('Capacity summary'!$H159:$BG159)&lt;52,IF('Capacity summary'!L159&lt;&gt;"",IF(LOWER('Capacity summary'!L159)="x",$BI40*L40,VALUE('Capacity summary'!L159)),0),L40*$BI40),L40*$BI40),0)</f>
        <v>0</v>
      </c>
      <c r="BP40" s="311">
        <f>IF($BI40&lt;&gt;"",IF('Capacity summary'!$D$14="Yes",IF(COUNTBLANK('Capacity summary'!$H159:$BG159)&lt;52,IF('Capacity summary'!M159&lt;&gt;"",IF(LOWER('Capacity summary'!M159)="x",$BI40*M40,VALUE('Capacity summary'!M159)),0),M40*$BI40),M40*$BI40),0)</f>
        <v>0</v>
      </c>
      <c r="BQ40" s="311">
        <f>IF($BI40&lt;&gt;"",IF('Capacity summary'!$D$14="Yes",IF(COUNTBLANK('Capacity summary'!$H159:$BG159)&lt;52,IF('Capacity summary'!N159&lt;&gt;"",IF(LOWER('Capacity summary'!N159)="x",$BI40*N40,VALUE('Capacity summary'!N159)),0),N40*$BI40),N40*$BI40),0)</f>
        <v>0</v>
      </c>
      <c r="BR40" s="311">
        <f>IF($BI40&lt;&gt;"",IF('Capacity summary'!$D$14="Yes",IF(COUNTBLANK('Capacity summary'!$H159:$BG159)&lt;52,IF('Capacity summary'!O159&lt;&gt;"",IF(LOWER('Capacity summary'!O159)="x",$BI40*O40,VALUE('Capacity summary'!O159)),0),O40*$BI40),O40*$BI40),0)</f>
        <v>0</v>
      </c>
      <c r="BS40" s="311">
        <f>IF($BI40&lt;&gt;"",IF('Capacity summary'!$D$14="Yes",IF(COUNTBLANK('Capacity summary'!$H159:$BG159)&lt;52,IF('Capacity summary'!P159&lt;&gt;"",IF(LOWER('Capacity summary'!P159)="x",$BI40*P40,VALUE('Capacity summary'!P159)),0),P40*$BI40),P40*$BI40),0)</f>
        <v>0</v>
      </c>
      <c r="BT40" s="311">
        <f>IF($BI40&lt;&gt;"",IF('Capacity summary'!$D$14="Yes",IF(COUNTBLANK('Capacity summary'!$H159:$BG159)&lt;52,IF('Capacity summary'!Q159&lt;&gt;"",IF(LOWER('Capacity summary'!Q159)="x",$BI40*Q40,VALUE('Capacity summary'!Q159)),0),Q40*$BI40),Q40*$BI40),0)</f>
        <v>0</v>
      </c>
      <c r="BU40" s="311">
        <f>IF($BI40&lt;&gt;"",IF('Capacity summary'!$D$14="Yes",IF(COUNTBLANK('Capacity summary'!$H159:$BG159)&lt;52,IF('Capacity summary'!R159&lt;&gt;"",IF(LOWER('Capacity summary'!R159)="x",$BI40*R40,VALUE('Capacity summary'!R159)),0),R40*$BI40),R40*$BI40),0)</f>
        <v>0</v>
      </c>
      <c r="BV40" s="311">
        <f>IF($BI40&lt;&gt;"",IF('Capacity summary'!$D$14="Yes",IF(COUNTBLANK('Capacity summary'!$H159:$BG159)&lt;52,IF('Capacity summary'!S159&lt;&gt;"",IF(LOWER('Capacity summary'!S159)="x",$BI40*S40,VALUE('Capacity summary'!S159)),0),S40*$BI40),S40*$BI40),0)</f>
        <v>0</v>
      </c>
      <c r="BW40" s="311">
        <f>IF($BI40&lt;&gt;"",IF('Capacity summary'!$D$14="Yes",IF(COUNTBLANK('Capacity summary'!$H159:$BG159)&lt;52,IF('Capacity summary'!T159&lt;&gt;"",IF(LOWER('Capacity summary'!T159)="x",$BI40*T40,VALUE('Capacity summary'!T159)),0),T40*$BI40),T40*$BI40),0)</f>
        <v>0</v>
      </c>
      <c r="BX40" s="311">
        <f>IF($BI40&lt;&gt;"",IF('Capacity summary'!$D$14="Yes",IF(COUNTBLANK('Capacity summary'!$H159:$BG159)&lt;52,IF('Capacity summary'!U159&lt;&gt;"",IF(LOWER('Capacity summary'!U159)="x",$BI40*U40,VALUE('Capacity summary'!U159)),0),U40*$BI40),U40*$BI40),0)</f>
        <v>0</v>
      </c>
      <c r="BY40" s="311">
        <f>IF($BI40&lt;&gt;"",IF('Capacity summary'!$D$14="Yes",IF(COUNTBLANK('Capacity summary'!$H159:$BG159)&lt;52,IF('Capacity summary'!V159&lt;&gt;"",IF(LOWER('Capacity summary'!V159)="x",$BI40*V40,VALUE('Capacity summary'!V159)),0),V40*$BI40),V40*$BI40),0)</f>
        <v>0</v>
      </c>
      <c r="BZ40" s="311">
        <f>IF($BI40&lt;&gt;"",IF('Capacity summary'!$D$14="Yes",IF(COUNTBLANK('Capacity summary'!$H159:$BG159)&lt;52,IF('Capacity summary'!W159&lt;&gt;"",IF(LOWER('Capacity summary'!W159)="x",$BI40*W40,VALUE('Capacity summary'!W159)),0),W40*$BI40),W40*$BI40),0)</f>
        <v>0</v>
      </c>
      <c r="CA40" s="311">
        <f>IF($BI40&lt;&gt;"",IF('Capacity summary'!$D$14="Yes",IF(COUNTBLANK('Capacity summary'!$H159:$BG159)&lt;52,IF('Capacity summary'!X159&lt;&gt;"",IF(LOWER('Capacity summary'!X159)="x",$BI40*X40,VALUE('Capacity summary'!X159)),0),X40*$BI40),X40*$BI40),0)</f>
        <v>0</v>
      </c>
      <c r="CB40" s="311">
        <f>IF($BI40&lt;&gt;"",IF('Capacity summary'!$D$14="Yes",IF(COUNTBLANK('Capacity summary'!$H159:$BG159)&lt;52,IF('Capacity summary'!Y159&lt;&gt;"",IF(LOWER('Capacity summary'!Y159)="x",$BI40*Y40,VALUE('Capacity summary'!Y159)),0),Y40*$BI40),Y40*$BI40),0)</f>
        <v>0</v>
      </c>
      <c r="CC40" s="311">
        <f>IF($BI40&lt;&gt;"",IF('Capacity summary'!$D$14="Yes",IF(COUNTBLANK('Capacity summary'!$H159:$BG159)&lt;52,IF('Capacity summary'!Z159&lt;&gt;"",IF(LOWER('Capacity summary'!Z159)="x",$BI40*Z40,VALUE('Capacity summary'!Z159)),0),Z40*$BI40),Z40*$BI40),0)</f>
        <v>0</v>
      </c>
      <c r="CD40" s="311">
        <f>IF($BI40&lt;&gt;"",IF('Capacity summary'!$D$14="Yes",IF(COUNTBLANK('Capacity summary'!$H159:$BG159)&lt;52,IF('Capacity summary'!AA159&lt;&gt;"",IF(LOWER('Capacity summary'!AA159)="x",$BI40*AA40,VALUE('Capacity summary'!AA159)),0),AA40*$BI40),AA40*$BI40),0)</f>
        <v>0</v>
      </c>
      <c r="CE40" s="311">
        <f>IF($BI40&lt;&gt;"",IF('Capacity summary'!$D$14="Yes",IF(COUNTBLANK('Capacity summary'!$H159:$BG159)&lt;52,IF('Capacity summary'!AB159&lt;&gt;"",IF(LOWER('Capacity summary'!AB159)="x",$BI40*AB40,VALUE('Capacity summary'!AB159)),0),AB40*$BI40),AB40*$BI40),0)</f>
        <v>0</v>
      </c>
      <c r="CF40" s="311">
        <f>IF($BI40&lt;&gt;"",IF('Capacity summary'!$D$14="Yes",IF(COUNTBLANK('Capacity summary'!$H159:$BG159)&lt;52,IF('Capacity summary'!AC159&lt;&gt;"",IF(LOWER('Capacity summary'!AC159)="x",$BI40*AC40,VALUE('Capacity summary'!AC159)),0),AC40*$BI40),AC40*$BI40),0)</f>
        <v>0</v>
      </c>
      <c r="CG40" s="311">
        <f>IF($BI40&lt;&gt;"",IF('Capacity summary'!$D$14="Yes",IF(COUNTBLANK('Capacity summary'!$H159:$BG159)&lt;52,IF('Capacity summary'!AD159&lt;&gt;"",IF(LOWER('Capacity summary'!AD159)="x",$BI40*AD40,VALUE('Capacity summary'!AD159)),0),AD40*$BI40),AD40*$BI40),0)</f>
        <v>0</v>
      </c>
      <c r="CH40" s="311">
        <f>IF($BI40&lt;&gt;"",IF('Capacity summary'!$D$14="Yes",IF(COUNTBLANK('Capacity summary'!$H159:$BG159)&lt;52,IF('Capacity summary'!AE159&lt;&gt;"",IF(LOWER('Capacity summary'!AE159)="x",$BI40*AE40,VALUE('Capacity summary'!AE159)),0),AE40*$BI40),AE40*$BI40),0)</f>
        <v>0</v>
      </c>
      <c r="CI40" s="311">
        <f>IF($BI40&lt;&gt;"",IF('Capacity summary'!$D$14="Yes",IF(COUNTBLANK('Capacity summary'!$H159:$BG159)&lt;52,IF('Capacity summary'!AF159&lt;&gt;"",IF(LOWER('Capacity summary'!AF159)="x",$BI40*AF40,VALUE('Capacity summary'!AF159)),0),AF40*$BI40),AF40*$BI40),0)</f>
        <v>0</v>
      </c>
      <c r="CJ40" s="311">
        <f>IF($BI40&lt;&gt;"",IF('Capacity summary'!$D$14="Yes",IF(COUNTBLANK('Capacity summary'!$H159:$BG159)&lt;52,IF('Capacity summary'!AG159&lt;&gt;"",IF(LOWER('Capacity summary'!AG159)="x",$BI40*AG40,VALUE('Capacity summary'!AG159)),0),AG40*$BI40),AG40*$BI40),0)</f>
        <v>0</v>
      </c>
      <c r="CK40" s="311">
        <f>IF($BI40&lt;&gt;"",IF('Capacity summary'!$D$14="Yes",IF(COUNTBLANK('Capacity summary'!$H159:$BG159)&lt;52,IF('Capacity summary'!AH159&lt;&gt;"",IF(LOWER('Capacity summary'!AH159)="x",$BI40*AH40,VALUE('Capacity summary'!AH159)),0),AH40*$BI40),AH40*$BI40),0)</f>
        <v>0</v>
      </c>
      <c r="CL40" s="311">
        <f>IF($BI40&lt;&gt;"",IF('Capacity summary'!$D$14="Yes",IF(COUNTBLANK('Capacity summary'!$H159:$BG159)&lt;52,IF('Capacity summary'!AI159&lt;&gt;"",IF(LOWER('Capacity summary'!AI159)="x",$BI40*AI40,VALUE('Capacity summary'!AI159)),0),AI40*$BI40),AI40*$BI40),0)</f>
        <v>0</v>
      </c>
      <c r="CM40" s="311">
        <f>IF($BI40&lt;&gt;"",IF('Capacity summary'!$D$14="Yes",IF(COUNTBLANK('Capacity summary'!$H159:$BG159)&lt;52,IF('Capacity summary'!AJ159&lt;&gt;"",IF(LOWER('Capacity summary'!AJ159)="x",$BI40*AJ40,VALUE('Capacity summary'!AJ159)),0),AJ40*$BI40),AJ40*$BI40),0)</f>
        <v>0</v>
      </c>
      <c r="CN40" s="311">
        <f>IF($BI40&lt;&gt;"",IF('Capacity summary'!$D$14="Yes",IF(COUNTBLANK('Capacity summary'!$H159:$BG159)&lt;52,IF('Capacity summary'!AK159&lt;&gt;"",IF(LOWER('Capacity summary'!AK159)="x",$BI40*AK40,VALUE('Capacity summary'!AK159)),0),AK40*$BI40),AK40*$BI40),0)</f>
        <v>0</v>
      </c>
      <c r="CO40" s="311">
        <f>IF($BI40&lt;&gt;"",IF('Capacity summary'!$D$14="Yes",IF(COUNTBLANK('Capacity summary'!$H159:$BG159)&lt;52,IF('Capacity summary'!AL159&lt;&gt;"",IF(LOWER('Capacity summary'!AL159)="x",$BI40*AL40,VALUE('Capacity summary'!AL159)),0),AL40*$BI40),AL40*$BI40),0)</f>
        <v>0</v>
      </c>
      <c r="CP40" s="311">
        <f>IF($BI40&lt;&gt;"",IF('Capacity summary'!$D$14="Yes",IF(COUNTBLANK('Capacity summary'!$H159:$BG159)&lt;52,IF('Capacity summary'!AM159&lt;&gt;"",IF(LOWER('Capacity summary'!AM159)="x",$BI40*AM40,VALUE('Capacity summary'!AM159)),0),AM40*$BI40),AM40*$BI40),0)</f>
        <v>0</v>
      </c>
      <c r="CQ40" s="311">
        <f>IF($BI40&lt;&gt;"",IF('Capacity summary'!$D$14="Yes",IF(COUNTBLANK('Capacity summary'!$H159:$BG159)&lt;52,IF('Capacity summary'!AN159&lt;&gt;"",IF(LOWER('Capacity summary'!AN159)="x",$BI40*AN40,VALUE('Capacity summary'!AN159)),0),AN40*$BI40),AN40*$BI40),0)</f>
        <v>0</v>
      </c>
      <c r="CR40" s="311">
        <f>IF($BI40&lt;&gt;"",IF('Capacity summary'!$D$14="Yes",IF(COUNTBLANK('Capacity summary'!$H159:$BG159)&lt;52,IF('Capacity summary'!AO159&lt;&gt;"",IF(LOWER('Capacity summary'!AO159)="x",$BI40*AO40,VALUE('Capacity summary'!AO159)),0),AO40*$BI40),AO40*$BI40),0)</f>
        <v>0</v>
      </c>
      <c r="CS40" s="311">
        <f>IF($BI40&lt;&gt;"",IF('Capacity summary'!$D$14="Yes",IF(COUNTBLANK('Capacity summary'!$H159:$BG159)&lt;52,IF('Capacity summary'!AP159&lt;&gt;"",IF(LOWER('Capacity summary'!AP159)="x",$BI40*AP40,VALUE('Capacity summary'!AP159)),0),AP40*$BI40),AP40*$BI40),0)</f>
        <v>0</v>
      </c>
      <c r="CT40" s="311">
        <f>IF($BI40&lt;&gt;"",IF('Capacity summary'!$D$14="Yes",IF(COUNTBLANK('Capacity summary'!$H159:$BG159)&lt;52,IF('Capacity summary'!AQ159&lt;&gt;"",IF(LOWER('Capacity summary'!AQ159)="x",$BI40*AQ40,VALUE('Capacity summary'!AQ159)),0),AQ40*$BI40),AQ40*$BI40),0)</f>
        <v>0</v>
      </c>
      <c r="CU40" s="311">
        <f>IF($BI40&lt;&gt;"",IF('Capacity summary'!$D$14="Yes",IF(COUNTBLANK('Capacity summary'!$H159:$BG159)&lt;52,IF('Capacity summary'!AR159&lt;&gt;"",IF(LOWER('Capacity summary'!AR159)="x",$BI40*AR40,VALUE('Capacity summary'!AR159)),0),AR40*$BI40),AR40*$BI40),0)</f>
        <v>0</v>
      </c>
      <c r="CV40" s="311">
        <f>IF($BI40&lt;&gt;"",IF('Capacity summary'!$D$14="Yes",IF(COUNTBLANK('Capacity summary'!$H159:$BG159)&lt;52,IF('Capacity summary'!AS159&lt;&gt;"",IF(LOWER('Capacity summary'!AS159)="x",$BI40*AS40,VALUE('Capacity summary'!AS159)),0),AS40*$BI40),AS40*$BI40),0)</f>
        <v>0</v>
      </c>
      <c r="CW40" s="311">
        <f>IF($BI40&lt;&gt;"",IF('Capacity summary'!$D$14="Yes",IF(COUNTBLANK('Capacity summary'!$H159:$BG159)&lt;52,IF('Capacity summary'!AT159&lt;&gt;"",IF(LOWER('Capacity summary'!AT159)="x",$BI40*AT40,VALUE('Capacity summary'!AT159)),0),AT40*$BI40),AT40*$BI40),0)</f>
        <v>0</v>
      </c>
      <c r="CX40" s="311">
        <f>IF($BI40&lt;&gt;"",IF('Capacity summary'!$D$14="Yes",IF(COUNTBLANK('Capacity summary'!$H159:$BG159)&lt;52,IF('Capacity summary'!AU159&lt;&gt;"",IF(LOWER('Capacity summary'!AU159)="x",$BI40*AU40,VALUE('Capacity summary'!AU159)),0),AU40*$BI40),AU40*$BI40),0)</f>
        <v>0</v>
      </c>
      <c r="CY40" s="311">
        <f>IF($BI40&lt;&gt;"",IF('Capacity summary'!$D$14="Yes",IF(COUNTBLANK('Capacity summary'!$H159:$BG159)&lt;52,IF('Capacity summary'!AV159&lt;&gt;"",IF(LOWER('Capacity summary'!AV159)="x",$BI40*AV40,VALUE('Capacity summary'!AV159)),0),AV40*$BI40),AV40*$BI40),0)</f>
        <v>0</v>
      </c>
      <c r="CZ40" s="311">
        <f>IF($BI40&lt;&gt;"",IF('Capacity summary'!$D$14="Yes",IF(COUNTBLANK('Capacity summary'!$H159:$BG159)&lt;52,IF('Capacity summary'!AW159&lt;&gt;"",IF(LOWER('Capacity summary'!AW159)="x",$BI40*AW40,VALUE('Capacity summary'!AW159)),0),AW40*$BI40),AW40*$BI40),0)</f>
        <v>0</v>
      </c>
      <c r="DA40" s="311">
        <f>IF($BI40&lt;&gt;"",IF('Capacity summary'!$D$14="Yes",IF(COUNTBLANK('Capacity summary'!$H159:$BG159)&lt;52,IF('Capacity summary'!AX159&lt;&gt;"",IF(LOWER('Capacity summary'!AX159)="x",$BI40*AX40,VALUE('Capacity summary'!AX159)),0),AX40*$BI40),AX40*$BI40),0)</f>
        <v>0</v>
      </c>
      <c r="DB40" s="311">
        <f>IF($BI40&lt;&gt;"",IF('Capacity summary'!$D$14="Yes",IF(COUNTBLANK('Capacity summary'!$H159:$BG159)&lt;52,IF('Capacity summary'!AY159&lt;&gt;"",IF(LOWER('Capacity summary'!AY159)="x",$BI40*AY40,VALUE('Capacity summary'!AY159)),0),AY40*$BI40),AY40*$BI40),0)</f>
        <v>0</v>
      </c>
      <c r="DC40" s="311">
        <f>IF($BI40&lt;&gt;"",IF('Capacity summary'!$D$14="Yes",IF(COUNTBLANK('Capacity summary'!$H159:$BG159)&lt;52,IF('Capacity summary'!AZ159&lt;&gt;"",IF(LOWER('Capacity summary'!AZ159)="x",$BI40*AZ40,VALUE('Capacity summary'!AZ159)),0),AZ40*$BI40),AZ40*$BI40),0)</f>
        <v>0</v>
      </c>
      <c r="DD40" s="311">
        <f>IF($BI40&lt;&gt;"",IF('Capacity summary'!$D$14="Yes",IF(COUNTBLANK('Capacity summary'!$H159:$BG159)&lt;52,IF('Capacity summary'!BA159&lt;&gt;"",IF(LOWER('Capacity summary'!BA159)="x",$BI40*BA40,VALUE('Capacity summary'!BA159)),0),BA40*$BI40),BA40*$BI40),0)</f>
        <v>0</v>
      </c>
      <c r="DE40" s="311">
        <f>IF($BI40&lt;&gt;"",IF('Capacity summary'!$D$14="Yes",IF(COUNTBLANK('Capacity summary'!$H159:$BG159)&lt;52,IF('Capacity summary'!BB159&lt;&gt;"",IF(LOWER('Capacity summary'!BB159)="x",$BI40*BB40,VALUE('Capacity summary'!BB159)),0),BB40*$BI40),BB40*$BI40),0)</f>
        <v>0</v>
      </c>
      <c r="DF40" s="311">
        <f>IF($BI40&lt;&gt;"",IF('Capacity summary'!$D$14="Yes",IF(COUNTBLANK('Capacity summary'!$H159:$BG159)&lt;52,IF('Capacity summary'!BC159&lt;&gt;"",IF(LOWER('Capacity summary'!BC159)="x",$BI40*BC40,VALUE('Capacity summary'!BC159)),0),BC40*$BI40),BC40*$BI40),0)</f>
        <v>0</v>
      </c>
      <c r="DG40" s="311">
        <f>IF($BI40&lt;&gt;"",IF('Capacity summary'!$D$14="Yes",IF(COUNTBLANK('Capacity summary'!$H159:$BG159)&lt;52,IF('Capacity summary'!BD159&lt;&gt;"",IF(LOWER('Capacity summary'!BD159)="x",$BI40*BD40,VALUE('Capacity summary'!BD159)),0),BD40*$BI40),BD40*$BI40),0)</f>
        <v>0</v>
      </c>
      <c r="DH40" s="311">
        <f>IF($BI40&lt;&gt;"",IF('Capacity summary'!$D$14="Yes",IF(COUNTBLANK('Capacity summary'!$H159:$BG159)&lt;52,IF('Capacity summary'!BE159&lt;&gt;"",IF(LOWER('Capacity summary'!BE159)="x",$BI40*BE40,VALUE('Capacity summary'!BE159)),0),BE40*$BI40),BE40*$BI40),0)</f>
        <v>0</v>
      </c>
      <c r="DI40" s="311">
        <f>IF($BI40&lt;&gt;"",IF('Capacity summary'!$D$14="Yes",IF(COUNTBLANK('Capacity summary'!$H159:$BG159)&lt;52,IF('Capacity summary'!BF159&lt;&gt;"",IF(LOWER('Capacity summary'!BF159)="x",$BI40*BF40,VALUE('Capacity summary'!BF159)),0),BF40*$BI40),BF40*$BI40),0)</f>
        <v>0</v>
      </c>
      <c r="DJ40" s="311">
        <f>IF($BI40&lt;&gt;"",IF('Capacity summary'!$D$14="Yes",IF(COUNTBLANK('Capacity summary'!$H159:$BG159)&lt;52,IF('Capacity summary'!BG159&lt;&gt;"",IF(LOWER('Capacity summary'!BG159)="x",$BI40*BG40,VALUE('Capacity summary'!BG159)),0),BG40*$BI40),BG40*$BI40),0)</f>
        <v>0</v>
      </c>
      <c r="DK40" s="391">
        <f t="shared" si="2"/>
        <v>0</v>
      </c>
      <c r="DL40" s="136">
        <f t="shared" si="3"/>
        <v>0</v>
      </c>
      <c r="DM40" s="311" t="str">
        <f>Capacity!H52</f>
        <v/>
      </c>
      <c r="DQ40" s="5"/>
    </row>
    <row r="41" spans="1:121" x14ac:dyDescent="0.2">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1">
        <f>IF($BI41&lt;&gt;"",IF('Capacity summary'!$D$14="Yes",IF(COUNTBLANK('Capacity summary'!$H160:$BG160)&lt;52,IF('Capacity summary'!H160&lt;&gt;"",IF(LOWER('Capacity summary'!H160)="x",$BI41*H41,VALUE('Capacity summary'!H160)),0),H41*$BI41),H41*$BI41),0)</f>
        <v>0</v>
      </c>
      <c r="BL41" s="311">
        <f>IF($BI41&lt;&gt;"",IF('Capacity summary'!$D$14="Yes",IF(COUNTBLANK('Capacity summary'!$H160:$BG160)&lt;52,IF('Capacity summary'!I160&lt;&gt;"",IF(LOWER('Capacity summary'!I160)="x",$BI41*I41,VALUE('Capacity summary'!I160)),0),I41*$BI41),I41*$BI41),0)</f>
        <v>0</v>
      </c>
      <c r="BM41" s="311">
        <f>IF($BI41&lt;&gt;"",IF('Capacity summary'!$D$14="Yes",IF(COUNTBLANK('Capacity summary'!$H160:$BG160)&lt;52,IF('Capacity summary'!J160&lt;&gt;"",IF(LOWER('Capacity summary'!J160)="x",$BI41*J41,VALUE('Capacity summary'!J160)),0),J41*$BI41),J41*$BI41),0)</f>
        <v>0</v>
      </c>
      <c r="BN41" s="311">
        <f>IF($BI41&lt;&gt;"",IF('Capacity summary'!$D$14="Yes",IF(COUNTBLANK('Capacity summary'!$H160:$BG160)&lt;52,IF('Capacity summary'!K160&lt;&gt;"",IF(LOWER('Capacity summary'!K160)="x",$BI41*K41,VALUE('Capacity summary'!K160)),0),K41*$BI41),K41*$BI41),0)</f>
        <v>0</v>
      </c>
      <c r="BO41" s="311">
        <f>IF($BI41&lt;&gt;"",IF('Capacity summary'!$D$14="Yes",IF(COUNTBLANK('Capacity summary'!$H160:$BG160)&lt;52,IF('Capacity summary'!L160&lt;&gt;"",IF(LOWER('Capacity summary'!L160)="x",$BI41*L41,VALUE('Capacity summary'!L160)),0),L41*$BI41),L41*$BI41),0)</f>
        <v>0</v>
      </c>
      <c r="BP41" s="311">
        <f>IF($BI41&lt;&gt;"",IF('Capacity summary'!$D$14="Yes",IF(COUNTBLANK('Capacity summary'!$H160:$BG160)&lt;52,IF('Capacity summary'!M160&lt;&gt;"",IF(LOWER('Capacity summary'!M160)="x",$BI41*M41,VALUE('Capacity summary'!M160)),0),M41*$BI41),M41*$BI41),0)</f>
        <v>0</v>
      </c>
      <c r="BQ41" s="311">
        <f>IF($BI41&lt;&gt;"",IF('Capacity summary'!$D$14="Yes",IF(COUNTBLANK('Capacity summary'!$H160:$BG160)&lt;52,IF('Capacity summary'!N160&lt;&gt;"",IF(LOWER('Capacity summary'!N160)="x",$BI41*N41,VALUE('Capacity summary'!N160)),0),N41*$BI41),N41*$BI41),0)</f>
        <v>0</v>
      </c>
      <c r="BR41" s="311">
        <f>IF($BI41&lt;&gt;"",IF('Capacity summary'!$D$14="Yes",IF(COUNTBLANK('Capacity summary'!$H160:$BG160)&lt;52,IF('Capacity summary'!O160&lt;&gt;"",IF(LOWER('Capacity summary'!O160)="x",$BI41*O41,VALUE('Capacity summary'!O160)),0),O41*$BI41),O41*$BI41),0)</f>
        <v>0</v>
      </c>
      <c r="BS41" s="311">
        <f>IF($BI41&lt;&gt;"",IF('Capacity summary'!$D$14="Yes",IF(COUNTBLANK('Capacity summary'!$H160:$BG160)&lt;52,IF('Capacity summary'!P160&lt;&gt;"",IF(LOWER('Capacity summary'!P160)="x",$BI41*P41,VALUE('Capacity summary'!P160)),0),P41*$BI41),P41*$BI41),0)</f>
        <v>0</v>
      </c>
      <c r="BT41" s="311">
        <f>IF($BI41&lt;&gt;"",IF('Capacity summary'!$D$14="Yes",IF(COUNTBLANK('Capacity summary'!$H160:$BG160)&lt;52,IF('Capacity summary'!Q160&lt;&gt;"",IF(LOWER('Capacity summary'!Q160)="x",$BI41*Q41,VALUE('Capacity summary'!Q160)),0),Q41*$BI41),Q41*$BI41),0)</f>
        <v>0</v>
      </c>
      <c r="BU41" s="311">
        <f>IF($BI41&lt;&gt;"",IF('Capacity summary'!$D$14="Yes",IF(COUNTBLANK('Capacity summary'!$H160:$BG160)&lt;52,IF('Capacity summary'!R160&lt;&gt;"",IF(LOWER('Capacity summary'!R160)="x",$BI41*R41,VALUE('Capacity summary'!R160)),0),R41*$BI41),R41*$BI41),0)</f>
        <v>0</v>
      </c>
      <c r="BV41" s="311">
        <f>IF($BI41&lt;&gt;"",IF('Capacity summary'!$D$14="Yes",IF(COUNTBLANK('Capacity summary'!$H160:$BG160)&lt;52,IF('Capacity summary'!S160&lt;&gt;"",IF(LOWER('Capacity summary'!S160)="x",$BI41*S41,VALUE('Capacity summary'!S160)),0),S41*$BI41),S41*$BI41),0)</f>
        <v>0</v>
      </c>
      <c r="BW41" s="311">
        <f>IF($BI41&lt;&gt;"",IF('Capacity summary'!$D$14="Yes",IF(COUNTBLANK('Capacity summary'!$H160:$BG160)&lt;52,IF('Capacity summary'!T160&lt;&gt;"",IF(LOWER('Capacity summary'!T160)="x",$BI41*T41,VALUE('Capacity summary'!T160)),0),T41*$BI41),T41*$BI41),0)</f>
        <v>0</v>
      </c>
      <c r="BX41" s="311">
        <f>IF($BI41&lt;&gt;"",IF('Capacity summary'!$D$14="Yes",IF(COUNTBLANK('Capacity summary'!$H160:$BG160)&lt;52,IF('Capacity summary'!U160&lt;&gt;"",IF(LOWER('Capacity summary'!U160)="x",$BI41*U41,VALUE('Capacity summary'!U160)),0),U41*$BI41),U41*$BI41),0)</f>
        <v>0</v>
      </c>
      <c r="BY41" s="311">
        <f>IF($BI41&lt;&gt;"",IF('Capacity summary'!$D$14="Yes",IF(COUNTBLANK('Capacity summary'!$H160:$BG160)&lt;52,IF('Capacity summary'!V160&lt;&gt;"",IF(LOWER('Capacity summary'!V160)="x",$BI41*V41,VALUE('Capacity summary'!V160)),0),V41*$BI41),V41*$BI41),0)</f>
        <v>0</v>
      </c>
      <c r="BZ41" s="311">
        <f>IF($BI41&lt;&gt;"",IF('Capacity summary'!$D$14="Yes",IF(COUNTBLANK('Capacity summary'!$H160:$BG160)&lt;52,IF('Capacity summary'!W160&lt;&gt;"",IF(LOWER('Capacity summary'!W160)="x",$BI41*W41,VALUE('Capacity summary'!W160)),0),W41*$BI41),W41*$BI41),0)</f>
        <v>0</v>
      </c>
      <c r="CA41" s="311">
        <f>IF($BI41&lt;&gt;"",IF('Capacity summary'!$D$14="Yes",IF(COUNTBLANK('Capacity summary'!$H160:$BG160)&lt;52,IF('Capacity summary'!X160&lt;&gt;"",IF(LOWER('Capacity summary'!X160)="x",$BI41*X41,VALUE('Capacity summary'!X160)),0),X41*$BI41),X41*$BI41),0)</f>
        <v>0</v>
      </c>
      <c r="CB41" s="311">
        <f>IF($BI41&lt;&gt;"",IF('Capacity summary'!$D$14="Yes",IF(COUNTBLANK('Capacity summary'!$H160:$BG160)&lt;52,IF('Capacity summary'!Y160&lt;&gt;"",IF(LOWER('Capacity summary'!Y160)="x",$BI41*Y41,VALUE('Capacity summary'!Y160)),0),Y41*$BI41),Y41*$BI41),0)</f>
        <v>0</v>
      </c>
      <c r="CC41" s="311">
        <f>IF($BI41&lt;&gt;"",IF('Capacity summary'!$D$14="Yes",IF(COUNTBLANK('Capacity summary'!$H160:$BG160)&lt;52,IF('Capacity summary'!Z160&lt;&gt;"",IF(LOWER('Capacity summary'!Z160)="x",$BI41*Z41,VALUE('Capacity summary'!Z160)),0),Z41*$BI41),Z41*$BI41),0)</f>
        <v>0</v>
      </c>
      <c r="CD41" s="311">
        <f>IF($BI41&lt;&gt;"",IF('Capacity summary'!$D$14="Yes",IF(COUNTBLANK('Capacity summary'!$H160:$BG160)&lt;52,IF('Capacity summary'!AA160&lt;&gt;"",IF(LOWER('Capacity summary'!AA160)="x",$BI41*AA41,VALUE('Capacity summary'!AA160)),0),AA41*$BI41),AA41*$BI41),0)</f>
        <v>0</v>
      </c>
      <c r="CE41" s="311">
        <f>IF($BI41&lt;&gt;"",IF('Capacity summary'!$D$14="Yes",IF(COUNTBLANK('Capacity summary'!$H160:$BG160)&lt;52,IF('Capacity summary'!AB160&lt;&gt;"",IF(LOWER('Capacity summary'!AB160)="x",$BI41*AB41,VALUE('Capacity summary'!AB160)),0),AB41*$BI41),AB41*$BI41),0)</f>
        <v>0</v>
      </c>
      <c r="CF41" s="311">
        <f>IF($BI41&lt;&gt;"",IF('Capacity summary'!$D$14="Yes",IF(COUNTBLANK('Capacity summary'!$H160:$BG160)&lt;52,IF('Capacity summary'!AC160&lt;&gt;"",IF(LOWER('Capacity summary'!AC160)="x",$BI41*AC41,VALUE('Capacity summary'!AC160)),0),AC41*$BI41),AC41*$BI41),0)</f>
        <v>0</v>
      </c>
      <c r="CG41" s="311">
        <f>IF($BI41&lt;&gt;"",IF('Capacity summary'!$D$14="Yes",IF(COUNTBLANK('Capacity summary'!$H160:$BG160)&lt;52,IF('Capacity summary'!AD160&lt;&gt;"",IF(LOWER('Capacity summary'!AD160)="x",$BI41*AD41,VALUE('Capacity summary'!AD160)),0),AD41*$BI41),AD41*$BI41),0)</f>
        <v>0</v>
      </c>
      <c r="CH41" s="311">
        <f>IF($BI41&lt;&gt;"",IF('Capacity summary'!$D$14="Yes",IF(COUNTBLANK('Capacity summary'!$H160:$BG160)&lt;52,IF('Capacity summary'!AE160&lt;&gt;"",IF(LOWER('Capacity summary'!AE160)="x",$BI41*AE41,VALUE('Capacity summary'!AE160)),0),AE41*$BI41),AE41*$BI41),0)</f>
        <v>0</v>
      </c>
      <c r="CI41" s="311">
        <f>IF($BI41&lt;&gt;"",IF('Capacity summary'!$D$14="Yes",IF(COUNTBLANK('Capacity summary'!$H160:$BG160)&lt;52,IF('Capacity summary'!AF160&lt;&gt;"",IF(LOWER('Capacity summary'!AF160)="x",$BI41*AF41,VALUE('Capacity summary'!AF160)),0),AF41*$BI41),AF41*$BI41),0)</f>
        <v>0</v>
      </c>
      <c r="CJ41" s="311">
        <f>IF($BI41&lt;&gt;"",IF('Capacity summary'!$D$14="Yes",IF(COUNTBLANK('Capacity summary'!$H160:$BG160)&lt;52,IF('Capacity summary'!AG160&lt;&gt;"",IF(LOWER('Capacity summary'!AG160)="x",$BI41*AG41,VALUE('Capacity summary'!AG160)),0),AG41*$BI41),AG41*$BI41),0)</f>
        <v>0</v>
      </c>
      <c r="CK41" s="311">
        <f>IF($BI41&lt;&gt;"",IF('Capacity summary'!$D$14="Yes",IF(COUNTBLANK('Capacity summary'!$H160:$BG160)&lt;52,IF('Capacity summary'!AH160&lt;&gt;"",IF(LOWER('Capacity summary'!AH160)="x",$BI41*AH41,VALUE('Capacity summary'!AH160)),0),AH41*$BI41),AH41*$BI41),0)</f>
        <v>0</v>
      </c>
      <c r="CL41" s="311">
        <f>IF($BI41&lt;&gt;"",IF('Capacity summary'!$D$14="Yes",IF(COUNTBLANK('Capacity summary'!$H160:$BG160)&lt;52,IF('Capacity summary'!AI160&lt;&gt;"",IF(LOWER('Capacity summary'!AI160)="x",$BI41*AI41,VALUE('Capacity summary'!AI160)),0),AI41*$BI41),AI41*$BI41),0)</f>
        <v>0</v>
      </c>
      <c r="CM41" s="311">
        <f>IF($BI41&lt;&gt;"",IF('Capacity summary'!$D$14="Yes",IF(COUNTBLANK('Capacity summary'!$H160:$BG160)&lt;52,IF('Capacity summary'!AJ160&lt;&gt;"",IF(LOWER('Capacity summary'!AJ160)="x",$BI41*AJ41,VALUE('Capacity summary'!AJ160)),0),AJ41*$BI41),AJ41*$BI41),0)</f>
        <v>0</v>
      </c>
      <c r="CN41" s="311">
        <f>IF($BI41&lt;&gt;"",IF('Capacity summary'!$D$14="Yes",IF(COUNTBLANK('Capacity summary'!$H160:$BG160)&lt;52,IF('Capacity summary'!AK160&lt;&gt;"",IF(LOWER('Capacity summary'!AK160)="x",$BI41*AK41,VALUE('Capacity summary'!AK160)),0),AK41*$BI41),AK41*$BI41),0)</f>
        <v>0</v>
      </c>
      <c r="CO41" s="311">
        <f>IF($BI41&lt;&gt;"",IF('Capacity summary'!$D$14="Yes",IF(COUNTBLANK('Capacity summary'!$H160:$BG160)&lt;52,IF('Capacity summary'!AL160&lt;&gt;"",IF(LOWER('Capacity summary'!AL160)="x",$BI41*AL41,VALUE('Capacity summary'!AL160)),0),AL41*$BI41),AL41*$BI41),0)</f>
        <v>0</v>
      </c>
      <c r="CP41" s="311">
        <f>IF($BI41&lt;&gt;"",IF('Capacity summary'!$D$14="Yes",IF(COUNTBLANK('Capacity summary'!$H160:$BG160)&lt;52,IF('Capacity summary'!AM160&lt;&gt;"",IF(LOWER('Capacity summary'!AM160)="x",$BI41*AM41,VALUE('Capacity summary'!AM160)),0),AM41*$BI41),AM41*$BI41),0)</f>
        <v>0</v>
      </c>
      <c r="CQ41" s="311">
        <f>IF($BI41&lt;&gt;"",IF('Capacity summary'!$D$14="Yes",IF(COUNTBLANK('Capacity summary'!$H160:$BG160)&lt;52,IF('Capacity summary'!AN160&lt;&gt;"",IF(LOWER('Capacity summary'!AN160)="x",$BI41*AN41,VALUE('Capacity summary'!AN160)),0),AN41*$BI41),AN41*$BI41),0)</f>
        <v>0</v>
      </c>
      <c r="CR41" s="311">
        <f>IF($BI41&lt;&gt;"",IF('Capacity summary'!$D$14="Yes",IF(COUNTBLANK('Capacity summary'!$H160:$BG160)&lt;52,IF('Capacity summary'!AO160&lt;&gt;"",IF(LOWER('Capacity summary'!AO160)="x",$BI41*AO41,VALUE('Capacity summary'!AO160)),0),AO41*$BI41),AO41*$BI41),0)</f>
        <v>0</v>
      </c>
      <c r="CS41" s="311">
        <f>IF($BI41&lt;&gt;"",IF('Capacity summary'!$D$14="Yes",IF(COUNTBLANK('Capacity summary'!$H160:$BG160)&lt;52,IF('Capacity summary'!AP160&lt;&gt;"",IF(LOWER('Capacity summary'!AP160)="x",$BI41*AP41,VALUE('Capacity summary'!AP160)),0),AP41*$BI41),AP41*$BI41),0)</f>
        <v>0</v>
      </c>
      <c r="CT41" s="311">
        <f>IF($BI41&lt;&gt;"",IF('Capacity summary'!$D$14="Yes",IF(COUNTBLANK('Capacity summary'!$H160:$BG160)&lt;52,IF('Capacity summary'!AQ160&lt;&gt;"",IF(LOWER('Capacity summary'!AQ160)="x",$BI41*AQ41,VALUE('Capacity summary'!AQ160)),0),AQ41*$BI41),AQ41*$BI41),0)</f>
        <v>0</v>
      </c>
      <c r="CU41" s="311">
        <f>IF($BI41&lt;&gt;"",IF('Capacity summary'!$D$14="Yes",IF(COUNTBLANK('Capacity summary'!$H160:$BG160)&lt;52,IF('Capacity summary'!AR160&lt;&gt;"",IF(LOWER('Capacity summary'!AR160)="x",$BI41*AR41,VALUE('Capacity summary'!AR160)),0),AR41*$BI41),AR41*$BI41),0)</f>
        <v>0</v>
      </c>
      <c r="CV41" s="311">
        <f>IF($BI41&lt;&gt;"",IF('Capacity summary'!$D$14="Yes",IF(COUNTBLANK('Capacity summary'!$H160:$BG160)&lt;52,IF('Capacity summary'!AS160&lt;&gt;"",IF(LOWER('Capacity summary'!AS160)="x",$BI41*AS41,VALUE('Capacity summary'!AS160)),0),AS41*$BI41),AS41*$BI41),0)</f>
        <v>0</v>
      </c>
      <c r="CW41" s="311">
        <f>IF($BI41&lt;&gt;"",IF('Capacity summary'!$D$14="Yes",IF(COUNTBLANK('Capacity summary'!$H160:$BG160)&lt;52,IF('Capacity summary'!AT160&lt;&gt;"",IF(LOWER('Capacity summary'!AT160)="x",$BI41*AT41,VALUE('Capacity summary'!AT160)),0),AT41*$BI41),AT41*$BI41),0)</f>
        <v>0</v>
      </c>
      <c r="CX41" s="311">
        <f>IF($BI41&lt;&gt;"",IF('Capacity summary'!$D$14="Yes",IF(COUNTBLANK('Capacity summary'!$H160:$BG160)&lt;52,IF('Capacity summary'!AU160&lt;&gt;"",IF(LOWER('Capacity summary'!AU160)="x",$BI41*AU41,VALUE('Capacity summary'!AU160)),0),AU41*$BI41),AU41*$BI41),0)</f>
        <v>0</v>
      </c>
      <c r="CY41" s="311">
        <f>IF($BI41&lt;&gt;"",IF('Capacity summary'!$D$14="Yes",IF(COUNTBLANK('Capacity summary'!$H160:$BG160)&lt;52,IF('Capacity summary'!AV160&lt;&gt;"",IF(LOWER('Capacity summary'!AV160)="x",$BI41*AV41,VALUE('Capacity summary'!AV160)),0),AV41*$BI41),AV41*$BI41),0)</f>
        <v>0</v>
      </c>
      <c r="CZ41" s="311">
        <f>IF($BI41&lt;&gt;"",IF('Capacity summary'!$D$14="Yes",IF(COUNTBLANK('Capacity summary'!$H160:$BG160)&lt;52,IF('Capacity summary'!AW160&lt;&gt;"",IF(LOWER('Capacity summary'!AW160)="x",$BI41*AW41,VALUE('Capacity summary'!AW160)),0),AW41*$BI41),AW41*$BI41),0)</f>
        <v>0</v>
      </c>
      <c r="DA41" s="311">
        <f>IF($BI41&lt;&gt;"",IF('Capacity summary'!$D$14="Yes",IF(COUNTBLANK('Capacity summary'!$H160:$BG160)&lt;52,IF('Capacity summary'!AX160&lt;&gt;"",IF(LOWER('Capacity summary'!AX160)="x",$BI41*AX41,VALUE('Capacity summary'!AX160)),0),AX41*$BI41),AX41*$BI41),0)</f>
        <v>0</v>
      </c>
      <c r="DB41" s="311">
        <f>IF($BI41&lt;&gt;"",IF('Capacity summary'!$D$14="Yes",IF(COUNTBLANK('Capacity summary'!$H160:$BG160)&lt;52,IF('Capacity summary'!AY160&lt;&gt;"",IF(LOWER('Capacity summary'!AY160)="x",$BI41*AY41,VALUE('Capacity summary'!AY160)),0),AY41*$BI41),AY41*$BI41),0)</f>
        <v>0</v>
      </c>
      <c r="DC41" s="311">
        <f>IF($BI41&lt;&gt;"",IF('Capacity summary'!$D$14="Yes",IF(COUNTBLANK('Capacity summary'!$H160:$BG160)&lt;52,IF('Capacity summary'!AZ160&lt;&gt;"",IF(LOWER('Capacity summary'!AZ160)="x",$BI41*AZ41,VALUE('Capacity summary'!AZ160)),0),AZ41*$BI41),AZ41*$BI41),0)</f>
        <v>0</v>
      </c>
      <c r="DD41" s="311">
        <f>IF($BI41&lt;&gt;"",IF('Capacity summary'!$D$14="Yes",IF(COUNTBLANK('Capacity summary'!$H160:$BG160)&lt;52,IF('Capacity summary'!BA160&lt;&gt;"",IF(LOWER('Capacity summary'!BA160)="x",$BI41*BA41,VALUE('Capacity summary'!BA160)),0),BA41*$BI41),BA41*$BI41),0)</f>
        <v>0</v>
      </c>
      <c r="DE41" s="311">
        <f>IF($BI41&lt;&gt;"",IF('Capacity summary'!$D$14="Yes",IF(COUNTBLANK('Capacity summary'!$H160:$BG160)&lt;52,IF('Capacity summary'!BB160&lt;&gt;"",IF(LOWER('Capacity summary'!BB160)="x",$BI41*BB41,VALUE('Capacity summary'!BB160)),0),BB41*$BI41),BB41*$BI41),0)</f>
        <v>0</v>
      </c>
      <c r="DF41" s="311">
        <f>IF($BI41&lt;&gt;"",IF('Capacity summary'!$D$14="Yes",IF(COUNTBLANK('Capacity summary'!$H160:$BG160)&lt;52,IF('Capacity summary'!BC160&lt;&gt;"",IF(LOWER('Capacity summary'!BC160)="x",$BI41*BC41,VALUE('Capacity summary'!BC160)),0),BC41*$BI41),BC41*$BI41),0)</f>
        <v>0</v>
      </c>
      <c r="DG41" s="311">
        <f>IF($BI41&lt;&gt;"",IF('Capacity summary'!$D$14="Yes",IF(COUNTBLANK('Capacity summary'!$H160:$BG160)&lt;52,IF('Capacity summary'!BD160&lt;&gt;"",IF(LOWER('Capacity summary'!BD160)="x",$BI41*BD41,VALUE('Capacity summary'!BD160)),0),BD41*$BI41),BD41*$BI41),0)</f>
        <v>0</v>
      </c>
      <c r="DH41" s="311">
        <f>IF($BI41&lt;&gt;"",IF('Capacity summary'!$D$14="Yes",IF(COUNTBLANK('Capacity summary'!$H160:$BG160)&lt;52,IF('Capacity summary'!BE160&lt;&gt;"",IF(LOWER('Capacity summary'!BE160)="x",$BI41*BE41,VALUE('Capacity summary'!BE160)),0),BE41*$BI41),BE41*$BI41),0)</f>
        <v>0</v>
      </c>
      <c r="DI41" s="311">
        <f>IF($BI41&lt;&gt;"",IF('Capacity summary'!$D$14="Yes",IF(COUNTBLANK('Capacity summary'!$H160:$BG160)&lt;52,IF('Capacity summary'!BF160&lt;&gt;"",IF(LOWER('Capacity summary'!BF160)="x",$BI41*BF41,VALUE('Capacity summary'!BF160)),0),BF41*$BI41),BF41*$BI41),0)</f>
        <v>0</v>
      </c>
      <c r="DJ41" s="311">
        <f>IF($BI41&lt;&gt;"",IF('Capacity summary'!$D$14="Yes",IF(COUNTBLANK('Capacity summary'!$H160:$BG160)&lt;52,IF('Capacity summary'!BG160&lt;&gt;"",IF(LOWER('Capacity summary'!BG160)="x",$BI41*BG41,VALUE('Capacity summary'!BG160)),0),BG41*$BI41),BG41*$BI41),0)</f>
        <v>0</v>
      </c>
      <c r="DK41" s="391">
        <f t="shared" si="2"/>
        <v>0</v>
      </c>
      <c r="DL41" s="136">
        <f t="shared" si="3"/>
        <v>0</v>
      </c>
      <c r="DM41" s="311" t="str">
        <f>Capacity!H53</f>
        <v/>
      </c>
      <c r="DQ41" s="5"/>
    </row>
    <row r="42" spans="1:121" x14ac:dyDescent="0.2">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1">
        <f>IF($BI42&lt;&gt;"",IF('Capacity summary'!$D$14="Yes",IF(COUNTBLANK('Capacity summary'!$H161:$BG161)&lt;52,IF('Capacity summary'!H161&lt;&gt;"",IF(LOWER('Capacity summary'!H161)="x",$BI42*H42,VALUE('Capacity summary'!H161)),0),H42*$BI42),H42*$BI42),0)</f>
        <v>0</v>
      </c>
      <c r="BL42" s="311">
        <f>IF($BI42&lt;&gt;"",IF('Capacity summary'!$D$14="Yes",IF(COUNTBLANK('Capacity summary'!$H161:$BG161)&lt;52,IF('Capacity summary'!I161&lt;&gt;"",IF(LOWER('Capacity summary'!I161)="x",$BI42*I42,VALUE('Capacity summary'!I161)),0),I42*$BI42),I42*$BI42),0)</f>
        <v>0</v>
      </c>
      <c r="BM42" s="311">
        <f>IF($BI42&lt;&gt;"",IF('Capacity summary'!$D$14="Yes",IF(COUNTBLANK('Capacity summary'!$H161:$BG161)&lt;52,IF('Capacity summary'!J161&lt;&gt;"",IF(LOWER('Capacity summary'!J161)="x",$BI42*J42,VALUE('Capacity summary'!J161)),0),J42*$BI42),J42*$BI42),0)</f>
        <v>0</v>
      </c>
      <c r="BN42" s="311">
        <f>IF($BI42&lt;&gt;"",IF('Capacity summary'!$D$14="Yes",IF(COUNTBLANK('Capacity summary'!$H161:$BG161)&lt;52,IF('Capacity summary'!K161&lt;&gt;"",IF(LOWER('Capacity summary'!K161)="x",$BI42*K42,VALUE('Capacity summary'!K161)),0),K42*$BI42),K42*$BI42),0)</f>
        <v>0</v>
      </c>
      <c r="BO42" s="311">
        <f>IF($BI42&lt;&gt;"",IF('Capacity summary'!$D$14="Yes",IF(COUNTBLANK('Capacity summary'!$H161:$BG161)&lt;52,IF('Capacity summary'!L161&lt;&gt;"",IF(LOWER('Capacity summary'!L161)="x",$BI42*L42,VALUE('Capacity summary'!L161)),0),L42*$BI42),L42*$BI42),0)</f>
        <v>0</v>
      </c>
      <c r="BP42" s="311">
        <f>IF($BI42&lt;&gt;"",IF('Capacity summary'!$D$14="Yes",IF(COUNTBLANK('Capacity summary'!$H161:$BG161)&lt;52,IF('Capacity summary'!M161&lt;&gt;"",IF(LOWER('Capacity summary'!M161)="x",$BI42*M42,VALUE('Capacity summary'!M161)),0),M42*$BI42),M42*$BI42),0)</f>
        <v>0</v>
      </c>
      <c r="BQ42" s="311">
        <f>IF($BI42&lt;&gt;"",IF('Capacity summary'!$D$14="Yes",IF(COUNTBLANK('Capacity summary'!$H161:$BG161)&lt;52,IF('Capacity summary'!N161&lt;&gt;"",IF(LOWER('Capacity summary'!N161)="x",$BI42*N42,VALUE('Capacity summary'!N161)),0),N42*$BI42),N42*$BI42),0)</f>
        <v>0</v>
      </c>
      <c r="BR42" s="311">
        <f>IF($BI42&lt;&gt;"",IF('Capacity summary'!$D$14="Yes",IF(COUNTBLANK('Capacity summary'!$H161:$BG161)&lt;52,IF('Capacity summary'!O161&lt;&gt;"",IF(LOWER('Capacity summary'!O161)="x",$BI42*O42,VALUE('Capacity summary'!O161)),0),O42*$BI42),O42*$BI42),0)</f>
        <v>0</v>
      </c>
      <c r="BS42" s="311">
        <f>IF($BI42&lt;&gt;"",IF('Capacity summary'!$D$14="Yes",IF(COUNTBLANK('Capacity summary'!$H161:$BG161)&lt;52,IF('Capacity summary'!P161&lt;&gt;"",IF(LOWER('Capacity summary'!P161)="x",$BI42*P42,VALUE('Capacity summary'!P161)),0),P42*$BI42),P42*$BI42),0)</f>
        <v>0</v>
      </c>
      <c r="BT42" s="311">
        <f>IF($BI42&lt;&gt;"",IF('Capacity summary'!$D$14="Yes",IF(COUNTBLANK('Capacity summary'!$H161:$BG161)&lt;52,IF('Capacity summary'!Q161&lt;&gt;"",IF(LOWER('Capacity summary'!Q161)="x",$BI42*Q42,VALUE('Capacity summary'!Q161)),0),Q42*$BI42),Q42*$BI42),0)</f>
        <v>0</v>
      </c>
      <c r="BU42" s="311">
        <f>IF($BI42&lt;&gt;"",IF('Capacity summary'!$D$14="Yes",IF(COUNTBLANK('Capacity summary'!$H161:$BG161)&lt;52,IF('Capacity summary'!R161&lt;&gt;"",IF(LOWER('Capacity summary'!R161)="x",$BI42*R42,VALUE('Capacity summary'!R161)),0),R42*$BI42),R42*$BI42),0)</f>
        <v>0</v>
      </c>
      <c r="BV42" s="311">
        <f>IF($BI42&lt;&gt;"",IF('Capacity summary'!$D$14="Yes",IF(COUNTBLANK('Capacity summary'!$H161:$BG161)&lt;52,IF('Capacity summary'!S161&lt;&gt;"",IF(LOWER('Capacity summary'!S161)="x",$BI42*S42,VALUE('Capacity summary'!S161)),0),S42*$BI42),S42*$BI42),0)</f>
        <v>0</v>
      </c>
      <c r="BW42" s="311">
        <f>IF($BI42&lt;&gt;"",IF('Capacity summary'!$D$14="Yes",IF(COUNTBLANK('Capacity summary'!$H161:$BG161)&lt;52,IF('Capacity summary'!T161&lt;&gt;"",IF(LOWER('Capacity summary'!T161)="x",$BI42*T42,VALUE('Capacity summary'!T161)),0),T42*$BI42),T42*$BI42),0)</f>
        <v>0</v>
      </c>
      <c r="BX42" s="311">
        <f>IF($BI42&lt;&gt;"",IF('Capacity summary'!$D$14="Yes",IF(COUNTBLANK('Capacity summary'!$H161:$BG161)&lt;52,IF('Capacity summary'!U161&lt;&gt;"",IF(LOWER('Capacity summary'!U161)="x",$BI42*U42,VALUE('Capacity summary'!U161)),0),U42*$BI42),U42*$BI42),0)</f>
        <v>0</v>
      </c>
      <c r="BY42" s="311">
        <f>IF($BI42&lt;&gt;"",IF('Capacity summary'!$D$14="Yes",IF(COUNTBLANK('Capacity summary'!$H161:$BG161)&lt;52,IF('Capacity summary'!V161&lt;&gt;"",IF(LOWER('Capacity summary'!V161)="x",$BI42*V42,VALUE('Capacity summary'!V161)),0),V42*$BI42),V42*$BI42),0)</f>
        <v>0</v>
      </c>
      <c r="BZ42" s="311">
        <f>IF($BI42&lt;&gt;"",IF('Capacity summary'!$D$14="Yes",IF(COUNTBLANK('Capacity summary'!$H161:$BG161)&lt;52,IF('Capacity summary'!W161&lt;&gt;"",IF(LOWER('Capacity summary'!W161)="x",$BI42*W42,VALUE('Capacity summary'!W161)),0),W42*$BI42),W42*$BI42),0)</f>
        <v>0</v>
      </c>
      <c r="CA42" s="311">
        <f>IF($BI42&lt;&gt;"",IF('Capacity summary'!$D$14="Yes",IF(COUNTBLANK('Capacity summary'!$H161:$BG161)&lt;52,IF('Capacity summary'!X161&lt;&gt;"",IF(LOWER('Capacity summary'!X161)="x",$BI42*X42,VALUE('Capacity summary'!X161)),0),X42*$BI42),X42*$BI42),0)</f>
        <v>0</v>
      </c>
      <c r="CB42" s="311">
        <f>IF($BI42&lt;&gt;"",IF('Capacity summary'!$D$14="Yes",IF(COUNTBLANK('Capacity summary'!$H161:$BG161)&lt;52,IF('Capacity summary'!Y161&lt;&gt;"",IF(LOWER('Capacity summary'!Y161)="x",$BI42*Y42,VALUE('Capacity summary'!Y161)),0),Y42*$BI42),Y42*$BI42),0)</f>
        <v>0</v>
      </c>
      <c r="CC42" s="311">
        <f>IF($BI42&lt;&gt;"",IF('Capacity summary'!$D$14="Yes",IF(COUNTBLANK('Capacity summary'!$H161:$BG161)&lt;52,IF('Capacity summary'!Z161&lt;&gt;"",IF(LOWER('Capacity summary'!Z161)="x",$BI42*Z42,VALUE('Capacity summary'!Z161)),0),Z42*$BI42),Z42*$BI42),0)</f>
        <v>0</v>
      </c>
      <c r="CD42" s="311">
        <f>IF($BI42&lt;&gt;"",IF('Capacity summary'!$D$14="Yes",IF(COUNTBLANK('Capacity summary'!$H161:$BG161)&lt;52,IF('Capacity summary'!AA161&lt;&gt;"",IF(LOWER('Capacity summary'!AA161)="x",$BI42*AA42,VALUE('Capacity summary'!AA161)),0),AA42*$BI42),AA42*$BI42),0)</f>
        <v>0</v>
      </c>
      <c r="CE42" s="311">
        <f>IF($BI42&lt;&gt;"",IF('Capacity summary'!$D$14="Yes",IF(COUNTBLANK('Capacity summary'!$H161:$BG161)&lt;52,IF('Capacity summary'!AB161&lt;&gt;"",IF(LOWER('Capacity summary'!AB161)="x",$BI42*AB42,VALUE('Capacity summary'!AB161)),0),AB42*$BI42),AB42*$BI42),0)</f>
        <v>0</v>
      </c>
      <c r="CF42" s="311">
        <f>IF($BI42&lt;&gt;"",IF('Capacity summary'!$D$14="Yes",IF(COUNTBLANK('Capacity summary'!$H161:$BG161)&lt;52,IF('Capacity summary'!AC161&lt;&gt;"",IF(LOWER('Capacity summary'!AC161)="x",$BI42*AC42,VALUE('Capacity summary'!AC161)),0),AC42*$BI42),AC42*$BI42),0)</f>
        <v>0</v>
      </c>
      <c r="CG42" s="311">
        <f>IF($BI42&lt;&gt;"",IF('Capacity summary'!$D$14="Yes",IF(COUNTBLANK('Capacity summary'!$H161:$BG161)&lt;52,IF('Capacity summary'!AD161&lt;&gt;"",IF(LOWER('Capacity summary'!AD161)="x",$BI42*AD42,VALUE('Capacity summary'!AD161)),0),AD42*$BI42),AD42*$BI42),0)</f>
        <v>0</v>
      </c>
      <c r="CH42" s="311">
        <f>IF($BI42&lt;&gt;"",IF('Capacity summary'!$D$14="Yes",IF(COUNTBLANK('Capacity summary'!$H161:$BG161)&lt;52,IF('Capacity summary'!AE161&lt;&gt;"",IF(LOWER('Capacity summary'!AE161)="x",$BI42*AE42,VALUE('Capacity summary'!AE161)),0),AE42*$BI42),AE42*$BI42),0)</f>
        <v>0</v>
      </c>
      <c r="CI42" s="311">
        <f>IF($BI42&lt;&gt;"",IF('Capacity summary'!$D$14="Yes",IF(COUNTBLANK('Capacity summary'!$H161:$BG161)&lt;52,IF('Capacity summary'!AF161&lt;&gt;"",IF(LOWER('Capacity summary'!AF161)="x",$BI42*AF42,VALUE('Capacity summary'!AF161)),0),AF42*$BI42),AF42*$BI42),0)</f>
        <v>0</v>
      </c>
      <c r="CJ42" s="311">
        <f>IF($BI42&lt;&gt;"",IF('Capacity summary'!$D$14="Yes",IF(COUNTBLANK('Capacity summary'!$H161:$BG161)&lt;52,IF('Capacity summary'!AG161&lt;&gt;"",IF(LOWER('Capacity summary'!AG161)="x",$BI42*AG42,VALUE('Capacity summary'!AG161)),0),AG42*$BI42),AG42*$BI42),0)</f>
        <v>0</v>
      </c>
      <c r="CK42" s="311">
        <f>IF($BI42&lt;&gt;"",IF('Capacity summary'!$D$14="Yes",IF(COUNTBLANK('Capacity summary'!$H161:$BG161)&lt;52,IF('Capacity summary'!AH161&lt;&gt;"",IF(LOWER('Capacity summary'!AH161)="x",$BI42*AH42,VALUE('Capacity summary'!AH161)),0),AH42*$BI42),AH42*$BI42),0)</f>
        <v>0</v>
      </c>
      <c r="CL42" s="311">
        <f>IF($BI42&lt;&gt;"",IF('Capacity summary'!$D$14="Yes",IF(COUNTBLANK('Capacity summary'!$H161:$BG161)&lt;52,IF('Capacity summary'!AI161&lt;&gt;"",IF(LOWER('Capacity summary'!AI161)="x",$BI42*AI42,VALUE('Capacity summary'!AI161)),0),AI42*$BI42),AI42*$BI42),0)</f>
        <v>0</v>
      </c>
      <c r="CM42" s="311">
        <f>IF($BI42&lt;&gt;"",IF('Capacity summary'!$D$14="Yes",IF(COUNTBLANK('Capacity summary'!$H161:$BG161)&lt;52,IF('Capacity summary'!AJ161&lt;&gt;"",IF(LOWER('Capacity summary'!AJ161)="x",$BI42*AJ42,VALUE('Capacity summary'!AJ161)),0),AJ42*$BI42),AJ42*$BI42),0)</f>
        <v>0</v>
      </c>
      <c r="CN42" s="311">
        <f>IF($BI42&lt;&gt;"",IF('Capacity summary'!$D$14="Yes",IF(COUNTBLANK('Capacity summary'!$H161:$BG161)&lt;52,IF('Capacity summary'!AK161&lt;&gt;"",IF(LOWER('Capacity summary'!AK161)="x",$BI42*AK42,VALUE('Capacity summary'!AK161)),0),AK42*$BI42),AK42*$BI42),0)</f>
        <v>0</v>
      </c>
      <c r="CO42" s="311">
        <f>IF($BI42&lt;&gt;"",IF('Capacity summary'!$D$14="Yes",IF(COUNTBLANK('Capacity summary'!$H161:$BG161)&lt;52,IF('Capacity summary'!AL161&lt;&gt;"",IF(LOWER('Capacity summary'!AL161)="x",$BI42*AL42,VALUE('Capacity summary'!AL161)),0),AL42*$BI42),AL42*$BI42),0)</f>
        <v>0</v>
      </c>
      <c r="CP42" s="311">
        <f>IF($BI42&lt;&gt;"",IF('Capacity summary'!$D$14="Yes",IF(COUNTBLANK('Capacity summary'!$H161:$BG161)&lt;52,IF('Capacity summary'!AM161&lt;&gt;"",IF(LOWER('Capacity summary'!AM161)="x",$BI42*AM42,VALUE('Capacity summary'!AM161)),0),AM42*$BI42),AM42*$BI42),0)</f>
        <v>0</v>
      </c>
      <c r="CQ42" s="311">
        <f>IF($BI42&lt;&gt;"",IF('Capacity summary'!$D$14="Yes",IF(COUNTBLANK('Capacity summary'!$H161:$BG161)&lt;52,IF('Capacity summary'!AN161&lt;&gt;"",IF(LOWER('Capacity summary'!AN161)="x",$BI42*AN42,VALUE('Capacity summary'!AN161)),0),AN42*$BI42),AN42*$BI42),0)</f>
        <v>0</v>
      </c>
      <c r="CR42" s="311">
        <f>IF($BI42&lt;&gt;"",IF('Capacity summary'!$D$14="Yes",IF(COUNTBLANK('Capacity summary'!$H161:$BG161)&lt;52,IF('Capacity summary'!AO161&lt;&gt;"",IF(LOWER('Capacity summary'!AO161)="x",$BI42*AO42,VALUE('Capacity summary'!AO161)),0),AO42*$BI42),AO42*$BI42),0)</f>
        <v>0</v>
      </c>
      <c r="CS42" s="311">
        <f>IF($BI42&lt;&gt;"",IF('Capacity summary'!$D$14="Yes",IF(COUNTBLANK('Capacity summary'!$H161:$BG161)&lt;52,IF('Capacity summary'!AP161&lt;&gt;"",IF(LOWER('Capacity summary'!AP161)="x",$BI42*AP42,VALUE('Capacity summary'!AP161)),0),AP42*$BI42),AP42*$BI42),0)</f>
        <v>0</v>
      </c>
      <c r="CT42" s="311">
        <f>IF($BI42&lt;&gt;"",IF('Capacity summary'!$D$14="Yes",IF(COUNTBLANK('Capacity summary'!$H161:$BG161)&lt;52,IF('Capacity summary'!AQ161&lt;&gt;"",IF(LOWER('Capacity summary'!AQ161)="x",$BI42*AQ42,VALUE('Capacity summary'!AQ161)),0),AQ42*$BI42),AQ42*$BI42),0)</f>
        <v>0</v>
      </c>
      <c r="CU42" s="311">
        <f>IF($BI42&lt;&gt;"",IF('Capacity summary'!$D$14="Yes",IF(COUNTBLANK('Capacity summary'!$H161:$BG161)&lt;52,IF('Capacity summary'!AR161&lt;&gt;"",IF(LOWER('Capacity summary'!AR161)="x",$BI42*AR42,VALUE('Capacity summary'!AR161)),0),AR42*$BI42),AR42*$BI42),0)</f>
        <v>0</v>
      </c>
      <c r="CV42" s="311">
        <f>IF($BI42&lt;&gt;"",IF('Capacity summary'!$D$14="Yes",IF(COUNTBLANK('Capacity summary'!$H161:$BG161)&lt;52,IF('Capacity summary'!AS161&lt;&gt;"",IF(LOWER('Capacity summary'!AS161)="x",$BI42*AS42,VALUE('Capacity summary'!AS161)),0),AS42*$BI42),AS42*$BI42),0)</f>
        <v>0</v>
      </c>
      <c r="CW42" s="311">
        <f>IF($BI42&lt;&gt;"",IF('Capacity summary'!$D$14="Yes",IF(COUNTBLANK('Capacity summary'!$H161:$BG161)&lt;52,IF('Capacity summary'!AT161&lt;&gt;"",IF(LOWER('Capacity summary'!AT161)="x",$BI42*AT42,VALUE('Capacity summary'!AT161)),0),AT42*$BI42),AT42*$BI42),0)</f>
        <v>0</v>
      </c>
      <c r="CX42" s="311">
        <f>IF($BI42&lt;&gt;"",IF('Capacity summary'!$D$14="Yes",IF(COUNTBLANK('Capacity summary'!$H161:$BG161)&lt;52,IF('Capacity summary'!AU161&lt;&gt;"",IF(LOWER('Capacity summary'!AU161)="x",$BI42*AU42,VALUE('Capacity summary'!AU161)),0),AU42*$BI42),AU42*$BI42),0)</f>
        <v>0</v>
      </c>
      <c r="CY42" s="311">
        <f>IF($BI42&lt;&gt;"",IF('Capacity summary'!$D$14="Yes",IF(COUNTBLANK('Capacity summary'!$H161:$BG161)&lt;52,IF('Capacity summary'!AV161&lt;&gt;"",IF(LOWER('Capacity summary'!AV161)="x",$BI42*AV42,VALUE('Capacity summary'!AV161)),0),AV42*$BI42),AV42*$BI42),0)</f>
        <v>0</v>
      </c>
      <c r="CZ42" s="311">
        <f>IF($BI42&lt;&gt;"",IF('Capacity summary'!$D$14="Yes",IF(COUNTBLANK('Capacity summary'!$H161:$BG161)&lt;52,IF('Capacity summary'!AW161&lt;&gt;"",IF(LOWER('Capacity summary'!AW161)="x",$BI42*AW42,VALUE('Capacity summary'!AW161)),0),AW42*$BI42),AW42*$BI42),0)</f>
        <v>0</v>
      </c>
      <c r="DA42" s="311">
        <f>IF($BI42&lt;&gt;"",IF('Capacity summary'!$D$14="Yes",IF(COUNTBLANK('Capacity summary'!$H161:$BG161)&lt;52,IF('Capacity summary'!AX161&lt;&gt;"",IF(LOWER('Capacity summary'!AX161)="x",$BI42*AX42,VALUE('Capacity summary'!AX161)),0),AX42*$BI42),AX42*$BI42),0)</f>
        <v>0</v>
      </c>
      <c r="DB42" s="311">
        <f>IF($BI42&lt;&gt;"",IF('Capacity summary'!$D$14="Yes",IF(COUNTBLANK('Capacity summary'!$H161:$BG161)&lt;52,IF('Capacity summary'!AY161&lt;&gt;"",IF(LOWER('Capacity summary'!AY161)="x",$BI42*AY42,VALUE('Capacity summary'!AY161)),0),AY42*$BI42),AY42*$BI42),0)</f>
        <v>0</v>
      </c>
      <c r="DC42" s="311">
        <f>IF($BI42&lt;&gt;"",IF('Capacity summary'!$D$14="Yes",IF(COUNTBLANK('Capacity summary'!$H161:$BG161)&lt;52,IF('Capacity summary'!AZ161&lt;&gt;"",IF(LOWER('Capacity summary'!AZ161)="x",$BI42*AZ42,VALUE('Capacity summary'!AZ161)),0),AZ42*$BI42),AZ42*$BI42),0)</f>
        <v>0</v>
      </c>
      <c r="DD42" s="311">
        <f>IF($BI42&lt;&gt;"",IF('Capacity summary'!$D$14="Yes",IF(COUNTBLANK('Capacity summary'!$H161:$BG161)&lt;52,IF('Capacity summary'!BA161&lt;&gt;"",IF(LOWER('Capacity summary'!BA161)="x",$BI42*BA42,VALUE('Capacity summary'!BA161)),0),BA42*$BI42),BA42*$BI42),0)</f>
        <v>0</v>
      </c>
      <c r="DE42" s="311">
        <f>IF($BI42&lt;&gt;"",IF('Capacity summary'!$D$14="Yes",IF(COUNTBLANK('Capacity summary'!$H161:$BG161)&lt;52,IF('Capacity summary'!BB161&lt;&gt;"",IF(LOWER('Capacity summary'!BB161)="x",$BI42*BB42,VALUE('Capacity summary'!BB161)),0),BB42*$BI42),BB42*$BI42),0)</f>
        <v>0</v>
      </c>
      <c r="DF42" s="311">
        <f>IF($BI42&lt;&gt;"",IF('Capacity summary'!$D$14="Yes",IF(COUNTBLANK('Capacity summary'!$H161:$BG161)&lt;52,IF('Capacity summary'!BC161&lt;&gt;"",IF(LOWER('Capacity summary'!BC161)="x",$BI42*BC42,VALUE('Capacity summary'!BC161)),0),BC42*$BI42),BC42*$BI42),0)</f>
        <v>0</v>
      </c>
      <c r="DG42" s="311">
        <f>IF($BI42&lt;&gt;"",IF('Capacity summary'!$D$14="Yes",IF(COUNTBLANK('Capacity summary'!$H161:$BG161)&lt;52,IF('Capacity summary'!BD161&lt;&gt;"",IF(LOWER('Capacity summary'!BD161)="x",$BI42*BD42,VALUE('Capacity summary'!BD161)),0),BD42*$BI42),BD42*$BI42),0)</f>
        <v>0</v>
      </c>
      <c r="DH42" s="311">
        <f>IF($BI42&lt;&gt;"",IF('Capacity summary'!$D$14="Yes",IF(COUNTBLANK('Capacity summary'!$H161:$BG161)&lt;52,IF('Capacity summary'!BE161&lt;&gt;"",IF(LOWER('Capacity summary'!BE161)="x",$BI42*BE42,VALUE('Capacity summary'!BE161)),0),BE42*$BI42),BE42*$BI42),0)</f>
        <v>0</v>
      </c>
      <c r="DI42" s="311">
        <f>IF($BI42&lt;&gt;"",IF('Capacity summary'!$D$14="Yes",IF(COUNTBLANK('Capacity summary'!$H161:$BG161)&lt;52,IF('Capacity summary'!BF161&lt;&gt;"",IF(LOWER('Capacity summary'!BF161)="x",$BI42*BF42,VALUE('Capacity summary'!BF161)),0),BF42*$BI42),BF42*$BI42),0)</f>
        <v>0</v>
      </c>
      <c r="DJ42" s="311">
        <f>IF($BI42&lt;&gt;"",IF('Capacity summary'!$D$14="Yes",IF(COUNTBLANK('Capacity summary'!$H161:$BG161)&lt;52,IF('Capacity summary'!BG161&lt;&gt;"",IF(LOWER('Capacity summary'!BG161)="x",$BI42*BG42,VALUE('Capacity summary'!BG161)),0),BG42*$BI42),BG42*$BI42),0)</f>
        <v>0</v>
      </c>
      <c r="DK42" s="391">
        <f t="shared" si="2"/>
        <v>0</v>
      </c>
      <c r="DL42" s="136">
        <f t="shared" si="3"/>
        <v>0</v>
      </c>
      <c r="DM42" s="311" t="str">
        <f>Capacity!H54</f>
        <v/>
      </c>
      <c r="DQ42" s="5"/>
    </row>
    <row r="43" spans="1:121" x14ac:dyDescent="0.2">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1">
        <f>IF($BI43&lt;&gt;"",IF('Capacity summary'!$D$14="Yes",IF(COUNTBLANK('Capacity summary'!$H162:$BG162)&lt;52,IF('Capacity summary'!H162&lt;&gt;"",IF(LOWER('Capacity summary'!H162)="x",$BI43*H43,VALUE('Capacity summary'!H162)),0),H43*$BI43),H43*$BI43),0)</f>
        <v>0</v>
      </c>
      <c r="BL43" s="311">
        <f>IF($BI43&lt;&gt;"",IF('Capacity summary'!$D$14="Yes",IF(COUNTBLANK('Capacity summary'!$H162:$BG162)&lt;52,IF('Capacity summary'!I162&lt;&gt;"",IF(LOWER('Capacity summary'!I162)="x",$BI43*I43,VALUE('Capacity summary'!I162)),0),I43*$BI43),I43*$BI43),0)</f>
        <v>0</v>
      </c>
      <c r="BM43" s="311">
        <f>IF($BI43&lt;&gt;"",IF('Capacity summary'!$D$14="Yes",IF(COUNTBLANK('Capacity summary'!$H162:$BG162)&lt;52,IF('Capacity summary'!J162&lt;&gt;"",IF(LOWER('Capacity summary'!J162)="x",$BI43*J43,VALUE('Capacity summary'!J162)),0),J43*$BI43),J43*$BI43),0)</f>
        <v>0</v>
      </c>
      <c r="BN43" s="311">
        <f>IF($BI43&lt;&gt;"",IF('Capacity summary'!$D$14="Yes",IF(COUNTBLANK('Capacity summary'!$H162:$BG162)&lt;52,IF('Capacity summary'!K162&lt;&gt;"",IF(LOWER('Capacity summary'!K162)="x",$BI43*K43,VALUE('Capacity summary'!K162)),0),K43*$BI43),K43*$BI43),0)</f>
        <v>0</v>
      </c>
      <c r="BO43" s="311">
        <f>IF($BI43&lt;&gt;"",IF('Capacity summary'!$D$14="Yes",IF(COUNTBLANK('Capacity summary'!$H162:$BG162)&lt;52,IF('Capacity summary'!L162&lt;&gt;"",IF(LOWER('Capacity summary'!L162)="x",$BI43*L43,VALUE('Capacity summary'!L162)),0),L43*$BI43),L43*$BI43),0)</f>
        <v>0</v>
      </c>
      <c r="BP43" s="311">
        <f>IF($BI43&lt;&gt;"",IF('Capacity summary'!$D$14="Yes",IF(COUNTBLANK('Capacity summary'!$H162:$BG162)&lt;52,IF('Capacity summary'!M162&lt;&gt;"",IF(LOWER('Capacity summary'!M162)="x",$BI43*M43,VALUE('Capacity summary'!M162)),0),M43*$BI43),M43*$BI43),0)</f>
        <v>0</v>
      </c>
      <c r="BQ43" s="311">
        <f>IF($BI43&lt;&gt;"",IF('Capacity summary'!$D$14="Yes",IF(COUNTBLANK('Capacity summary'!$H162:$BG162)&lt;52,IF('Capacity summary'!N162&lt;&gt;"",IF(LOWER('Capacity summary'!N162)="x",$BI43*N43,VALUE('Capacity summary'!N162)),0),N43*$BI43),N43*$BI43),0)</f>
        <v>0</v>
      </c>
      <c r="BR43" s="311">
        <f>IF($BI43&lt;&gt;"",IF('Capacity summary'!$D$14="Yes",IF(COUNTBLANK('Capacity summary'!$H162:$BG162)&lt;52,IF('Capacity summary'!O162&lt;&gt;"",IF(LOWER('Capacity summary'!O162)="x",$BI43*O43,VALUE('Capacity summary'!O162)),0),O43*$BI43),O43*$BI43),0)</f>
        <v>0</v>
      </c>
      <c r="BS43" s="311">
        <f>IF($BI43&lt;&gt;"",IF('Capacity summary'!$D$14="Yes",IF(COUNTBLANK('Capacity summary'!$H162:$BG162)&lt;52,IF('Capacity summary'!P162&lt;&gt;"",IF(LOWER('Capacity summary'!P162)="x",$BI43*P43,VALUE('Capacity summary'!P162)),0),P43*$BI43),P43*$BI43),0)</f>
        <v>0</v>
      </c>
      <c r="BT43" s="311">
        <f>IF($BI43&lt;&gt;"",IF('Capacity summary'!$D$14="Yes",IF(COUNTBLANK('Capacity summary'!$H162:$BG162)&lt;52,IF('Capacity summary'!Q162&lt;&gt;"",IF(LOWER('Capacity summary'!Q162)="x",$BI43*Q43,VALUE('Capacity summary'!Q162)),0),Q43*$BI43),Q43*$BI43),0)</f>
        <v>0</v>
      </c>
      <c r="BU43" s="311">
        <f>IF($BI43&lt;&gt;"",IF('Capacity summary'!$D$14="Yes",IF(COUNTBLANK('Capacity summary'!$H162:$BG162)&lt;52,IF('Capacity summary'!R162&lt;&gt;"",IF(LOWER('Capacity summary'!R162)="x",$BI43*R43,VALUE('Capacity summary'!R162)),0),R43*$BI43),R43*$BI43),0)</f>
        <v>0</v>
      </c>
      <c r="BV43" s="311">
        <f>IF($BI43&lt;&gt;"",IF('Capacity summary'!$D$14="Yes",IF(COUNTBLANK('Capacity summary'!$H162:$BG162)&lt;52,IF('Capacity summary'!S162&lt;&gt;"",IF(LOWER('Capacity summary'!S162)="x",$BI43*S43,VALUE('Capacity summary'!S162)),0),S43*$BI43),S43*$BI43),0)</f>
        <v>0</v>
      </c>
      <c r="BW43" s="311">
        <f>IF($BI43&lt;&gt;"",IF('Capacity summary'!$D$14="Yes",IF(COUNTBLANK('Capacity summary'!$H162:$BG162)&lt;52,IF('Capacity summary'!T162&lt;&gt;"",IF(LOWER('Capacity summary'!T162)="x",$BI43*T43,VALUE('Capacity summary'!T162)),0),T43*$BI43),T43*$BI43),0)</f>
        <v>0</v>
      </c>
      <c r="BX43" s="311">
        <f>IF($BI43&lt;&gt;"",IF('Capacity summary'!$D$14="Yes",IF(COUNTBLANK('Capacity summary'!$H162:$BG162)&lt;52,IF('Capacity summary'!U162&lt;&gt;"",IF(LOWER('Capacity summary'!U162)="x",$BI43*U43,VALUE('Capacity summary'!U162)),0),U43*$BI43),U43*$BI43),0)</f>
        <v>0</v>
      </c>
      <c r="BY43" s="311">
        <f>IF($BI43&lt;&gt;"",IF('Capacity summary'!$D$14="Yes",IF(COUNTBLANK('Capacity summary'!$H162:$BG162)&lt;52,IF('Capacity summary'!V162&lt;&gt;"",IF(LOWER('Capacity summary'!V162)="x",$BI43*V43,VALUE('Capacity summary'!V162)),0),V43*$BI43),V43*$BI43),0)</f>
        <v>0</v>
      </c>
      <c r="BZ43" s="311">
        <f>IF($BI43&lt;&gt;"",IF('Capacity summary'!$D$14="Yes",IF(COUNTBLANK('Capacity summary'!$H162:$BG162)&lt;52,IF('Capacity summary'!W162&lt;&gt;"",IF(LOWER('Capacity summary'!W162)="x",$BI43*W43,VALUE('Capacity summary'!W162)),0),W43*$BI43),W43*$BI43),0)</f>
        <v>0</v>
      </c>
      <c r="CA43" s="311">
        <f>IF($BI43&lt;&gt;"",IF('Capacity summary'!$D$14="Yes",IF(COUNTBLANK('Capacity summary'!$H162:$BG162)&lt;52,IF('Capacity summary'!X162&lt;&gt;"",IF(LOWER('Capacity summary'!X162)="x",$BI43*X43,VALUE('Capacity summary'!X162)),0),X43*$BI43),X43*$BI43),0)</f>
        <v>0</v>
      </c>
      <c r="CB43" s="311">
        <f>IF($BI43&lt;&gt;"",IF('Capacity summary'!$D$14="Yes",IF(COUNTBLANK('Capacity summary'!$H162:$BG162)&lt;52,IF('Capacity summary'!Y162&lt;&gt;"",IF(LOWER('Capacity summary'!Y162)="x",$BI43*Y43,VALUE('Capacity summary'!Y162)),0),Y43*$BI43),Y43*$BI43),0)</f>
        <v>0</v>
      </c>
      <c r="CC43" s="311">
        <f>IF($BI43&lt;&gt;"",IF('Capacity summary'!$D$14="Yes",IF(COUNTBLANK('Capacity summary'!$H162:$BG162)&lt;52,IF('Capacity summary'!Z162&lt;&gt;"",IF(LOWER('Capacity summary'!Z162)="x",$BI43*Z43,VALUE('Capacity summary'!Z162)),0),Z43*$BI43),Z43*$BI43),0)</f>
        <v>0</v>
      </c>
      <c r="CD43" s="311">
        <f>IF($BI43&lt;&gt;"",IF('Capacity summary'!$D$14="Yes",IF(COUNTBLANK('Capacity summary'!$H162:$BG162)&lt;52,IF('Capacity summary'!AA162&lt;&gt;"",IF(LOWER('Capacity summary'!AA162)="x",$BI43*AA43,VALUE('Capacity summary'!AA162)),0),AA43*$BI43),AA43*$BI43),0)</f>
        <v>0</v>
      </c>
      <c r="CE43" s="311">
        <f>IF($BI43&lt;&gt;"",IF('Capacity summary'!$D$14="Yes",IF(COUNTBLANK('Capacity summary'!$H162:$BG162)&lt;52,IF('Capacity summary'!AB162&lt;&gt;"",IF(LOWER('Capacity summary'!AB162)="x",$BI43*AB43,VALUE('Capacity summary'!AB162)),0),AB43*$BI43),AB43*$BI43),0)</f>
        <v>0</v>
      </c>
      <c r="CF43" s="311">
        <f>IF($BI43&lt;&gt;"",IF('Capacity summary'!$D$14="Yes",IF(COUNTBLANK('Capacity summary'!$H162:$BG162)&lt;52,IF('Capacity summary'!AC162&lt;&gt;"",IF(LOWER('Capacity summary'!AC162)="x",$BI43*AC43,VALUE('Capacity summary'!AC162)),0),AC43*$BI43),AC43*$BI43),0)</f>
        <v>0</v>
      </c>
      <c r="CG43" s="311">
        <f>IF($BI43&lt;&gt;"",IF('Capacity summary'!$D$14="Yes",IF(COUNTBLANK('Capacity summary'!$H162:$BG162)&lt;52,IF('Capacity summary'!AD162&lt;&gt;"",IF(LOWER('Capacity summary'!AD162)="x",$BI43*AD43,VALUE('Capacity summary'!AD162)),0),AD43*$BI43),AD43*$BI43),0)</f>
        <v>0</v>
      </c>
      <c r="CH43" s="311">
        <f>IF($BI43&lt;&gt;"",IF('Capacity summary'!$D$14="Yes",IF(COUNTBLANK('Capacity summary'!$H162:$BG162)&lt;52,IF('Capacity summary'!AE162&lt;&gt;"",IF(LOWER('Capacity summary'!AE162)="x",$BI43*AE43,VALUE('Capacity summary'!AE162)),0),AE43*$BI43),AE43*$BI43),0)</f>
        <v>0</v>
      </c>
      <c r="CI43" s="311">
        <f>IF($BI43&lt;&gt;"",IF('Capacity summary'!$D$14="Yes",IF(COUNTBLANK('Capacity summary'!$H162:$BG162)&lt;52,IF('Capacity summary'!AF162&lt;&gt;"",IF(LOWER('Capacity summary'!AF162)="x",$BI43*AF43,VALUE('Capacity summary'!AF162)),0),AF43*$BI43),AF43*$BI43),0)</f>
        <v>0</v>
      </c>
      <c r="CJ43" s="311">
        <f>IF($BI43&lt;&gt;"",IF('Capacity summary'!$D$14="Yes",IF(COUNTBLANK('Capacity summary'!$H162:$BG162)&lt;52,IF('Capacity summary'!AG162&lt;&gt;"",IF(LOWER('Capacity summary'!AG162)="x",$BI43*AG43,VALUE('Capacity summary'!AG162)),0),AG43*$BI43),AG43*$BI43),0)</f>
        <v>0</v>
      </c>
      <c r="CK43" s="311">
        <f>IF($BI43&lt;&gt;"",IF('Capacity summary'!$D$14="Yes",IF(COUNTBLANK('Capacity summary'!$H162:$BG162)&lt;52,IF('Capacity summary'!AH162&lt;&gt;"",IF(LOWER('Capacity summary'!AH162)="x",$BI43*AH43,VALUE('Capacity summary'!AH162)),0),AH43*$BI43),AH43*$BI43),0)</f>
        <v>0</v>
      </c>
      <c r="CL43" s="311">
        <f>IF($BI43&lt;&gt;"",IF('Capacity summary'!$D$14="Yes",IF(COUNTBLANK('Capacity summary'!$H162:$BG162)&lt;52,IF('Capacity summary'!AI162&lt;&gt;"",IF(LOWER('Capacity summary'!AI162)="x",$BI43*AI43,VALUE('Capacity summary'!AI162)),0),AI43*$BI43),AI43*$BI43),0)</f>
        <v>0</v>
      </c>
      <c r="CM43" s="311">
        <f>IF($BI43&lt;&gt;"",IF('Capacity summary'!$D$14="Yes",IF(COUNTBLANK('Capacity summary'!$H162:$BG162)&lt;52,IF('Capacity summary'!AJ162&lt;&gt;"",IF(LOWER('Capacity summary'!AJ162)="x",$BI43*AJ43,VALUE('Capacity summary'!AJ162)),0),AJ43*$BI43),AJ43*$BI43),0)</f>
        <v>0</v>
      </c>
      <c r="CN43" s="311">
        <f>IF($BI43&lt;&gt;"",IF('Capacity summary'!$D$14="Yes",IF(COUNTBLANK('Capacity summary'!$H162:$BG162)&lt;52,IF('Capacity summary'!AK162&lt;&gt;"",IF(LOWER('Capacity summary'!AK162)="x",$BI43*AK43,VALUE('Capacity summary'!AK162)),0),AK43*$BI43),AK43*$BI43),0)</f>
        <v>0</v>
      </c>
      <c r="CO43" s="311">
        <f>IF($BI43&lt;&gt;"",IF('Capacity summary'!$D$14="Yes",IF(COUNTBLANK('Capacity summary'!$H162:$BG162)&lt;52,IF('Capacity summary'!AL162&lt;&gt;"",IF(LOWER('Capacity summary'!AL162)="x",$BI43*AL43,VALUE('Capacity summary'!AL162)),0),AL43*$BI43),AL43*$BI43),0)</f>
        <v>0</v>
      </c>
      <c r="CP43" s="311">
        <f>IF($BI43&lt;&gt;"",IF('Capacity summary'!$D$14="Yes",IF(COUNTBLANK('Capacity summary'!$H162:$BG162)&lt;52,IF('Capacity summary'!AM162&lt;&gt;"",IF(LOWER('Capacity summary'!AM162)="x",$BI43*AM43,VALUE('Capacity summary'!AM162)),0),AM43*$BI43),AM43*$BI43),0)</f>
        <v>0</v>
      </c>
      <c r="CQ43" s="311">
        <f>IF($BI43&lt;&gt;"",IF('Capacity summary'!$D$14="Yes",IF(COUNTBLANK('Capacity summary'!$H162:$BG162)&lt;52,IF('Capacity summary'!AN162&lt;&gt;"",IF(LOWER('Capacity summary'!AN162)="x",$BI43*AN43,VALUE('Capacity summary'!AN162)),0),AN43*$BI43),AN43*$BI43),0)</f>
        <v>0</v>
      </c>
      <c r="CR43" s="311">
        <f>IF($BI43&lt;&gt;"",IF('Capacity summary'!$D$14="Yes",IF(COUNTBLANK('Capacity summary'!$H162:$BG162)&lt;52,IF('Capacity summary'!AO162&lt;&gt;"",IF(LOWER('Capacity summary'!AO162)="x",$BI43*AO43,VALUE('Capacity summary'!AO162)),0),AO43*$BI43),AO43*$BI43),0)</f>
        <v>0</v>
      </c>
      <c r="CS43" s="311">
        <f>IF($BI43&lt;&gt;"",IF('Capacity summary'!$D$14="Yes",IF(COUNTBLANK('Capacity summary'!$H162:$BG162)&lt;52,IF('Capacity summary'!AP162&lt;&gt;"",IF(LOWER('Capacity summary'!AP162)="x",$BI43*AP43,VALUE('Capacity summary'!AP162)),0),AP43*$BI43),AP43*$BI43),0)</f>
        <v>0</v>
      </c>
      <c r="CT43" s="311">
        <f>IF($BI43&lt;&gt;"",IF('Capacity summary'!$D$14="Yes",IF(COUNTBLANK('Capacity summary'!$H162:$BG162)&lt;52,IF('Capacity summary'!AQ162&lt;&gt;"",IF(LOWER('Capacity summary'!AQ162)="x",$BI43*AQ43,VALUE('Capacity summary'!AQ162)),0),AQ43*$BI43),AQ43*$BI43),0)</f>
        <v>0</v>
      </c>
      <c r="CU43" s="311">
        <f>IF($BI43&lt;&gt;"",IF('Capacity summary'!$D$14="Yes",IF(COUNTBLANK('Capacity summary'!$H162:$BG162)&lt;52,IF('Capacity summary'!AR162&lt;&gt;"",IF(LOWER('Capacity summary'!AR162)="x",$BI43*AR43,VALUE('Capacity summary'!AR162)),0),AR43*$BI43),AR43*$BI43),0)</f>
        <v>0</v>
      </c>
      <c r="CV43" s="311">
        <f>IF($BI43&lt;&gt;"",IF('Capacity summary'!$D$14="Yes",IF(COUNTBLANK('Capacity summary'!$H162:$BG162)&lt;52,IF('Capacity summary'!AS162&lt;&gt;"",IF(LOWER('Capacity summary'!AS162)="x",$BI43*AS43,VALUE('Capacity summary'!AS162)),0),AS43*$BI43),AS43*$BI43),0)</f>
        <v>0</v>
      </c>
      <c r="CW43" s="311">
        <f>IF($BI43&lt;&gt;"",IF('Capacity summary'!$D$14="Yes",IF(COUNTBLANK('Capacity summary'!$H162:$BG162)&lt;52,IF('Capacity summary'!AT162&lt;&gt;"",IF(LOWER('Capacity summary'!AT162)="x",$BI43*AT43,VALUE('Capacity summary'!AT162)),0),AT43*$BI43),AT43*$BI43),0)</f>
        <v>0</v>
      </c>
      <c r="CX43" s="311">
        <f>IF($BI43&lt;&gt;"",IF('Capacity summary'!$D$14="Yes",IF(COUNTBLANK('Capacity summary'!$H162:$BG162)&lt;52,IF('Capacity summary'!AU162&lt;&gt;"",IF(LOWER('Capacity summary'!AU162)="x",$BI43*AU43,VALUE('Capacity summary'!AU162)),0),AU43*$BI43),AU43*$BI43),0)</f>
        <v>0</v>
      </c>
      <c r="CY43" s="311">
        <f>IF($BI43&lt;&gt;"",IF('Capacity summary'!$D$14="Yes",IF(COUNTBLANK('Capacity summary'!$H162:$BG162)&lt;52,IF('Capacity summary'!AV162&lt;&gt;"",IF(LOWER('Capacity summary'!AV162)="x",$BI43*AV43,VALUE('Capacity summary'!AV162)),0),AV43*$BI43),AV43*$BI43),0)</f>
        <v>0</v>
      </c>
      <c r="CZ43" s="311">
        <f>IF($BI43&lt;&gt;"",IF('Capacity summary'!$D$14="Yes",IF(COUNTBLANK('Capacity summary'!$H162:$BG162)&lt;52,IF('Capacity summary'!AW162&lt;&gt;"",IF(LOWER('Capacity summary'!AW162)="x",$BI43*AW43,VALUE('Capacity summary'!AW162)),0),AW43*$BI43),AW43*$BI43),0)</f>
        <v>0</v>
      </c>
      <c r="DA43" s="311">
        <f>IF($BI43&lt;&gt;"",IF('Capacity summary'!$D$14="Yes",IF(COUNTBLANK('Capacity summary'!$H162:$BG162)&lt;52,IF('Capacity summary'!AX162&lt;&gt;"",IF(LOWER('Capacity summary'!AX162)="x",$BI43*AX43,VALUE('Capacity summary'!AX162)),0),AX43*$BI43),AX43*$BI43),0)</f>
        <v>0</v>
      </c>
      <c r="DB43" s="311">
        <f>IF($BI43&lt;&gt;"",IF('Capacity summary'!$D$14="Yes",IF(COUNTBLANK('Capacity summary'!$H162:$BG162)&lt;52,IF('Capacity summary'!AY162&lt;&gt;"",IF(LOWER('Capacity summary'!AY162)="x",$BI43*AY43,VALUE('Capacity summary'!AY162)),0),AY43*$BI43),AY43*$BI43),0)</f>
        <v>0</v>
      </c>
      <c r="DC43" s="311">
        <f>IF($BI43&lt;&gt;"",IF('Capacity summary'!$D$14="Yes",IF(COUNTBLANK('Capacity summary'!$H162:$BG162)&lt;52,IF('Capacity summary'!AZ162&lt;&gt;"",IF(LOWER('Capacity summary'!AZ162)="x",$BI43*AZ43,VALUE('Capacity summary'!AZ162)),0),AZ43*$BI43),AZ43*$BI43),0)</f>
        <v>0</v>
      </c>
      <c r="DD43" s="311">
        <f>IF($BI43&lt;&gt;"",IF('Capacity summary'!$D$14="Yes",IF(COUNTBLANK('Capacity summary'!$H162:$BG162)&lt;52,IF('Capacity summary'!BA162&lt;&gt;"",IF(LOWER('Capacity summary'!BA162)="x",$BI43*BA43,VALUE('Capacity summary'!BA162)),0),BA43*$BI43),BA43*$BI43),0)</f>
        <v>0</v>
      </c>
      <c r="DE43" s="311">
        <f>IF($BI43&lt;&gt;"",IF('Capacity summary'!$D$14="Yes",IF(COUNTBLANK('Capacity summary'!$H162:$BG162)&lt;52,IF('Capacity summary'!BB162&lt;&gt;"",IF(LOWER('Capacity summary'!BB162)="x",$BI43*BB43,VALUE('Capacity summary'!BB162)),0),BB43*$BI43),BB43*$BI43),0)</f>
        <v>0</v>
      </c>
      <c r="DF43" s="311">
        <f>IF($BI43&lt;&gt;"",IF('Capacity summary'!$D$14="Yes",IF(COUNTBLANK('Capacity summary'!$H162:$BG162)&lt;52,IF('Capacity summary'!BC162&lt;&gt;"",IF(LOWER('Capacity summary'!BC162)="x",$BI43*BC43,VALUE('Capacity summary'!BC162)),0),BC43*$BI43),BC43*$BI43),0)</f>
        <v>0</v>
      </c>
      <c r="DG43" s="311">
        <f>IF($BI43&lt;&gt;"",IF('Capacity summary'!$D$14="Yes",IF(COUNTBLANK('Capacity summary'!$H162:$BG162)&lt;52,IF('Capacity summary'!BD162&lt;&gt;"",IF(LOWER('Capacity summary'!BD162)="x",$BI43*BD43,VALUE('Capacity summary'!BD162)),0),BD43*$BI43),BD43*$BI43),0)</f>
        <v>0</v>
      </c>
      <c r="DH43" s="311">
        <f>IF($BI43&lt;&gt;"",IF('Capacity summary'!$D$14="Yes",IF(COUNTBLANK('Capacity summary'!$H162:$BG162)&lt;52,IF('Capacity summary'!BE162&lt;&gt;"",IF(LOWER('Capacity summary'!BE162)="x",$BI43*BE43,VALUE('Capacity summary'!BE162)),0),BE43*$BI43),BE43*$BI43),0)</f>
        <v>0</v>
      </c>
      <c r="DI43" s="311">
        <f>IF($BI43&lt;&gt;"",IF('Capacity summary'!$D$14="Yes",IF(COUNTBLANK('Capacity summary'!$H162:$BG162)&lt;52,IF('Capacity summary'!BF162&lt;&gt;"",IF(LOWER('Capacity summary'!BF162)="x",$BI43*BF43,VALUE('Capacity summary'!BF162)),0),BF43*$BI43),BF43*$BI43),0)</f>
        <v>0</v>
      </c>
      <c r="DJ43" s="311">
        <f>IF($BI43&lt;&gt;"",IF('Capacity summary'!$D$14="Yes",IF(COUNTBLANK('Capacity summary'!$H162:$BG162)&lt;52,IF('Capacity summary'!BG162&lt;&gt;"",IF(LOWER('Capacity summary'!BG162)="x",$BI43*BG43,VALUE('Capacity summary'!BG162)),0),BG43*$BI43),BG43*$BI43),0)</f>
        <v>0</v>
      </c>
      <c r="DK43" s="391">
        <f t="shared" si="2"/>
        <v>0</v>
      </c>
      <c r="DL43" s="136">
        <f t="shared" si="3"/>
        <v>0</v>
      </c>
      <c r="DM43" s="311" t="str">
        <f>Capacity!H55</f>
        <v/>
      </c>
      <c r="DQ43" s="5"/>
    </row>
    <row r="44" spans="1:121" x14ac:dyDescent="0.2">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1">
        <f>IF($BI44&lt;&gt;"",IF('Capacity summary'!$D$14="Yes",IF(COUNTBLANK('Capacity summary'!$H163:$BG163)&lt;52,IF('Capacity summary'!H163&lt;&gt;"",IF(LOWER('Capacity summary'!H163)="x",$BI44*H44,VALUE('Capacity summary'!H163)),0),H44*$BI44),H44*$BI44),0)</f>
        <v>0</v>
      </c>
      <c r="BL44" s="311">
        <f>IF($BI44&lt;&gt;"",IF('Capacity summary'!$D$14="Yes",IF(COUNTBLANK('Capacity summary'!$H163:$BG163)&lt;52,IF('Capacity summary'!I163&lt;&gt;"",IF(LOWER('Capacity summary'!I163)="x",$BI44*I44,VALUE('Capacity summary'!I163)),0),I44*$BI44),I44*$BI44),0)</f>
        <v>0</v>
      </c>
      <c r="BM44" s="311">
        <f>IF($BI44&lt;&gt;"",IF('Capacity summary'!$D$14="Yes",IF(COUNTBLANK('Capacity summary'!$H163:$BG163)&lt;52,IF('Capacity summary'!J163&lt;&gt;"",IF(LOWER('Capacity summary'!J163)="x",$BI44*J44,VALUE('Capacity summary'!J163)),0),J44*$BI44),J44*$BI44),0)</f>
        <v>0</v>
      </c>
      <c r="BN44" s="311">
        <f>IF($BI44&lt;&gt;"",IF('Capacity summary'!$D$14="Yes",IF(COUNTBLANK('Capacity summary'!$H163:$BG163)&lt;52,IF('Capacity summary'!K163&lt;&gt;"",IF(LOWER('Capacity summary'!K163)="x",$BI44*K44,VALUE('Capacity summary'!K163)),0),K44*$BI44),K44*$BI44),0)</f>
        <v>0</v>
      </c>
      <c r="BO44" s="311">
        <f>IF($BI44&lt;&gt;"",IF('Capacity summary'!$D$14="Yes",IF(COUNTBLANK('Capacity summary'!$H163:$BG163)&lt;52,IF('Capacity summary'!L163&lt;&gt;"",IF(LOWER('Capacity summary'!L163)="x",$BI44*L44,VALUE('Capacity summary'!L163)),0),L44*$BI44),L44*$BI44),0)</f>
        <v>0</v>
      </c>
      <c r="BP44" s="311">
        <f>IF($BI44&lt;&gt;"",IF('Capacity summary'!$D$14="Yes",IF(COUNTBLANK('Capacity summary'!$H163:$BG163)&lt;52,IF('Capacity summary'!M163&lt;&gt;"",IF(LOWER('Capacity summary'!M163)="x",$BI44*M44,VALUE('Capacity summary'!M163)),0),M44*$BI44),M44*$BI44),0)</f>
        <v>0</v>
      </c>
      <c r="BQ44" s="311">
        <f>IF($BI44&lt;&gt;"",IF('Capacity summary'!$D$14="Yes",IF(COUNTBLANK('Capacity summary'!$H163:$BG163)&lt;52,IF('Capacity summary'!N163&lt;&gt;"",IF(LOWER('Capacity summary'!N163)="x",$BI44*N44,VALUE('Capacity summary'!N163)),0),N44*$BI44),N44*$BI44),0)</f>
        <v>0</v>
      </c>
      <c r="BR44" s="311">
        <f>IF($BI44&lt;&gt;"",IF('Capacity summary'!$D$14="Yes",IF(COUNTBLANK('Capacity summary'!$H163:$BG163)&lt;52,IF('Capacity summary'!O163&lt;&gt;"",IF(LOWER('Capacity summary'!O163)="x",$BI44*O44,VALUE('Capacity summary'!O163)),0),O44*$BI44),O44*$BI44),0)</f>
        <v>0</v>
      </c>
      <c r="BS44" s="311">
        <f>IF($BI44&lt;&gt;"",IF('Capacity summary'!$D$14="Yes",IF(COUNTBLANK('Capacity summary'!$H163:$BG163)&lt;52,IF('Capacity summary'!P163&lt;&gt;"",IF(LOWER('Capacity summary'!P163)="x",$BI44*P44,VALUE('Capacity summary'!P163)),0),P44*$BI44),P44*$BI44),0)</f>
        <v>0</v>
      </c>
      <c r="BT44" s="311">
        <f>IF($BI44&lt;&gt;"",IF('Capacity summary'!$D$14="Yes",IF(COUNTBLANK('Capacity summary'!$H163:$BG163)&lt;52,IF('Capacity summary'!Q163&lt;&gt;"",IF(LOWER('Capacity summary'!Q163)="x",$BI44*Q44,VALUE('Capacity summary'!Q163)),0),Q44*$BI44),Q44*$BI44),0)</f>
        <v>0</v>
      </c>
      <c r="BU44" s="311">
        <f>IF($BI44&lt;&gt;"",IF('Capacity summary'!$D$14="Yes",IF(COUNTBLANK('Capacity summary'!$H163:$BG163)&lt;52,IF('Capacity summary'!R163&lt;&gt;"",IF(LOWER('Capacity summary'!R163)="x",$BI44*R44,VALUE('Capacity summary'!R163)),0),R44*$BI44),R44*$BI44),0)</f>
        <v>0</v>
      </c>
      <c r="BV44" s="311">
        <f>IF($BI44&lt;&gt;"",IF('Capacity summary'!$D$14="Yes",IF(COUNTBLANK('Capacity summary'!$H163:$BG163)&lt;52,IF('Capacity summary'!S163&lt;&gt;"",IF(LOWER('Capacity summary'!S163)="x",$BI44*S44,VALUE('Capacity summary'!S163)),0),S44*$BI44),S44*$BI44),0)</f>
        <v>0</v>
      </c>
      <c r="BW44" s="311">
        <f>IF($BI44&lt;&gt;"",IF('Capacity summary'!$D$14="Yes",IF(COUNTBLANK('Capacity summary'!$H163:$BG163)&lt;52,IF('Capacity summary'!T163&lt;&gt;"",IF(LOWER('Capacity summary'!T163)="x",$BI44*T44,VALUE('Capacity summary'!T163)),0),T44*$BI44),T44*$BI44),0)</f>
        <v>0</v>
      </c>
      <c r="BX44" s="311">
        <f>IF($BI44&lt;&gt;"",IF('Capacity summary'!$D$14="Yes",IF(COUNTBLANK('Capacity summary'!$H163:$BG163)&lt;52,IF('Capacity summary'!U163&lt;&gt;"",IF(LOWER('Capacity summary'!U163)="x",$BI44*U44,VALUE('Capacity summary'!U163)),0),U44*$BI44),U44*$BI44),0)</f>
        <v>0</v>
      </c>
      <c r="BY44" s="311">
        <f>IF($BI44&lt;&gt;"",IF('Capacity summary'!$D$14="Yes",IF(COUNTBLANK('Capacity summary'!$H163:$BG163)&lt;52,IF('Capacity summary'!V163&lt;&gt;"",IF(LOWER('Capacity summary'!V163)="x",$BI44*V44,VALUE('Capacity summary'!V163)),0),V44*$BI44),V44*$BI44),0)</f>
        <v>0</v>
      </c>
      <c r="BZ44" s="311">
        <f>IF($BI44&lt;&gt;"",IF('Capacity summary'!$D$14="Yes",IF(COUNTBLANK('Capacity summary'!$H163:$BG163)&lt;52,IF('Capacity summary'!W163&lt;&gt;"",IF(LOWER('Capacity summary'!W163)="x",$BI44*W44,VALUE('Capacity summary'!W163)),0),W44*$BI44),W44*$BI44),0)</f>
        <v>0</v>
      </c>
      <c r="CA44" s="311">
        <f>IF($BI44&lt;&gt;"",IF('Capacity summary'!$D$14="Yes",IF(COUNTBLANK('Capacity summary'!$H163:$BG163)&lt;52,IF('Capacity summary'!X163&lt;&gt;"",IF(LOWER('Capacity summary'!X163)="x",$BI44*X44,VALUE('Capacity summary'!X163)),0),X44*$BI44),X44*$BI44),0)</f>
        <v>0</v>
      </c>
      <c r="CB44" s="311">
        <f>IF($BI44&lt;&gt;"",IF('Capacity summary'!$D$14="Yes",IF(COUNTBLANK('Capacity summary'!$H163:$BG163)&lt;52,IF('Capacity summary'!Y163&lt;&gt;"",IF(LOWER('Capacity summary'!Y163)="x",$BI44*Y44,VALUE('Capacity summary'!Y163)),0),Y44*$BI44),Y44*$BI44),0)</f>
        <v>0</v>
      </c>
      <c r="CC44" s="311">
        <f>IF($BI44&lt;&gt;"",IF('Capacity summary'!$D$14="Yes",IF(COUNTBLANK('Capacity summary'!$H163:$BG163)&lt;52,IF('Capacity summary'!Z163&lt;&gt;"",IF(LOWER('Capacity summary'!Z163)="x",$BI44*Z44,VALUE('Capacity summary'!Z163)),0),Z44*$BI44),Z44*$BI44),0)</f>
        <v>0</v>
      </c>
      <c r="CD44" s="311">
        <f>IF($BI44&lt;&gt;"",IF('Capacity summary'!$D$14="Yes",IF(COUNTBLANK('Capacity summary'!$H163:$BG163)&lt;52,IF('Capacity summary'!AA163&lt;&gt;"",IF(LOWER('Capacity summary'!AA163)="x",$BI44*AA44,VALUE('Capacity summary'!AA163)),0),AA44*$BI44),AA44*$BI44),0)</f>
        <v>0</v>
      </c>
      <c r="CE44" s="311">
        <f>IF($BI44&lt;&gt;"",IF('Capacity summary'!$D$14="Yes",IF(COUNTBLANK('Capacity summary'!$H163:$BG163)&lt;52,IF('Capacity summary'!AB163&lt;&gt;"",IF(LOWER('Capacity summary'!AB163)="x",$BI44*AB44,VALUE('Capacity summary'!AB163)),0),AB44*$BI44),AB44*$BI44),0)</f>
        <v>0</v>
      </c>
      <c r="CF44" s="311">
        <f>IF($BI44&lt;&gt;"",IF('Capacity summary'!$D$14="Yes",IF(COUNTBLANK('Capacity summary'!$H163:$BG163)&lt;52,IF('Capacity summary'!AC163&lt;&gt;"",IF(LOWER('Capacity summary'!AC163)="x",$BI44*AC44,VALUE('Capacity summary'!AC163)),0),AC44*$BI44),AC44*$BI44),0)</f>
        <v>0</v>
      </c>
      <c r="CG44" s="311">
        <f>IF($BI44&lt;&gt;"",IF('Capacity summary'!$D$14="Yes",IF(COUNTBLANK('Capacity summary'!$H163:$BG163)&lt;52,IF('Capacity summary'!AD163&lt;&gt;"",IF(LOWER('Capacity summary'!AD163)="x",$BI44*AD44,VALUE('Capacity summary'!AD163)),0),AD44*$BI44),AD44*$BI44),0)</f>
        <v>0</v>
      </c>
      <c r="CH44" s="311">
        <f>IF($BI44&lt;&gt;"",IF('Capacity summary'!$D$14="Yes",IF(COUNTBLANK('Capacity summary'!$H163:$BG163)&lt;52,IF('Capacity summary'!AE163&lt;&gt;"",IF(LOWER('Capacity summary'!AE163)="x",$BI44*AE44,VALUE('Capacity summary'!AE163)),0),AE44*$BI44),AE44*$BI44),0)</f>
        <v>0</v>
      </c>
      <c r="CI44" s="311">
        <f>IF($BI44&lt;&gt;"",IF('Capacity summary'!$D$14="Yes",IF(COUNTBLANK('Capacity summary'!$H163:$BG163)&lt;52,IF('Capacity summary'!AF163&lt;&gt;"",IF(LOWER('Capacity summary'!AF163)="x",$BI44*AF44,VALUE('Capacity summary'!AF163)),0),AF44*$BI44),AF44*$BI44),0)</f>
        <v>0</v>
      </c>
      <c r="CJ44" s="311">
        <f>IF($BI44&lt;&gt;"",IF('Capacity summary'!$D$14="Yes",IF(COUNTBLANK('Capacity summary'!$H163:$BG163)&lt;52,IF('Capacity summary'!AG163&lt;&gt;"",IF(LOWER('Capacity summary'!AG163)="x",$BI44*AG44,VALUE('Capacity summary'!AG163)),0),AG44*$BI44),AG44*$BI44),0)</f>
        <v>0</v>
      </c>
      <c r="CK44" s="311">
        <f>IF($BI44&lt;&gt;"",IF('Capacity summary'!$D$14="Yes",IF(COUNTBLANK('Capacity summary'!$H163:$BG163)&lt;52,IF('Capacity summary'!AH163&lt;&gt;"",IF(LOWER('Capacity summary'!AH163)="x",$BI44*AH44,VALUE('Capacity summary'!AH163)),0),AH44*$BI44),AH44*$BI44),0)</f>
        <v>0</v>
      </c>
      <c r="CL44" s="311">
        <f>IF($BI44&lt;&gt;"",IF('Capacity summary'!$D$14="Yes",IF(COUNTBLANK('Capacity summary'!$H163:$BG163)&lt;52,IF('Capacity summary'!AI163&lt;&gt;"",IF(LOWER('Capacity summary'!AI163)="x",$BI44*AI44,VALUE('Capacity summary'!AI163)),0),AI44*$BI44),AI44*$BI44),0)</f>
        <v>0</v>
      </c>
      <c r="CM44" s="311">
        <f>IF($BI44&lt;&gt;"",IF('Capacity summary'!$D$14="Yes",IF(COUNTBLANK('Capacity summary'!$H163:$BG163)&lt;52,IF('Capacity summary'!AJ163&lt;&gt;"",IF(LOWER('Capacity summary'!AJ163)="x",$BI44*AJ44,VALUE('Capacity summary'!AJ163)),0),AJ44*$BI44),AJ44*$BI44),0)</f>
        <v>0</v>
      </c>
      <c r="CN44" s="311">
        <f>IF($BI44&lt;&gt;"",IF('Capacity summary'!$D$14="Yes",IF(COUNTBLANK('Capacity summary'!$H163:$BG163)&lt;52,IF('Capacity summary'!AK163&lt;&gt;"",IF(LOWER('Capacity summary'!AK163)="x",$BI44*AK44,VALUE('Capacity summary'!AK163)),0),AK44*$BI44),AK44*$BI44),0)</f>
        <v>0</v>
      </c>
      <c r="CO44" s="311">
        <f>IF($BI44&lt;&gt;"",IF('Capacity summary'!$D$14="Yes",IF(COUNTBLANK('Capacity summary'!$H163:$BG163)&lt;52,IF('Capacity summary'!AL163&lt;&gt;"",IF(LOWER('Capacity summary'!AL163)="x",$BI44*AL44,VALUE('Capacity summary'!AL163)),0),AL44*$BI44),AL44*$BI44),0)</f>
        <v>0</v>
      </c>
      <c r="CP44" s="311">
        <f>IF($BI44&lt;&gt;"",IF('Capacity summary'!$D$14="Yes",IF(COUNTBLANK('Capacity summary'!$H163:$BG163)&lt;52,IF('Capacity summary'!AM163&lt;&gt;"",IF(LOWER('Capacity summary'!AM163)="x",$BI44*AM44,VALUE('Capacity summary'!AM163)),0),AM44*$BI44),AM44*$BI44),0)</f>
        <v>0</v>
      </c>
      <c r="CQ44" s="311">
        <f>IF($BI44&lt;&gt;"",IF('Capacity summary'!$D$14="Yes",IF(COUNTBLANK('Capacity summary'!$H163:$BG163)&lt;52,IF('Capacity summary'!AN163&lt;&gt;"",IF(LOWER('Capacity summary'!AN163)="x",$BI44*AN44,VALUE('Capacity summary'!AN163)),0),AN44*$BI44),AN44*$BI44),0)</f>
        <v>0</v>
      </c>
      <c r="CR44" s="311">
        <f>IF($BI44&lt;&gt;"",IF('Capacity summary'!$D$14="Yes",IF(COUNTBLANK('Capacity summary'!$H163:$BG163)&lt;52,IF('Capacity summary'!AO163&lt;&gt;"",IF(LOWER('Capacity summary'!AO163)="x",$BI44*AO44,VALUE('Capacity summary'!AO163)),0),AO44*$BI44),AO44*$BI44),0)</f>
        <v>0</v>
      </c>
      <c r="CS44" s="311">
        <f>IF($BI44&lt;&gt;"",IF('Capacity summary'!$D$14="Yes",IF(COUNTBLANK('Capacity summary'!$H163:$BG163)&lt;52,IF('Capacity summary'!AP163&lt;&gt;"",IF(LOWER('Capacity summary'!AP163)="x",$BI44*AP44,VALUE('Capacity summary'!AP163)),0),AP44*$BI44),AP44*$BI44),0)</f>
        <v>0</v>
      </c>
      <c r="CT44" s="311">
        <f>IF($BI44&lt;&gt;"",IF('Capacity summary'!$D$14="Yes",IF(COUNTBLANK('Capacity summary'!$H163:$BG163)&lt;52,IF('Capacity summary'!AQ163&lt;&gt;"",IF(LOWER('Capacity summary'!AQ163)="x",$BI44*AQ44,VALUE('Capacity summary'!AQ163)),0),AQ44*$BI44),AQ44*$BI44),0)</f>
        <v>0</v>
      </c>
      <c r="CU44" s="311">
        <f>IF($BI44&lt;&gt;"",IF('Capacity summary'!$D$14="Yes",IF(COUNTBLANK('Capacity summary'!$H163:$BG163)&lt;52,IF('Capacity summary'!AR163&lt;&gt;"",IF(LOWER('Capacity summary'!AR163)="x",$BI44*AR44,VALUE('Capacity summary'!AR163)),0),AR44*$BI44),AR44*$BI44),0)</f>
        <v>0</v>
      </c>
      <c r="CV44" s="311">
        <f>IF($BI44&lt;&gt;"",IF('Capacity summary'!$D$14="Yes",IF(COUNTBLANK('Capacity summary'!$H163:$BG163)&lt;52,IF('Capacity summary'!AS163&lt;&gt;"",IF(LOWER('Capacity summary'!AS163)="x",$BI44*AS44,VALUE('Capacity summary'!AS163)),0),AS44*$BI44),AS44*$BI44),0)</f>
        <v>0</v>
      </c>
      <c r="CW44" s="311">
        <f>IF($BI44&lt;&gt;"",IF('Capacity summary'!$D$14="Yes",IF(COUNTBLANK('Capacity summary'!$H163:$BG163)&lt;52,IF('Capacity summary'!AT163&lt;&gt;"",IF(LOWER('Capacity summary'!AT163)="x",$BI44*AT44,VALUE('Capacity summary'!AT163)),0),AT44*$BI44),AT44*$BI44),0)</f>
        <v>0</v>
      </c>
      <c r="CX44" s="311">
        <f>IF($BI44&lt;&gt;"",IF('Capacity summary'!$D$14="Yes",IF(COUNTBLANK('Capacity summary'!$H163:$BG163)&lt;52,IF('Capacity summary'!AU163&lt;&gt;"",IF(LOWER('Capacity summary'!AU163)="x",$BI44*AU44,VALUE('Capacity summary'!AU163)),0),AU44*$BI44),AU44*$BI44),0)</f>
        <v>0</v>
      </c>
      <c r="CY44" s="311">
        <f>IF($BI44&lt;&gt;"",IF('Capacity summary'!$D$14="Yes",IF(COUNTBLANK('Capacity summary'!$H163:$BG163)&lt;52,IF('Capacity summary'!AV163&lt;&gt;"",IF(LOWER('Capacity summary'!AV163)="x",$BI44*AV44,VALUE('Capacity summary'!AV163)),0),AV44*$BI44),AV44*$BI44),0)</f>
        <v>0</v>
      </c>
      <c r="CZ44" s="311">
        <f>IF($BI44&lt;&gt;"",IF('Capacity summary'!$D$14="Yes",IF(COUNTBLANK('Capacity summary'!$H163:$BG163)&lt;52,IF('Capacity summary'!AW163&lt;&gt;"",IF(LOWER('Capacity summary'!AW163)="x",$BI44*AW44,VALUE('Capacity summary'!AW163)),0),AW44*$BI44),AW44*$BI44),0)</f>
        <v>0</v>
      </c>
      <c r="DA44" s="311">
        <f>IF($BI44&lt;&gt;"",IF('Capacity summary'!$D$14="Yes",IF(COUNTBLANK('Capacity summary'!$H163:$BG163)&lt;52,IF('Capacity summary'!AX163&lt;&gt;"",IF(LOWER('Capacity summary'!AX163)="x",$BI44*AX44,VALUE('Capacity summary'!AX163)),0),AX44*$BI44),AX44*$BI44),0)</f>
        <v>0</v>
      </c>
      <c r="DB44" s="311">
        <f>IF($BI44&lt;&gt;"",IF('Capacity summary'!$D$14="Yes",IF(COUNTBLANK('Capacity summary'!$H163:$BG163)&lt;52,IF('Capacity summary'!AY163&lt;&gt;"",IF(LOWER('Capacity summary'!AY163)="x",$BI44*AY44,VALUE('Capacity summary'!AY163)),0),AY44*$BI44),AY44*$BI44),0)</f>
        <v>0</v>
      </c>
      <c r="DC44" s="311">
        <f>IF($BI44&lt;&gt;"",IF('Capacity summary'!$D$14="Yes",IF(COUNTBLANK('Capacity summary'!$H163:$BG163)&lt;52,IF('Capacity summary'!AZ163&lt;&gt;"",IF(LOWER('Capacity summary'!AZ163)="x",$BI44*AZ44,VALUE('Capacity summary'!AZ163)),0),AZ44*$BI44),AZ44*$BI44),0)</f>
        <v>0</v>
      </c>
      <c r="DD44" s="311">
        <f>IF($BI44&lt;&gt;"",IF('Capacity summary'!$D$14="Yes",IF(COUNTBLANK('Capacity summary'!$H163:$BG163)&lt;52,IF('Capacity summary'!BA163&lt;&gt;"",IF(LOWER('Capacity summary'!BA163)="x",$BI44*BA44,VALUE('Capacity summary'!BA163)),0),BA44*$BI44),BA44*$BI44),0)</f>
        <v>0</v>
      </c>
      <c r="DE44" s="311">
        <f>IF($BI44&lt;&gt;"",IF('Capacity summary'!$D$14="Yes",IF(COUNTBLANK('Capacity summary'!$H163:$BG163)&lt;52,IF('Capacity summary'!BB163&lt;&gt;"",IF(LOWER('Capacity summary'!BB163)="x",$BI44*BB44,VALUE('Capacity summary'!BB163)),0),BB44*$BI44),BB44*$BI44),0)</f>
        <v>0</v>
      </c>
      <c r="DF44" s="311">
        <f>IF($BI44&lt;&gt;"",IF('Capacity summary'!$D$14="Yes",IF(COUNTBLANK('Capacity summary'!$H163:$BG163)&lt;52,IF('Capacity summary'!BC163&lt;&gt;"",IF(LOWER('Capacity summary'!BC163)="x",$BI44*BC44,VALUE('Capacity summary'!BC163)),0),BC44*$BI44),BC44*$BI44),0)</f>
        <v>0</v>
      </c>
      <c r="DG44" s="311">
        <f>IF($BI44&lt;&gt;"",IF('Capacity summary'!$D$14="Yes",IF(COUNTBLANK('Capacity summary'!$H163:$BG163)&lt;52,IF('Capacity summary'!BD163&lt;&gt;"",IF(LOWER('Capacity summary'!BD163)="x",$BI44*BD44,VALUE('Capacity summary'!BD163)),0),BD44*$BI44),BD44*$BI44),0)</f>
        <v>0</v>
      </c>
      <c r="DH44" s="311">
        <f>IF($BI44&lt;&gt;"",IF('Capacity summary'!$D$14="Yes",IF(COUNTBLANK('Capacity summary'!$H163:$BG163)&lt;52,IF('Capacity summary'!BE163&lt;&gt;"",IF(LOWER('Capacity summary'!BE163)="x",$BI44*BE44,VALUE('Capacity summary'!BE163)),0),BE44*$BI44),BE44*$BI44),0)</f>
        <v>0</v>
      </c>
      <c r="DI44" s="311">
        <f>IF($BI44&lt;&gt;"",IF('Capacity summary'!$D$14="Yes",IF(COUNTBLANK('Capacity summary'!$H163:$BG163)&lt;52,IF('Capacity summary'!BF163&lt;&gt;"",IF(LOWER('Capacity summary'!BF163)="x",$BI44*BF44,VALUE('Capacity summary'!BF163)),0),BF44*$BI44),BF44*$BI44),0)</f>
        <v>0</v>
      </c>
      <c r="DJ44" s="311">
        <f>IF($BI44&lt;&gt;"",IF('Capacity summary'!$D$14="Yes",IF(COUNTBLANK('Capacity summary'!$H163:$BG163)&lt;52,IF('Capacity summary'!BG163&lt;&gt;"",IF(LOWER('Capacity summary'!BG163)="x",$BI44*BG44,VALUE('Capacity summary'!BG163)),0),BG44*$BI44),BG44*$BI44),0)</f>
        <v>0</v>
      </c>
      <c r="DK44" s="391">
        <f t="shared" si="2"/>
        <v>0</v>
      </c>
      <c r="DL44" s="136">
        <f t="shared" si="3"/>
        <v>0</v>
      </c>
      <c r="DM44" s="311" t="str">
        <f>Capacity!H56</f>
        <v/>
      </c>
      <c r="DQ44" s="5"/>
    </row>
    <row r="45" spans="1:121" x14ac:dyDescent="0.2">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1">
        <f>IF($BI45&lt;&gt;"",IF('Capacity summary'!$D$14="Yes",IF(COUNTBLANK('Capacity summary'!$H164:$BG164)&lt;52,IF('Capacity summary'!H164&lt;&gt;"",IF(LOWER('Capacity summary'!H164)="x",$BI45*H45,VALUE('Capacity summary'!H164)),0),H45*$BI45),H45*$BI45),0)</f>
        <v>0</v>
      </c>
      <c r="BL45" s="311">
        <f>IF($BI45&lt;&gt;"",IF('Capacity summary'!$D$14="Yes",IF(COUNTBLANK('Capacity summary'!$H164:$BG164)&lt;52,IF('Capacity summary'!I164&lt;&gt;"",IF(LOWER('Capacity summary'!I164)="x",$BI45*I45,VALUE('Capacity summary'!I164)),0),I45*$BI45),I45*$BI45),0)</f>
        <v>0</v>
      </c>
      <c r="BM45" s="311">
        <f>IF($BI45&lt;&gt;"",IF('Capacity summary'!$D$14="Yes",IF(COUNTBLANK('Capacity summary'!$H164:$BG164)&lt;52,IF('Capacity summary'!J164&lt;&gt;"",IF(LOWER('Capacity summary'!J164)="x",$BI45*J45,VALUE('Capacity summary'!J164)),0),J45*$BI45),J45*$BI45),0)</f>
        <v>0</v>
      </c>
      <c r="BN45" s="311">
        <f>IF($BI45&lt;&gt;"",IF('Capacity summary'!$D$14="Yes",IF(COUNTBLANK('Capacity summary'!$H164:$BG164)&lt;52,IF('Capacity summary'!K164&lt;&gt;"",IF(LOWER('Capacity summary'!K164)="x",$BI45*K45,VALUE('Capacity summary'!K164)),0),K45*$BI45),K45*$BI45),0)</f>
        <v>0</v>
      </c>
      <c r="BO45" s="311">
        <f>IF($BI45&lt;&gt;"",IF('Capacity summary'!$D$14="Yes",IF(COUNTBLANK('Capacity summary'!$H164:$BG164)&lt;52,IF('Capacity summary'!L164&lt;&gt;"",IF(LOWER('Capacity summary'!L164)="x",$BI45*L45,VALUE('Capacity summary'!L164)),0),L45*$BI45),L45*$BI45),0)</f>
        <v>0</v>
      </c>
      <c r="BP45" s="311">
        <f>IF($BI45&lt;&gt;"",IF('Capacity summary'!$D$14="Yes",IF(COUNTBLANK('Capacity summary'!$H164:$BG164)&lt;52,IF('Capacity summary'!M164&lt;&gt;"",IF(LOWER('Capacity summary'!M164)="x",$BI45*M45,VALUE('Capacity summary'!M164)),0),M45*$BI45),M45*$BI45),0)</f>
        <v>0</v>
      </c>
      <c r="BQ45" s="311">
        <f>IF($BI45&lt;&gt;"",IF('Capacity summary'!$D$14="Yes",IF(COUNTBLANK('Capacity summary'!$H164:$BG164)&lt;52,IF('Capacity summary'!N164&lt;&gt;"",IF(LOWER('Capacity summary'!N164)="x",$BI45*N45,VALUE('Capacity summary'!N164)),0),N45*$BI45),N45*$BI45),0)</f>
        <v>0</v>
      </c>
      <c r="BR45" s="311">
        <f>IF($BI45&lt;&gt;"",IF('Capacity summary'!$D$14="Yes",IF(COUNTBLANK('Capacity summary'!$H164:$BG164)&lt;52,IF('Capacity summary'!O164&lt;&gt;"",IF(LOWER('Capacity summary'!O164)="x",$BI45*O45,VALUE('Capacity summary'!O164)),0),O45*$BI45),O45*$BI45),0)</f>
        <v>0</v>
      </c>
      <c r="BS45" s="311">
        <f>IF($BI45&lt;&gt;"",IF('Capacity summary'!$D$14="Yes",IF(COUNTBLANK('Capacity summary'!$H164:$BG164)&lt;52,IF('Capacity summary'!P164&lt;&gt;"",IF(LOWER('Capacity summary'!P164)="x",$BI45*P45,VALUE('Capacity summary'!P164)),0),P45*$BI45),P45*$BI45),0)</f>
        <v>0</v>
      </c>
      <c r="BT45" s="311">
        <f>IF($BI45&lt;&gt;"",IF('Capacity summary'!$D$14="Yes",IF(COUNTBLANK('Capacity summary'!$H164:$BG164)&lt;52,IF('Capacity summary'!Q164&lt;&gt;"",IF(LOWER('Capacity summary'!Q164)="x",$BI45*Q45,VALUE('Capacity summary'!Q164)),0),Q45*$BI45),Q45*$BI45),0)</f>
        <v>0</v>
      </c>
      <c r="BU45" s="311">
        <f>IF($BI45&lt;&gt;"",IF('Capacity summary'!$D$14="Yes",IF(COUNTBLANK('Capacity summary'!$H164:$BG164)&lt;52,IF('Capacity summary'!R164&lt;&gt;"",IF(LOWER('Capacity summary'!R164)="x",$BI45*R45,VALUE('Capacity summary'!R164)),0),R45*$BI45),R45*$BI45),0)</f>
        <v>0</v>
      </c>
      <c r="BV45" s="311">
        <f>IF($BI45&lt;&gt;"",IF('Capacity summary'!$D$14="Yes",IF(COUNTBLANK('Capacity summary'!$H164:$BG164)&lt;52,IF('Capacity summary'!S164&lt;&gt;"",IF(LOWER('Capacity summary'!S164)="x",$BI45*S45,VALUE('Capacity summary'!S164)),0),S45*$BI45),S45*$BI45),0)</f>
        <v>0</v>
      </c>
      <c r="BW45" s="311">
        <f>IF($BI45&lt;&gt;"",IF('Capacity summary'!$D$14="Yes",IF(COUNTBLANK('Capacity summary'!$H164:$BG164)&lt;52,IF('Capacity summary'!T164&lt;&gt;"",IF(LOWER('Capacity summary'!T164)="x",$BI45*T45,VALUE('Capacity summary'!T164)),0),T45*$BI45),T45*$BI45),0)</f>
        <v>0</v>
      </c>
      <c r="BX45" s="311">
        <f>IF($BI45&lt;&gt;"",IF('Capacity summary'!$D$14="Yes",IF(COUNTBLANK('Capacity summary'!$H164:$BG164)&lt;52,IF('Capacity summary'!U164&lt;&gt;"",IF(LOWER('Capacity summary'!U164)="x",$BI45*U45,VALUE('Capacity summary'!U164)),0),U45*$BI45),U45*$BI45),0)</f>
        <v>0</v>
      </c>
      <c r="BY45" s="311">
        <f>IF($BI45&lt;&gt;"",IF('Capacity summary'!$D$14="Yes",IF(COUNTBLANK('Capacity summary'!$H164:$BG164)&lt;52,IF('Capacity summary'!V164&lt;&gt;"",IF(LOWER('Capacity summary'!V164)="x",$BI45*V45,VALUE('Capacity summary'!V164)),0),V45*$BI45),V45*$BI45),0)</f>
        <v>0</v>
      </c>
      <c r="BZ45" s="311">
        <f>IF($BI45&lt;&gt;"",IF('Capacity summary'!$D$14="Yes",IF(COUNTBLANK('Capacity summary'!$H164:$BG164)&lt;52,IF('Capacity summary'!W164&lt;&gt;"",IF(LOWER('Capacity summary'!W164)="x",$BI45*W45,VALUE('Capacity summary'!W164)),0),W45*$BI45),W45*$BI45),0)</f>
        <v>0</v>
      </c>
      <c r="CA45" s="311">
        <f>IF($BI45&lt;&gt;"",IF('Capacity summary'!$D$14="Yes",IF(COUNTBLANK('Capacity summary'!$H164:$BG164)&lt;52,IF('Capacity summary'!X164&lt;&gt;"",IF(LOWER('Capacity summary'!X164)="x",$BI45*X45,VALUE('Capacity summary'!X164)),0),X45*$BI45),X45*$BI45),0)</f>
        <v>0</v>
      </c>
      <c r="CB45" s="311">
        <f>IF($BI45&lt;&gt;"",IF('Capacity summary'!$D$14="Yes",IF(COUNTBLANK('Capacity summary'!$H164:$BG164)&lt;52,IF('Capacity summary'!Y164&lt;&gt;"",IF(LOWER('Capacity summary'!Y164)="x",$BI45*Y45,VALUE('Capacity summary'!Y164)),0),Y45*$BI45),Y45*$BI45),0)</f>
        <v>0</v>
      </c>
      <c r="CC45" s="311">
        <f>IF($BI45&lt;&gt;"",IF('Capacity summary'!$D$14="Yes",IF(COUNTBLANK('Capacity summary'!$H164:$BG164)&lt;52,IF('Capacity summary'!Z164&lt;&gt;"",IF(LOWER('Capacity summary'!Z164)="x",$BI45*Z45,VALUE('Capacity summary'!Z164)),0),Z45*$BI45),Z45*$BI45),0)</f>
        <v>0</v>
      </c>
      <c r="CD45" s="311">
        <f>IF($BI45&lt;&gt;"",IF('Capacity summary'!$D$14="Yes",IF(COUNTBLANK('Capacity summary'!$H164:$BG164)&lt;52,IF('Capacity summary'!AA164&lt;&gt;"",IF(LOWER('Capacity summary'!AA164)="x",$BI45*AA45,VALUE('Capacity summary'!AA164)),0),AA45*$BI45),AA45*$BI45),0)</f>
        <v>0</v>
      </c>
      <c r="CE45" s="311">
        <f>IF($BI45&lt;&gt;"",IF('Capacity summary'!$D$14="Yes",IF(COUNTBLANK('Capacity summary'!$H164:$BG164)&lt;52,IF('Capacity summary'!AB164&lt;&gt;"",IF(LOWER('Capacity summary'!AB164)="x",$BI45*AB45,VALUE('Capacity summary'!AB164)),0),AB45*$BI45),AB45*$BI45),0)</f>
        <v>0</v>
      </c>
      <c r="CF45" s="311">
        <f>IF($BI45&lt;&gt;"",IF('Capacity summary'!$D$14="Yes",IF(COUNTBLANK('Capacity summary'!$H164:$BG164)&lt;52,IF('Capacity summary'!AC164&lt;&gt;"",IF(LOWER('Capacity summary'!AC164)="x",$BI45*AC45,VALUE('Capacity summary'!AC164)),0),AC45*$BI45),AC45*$BI45),0)</f>
        <v>0</v>
      </c>
      <c r="CG45" s="311">
        <f>IF($BI45&lt;&gt;"",IF('Capacity summary'!$D$14="Yes",IF(COUNTBLANK('Capacity summary'!$H164:$BG164)&lt;52,IF('Capacity summary'!AD164&lt;&gt;"",IF(LOWER('Capacity summary'!AD164)="x",$BI45*AD45,VALUE('Capacity summary'!AD164)),0),AD45*$BI45),AD45*$BI45),0)</f>
        <v>0</v>
      </c>
      <c r="CH45" s="311">
        <f>IF($BI45&lt;&gt;"",IF('Capacity summary'!$D$14="Yes",IF(COUNTBLANK('Capacity summary'!$H164:$BG164)&lt;52,IF('Capacity summary'!AE164&lt;&gt;"",IF(LOWER('Capacity summary'!AE164)="x",$BI45*AE45,VALUE('Capacity summary'!AE164)),0),AE45*$BI45),AE45*$BI45),0)</f>
        <v>0</v>
      </c>
      <c r="CI45" s="311">
        <f>IF($BI45&lt;&gt;"",IF('Capacity summary'!$D$14="Yes",IF(COUNTBLANK('Capacity summary'!$H164:$BG164)&lt;52,IF('Capacity summary'!AF164&lt;&gt;"",IF(LOWER('Capacity summary'!AF164)="x",$BI45*AF45,VALUE('Capacity summary'!AF164)),0),AF45*$BI45),AF45*$BI45),0)</f>
        <v>0</v>
      </c>
      <c r="CJ45" s="311">
        <f>IF($BI45&lt;&gt;"",IF('Capacity summary'!$D$14="Yes",IF(COUNTBLANK('Capacity summary'!$H164:$BG164)&lt;52,IF('Capacity summary'!AG164&lt;&gt;"",IF(LOWER('Capacity summary'!AG164)="x",$BI45*AG45,VALUE('Capacity summary'!AG164)),0),AG45*$BI45),AG45*$BI45),0)</f>
        <v>0</v>
      </c>
      <c r="CK45" s="311">
        <f>IF($BI45&lt;&gt;"",IF('Capacity summary'!$D$14="Yes",IF(COUNTBLANK('Capacity summary'!$H164:$BG164)&lt;52,IF('Capacity summary'!AH164&lt;&gt;"",IF(LOWER('Capacity summary'!AH164)="x",$BI45*AH45,VALUE('Capacity summary'!AH164)),0),AH45*$BI45),AH45*$BI45),0)</f>
        <v>0</v>
      </c>
      <c r="CL45" s="311">
        <f>IF($BI45&lt;&gt;"",IF('Capacity summary'!$D$14="Yes",IF(COUNTBLANK('Capacity summary'!$H164:$BG164)&lt;52,IF('Capacity summary'!AI164&lt;&gt;"",IF(LOWER('Capacity summary'!AI164)="x",$BI45*AI45,VALUE('Capacity summary'!AI164)),0),AI45*$BI45),AI45*$BI45),0)</f>
        <v>0</v>
      </c>
      <c r="CM45" s="311">
        <f>IF($BI45&lt;&gt;"",IF('Capacity summary'!$D$14="Yes",IF(COUNTBLANK('Capacity summary'!$H164:$BG164)&lt;52,IF('Capacity summary'!AJ164&lt;&gt;"",IF(LOWER('Capacity summary'!AJ164)="x",$BI45*AJ45,VALUE('Capacity summary'!AJ164)),0),AJ45*$BI45),AJ45*$BI45),0)</f>
        <v>0</v>
      </c>
      <c r="CN45" s="311">
        <f>IF($BI45&lt;&gt;"",IF('Capacity summary'!$D$14="Yes",IF(COUNTBLANK('Capacity summary'!$H164:$BG164)&lt;52,IF('Capacity summary'!AK164&lt;&gt;"",IF(LOWER('Capacity summary'!AK164)="x",$BI45*AK45,VALUE('Capacity summary'!AK164)),0),AK45*$BI45),AK45*$BI45),0)</f>
        <v>0</v>
      </c>
      <c r="CO45" s="311">
        <f>IF($BI45&lt;&gt;"",IF('Capacity summary'!$D$14="Yes",IF(COUNTBLANK('Capacity summary'!$H164:$BG164)&lt;52,IF('Capacity summary'!AL164&lt;&gt;"",IF(LOWER('Capacity summary'!AL164)="x",$BI45*AL45,VALUE('Capacity summary'!AL164)),0),AL45*$BI45),AL45*$BI45),0)</f>
        <v>0</v>
      </c>
      <c r="CP45" s="311">
        <f>IF($BI45&lt;&gt;"",IF('Capacity summary'!$D$14="Yes",IF(COUNTBLANK('Capacity summary'!$H164:$BG164)&lt;52,IF('Capacity summary'!AM164&lt;&gt;"",IF(LOWER('Capacity summary'!AM164)="x",$BI45*AM45,VALUE('Capacity summary'!AM164)),0),AM45*$BI45),AM45*$BI45),0)</f>
        <v>0</v>
      </c>
      <c r="CQ45" s="311">
        <f>IF($BI45&lt;&gt;"",IF('Capacity summary'!$D$14="Yes",IF(COUNTBLANK('Capacity summary'!$H164:$BG164)&lt;52,IF('Capacity summary'!AN164&lt;&gt;"",IF(LOWER('Capacity summary'!AN164)="x",$BI45*AN45,VALUE('Capacity summary'!AN164)),0),AN45*$BI45),AN45*$BI45),0)</f>
        <v>0</v>
      </c>
      <c r="CR45" s="311">
        <f>IF($BI45&lt;&gt;"",IF('Capacity summary'!$D$14="Yes",IF(COUNTBLANK('Capacity summary'!$H164:$BG164)&lt;52,IF('Capacity summary'!AO164&lt;&gt;"",IF(LOWER('Capacity summary'!AO164)="x",$BI45*AO45,VALUE('Capacity summary'!AO164)),0),AO45*$BI45),AO45*$BI45),0)</f>
        <v>0</v>
      </c>
      <c r="CS45" s="311">
        <f>IF($BI45&lt;&gt;"",IF('Capacity summary'!$D$14="Yes",IF(COUNTBLANK('Capacity summary'!$H164:$BG164)&lt;52,IF('Capacity summary'!AP164&lt;&gt;"",IF(LOWER('Capacity summary'!AP164)="x",$BI45*AP45,VALUE('Capacity summary'!AP164)),0),AP45*$BI45),AP45*$BI45),0)</f>
        <v>0</v>
      </c>
      <c r="CT45" s="311">
        <f>IF($BI45&lt;&gt;"",IF('Capacity summary'!$D$14="Yes",IF(COUNTBLANK('Capacity summary'!$H164:$BG164)&lt;52,IF('Capacity summary'!AQ164&lt;&gt;"",IF(LOWER('Capacity summary'!AQ164)="x",$BI45*AQ45,VALUE('Capacity summary'!AQ164)),0),AQ45*$BI45),AQ45*$BI45),0)</f>
        <v>0</v>
      </c>
      <c r="CU45" s="311">
        <f>IF($BI45&lt;&gt;"",IF('Capacity summary'!$D$14="Yes",IF(COUNTBLANK('Capacity summary'!$H164:$BG164)&lt;52,IF('Capacity summary'!AR164&lt;&gt;"",IF(LOWER('Capacity summary'!AR164)="x",$BI45*AR45,VALUE('Capacity summary'!AR164)),0),AR45*$BI45),AR45*$BI45),0)</f>
        <v>0</v>
      </c>
      <c r="CV45" s="311">
        <f>IF($BI45&lt;&gt;"",IF('Capacity summary'!$D$14="Yes",IF(COUNTBLANK('Capacity summary'!$H164:$BG164)&lt;52,IF('Capacity summary'!AS164&lt;&gt;"",IF(LOWER('Capacity summary'!AS164)="x",$BI45*AS45,VALUE('Capacity summary'!AS164)),0),AS45*$BI45),AS45*$BI45),0)</f>
        <v>0</v>
      </c>
      <c r="CW45" s="311">
        <f>IF($BI45&lt;&gt;"",IF('Capacity summary'!$D$14="Yes",IF(COUNTBLANK('Capacity summary'!$H164:$BG164)&lt;52,IF('Capacity summary'!AT164&lt;&gt;"",IF(LOWER('Capacity summary'!AT164)="x",$BI45*AT45,VALUE('Capacity summary'!AT164)),0),AT45*$BI45),AT45*$BI45),0)</f>
        <v>0</v>
      </c>
      <c r="CX45" s="311">
        <f>IF($BI45&lt;&gt;"",IF('Capacity summary'!$D$14="Yes",IF(COUNTBLANK('Capacity summary'!$H164:$BG164)&lt;52,IF('Capacity summary'!AU164&lt;&gt;"",IF(LOWER('Capacity summary'!AU164)="x",$BI45*AU45,VALUE('Capacity summary'!AU164)),0),AU45*$BI45),AU45*$BI45),0)</f>
        <v>0</v>
      </c>
      <c r="CY45" s="311">
        <f>IF($BI45&lt;&gt;"",IF('Capacity summary'!$D$14="Yes",IF(COUNTBLANK('Capacity summary'!$H164:$BG164)&lt;52,IF('Capacity summary'!AV164&lt;&gt;"",IF(LOWER('Capacity summary'!AV164)="x",$BI45*AV45,VALUE('Capacity summary'!AV164)),0),AV45*$BI45),AV45*$BI45),0)</f>
        <v>0</v>
      </c>
      <c r="CZ45" s="311">
        <f>IF($BI45&lt;&gt;"",IF('Capacity summary'!$D$14="Yes",IF(COUNTBLANK('Capacity summary'!$H164:$BG164)&lt;52,IF('Capacity summary'!AW164&lt;&gt;"",IF(LOWER('Capacity summary'!AW164)="x",$BI45*AW45,VALUE('Capacity summary'!AW164)),0),AW45*$BI45),AW45*$BI45),0)</f>
        <v>0</v>
      </c>
      <c r="DA45" s="311">
        <f>IF($BI45&lt;&gt;"",IF('Capacity summary'!$D$14="Yes",IF(COUNTBLANK('Capacity summary'!$H164:$BG164)&lt;52,IF('Capacity summary'!AX164&lt;&gt;"",IF(LOWER('Capacity summary'!AX164)="x",$BI45*AX45,VALUE('Capacity summary'!AX164)),0),AX45*$BI45),AX45*$BI45),0)</f>
        <v>0</v>
      </c>
      <c r="DB45" s="311">
        <f>IF($BI45&lt;&gt;"",IF('Capacity summary'!$D$14="Yes",IF(COUNTBLANK('Capacity summary'!$H164:$BG164)&lt;52,IF('Capacity summary'!AY164&lt;&gt;"",IF(LOWER('Capacity summary'!AY164)="x",$BI45*AY45,VALUE('Capacity summary'!AY164)),0),AY45*$BI45),AY45*$BI45),0)</f>
        <v>0</v>
      </c>
      <c r="DC45" s="311">
        <f>IF($BI45&lt;&gt;"",IF('Capacity summary'!$D$14="Yes",IF(COUNTBLANK('Capacity summary'!$H164:$BG164)&lt;52,IF('Capacity summary'!AZ164&lt;&gt;"",IF(LOWER('Capacity summary'!AZ164)="x",$BI45*AZ45,VALUE('Capacity summary'!AZ164)),0),AZ45*$BI45),AZ45*$BI45),0)</f>
        <v>0</v>
      </c>
      <c r="DD45" s="311">
        <f>IF($BI45&lt;&gt;"",IF('Capacity summary'!$D$14="Yes",IF(COUNTBLANK('Capacity summary'!$H164:$BG164)&lt;52,IF('Capacity summary'!BA164&lt;&gt;"",IF(LOWER('Capacity summary'!BA164)="x",$BI45*BA45,VALUE('Capacity summary'!BA164)),0),BA45*$BI45),BA45*$BI45),0)</f>
        <v>0</v>
      </c>
      <c r="DE45" s="311">
        <f>IF($BI45&lt;&gt;"",IF('Capacity summary'!$D$14="Yes",IF(COUNTBLANK('Capacity summary'!$H164:$BG164)&lt;52,IF('Capacity summary'!BB164&lt;&gt;"",IF(LOWER('Capacity summary'!BB164)="x",$BI45*BB45,VALUE('Capacity summary'!BB164)),0),BB45*$BI45),BB45*$BI45),0)</f>
        <v>0</v>
      </c>
      <c r="DF45" s="311">
        <f>IF($BI45&lt;&gt;"",IF('Capacity summary'!$D$14="Yes",IF(COUNTBLANK('Capacity summary'!$H164:$BG164)&lt;52,IF('Capacity summary'!BC164&lt;&gt;"",IF(LOWER('Capacity summary'!BC164)="x",$BI45*BC45,VALUE('Capacity summary'!BC164)),0),BC45*$BI45),BC45*$BI45),0)</f>
        <v>0</v>
      </c>
      <c r="DG45" s="311">
        <f>IF($BI45&lt;&gt;"",IF('Capacity summary'!$D$14="Yes",IF(COUNTBLANK('Capacity summary'!$H164:$BG164)&lt;52,IF('Capacity summary'!BD164&lt;&gt;"",IF(LOWER('Capacity summary'!BD164)="x",$BI45*BD45,VALUE('Capacity summary'!BD164)),0),BD45*$BI45),BD45*$BI45),0)</f>
        <v>0</v>
      </c>
      <c r="DH45" s="311">
        <f>IF($BI45&lt;&gt;"",IF('Capacity summary'!$D$14="Yes",IF(COUNTBLANK('Capacity summary'!$H164:$BG164)&lt;52,IF('Capacity summary'!BE164&lt;&gt;"",IF(LOWER('Capacity summary'!BE164)="x",$BI45*BE45,VALUE('Capacity summary'!BE164)),0),BE45*$BI45),BE45*$BI45),0)</f>
        <v>0</v>
      </c>
      <c r="DI45" s="311">
        <f>IF($BI45&lt;&gt;"",IF('Capacity summary'!$D$14="Yes",IF(COUNTBLANK('Capacity summary'!$H164:$BG164)&lt;52,IF('Capacity summary'!BF164&lt;&gt;"",IF(LOWER('Capacity summary'!BF164)="x",$BI45*BF45,VALUE('Capacity summary'!BF164)),0),BF45*$BI45),BF45*$BI45),0)</f>
        <v>0</v>
      </c>
      <c r="DJ45" s="311">
        <f>IF($BI45&lt;&gt;"",IF('Capacity summary'!$D$14="Yes",IF(COUNTBLANK('Capacity summary'!$H164:$BG164)&lt;52,IF('Capacity summary'!BG164&lt;&gt;"",IF(LOWER('Capacity summary'!BG164)="x",$BI45*BG45,VALUE('Capacity summary'!BG164)),0),BG45*$BI45),BG45*$BI45),0)</f>
        <v>0</v>
      </c>
      <c r="DK45" s="391">
        <f t="shared" si="2"/>
        <v>0</v>
      </c>
      <c r="DL45" s="136">
        <f t="shared" si="3"/>
        <v>0</v>
      </c>
      <c r="DM45" s="311" t="str">
        <f>Capacity!H57</f>
        <v/>
      </c>
      <c r="DQ45" s="5"/>
    </row>
    <row r="46" spans="1:121" x14ac:dyDescent="0.2">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1">
        <f>IF($BI46&lt;&gt;"",IF('Capacity summary'!$D$14="Yes",IF(COUNTBLANK('Capacity summary'!$H165:$BG165)&lt;52,IF('Capacity summary'!H165&lt;&gt;"",IF(LOWER('Capacity summary'!H165)="x",$BI46*H46,VALUE('Capacity summary'!H165)),0),H46*$BI46),H46*$BI46),0)</f>
        <v>0</v>
      </c>
      <c r="BL46" s="311">
        <f>IF($BI46&lt;&gt;"",IF('Capacity summary'!$D$14="Yes",IF(COUNTBLANK('Capacity summary'!$H165:$BG165)&lt;52,IF('Capacity summary'!I165&lt;&gt;"",IF(LOWER('Capacity summary'!I165)="x",$BI46*I46,VALUE('Capacity summary'!I165)),0),I46*$BI46),I46*$BI46),0)</f>
        <v>0</v>
      </c>
      <c r="BM46" s="311">
        <f>IF($BI46&lt;&gt;"",IF('Capacity summary'!$D$14="Yes",IF(COUNTBLANK('Capacity summary'!$H165:$BG165)&lt;52,IF('Capacity summary'!J165&lt;&gt;"",IF(LOWER('Capacity summary'!J165)="x",$BI46*J46,VALUE('Capacity summary'!J165)),0),J46*$BI46),J46*$BI46),0)</f>
        <v>0</v>
      </c>
      <c r="BN46" s="311">
        <f>IF($BI46&lt;&gt;"",IF('Capacity summary'!$D$14="Yes",IF(COUNTBLANK('Capacity summary'!$H165:$BG165)&lt;52,IF('Capacity summary'!K165&lt;&gt;"",IF(LOWER('Capacity summary'!K165)="x",$BI46*K46,VALUE('Capacity summary'!K165)),0),K46*$BI46),K46*$BI46),0)</f>
        <v>0</v>
      </c>
      <c r="BO46" s="311">
        <f>IF($BI46&lt;&gt;"",IF('Capacity summary'!$D$14="Yes",IF(COUNTBLANK('Capacity summary'!$H165:$BG165)&lt;52,IF('Capacity summary'!L165&lt;&gt;"",IF(LOWER('Capacity summary'!L165)="x",$BI46*L46,VALUE('Capacity summary'!L165)),0),L46*$BI46),L46*$BI46),0)</f>
        <v>0</v>
      </c>
      <c r="BP46" s="311">
        <f>IF($BI46&lt;&gt;"",IF('Capacity summary'!$D$14="Yes",IF(COUNTBLANK('Capacity summary'!$H165:$BG165)&lt;52,IF('Capacity summary'!M165&lt;&gt;"",IF(LOWER('Capacity summary'!M165)="x",$BI46*M46,VALUE('Capacity summary'!M165)),0),M46*$BI46),M46*$BI46),0)</f>
        <v>0</v>
      </c>
      <c r="BQ46" s="311">
        <f>IF($BI46&lt;&gt;"",IF('Capacity summary'!$D$14="Yes",IF(COUNTBLANK('Capacity summary'!$H165:$BG165)&lt;52,IF('Capacity summary'!N165&lt;&gt;"",IF(LOWER('Capacity summary'!N165)="x",$BI46*N46,VALUE('Capacity summary'!N165)),0),N46*$BI46),N46*$BI46),0)</f>
        <v>0</v>
      </c>
      <c r="BR46" s="311">
        <f>IF($BI46&lt;&gt;"",IF('Capacity summary'!$D$14="Yes",IF(COUNTBLANK('Capacity summary'!$H165:$BG165)&lt;52,IF('Capacity summary'!O165&lt;&gt;"",IF(LOWER('Capacity summary'!O165)="x",$BI46*O46,VALUE('Capacity summary'!O165)),0),O46*$BI46),O46*$BI46),0)</f>
        <v>0</v>
      </c>
      <c r="BS46" s="311">
        <f>IF($BI46&lt;&gt;"",IF('Capacity summary'!$D$14="Yes",IF(COUNTBLANK('Capacity summary'!$H165:$BG165)&lt;52,IF('Capacity summary'!P165&lt;&gt;"",IF(LOWER('Capacity summary'!P165)="x",$BI46*P46,VALUE('Capacity summary'!P165)),0),P46*$BI46),P46*$BI46),0)</f>
        <v>0</v>
      </c>
      <c r="BT46" s="311">
        <f>IF($BI46&lt;&gt;"",IF('Capacity summary'!$D$14="Yes",IF(COUNTBLANK('Capacity summary'!$H165:$BG165)&lt;52,IF('Capacity summary'!Q165&lt;&gt;"",IF(LOWER('Capacity summary'!Q165)="x",$BI46*Q46,VALUE('Capacity summary'!Q165)),0),Q46*$BI46),Q46*$BI46),0)</f>
        <v>0</v>
      </c>
      <c r="BU46" s="311">
        <f>IF($BI46&lt;&gt;"",IF('Capacity summary'!$D$14="Yes",IF(COUNTBLANK('Capacity summary'!$H165:$BG165)&lt;52,IF('Capacity summary'!R165&lt;&gt;"",IF(LOWER('Capacity summary'!R165)="x",$BI46*R46,VALUE('Capacity summary'!R165)),0),R46*$BI46),R46*$BI46),0)</f>
        <v>0</v>
      </c>
      <c r="BV46" s="311">
        <f>IF($BI46&lt;&gt;"",IF('Capacity summary'!$D$14="Yes",IF(COUNTBLANK('Capacity summary'!$H165:$BG165)&lt;52,IF('Capacity summary'!S165&lt;&gt;"",IF(LOWER('Capacity summary'!S165)="x",$BI46*S46,VALUE('Capacity summary'!S165)),0),S46*$BI46),S46*$BI46),0)</f>
        <v>0</v>
      </c>
      <c r="BW46" s="311">
        <f>IF($BI46&lt;&gt;"",IF('Capacity summary'!$D$14="Yes",IF(COUNTBLANK('Capacity summary'!$H165:$BG165)&lt;52,IF('Capacity summary'!T165&lt;&gt;"",IF(LOWER('Capacity summary'!T165)="x",$BI46*T46,VALUE('Capacity summary'!T165)),0),T46*$BI46),T46*$BI46),0)</f>
        <v>0</v>
      </c>
      <c r="BX46" s="311">
        <f>IF($BI46&lt;&gt;"",IF('Capacity summary'!$D$14="Yes",IF(COUNTBLANK('Capacity summary'!$H165:$BG165)&lt;52,IF('Capacity summary'!U165&lt;&gt;"",IF(LOWER('Capacity summary'!U165)="x",$BI46*U46,VALUE('Capacity summary'!U165)),0),U46*$BI46),U46*$BI46),0)</f>
        <v>0</v>
      </c>
      <c r="BY46" s="311">
        <f>IF($BI46&lt;&gt;"",IF('Capacity summary'!$D$14="Yes",IF(COUNTBLANK('Capacity summary'!$H165:$BG165)&lt;52,IF('Capacity summary'!V165&lt;&gt;"",IF(LOWER('Capacity summary'!V165)="x",$BI46*V46,VALUE('Capacity summary'!V165)),0),V46*$BI46),V46*$BI46),0)</f>
        <v>0</v>
      </c>
      <c r="BZ46" s="311">
        <f>IF($BI46&lt;&gt;"",IF('Capacity summary'!$D$14="Yes",IF(COUNTBLANK('Capacity summary'!$H165:$BG165)&lt;52,IF('Capacity summary'!W165&lt;&gt;"",IF(LOWER('Capacity summary'!W165)="x",$BI46*W46,VALUE('Capacity summary'!W165)),0),W46*$BI46),W46*$BI46),0)</f>
        <v>0</v>
      </c>
      <c r="CA46" s="311">
        <f>IF($BI46&lt;&gt;"",IF('Capacity summary'!$D$14="Yes",IF(COUNTBLANK('Capacity summary'!$H165:$BG165)&lt;52,IF('Capacity summary'!X165&lt;&gt;"",IF(LOWER('Capacity summary'!X165)="x",$BI46*X46,VALUE('Capacity summary'!X165)),0),X46*$BI46),X46*$BI46),0)</f>
        <v>0</v>
      </c>
      <c r="CB46" s="311">
        <f>IF($BI46&lt;&gt;"",IF('Capacity summary'!$D$14="Yes",IF(COUNTBLANK('Capacity summary'!$H165:$BG165)&lt;52,IF('Capacity summary'!Y165&lt;&gt;"",IF(LOWER('Capacity summary'!Y165)="x",$BI46*Y46,VALUE('Capacity summary'!Y165)),0),Y46*$BI46),Y46*$BI46),0)</f>
        <v>0</v>
      </c>
      <c r="CC46" s="311">
        <f>IF($BI46&lt;&gt;"",IF('Capacity summary'!$D$14="Yes",IF(COUNTBLANK('Capacity summary'!$H165:$BG165)&lt;52,IF('Capacity summary'!Z165&lt;&gt;"",IF(LOWER('Capacity summary'!Z165)="x",$BI46*Z46,VALUE('Capacity summary'!Z165)),0),Z46*$BI46),Z46*$BI46),0)</f>
        <v>0</v>
      </c>
      <c r="CD46" s="311">
        <f>IF($BI46&lt;&gt;"",IF('Capacity summary'!$D$14="Yes",IF(COUNTBLANK('Capacity summary'!$H165:$BG165)&lt;52,IF('Capacity summary'!AA165&lt;&gt;"",IF(LOWER('Capacity summary'!AA165)="x",$BI46*AA46,VALUE('Capacity summary'!AA165)),0),AA46*$BI46),AA46*$BI46),0)</f>
        <v>0</v>
      </c>
      <c r="CE46" s="311">
        <f>IF($BI46&lt;&gt;"",IF('Capacity summary'!$D$14="Yes",IF(COUNTBLANK('Capacity summary'!$H165:$BG165)&lt;52,IF('Capacity summary'!AB165&lt;&gt;"",IF(LOWER('Capacity summary'!AB165)="x",$BI46*AB46,VALUE('Capacity summary'!AB165)),0),AB46*$BI46),AB46*$BI46),0)</f>
        <v>0</v>
      </c>
      <c r="CF46" s="311">
        <f>IF($BI46&lt;&gt;"",IF('Capacity summary'!$D$14="Yes",IF(COUNTBLANK('Capacity summary'!$H165:$BG165)&lt;52,IF('Capacity summary'!AC165&lt;&gt;"",IF(LOWER('Capacity summary'!AC165)="x",$BI46*AC46,VALUE('Capacity summary'!AC165)),0),AC46*$BI46),AC46*$BI46),0)</f>
        <v>0</v>
      </c>
      <c r="CG46" s="311">
        <f>IF($BI46&lt;&gt;"",IF('Capacity summary'!$D$14="Yes",IF(COUNTBLANK('Capacity summary'!$H165:$BG165)&lt;52,IF('Capacity summary'!AD165&lt;&gt;"",IF(LOWER('Capacity summary'!AD165)="x",$BI46*AD46,VALUE('Capacity summary'!AD165)),0),AD46*$BI46),AD46*$BI46),0)</f>
        <v>0</v>
      </c>
      <c r="CH46" s="311">
        <f>IF($BI46&lt;&gt;"",IF('Capacity summary'!$D$14="Yes",IF(COUNTBLANK('Capacity summary'!$H165:$BG165)&lt;52,IF('Capacity summary'!AE165&lt;&gt;"",IF(LOWER('Capacity summary'!AE165)="x",$BI46*AE46,VALUE('Capacity summary'!AE165)),0),AE46*$BI46),AE46*$BI46),0)</f>
        <v>0</v>
      </c>
      <c r="CI46" s="311">
        <f>IF($BI46&lt;&gt;"",IF('Capacity summary'!$D$14="Yes",IF(COUNTBLANK('Capacity summary'!$H165:$BG165)&lt;52,IF('Capacity summary'!AF165&lt;&gt;"",IF(LOWER('Capacity summary'!AF165)="x",$BI46*AF46,VALUE('Capacity summary'!AF165)),0),AF46*$BI46),AF46*$BI46),0)</f>
        <v>0</v>
      </c>
      <c r="CJ46" s="311">
        <f>IF($BI46&lt;&gt;"",IF('Capacity summary'!$D$14="Yes",IF(COUNTBLANK('Capacity summary'!$H165:$BG165)&lt;52,IF('Capacity summary'!AG165&lt;&gt;"",IF(LOWER('Capacity summary'!AG165)="x",$BI46*AG46,VALUE('Capacity summary'!AG165)),0),AG46*$BI46),AG46*$BI46),0)</f>
        <v>0</v>
      </c>
      <c r="CK46" s="311">
        <f>IF($BI46&lt;&gt;"",IF('Capacity summary'!$D$14="Yes",IF(COUNTBLANK('Capacity summary'!$H165:$BG165)&lt;52,IF('Capacity summary'!AH165&lt;&gt;"",IF(LOWER('Capacity summary'!AH165)="x",$BI46*AH46,VALUE('Capacity summary'!AH165)),0),AH46*$BI46),AH46*$BI46),0)</f>
        <v>0</v>
      </c>
      <c r="CL46" s="311">
        <f>IF($BI46&lt;&gt;"",IF('Capacity summary'!$D$14="Yes",IF(COUNTBLANK('Capacity summary'!$H165:$BG165)&lt;52,IF('Capacity summary'!AI165&lt;&gt;"",IF(LOWER('Capacity summary'!AI165)="x",$BI46*AI46,VALUE('Capacity summary'!AI165)),0),AI46*$BI46),AI46*$BI46),0)</f>
        <v>0</v>
      </c>
      <c r="CM46" s="311">
        <f>IF($BI46&lt;&gt;"",IF('Capacity summary'!$D$14="Yes",IF(COUNTBLANK('Capacity summary'!$H165:$BG165)&lt;52,IF('Capacity summary'!AJ165&lt;&gt;"",IF(LOWER('Capacity summary'!AJ165)="x",$BI46*AJ46,VALUE('Capacity summary'!AJ165)),0),AJ46*$BI46),AJ46*$BI46),0)</f>
        <v>0</v>
      </c>
      <c r="CN46" s="311">
        <f>IF($BI46&lt;&gt;"",IF('Capacity summary'!$D$14="Yes",IF(COUNTBLANK('Capacity summary'!$H165:$BG165)&lt;52,IF('Capacity summary'!AK165&lt;&gt;"",IF(LOWER('Capacity summary'!AK165)="x",$BI46*AK46,VALUE('Capacity summary'!AK165)),0),AK46*$BI46),AK46*$BI46),0)</f>
        <v>0</v>
      </c>
      <c r="CO46" s="311">
        <f>IF($BI46&lt;&gt;"",IF('Capacity summary'!$D$14="Yes",IF(COUNTBLANK('Capacity summary'!$H165:$BG165)&lt;52,IF('Capacity summary'!AL165&lt;&gt;"",IF(LOWER('Capacity summary'!AL165)="x",$BI46*AL46,VALUE('Capacity summary'!AL165)),0),AL46*$BI46),AL46*$BI46),0)</f>
        <v>0</v>
      </c>
      <c r="CP46" s="311">
        <f>IF($BI46&lt;&gt;"",IF('Capacity summary'!$D$14="Yes",IF(COUNTBLANK('Capacity summary'!$H165:$BG165)&lt;52,IF('Capacity summary'!AM165&lt;&gt;"",IF(LOWER('Capacity summary'!AM165)="x",$BI46*AM46,VALUE('Capacity summary'!AM165)),0),AM46*$BI46),AM46*$BI46),0)</f>
        <v>0</v>
      </c>
      <c r="CQ46" s="311">
        <f>IF($BI46&lt;&gt;"",IF('Capacity summary'!$D$14="Yes",IF(COUNTBLANK('Capacity summary'!$H165:$BG165)&lt;52,IF('Capacity summary'!AN165&lt;&gt;"",IF(LOWER('Capacity summary'!AN165)="x",$BI46*AN46,VALUE('Capacity summary'!AN165)),0),AN46*$BI46),AN46*$BI46),0)</f>
        <v>0</v>
      </c>
      <c r="CR46" s="311">
        <f>IF($BI46&lt;&gt;"",IF('Capacity summary'!$D$14="Yes",IF(COUNTBLANK('Capacity summary'!$H165:$BG165)&lt;52,IF('Capacity summary'!AO165&lt;&gt;"",IF(LOWER('Capacity summary'!AO165)="x",$BI46*AO46,VALUE('Capacity summary'!AO165)),0),AO46*$BI46),AO46*$BI46),0)</f>
        <v>0</v>
      </c>
      <c r="CS46" s="311">
        <f>IF($BI46&lt;&gt;"",IF('Capacity summary'!$D$14="Yes",IF(COUNTBLANK('Capacity summary'!$H165:$BG165)&lt;52,IF('Capacity summary'!AP165&lt;&gt;"",IF(LOWER('Capacity summary'!AP165)="x",$BI46*AP46,VALUE('Capacity summary'!AP165)),0),AP46*$BI46),AP46*$BI46),0)</f>
        <v>0</v>
      </c>
      <c r="CT46" s="311">
        <f>IF($BI46&lt;&gt;"",IF('Capacity summary'!$D$14="Yes",IF(COUNTBLANK('Capacity summary'!$H165:$BG165)&lt;52,IF('Capacity summary'!AQ165&lt;&gt;"",IF(LOWER('Capacity summary'!AQ165)="x",$BI46*AQ46,VALUE('Capacity summary'!AQ165)),0),AQ46*$BI46),AQ46*$BI46),0)</f>
        <v>0</v>
      </c>
      <c r="CU46" s="311">
        <f>IF($BI46&lt;&gt;"",IF('Capacity summary'!$D$14="Yes",IF(COUNTBLANK('Capacity summary'!$H165:$BG165)&lt;52,IF('Capacity summary'!AR165&lt;&gt;"",IF(LOWER('Capacity summary'!AR165)="x",$BI46*AR46,VALUE('Capacity summary'!AR165)),0),AR46*$BI46),AR46*$BI46),0)</f>
        <v>0</v>
      </c>
      <c r="CV46" s="311">
        <f>IF($BI46&lt;&gt;"",IF('Capacity summary'!$D$14="Yes",IF(COUNTBLANK('Capacity summary'!$H165:$BG165)&lt;52,IF('Capacity summary'!AS165&lt;&gt;"",IF(LOWER('Capacity summary'!AS165)="x",$BI46*AS46,VALUE('Capacity summary'!AS165)),0),AS46*$BI46),AS46*$BI46),0)</f>
        <v>0</v>
      </c>
      <c r="CW46" s="311">
        <f>IF($BI46&lt;&gt;"",IF('Capacity summary'!$D$14="Yes",IF(COUNTBLANK('Capacity summary'!$H165:$BG165)&lt;52,IF('Capacity summary'!AT165&lt;&gt;"",IF(LOWER('Capacity summary'!AT165)="x",$BI46*AT46,VALUE('Capacity summary'!AT165)),0),AT46*$BI46),AT46*$BI46),0)</f>
        <v>0</v>
      </c>
      <c r="CX46" s="311">
        <f>IF($BI46&lt;&gt;"",IF('Capacity summary'!$D$14="Yes",IF(COUNTBLANK('Capacity summary'!$H165:$BG165)&lt;52,IF('Capacity summary'!AU165&lt;&gt;"",IF(LOWER('Capacity summary'!AU165)="x",$BI46*AU46,VALUE('Capacity summary'!AU165)),0),AU46*$BI46),AU46*$BI46),0)</f>
        <v>0</v>
      </c>
      <c r="CY46" s="311">
        <f>IF($BI46&lt;&gt;"",IF('Capacity summary'!$D$14="Yes",IF(COUNTBLANK('Capacity summary'!$H165:$BG165)&lt;52,IF('Capacity summary'!AV165&lt;&gt;"",IF(LOWER('Capacity summary'!AV165)="x",$BI46*AV46,VALUE('Capacity summary'!AV165)),0),AV46*$BI46),AV46*$BI46),0)</f>
        <v>0</v>
      </c>
      <c r="CZ46" s="311">
        <f>IF($BI46&lt;&gt;"",IF('Capacity summary'!$D$14="Yes",IF(COUNTBLANK('Capacity summary'!$H165:$BG165)&lt;52,IF('Capacity summary'!AW165&lt;&gt;"",IF(LOWER('Capacity summary'!AW165)="x",$BI46*AW46,VALUE('Capacity summary'!AW165)),0),AW46*$BI46),AW46*$BI46),0)</f>
        <v>0</v>
      </c>
      <c r="DA46" s="311">
        <f>IF($BI46&lt;&gt;"",IF('Capacity summary'!$D$14="Yes",IF(COUNTBLANK('Capacity summary'!$H165:$BG165)&lt;52,IF('Capacity summary'!AX165&lt;&gt;"",IF(LOWER('Capacity summary'!AX165)="x",$BI46*AX46,VALUE('Capacity summary'!AX165)),0),AX46*$BI46),AX46*$BI46),0)</f>
        <v>0</v>
      </c>
      <c r="DB46" s="311">
        <f>IF($BI46&lt;&gt;"",IF('Capacity summary'!$D$14="Yes",IF(COUNTBLANK('Capacity summary'!$H165:$BG165)&lt;52,IF('Capacity summary'!AY165&lt;&gt;"",IF(LOWER('Capacity summary'!AY165)="x",$BI46*AY46,VALUE('Capacity summary'!AY165)),0),AY46*$BI46),AY46*$BI46),0)</f>
        <v>0</v>
      </c>
      <c r="DC46" s="311">
        <f>IF($BI46&lt;&gt;"",IF('Capacity summary'!$D$14="Yes",IF(COUNTBLANK('Capacity summary'!$H165:$BG165)&lt;52,IF('Capacity summary'!AZ165&lt;&gt;"",IF(LOWER('Capacity summary'!AZ165)="x",$BI46*AZ46,VALUE('Capacity summary'!AZ165)),0),AZ46*$BI46),AZ46*$BI46),0)</f>
        <v>0</v>
      </c>
      <c r="DD46" s="311">
        <f>IF($BI46&lt;&gt;"",IF('Capacity summary'!$D$14="Yes",IF(COUNTBLANK('Capacity summary'!$H165:$BG165)&lt;52,IF('Capacity summary'!BA165&lt;&gt;"",IF(LOWER('Capacity summary'!BA165)="x",$BI46*BA46,VALUE('Capacity summary'!BA165)),0),BA46*$BI46),BA46*$BI46),0)</f>
        <v>0</v>
      </c>
      <c r="DE46" s="311">
        <f>IF($BI46&lt;&gt;"",IF('Capacity summary'!$D$14="Yes",IF(COUNTBLANK('Capacity summary'!$H165:$BG165)&lt;52,IF('Capacity summary'!BB165&lt;&gt;"",IF(LOWER('Capacity summary'!BB165)="x",$BI46*BB46,VALUE('Capacity summary'!BB165)),0),BB46*$BI46),BB46*$BI46),0)</f>
        <v>0</v>
      </c>
      <c r="DF46" s="311">
        <f>IF($BI46&lt;&gt;"",IF('Capacity summary'!$D$14="Yes",IF(COUNTBLANK('Capacity summary'!$H165:$BG165)&lt;52,IF('Capacity summary'!BC165&lt;&gt;"",IF(LOWER('Capacity summary'!BC165)="x",$BI46*BC46,VALUE('Capacity summary'!BC165)),0),BC46*$BI46),BC46*$BI46),0)</f>
        <v>0</v>
      </c>
      <c r="DG46" s="311">
        <f>IF($BI46&lt;&gt;"",IF('Capacity summary'!$D$14="Yes",IF(COUNTBLANK('Capacity summary'!$H165:$BG165)&lt;52,IF('Capacity summary'!BD165&lt;&gt;"",IF(LOWER('Capacity summary'!BD165)="x",$BI46*BD46,VALUE('Capacity summary'!BD165)),0),BD46*$BI46),BD46*$BI46),0)</f>
        <v>0</v>
      </c>
      <c r="DH46" s="311">
        <f>IF($BI46&lt;&gt;"",IF('Capacity summary'!$D$14="Yes",IF(COUNTBLANK('Capacity summary'!$H165:$BG165)&lt;52,IF('Capacity summary'!BE165&lt;&gt;"",IF(LOWER('Capacity summary'!BE165)="x",$BI46*BE46,VALUE('Capacity summary'!BE165)),0),BE46*$BI46),BE46*$BI46),0)</f>
        <v>0</v>
      </c>
      <c r="DI46" s="311">
        <f>IF($BI46&lt;&gt;"",IF('Capacity summary'!$D$14="Yes",IF(COUNTBLANK('Capacity summary'!$H165:$BG165)&lt;52,IF('Capacity summary'!BF165&lt;&gt;"",IF(LOWER('Capacity summary'!BF165)="x",$BI46*BF46,VALUE('Capacity summary'!BF165)),0),BF46*$BI46),BF46*$BI46),0)</f>
        <v>0</v>
      </c>
      <c r="DJ46" s="311">
        <f>IF($BI46&lt;&gt;"",IF('Capacity summary'!$D$14="Yes",IF(COUNTBLANK('Capacity summary'!$H165:$BG165)&lt;52,IF('Capacity summary'!BG165&lt;&gt;"",IF(LOWER('Capacity summary'!BG165)="x",$BI46*BG46,VALUE('Capacity summary'!BG165)),0),BG46*$BI46),BG46*$BI46),0)</f>
        <v>0</v>
      </c>
      <c r="DK46" s="391">
        <f t="shared" si="2"/>
        <v>0</v>
      </c>
      <c r="DL46" s="136">
        <f t="shared" si="3"/>
        <v>0</v>
      </c>
      <c r="DM46" s="311" t="str">
        <f>Capacity!H58</f>
        <v/>
      </c>
      <c r="DQ46" s="5"/>
    </row>
    <row r="47" spans="1:121" x14ac:dyDescent="0.2">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1">
        <f>IF($BI47&lt;&gt;"",IF('Capacity summary'!$D$14="Yes",IF(COUNTBLANK('Capacity summary'!$H166:$BG166)&lt;52,IF('Capacity summary'!H166&lt;&gt;"",IF(LOWER('Capacity summary'!H166)="x",$BI47*H47,VALUE('Capacity summary'!H166)),0),H47*$BI47),H47*$BI47),0)</f>
        <v>0</v>
      </c>
      <c r="BL47" s="311">
        <f>IF($BI47&lt;&gt;"",IF('Capacity summary'!$D$14="Yes",IF(COUNTBLANK('Capacity summary'!$H166:$BG166)&lt;52,IF('Capacity summary'!I166&lt;&gt;"",IF(LOWER('Capacity summary'!I166)="x",$BI47*I47,VALUE('Capacity summary'!I166)),0),I47*$BI47),I47*$BI47),0)</f>
        <v>0</v>
      </c>
      <c r="BM47" s="311">
        <f>IF($BI47&lt;&gt;"",IF('Capacity summary'!$D$14="Yes",IF(COUNTBLANK('Capacity summary'!$H166:$BG166)&lt;52,IF('Capacity summary'!J166&lt;&gt;"",IF(LOWER('Capacity summary'!J166)="x",$BI47*J47,VALUE('Capacity summary'!J166)),0),J47*$BI47),J47*$BI47),0)</f>
        <v>0</v>
      </c>
      <c r="BN47" s="311">
        <f>IF($BI47&lt;&gt;"",IF('Capacity summary'!$D$14="Yes",IF(COUNTBLANK('Capacity summary'!$H166:$BG166)&lt;52,IF('Capacity summary'!K166&lt;&gt;"",IF(LOWER('Capacity summary'!K166)="x",$BI47*K47,VALUE('Capacity summary'!K166)),0),K47*$BI47),K47*$BI47),0)</f>
        <v>0</v>
      </c>
      <c r="BO47" s="311">
        <f>IF($BI47&lt;&gt;"",IF('Capacity summary'!$D$14="Yes",IF(COUNTBLANK('Capacity summary'!$H166:$BG166)&lt;52,IF('Capacity summary'!L166&lt;&gt;"",IF(LOWER('Capacity summary'!L166)="x",$BI47*L47,VALUE('Capacity summary'!L166)),0),L47*$BI47),L47*$BI47),0)</f>
        <v>0</v>
      </c>
      <c r="BP47" s="311">
        <f>IF($BI47&lt;&gt;"",IF('Capacity summary'!$D$14="Yes",IF(COUNTBLANK('Capacity summary'!$H166:$BG166)&lt;52,IF('Capacity summary'!M166&lt;&gt;"",IF(LOWER('Capacity summary'!M166)="x",$BI47*M47,VALUE('Capacity summary'!M166)),0),M47*$BI47),M47*$BI47),0)</f>
        <v>0</v>
      </c>
      <c r="BQ47" s="311">
        <f>IF($BI47&lt;&gt;"",IF('Capacity summary'!$D$14="Yes",IF(COUNTBLANK('Capacity summary'!$H166:$BG166)&lt;52,IF('Capacity summary'!N166&lt;&gt;"",IF(LOWER('Capacity summary'!N166)="x",$BI47*N47,VALUE('Capacity summary'!N166)),0),N47*$BI47),N47*$BI47),0)</f>
        <v>0</v>
      </c>
      <c r="BR47" s="311">
        <f>IF($BI47&lt;&gt;"",IF('Capacity summary'!$D$14="Yes",IF(COUNTBLANK('Capacity summary'!$H166:$BG166)&lt;52,IF('Capacity summary'!O166&lt;&gt;"",IF(LOWER('Capacity summary'!O166)="x",$BI47*O47,VALUE('Capacity summary'!O166)),0),O47*$BI47),O47*$BI47),0)</f>
        <v>0</v>
      </c>
      <c r="BS47" s="311">
        <f>IF($BI47&lt;&gt;"",IF('Capacity summary'!$D$14="Yes",IF(COUNTBLANK('Capacity summary'!$H166:$BG166)&lt;52,IF('Capacity summary'!P166&lt;&gt;"",IF(LOWER('Capacity summary'!P166)="x",$BI47*P47,VALUE('Capacity summary'!P166)),0),P47*$BI47),P47*$BI47),0)</f>
        <v>0</v>
      </c>
      <c r="BT47" s="311">
        <f>IF($BI47&lt;&gt;"",IF('Capacity summary'!$D$14="Yes",IF(COUNTBLANK('Capacity summary'!$H166:$BG166)&lt;52,IF('Capacity summary'!Q166&lt;&gt;"",IF(LOWER('Capacity summary'!Q166)="x",$BI47*Q47,VALUE('Capacity summary'!Q166)),0),Q47*$BI47),Q47*$BI47),0)</f>
        <v>0</v>
      </c>
      <c r="BU47" s="311">
        <f>IF($BI47&lt;&gt;"",IF('Capacity summary'!$D$14="Yes",IF(COUNTBLANK('Capacity summary'!$H166:$BG166)&lt;52,IF('Capacity summary'!R166&lt;&gt;"",IF(LOWER('Capacity summary'!R166)="x",$BI47*R47,VALUE('Capacity summary'!R166)),0),R47*$BI47),R47*$BI47),0)</f>
        <v>0</v>
      </c>
      <c r="BV47" s="311">
        <f>IF($BI47&lt;&gt;"",IF('Capacity summary'!$D$14="Yes",IF(COUNTBLANK('Capacity summary'!$H166:$BG166)&lt;52,IF('Capacity summary'!S166&lt;&gt;"",IF(LOWER('Capacity summary'!S166)="x",$BI47*S47,VALUE('Capacity summary'!S166)),0),S47*$BI47),S47*$BI47),0)</f>
        <v>0</v>
      </c>
      <c r="BW47" s="311">
        <f>IF($BI47&lt;&gt;"",IF('Capacity summary'!$D$14="Yes",IF(COUNTBLANK('Capacity summary'!$H166:$BG166)&lt;52,IF('Capacity summary'!T166&lt;&gt;"",IF(LOWER('Capacity summary'!T166)="x",$BI47*T47,VALUE('Capacity summary'!T166)),0),T47*$BI47),T47*$BI47),0)</f>
        <v>0</v>
      </c>
      <c r="BX47" s="311">
        <f>IF($BI47&lt;&gt;"",IF('Capacity summary'!$D$14="Yes",IF(COUNTBLANK('Capacity summary'!$H166:$BG166)&lt;52,IF('Capacity summary'!U166&lt;&gt;"",IF(LOWER('Capacity summary'!U166)="x",$BI47*U47,VALUE('Capacity summary'!U166)),0),U47*$BI47),U47*$BI47),0)</f>
        <v>0</v>
      </c>
      <c r="BY47" s="311">
        <f>IF($BI47&lt;&gt;"",IF('Capacity summary'!$D$14="Yes",IF(COUNTBLANK('Capacity summary'!$H166:$BG166)&lt;52,IF('Capacity summary'!V166&lt;&gt;"",IF(LOWER('Capacity summary'!V166)="x",$BI47*V47,VALUE('Capacity summary'!V166)),0),V47*$BI47),V47*$BI47),0)</f>
        <v>0</v>
      </c>
      <c r="BZ47" s="311">
        <f>IF($BI47&lt;&gt;"",IF('Capacity summary'!$D$14="Yes",IF(COUNTBLANK('Capacity summary'!$H166:$BG166)&lt;52,IF('Capacity summary'!W166&lt;&gt;"",IF(LOWER('Capacity summary'!W166)="x",$BI47*W47,VALUE('Capacity summary'!W166)),0),W47*$BI47),W47*$BI47),0)</f>
        <v>0</v>
      </c>
      <c r="CA47" s="311">
        <f>IF($BI47&lt;&gt;"",IF('Capacity summary'!$D$14="Yes",IF(COUNTBLANK('Capacity summary'!$H166:$BG166)&lt;52,IF('Capacity summary'!X166&lt;&gt;"",IF(LOWER('Capacity summary'!X166)="x",$BI47*X47,VALUE('Capacity summary'!X166)),0),X47*$BI47),X47*$BI47),0)</f>
        <v>0</v>
      </c>
      <c r="CB47" s="311">
        <f>IF($BI47&lt;&gt;"",IF('Capacity summary'!$D$14="Yes",IF(COUNTBLANK('Capacity summary'!$H166:$BG166)&lt;52,IF('Capacity summary'!Y166&lt;&gt;"",IF(LOWER('Capacity summary'!Y166)="x",$BI47*Y47,VALUE('Capacity summary'!Y166)),0),Y47*$BI47),Y47*$BI47),0)</f>
        <v>0</v>
      </c>
      <c r="CC47" s="311">
        <f>IF($BI47&lt;&gt;"",IF('Capacity summary'!$D$14="Yes",IF(COUNTBLANK('Capacity summary'!$H166:$BG166)&lt;52,IF('Capacity summary'!Z166&lt;&gt;"",IF(LOWER('Capacity summary'!Z166)="x",$BI47*Z47,VALUE('Capacity summary'!Z166)),0),Z47*$BI47),Z47*$BI47),0)</f>
        <v>0</v>
      </c>
      <c r="CD47" s="311">
        <f>IF($BI47&lt;&gt;"",IF('Capacity summary'!$D$14="Yes",IF(COUNTBLANK('Capacity summary'!$H166:$BG166)&lt;52,IF('Capacity summary'!AA166&lt;&gt;"",IF(LOWER('Capacity summary'!AA166)="x",$BI47*AA47,VALUE('Capacity summary'!AA166)),0),AA47*$BI47),AA47*$BI47),0)</f>
        <v>0</v>
      </c>
      <c r="CE47" s="311">
        <f>IF($BI47&lt;&gt;"",IF('Capacity summary'!$D$14="Yes",IF(COUNTBLANK('Capacity summary'!$H166:$BG166)&lt;52,IF('Capacity summary'!AB166&lt;&gt;"",IF(LOWER('Capacity summary'!AB166)="x",$BI47*AB47,VALUE('Capacity summary'!AB166)),0),AB47*$BI47),AB47*$BI47),0)</f>
        <v>0</v>
      </c>
      <c r="CF47" s="311">
        <f>IF($BI47&lt;&gt;"",IF('Capacity summary'!$D$14="Yes",IF(COUNTBLANK('Capacity summary'!$H166:$BG166)&lt;52,IF('Capacity summary'!AC166&lt;&gt;"",IF(LOWER('Capacity summary'!AC166)="x",$BI47*AC47,VALUE('Capacity summary'!AC166)),0),AC47*$BI47),AC47*$BI47),0)</f>
        <v>0</v>
      </c>
      <c r="CG47" s="311">
        <f>IF($BI47&lt;&gt;"",IF('Capacity summary'!$D$14="Yes",IF(COUNTBLANK('Capacity summary'!$H166:$BG166)&lt;52,IF('Capacity summary'!AD166&lt;&gt;"",IF(LOWER('Capacity summary'!AD166)="x",$BI47*AD47,VALUE('Capacity summary'!AD166)),0),AD47*$BI47),AD47*$BI47),0)</f>
        <v>0</v>
      </c>
      <c r="CH47" s="311">
        <f>IF($BI47&lt;&gt;"",IF('Capacity summary'!$D$14="Yes",IF(COUNTBLANK('Capacity summary'!$H166:$BG166)&lt;52,IF('Capacity summary'!AE166&lt;&gt;"",IF(LOWER('Capacity summary'!AE166)="x",$BI47*AE47,VALUE('Capacity summary'!AE166)),0),AE47*$BI47),AE47*$BI47),0)</f>
        <v>0</v>
      </c>
      <c r="CI47" s="311">
        <f>IF($BI47&lt;&gt;"",IF('Capacity summary'!$D$14="Yes",IF(COUNTBLANK('Capacity summary'!$H166:$BG166)&lt;52,IF('Capacity summary'!AF166&lt;&gt;"",IF(LOWER('Capacity summary'!AF166)="x",$BI47*AF47,VALUE('Capacity summary'!AF166)),0),AF47*$BI47),AF47*$BI47),0)</f>
        <v>0</v>
      </c>
      <c r="CJ47" s="311">
        <f>IF($BI47&lt;&gt;"",IF('Capacity summary'!$D$14="Yes",IF(COUNTBLANK('Capacity summary'!$H166:$BG166)&lt;52,IF('Capacity summary'!AG166&lt;&gt;"",IF(LOWER('Capacity summary'!AG166)="x",$BI47*AG47,VALUE('Capacity summary'!AG166)),0),AG47*$BI47),AG47*$BI47),0)</f>
        <v>0</v>
      </c>
      <c r="CK47" s="311">
        <f>IF($BI47&lt;&gt;"",IF('Capacity summary'!$D$14="Yes",IF(COUNTBLANK('Capacity summary'!$H166:$BG166)&lt;52,IF('Capacity summary'!AH166&lt;&gt;"",IF(LOWER('Capacity summary'!AH166)="x",$BI47*AH47,VALUE('Capacity summary'!AH166)),0),AH47*$BI47),AH47*$BI47),0)</f>
        <v>0</v>
      </c>
      <c r="CL47" s="311">
        <f>IF($BI47&lt;&gt;"",IF('Capacity summary'!$D$14="Yes",IF(COUNTBLANK('Capacity summary'!$H166:$BG166)&lt;52,IF('Capacity summary'!AI166&lt;&gt;"",IF(LOWER('Capacity summary'!AI166)="x",$BI47*AI47,VALUE('Capacity summary'!AI166)),0),AI47*$BI47),AI47*$BI47),0)</f>
        <v>0</v>
      </c>
      <c r="CM47" s="311">
        <f>IF($BI47&lt;&gt;"",IF('Capacity summary'!$D$14="Yes",IF(COUNTBLANK('Capacity summary'!$H166:$BG166)&lt;52,IF('Capacity summary'!AJ166&lt;&gt;"",IF(LOWER('Capacity summary'!AJ166)="x",$BI47*AJ47,VALUE('Capacity summary'!AJ166)),0),AJ47*$BI47),AJ47*$BI47),0)</f>
        <v>0</v>
      </c>
      <c r="CN47" s="311">
        <f>IF($BI47&lt;&gt;"",IF('Capacity summary'!$D$14="Yes",IF(COUNTBLANK('Capacity summary'!$H166:$BG166)&lt;52,IF('Capacity summary'!AK166&lt;&gt;"",IF(LOWER('Capacity summary'!AK166)="x",$BI47*AK47,VALUE('Capacity summary'!AK166)),0),AK47*$BI47),AK47*$BI47),0)</f>
        <v>0</v>
      </c>
      <c r="CO47" s="311">
        <f>IF($BI47&lt;&gt;"",IF('Capacity summary'!$D$14="Yes",IF(COUNTBLANK('Capacity summary'!$H166:$BG166)&lt;52,IF('Capacity summary'!AL166&lt;&gt;"",IF(LOWER('Capacity summary'!AL166)="x",$BI47*AL47,VALUE('Capacity summary'!AL166)),0),AL47*$BI47),AL47*$BI47),0)</f>
        <v>0</v>
      </c>
      <c r="CP47" s="311">
        <f>IF($BI47&lt;&gt;"",IF('Capacity summary'!$D$14="Yes",IF(COUNTBLANK('Capacity summary'!$H166:$BG166)&lt;52,IF('Capacity summary'!AM166&lt;&gt;"",IF(LOWER('Capacity summary'!AM166)="x",$BI47*AM47,VALUE('Capacity summary'!AM166)),0),AM47*$BI47),AM47*$BI47),0)</f>
        <v>0</v>
      </c>
      <c r="CQ47" s="311">
        <f>IF($BI47&lt;&gt;"",IF('Capacity summary'!$D$14="Yes",IF(COUNTBLANK('Capacity summary'!$H166:$BG166)&lt;52,IF('Capacity summary'!AN166&lt;&gt;"",IF(LOWER('Capacity summary'!AN166)="x",$BI47*AN47,VALUE('Capacity summary'!AN166)),0),AN47*$BI47),AN47*$BI47),0)</f>
        <v>0</v>
      </c>
      <c r="CR47" s="311">
        <f>IF($BI47&lt;&gt;"",IF('Capacity summary'!$D$14="Yes",IF(COUNTBLANK('Capacity summary'!$H166:$BG166)&lt;52,IF('Capacity summary'!AO166&lt;&gt;"",IF(LOWER('Capacity summary'!AO166)="x",$BI47*AO47,VALUE('Capacity summary'!AO166)),0),AO47*$BI47),AO47*$BI47),0)</f>
        <v>0</v>
      </c>
      <c r="CS47" s="311">
        <f>IF($BI47&lt;&gt;"",IF('Capacity summary'!$D$14="Yes",IF(COUNTBLANK('Capacity summary'!$H166:$BG166)&lt;52,IF('Capacity summary'!AP166&lt;&gt;"",IF(LOWER('Capacity summary'!AP166)="x",$BI47*AP47,VALUE('Capacity summary'!AP166)),0),AP47*$BI47),AP47*$BI47),0)</f>
        <v>0</v>
      </c>
      <c r="CT47" s="311">
        <f>IF($BI47&lt;&gt;"",IF('Capacity summary'!$D$14="Yes",IF(COUNTBLANK('Capacity summary'!$H166:$BG166)&lt;52,IF('Capacity summary'!AQ166&lt;&gt;"",IF(LOWER('Capacity summary'!AQ166)="x",$BI47*AQ47,VALUE('Capacity summary'!AQ166)),0),AQ47*$BI47),AQ47*$BI47),0)</f>
        <v>0</v>
      </c>
      <c r="CU47" s="311">
        <f>IF($BI47&lt;&gt;"",IF('Capacity summary'!$D$14="Yes",IF(COUNTBLANK('Capacity summary'!$H166:$BG166)&lt;52,IF('Capacity summary'!AR166&lt;&gt;"",IF(LOWER('Capacity summary'!AR166)="x",$BI47*AR47,VALUE('Capacity summary'!AR166)),0),AR47*$BI47),AR47*$BI47),0)</f>
        <v>0</v>
      </c>
      <c r="CV47" s="311">
        <f>IF($BI47&lt;&gt;"",IF('Capacity summary'!$D$14="Yes",IF(COUNTBLANK('Capacity summary'!$H166:$BG166)&lt;52,IF('Capacity summary'!AS166&lt;&gt;"",IF(LOWER('Capacity summary'!AS166)="x",$BI47*AS47,VALUE('Capacity summary'!AS166)),0),AS47*$BI47),AS47*$BI47),0)</f>
        <v>0</v>
      </c>
      <c r="CW47" s="311">
        <f>IF($BI47&lt;&gt;"",IF('Capacity summary'!$D$14="Yes",IF(COUNTBLANK('Capacity summary'!$H166:$BG166)&lt;52,IF('Capacity summary'!AT166&lt;&gt;"",IF(LOWER('Capacity summary'!AT166)="x",$BI47*AT47,VALUE('Capacity summary'!AT166)),0),AT47*$BI47),AT47*$BI47),0)</f>
        <v>0</v>
      </c>
      <c r="CX47" s="311">
        <f>IF($BI47&lt;&gt;"",IF('Capacity summary'!$D$14="Yes",IF(COUNTBLANK('Capacity summary'!$H166:$BG166)&lt;52,IF('Capacity summary'!AU166&lt;&gt;"",IF(LOWER('Capacity summary'!AU166)="x",$BI47*AU47,VALUE('Capacity summary'!AU166)),0),AU47*$BI47),AU47*$BI47),0)</f>
        <v>0</v>
      </c>
      <c r="CY47" s="311">
        <f>IF($BI47&lt;&gt;"",IF('Capacity summary'!$D$14="Yes",IF(COUNTBLANK('Capacity summary'!$H166:$BG166)&lt;52,IF('Capacity summary'!AV166&lt;&gt;"",IF(LOWER('Capacity summary'!AV166)="x",$BI47*AV47,VALUE('Capacity summary'!AV166)),0),AV47*$BI47),AV47*$BI47),0)</f>
        <v>0</v>
      </c>
      <c r="CZ47" s="311">
        <f>IF($BI47&lt;&gt;"",IF('Capacity summary'!$D$14="Yes",IF(COUNTBLANK('Capacity summary'!$H166:$BG166)&lt;52,IF('Capacity summary'!AW166&lt;&gt;"",IF(LOWER('Capacity summary'!AW166)="x",$BI47*AW47,VALUE('Capacity summary'!AW166)),0),AW47*$BI47),AW47*$BI47),0)</f>
        <v>0</v>
      </c>
      <c r="DA47" s="311">
        <f>IF($BI47&lt;&gt;"",IF('Capacity summary'!$D$14="Yes",IF(COUNTBLANK('Capacity summary'!$H166:$BG166)&lt;52,IF('Capacity summary'!AX166&lt;&gt;"",IF(LOWER('Capacity summary'!AX166)="x",$BI47*AX47,VALUE('Capacity summary'!AX166)),0),AX47*$BI47),AX47*$BI47),0)</f>
        <v>0</v>
      </c>
      <c r="DB47" s="311">
        <f>IF($BI47&lt;&gt;"",IF('Capacity summary'!$D$14="Yes",IF(COUNTBLANK('Capacity summary'!$H166:$BG166)&lt;52,IF('Capacity summary'!AY166&lt;&gt;"",IF(LOWER('Capacity summary'!AY166)="x",$BI47*AY47,VALUE('Capacity summary'!AY166)),0),AY47*$BI47),AY47*$BI47),0)</f>
        <v>0</v>
      </c>
      <c r="DC47" s="311">
        <f>IF($BI47&lt;&gt;"",IF('Capacity summary'!$D$14="Yes",IF(COUNTBLANK('Capacity summary'!$H166:$BG166)&lt;52,IF('Capacity summary'!AZ166&lt;&gt;"",IF(LOWER('Capacity summary'!AZ166)="x",$BI47*AZ47,VALUE('Capacity summary'!AZ166)),0),AZ47*$BI47),AZ47*$BI47),0)</f>
        <v>0</v>
      </c>
      <c r="DD47" s="311">
        <f>IF($BI47&lt;&gt;"",IF('Capacity summary'!$D$14="Yes",IF(COUNTBLANK('Capacity summary'!$H166:$BG166)&lt;52,IF('Capacity summary'!BA166&lt;&gt;"",IF(LOWER('Capacity summary'!BA166)="x",$BI47*BA47,VALUE('Capacity summary'!BA166)),0),BA47*$BI47),BA47*$BI47),0)</f>
        <v>0</v>
      </c>
      <c r="DE47" s="311">
        <f>IF($BI47&lt;&gt;"",IF('Capacity summary'!$D$14="Yes",IF(COUNTBLANK('Capacity summary'!$H166:$BG166)&lt;52,IF('Capacity summary'!BB166&lt;&gt;"",IF(LOWER('Capacity summary'!BB166)="x",$BI47*BB47,VALUE('Capacity summary'!BB166)),0),BB47*$BI47),BB47*$BI47),0)</f>
        <v>0</v>
      </c>
      <c r="DF47" s="311">
        <f>IF($BI47&lt;&gt;"",IF('Capacity summary'!$D$14="Yes",IF(COUNTBLANK('Capacity summary'!$H166:$BG166)&lt;52,IF('Capacity summary'!BC166&lt;&gt;"",IF(LOWER('Capacity summary'!BC166)="x",$BI47*BC47,VALUE('Capacity summary'!BC166)),0),BC47*$BI47),BC47*$BI47),0)</f>
        <v>0</v>
      </c>
      <c r="DG47" s="311">
        <f>IF($BI47&lt;&gt;"",IF('Capacity summary'!$D$14="Yes",IF(COUNTBLANK('Capacity summary'!$H166:$BG166)&lt;52,IF('Capacity summary'!BD166&lt;&gt;"",IF(LOWER('Capacity summary'!BD166)="x",$BI47*BD47,VALUE('Capacity summary'!BD166)),0),BD47*$BI47),BD47*$BI47),0)</f>
        <v>0</v>
      </c>
      <c r="DH47" s="311">
        <f>IF($BI47&lt;&gt;"",IF('Capacity summary'!$D$14="Yes",IF(COUNTBLANK('Capacity summary'!$H166:$BG166)&lt;52,IF('Capacity summary'!BE166&lt;&gt;"",IF(LOWER('Capacity summary'!BE166)="x",$BI47*BE47,VALUE('Capacity summary'!BE166)),0),BE47*$BI47),BE47*$BI47),0)</f>
        <v>0</v>
      </c>
      <c r="DI47" s="311">
        <f>IF($BI47&lt;&gt;"",IF('Capacity summary'!$D$14="Yes",IF(COUNTBLANK('Capacity summary'!$H166:$BG166)&lt;52,IF('Capacity summary'!BF166&lt;&gt;"",IF(LOWER('Capacity summary'!BF166)="x",$BI47*BF47,VALUE('Capacity summary'!BF166)),0),BF47*$BI47),BF47*$BI47),0)</f>
        <v>0</v>
      </c>
      <c r="DJ47" s="311">
        <f>IF($BI47&lt;&gt;"",IF('Capacity summary'!$D$14="Yes",IF(COUNTBLANK('Capacity summary'!$H166:$BG166)&lt;52,IF('Capacity summary'!BG166&lt;&gt;"",IF(LOWER('Capacity summary'!BG166)="x",$BI47*BG47,VALUE('Capacity summary'!BG166)),0),BG47*$BI47),BG47*$BI47),0)</f>
        <v>0</v>
      </c>
      <c r="DK47" s="391">
        <f t="shared" si="2"/>
        <v>0</v>
      </c>
      <c r="DL47" s="136">
        <f t="shared" si="3"/>
        <v>0</v>
      </c>
      <c r="DM47" s="311" t="str">
        <f>Capacity!H59</f>
        <v/>
      </c>
      <c r="DQ47" s="5"/>
    </row>
    <row r="48" spans="1:121" x14ac:dyDescent="0.2">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1">
        <f>IF($BI48&lt;&gt;"",IF('Capacity summary'!$D$14="Yes",IF(COUNTBLANK('Capacity summary'!$H167:$BG167)&lt;52,IF('Capacity summary'!H167&lt;&gt;"",IF(LOWER('Capacity summary'!H167)="x",$BI48*H48,VALUE('Capacity summary'!H167)),0),H48*$BI48),H48*$BI48),0)</f>
        <v>0</v>
      </c>
      <c r="BL48" s="311">
        <f>IF($BI48&lt;&gt;"",IF('Capacity summary'!$D$14="Yes",IF(COUNTBLANK('Capacity summary'!$H167:$BG167)&lt;52,IF('Capacity summary'!I167&lt;&gt;"",IF(LOWER('Capacity summary'!I167)="x",$BI48*I48,VALUE('Capacity summary'!I167)),0),I48*$BI48),I48*$BI48),0)</f>
        <v>0</v>
      </c>
      <c r="BM48" s="311">
        <f>IF($BI48&lt;&gt;"",IF('Capacity summary'!$D$14="Yes",IF(COUNTBLANK('Capacity summary'!$H167:$BG167)&lt;52,IF('Capacity summary'!J167&lt;&gt;"",IF(LOWER('Capacity summary'!J167)="x",$BI48*J48,VALUE('Capacity summary'!J167)),0),J48*$BI48),J48*$BI48),0)</f>
        <v>0</v>
      </c>
      <c r="BN48" s="311">
        <f>IF($BI48&lt;&gt;"",IF('Capacity summary'!$D$14="Yes",IF(COUNTBLANK('Capacity summary'!$H167:$BG167)&lt;52,IF('Capacity summary'!K167&lt;&gt;"",IF(LOWER('Capacity summary'!K167)="x",$BI48*K48,VALUE('Capacity summary'!K167)),0),K48*$BI48),K48*$BI48),0)</f>
        <v>0</v>
      </c>
      <c r="BO48" s="311">
        <f>IF($BI48&lt;&gt;"",IF('Capacity summary'!$D$14="Yes",IF(COUNTBLANK('Capacity summary'!$H167:$BG167)&lt;52,IF('Capacity summary'!L167&lt;&gt;"",IF(LOWER('Capacity summary'!L167)="x",$BI48*L48,VALUE('Capacity summary'!L167)),0),L48*$BI48),L48*$BI48),0)</f>
        <v>0</v>
      </c>
      <c r="BP48" s="311">
        <f>IF($BI48&lt;&gt;"",IF('Capacity summary'!$D$14="Yes",IF(COUNTBLANK('Capacity summary'!$H167:$BG167)&lt;52,IF('Capacity summary'!M167&lt;&gt;"",IF(LOWER('Capacity summary'!M167)="x",$BI48*M48,VALUE('Capacity summary'!M167)),0),M48*$BI48),M48*$BI48),0)</f>
        <v>0</v>
      </c>
      <c r="BQ48" s="311">
        <f>IF($BI48&lt;&gt;"",IF('Capacity summary'!$D$14="Yes",IF(COUNTBLANK('Capacity summary'!$H167:$BG167)&lt;52,IF('Capacity summary'!N167&lt;&gt;"",IF(LOWER('Capacity summary'!N167)="x",$BI48*N48,VALUE('Capacity summary'!N167)),0),N48*$BI48),N48*$BI48),0)</f>
        <v>0</v>
      </c>
      <c r="BR48" s="311">
        <f>IF($BI48&lt;&gt;"",IF('Capacity summary'!$D$14="Yes",IF(COUNTBLANK('Capacity summary'!$H167:$BG167)&lt;52,IF('Capacity summary'!O167&lt;&gt;"",IF(LOWER('Capacity summary'!O167)="x",$BI48*O48,VALUE('Capacity summary'!O167)),0),O48*$BI48),O48*$BI48),0)</f>
        <v>0</v>
      </c>
      <c r="BS48" s="311">
        <f>IF($BI48&lt;&gt;"",IF('Capacity summary'!$D$14="Yes",IF(COUNTBLANK('Capacity summary'!$H167:$BG167)&lt;52,IF('Capacity summary'!P167&lt;&gt;"",IF(LOWER('Capacity summary'!P167)="x",$BI48*P48,VALUE('Capacity summary'!P167)),0),P48*$BI48),P48*$BI48),0)</f>
        <v>0</v>
      </c>
      <c r="BT48" s="311">
        <f>IF($BI48&lt;&gt;"",IF('Capacity summary'!$D$14="Yes",IF(COUNTBLANK('Capacity summary'!$H167:$BG167)&lt;52,IF('Capacity summary'!Q167&lt;&gt;"",IF(LOWER('Capacity summary'!Q167)="x",$BI48*Q48,VALUE('Capacity summary'!Q167)),0),Q48*$BI48),Q48*$BI48),0)</f>
        <v>0</v>
      </c>
      <c r="BU48" s="311">
        <f>IF($BI48&lt;&gt;"",IF('Capacity summary'!$D$14="Yes",IF(COUNTBLANK('Capacity summary'!$H167:$BG167)&lt;52,IF('Capacity summary'!R167&lt;&gt;"",IF(LOWER('Capacity summary'!R167)="x",$BI48*R48,VALUE('Capacity summary'!R167)),0),R48*$BI48),R48*$BI48),0)</f>
        <v>0</v>
      </c>
      <c r="BV48" s="311">
        <f>IF($BI48&lt;&gt;"",IF('Capacity summary'!$D$14="Yes",IF(COUNTBLANK('Capacity summary'!$H167:$BG167)&lt;52,IF('Capacity summary'!S167&lt;&gt;"",IF(LOWER('Capacity summary'!S167)="x",$BI48*S48,VALUE('Capacity summary'!S167)),0),S48*$BI48),S48*$BI48),0)</f>
        <v>0</v>
      </c>
      <c r="BW48" s="311">
        <f>IF($BI48&lt;&gt;"",IF('Capacity summary'!$D$14="Yes",IF(COUNTBLANK('Capacity summary'!$H167:$BG167)&lt;52,IF('Capacity summary'!T167&lt;&gt;"",IF(LOWER('Capacity summary'!T167)="x",$BI48*T48,VALUE('Capacity summary'!T167)),0),T48*$BI48),T48*$BI48),0)</f>
        <v>0</v>
      </c>
      <c r="BX48" s="311">
        <f>IF($BI48&lt;&gt;"",IF('Capacity summary'!$D$14="Yes",IF(COUNTBLANK('Capacity summary'!$H167:$BG167)&lt;52,IF('Capacity summary'!U167&lt;&gt;"",IF(LOWER('Capacity summary'!U167)="x",$BI48*U48,VALUE('Capacity summary'!U167)),0),U48*$BI48),U48*$BI48),0)</f>
        <v>0</v>
      </c>
      <c r="BY48" s="311">
        <f>IF($BI48&lt;&gt;"",IF('Capacity summary'!$D$14="Yes",IF(COUNTBLANK('Capacity summary'!$H167:$BG167)&lt;52,IF('Capacity summary'!V167&lt;&gt;"",IF(LOWER('Capacity summary'!V167)="x",$BI48*V48,VALUE('Capacity summary'!V167)),0),V48*$BI48),V48*$BI48),0)</f>
        <v>0</v>
      </c>
      <c r="BZ48" s="311">
        <f>IF($BI48&lt;&gt;"",IF('Capacity summary'!$D$14="Yes",IF(COUNTBLANK('Capacity summary'!$H167:$BG167)&lt;52,IF('Capacity summary'!W167&lt;&gt;"",IF(LOWER('Capacity summary'!W167)="x",$BI48*W48,VALUE('Capacity summary'!W167)),0),W48*$BI48),W48*$BI48),0)</f>
        <v>0</v>
      </c>
      <c r="CA48" s="311">
        <f>IF($BI48&lt;&gt;"",IF('Capacity summary'!$D$14="Yes",IF(COUNTBLANK('Capacity summary'!$H167:$BG167)&lt;52,IF('Capacity summary'!X167&lt;&gt;"",IF(LOWER('Capacity summary'!X167)="x",$BI48*X48,VALUE('Capacity summary'!X167)),0),X48*$BI48),X48*$BI48),0)</f>
        <v>0</v>
      </c>
      <c r="CB48" s="311">
        <f>IF($BI48&lt;&gt;"",IF('Capacity summary'!$D$14="Yes",IF(COUNTBLANK('Capacity summary'!$H167:$BG167)&lt;52,IF('Capacity summary'!Y167&lt;&gt;"",IF(LOWER('Capacity summary'!Y167)="x",$BI48*Y48,VALUE('Capacity summary'!Y167)),0),Y48*$BI48),Y48*$BI48),0)</f>
        <v>0</v>
      </c>
      <c r="CC48" s="311">
        <f>IF($BI48&lt;&gt;"",IF('Capacity summary'!$D$14="Yes",IF(COUNTBLANK('Capacity summary'!$H167:$BG167)&lt;52,IF('Capacity summary'!Z167&lt;&gt;"",IF(LOWER('Capacity summary'!Z167)="x",$BI48*Z48,VALUE('Capacity summary'!Z167)),0),Z48*$BI48),Z48*$BI48),0)</f>
        <v>0</v>
      </c>
      <c r="CD48" s="311">
        <f>IF($BI48&lt;&gt;"",IF('Capacity summary'!$D$14="Yes",IF(COUNTBLANK('Capacity summary'!$H167:$BG167)&lt;52,IF('Capacity summary'!AA167&lt;&gt;"",IF(LOWER('Capacity summary'!AA167)="x",$BI48*AA48,VALUE('Capacity summary'!AA167)),0),AA48*$BI48),AA48*$BI48),0)</f>
        <v>0</v>
      </c>
      <c r="CE48" s="311">
        <f>IF($BI48&lt;&gt;"",IF('Capacity summary'!$D$14="Yes",IF(COUNTBLANK('Capacity summary'!$H167:$BG167)&lt;52,IF('Capacity summary'!AB167&lt;&gt;"",IF(LOWER('Capacity summary'!AB167)="x",$BI48*AB48,VALUE('Capacity summary'!AB167)),0),AB48*$BI48),AB48*$BI48),0)</f>
        <v>0</v>
      </c>
      <c r="CF48" s="311">
        <f>IF($BI48&lt;&gt;"",IF('Capacity summary'!$D$14="Yes",IF(COUNTBLANK('Capacity summary'!$H167:$BG167)&lt;52,IF('Capacity summary'!AC167&lt;&gt;"",IF(LOWER('Capacity summary'!AC167)="x",$BI48*AC48,VALUE('Capacity summary'!AC167)),0),AC48*$BI48),AC48*$BI48),0)</f>
        <v>0</v>
      </c>
      <c r="CG48" s="311">
        <f>IF($BI48&lt;&gt;"",IF('Capacity summary'!$D$14="Yes",IF(COUNTBLANK('Capacity summary'!$H167:$BG167)&lt;52,IF('Capacity summary'!AD167&lt;&gt;"",IF(LOWER('Capacity summary'!AD167)="x",$BI48*AD48,VALUE('Capacity summary'!AD167)),0),AD48*$BI48),AD48*$BI48),0)</f>
        <v>0</v>
      </c>
      <c r="CH48" s="311">
        <f>IF($BI48&lt;&gt;"",IF('Capacity summary'!$D$14="Yes",IF(COUNTBLANK('Capacity summary'!$H167:$BG167)&lt;52,IF('Capacity summary'!AE167&lt;&gt;"",IF(LOWER('Capacity summary'!AE167)="x",$BI48*AE48,VALUE('Capacity summary'!AE167)),0),AE48*$BI48),AE48*$BI48),0)</f>
        <v>0</v>
      </c>
      <c r="CI48" s="311">
        <f>IF($BI48&lt;&gt;"",IF('Capacity summary'!$D$14="Yes",IF(COUNTBLANK('Capacity summary'!$H167:$BG167)&lt;52,IF('Capacity summary'!AF167&lt;&gt;"",IF(LOWER('Capacity summary'!AF167)="x",$BI48*AF48,VALUE('Capacity summary'!AF167)),0),AF48*$BI48),AF48*$BI48),0)</f>
        <v>0</v>
      </c>
      <c r="CJ48" s="311">
        <f>IF($BI48&lt;&gt;"",IF('Capacity summary'!$D$14="Yes",IF(COUNTBLANK('Capacity summary'!$H167:$BG167)&lt;52,IF('Capacity summary'!AG167&lt;&gt;"",IF(LOWER('Capacity summary'!AG167)="x",$BI48*AG48,VALUE('Capacity summary'!AG167)),0),AG48*$BI48),AG48*$BI48),0)</f>
        <v>0</v>
      </c>
      <c r="CK48" s="311">
        <f>IF($BI48&lt;&gt;"",IF('Capacity summary'!$D$14="Yes",IF(COUNTBLANK('Capacity summary'!$H167:$BG167)&lt;52,IF('Capacity summary'!AH167&lt;&gt;"",IF(LOWER('Capacity summary'!AH167)="x",$BI48*AH48,VALUE('Capacity summary'!AH167)),0),AH48*$BI48),AH48*$BI48),0)</f>
        <v>0</v>
      </c>
      <c r="CL48" s="311">
        <f>IF($BI48&lt;&gt;"",IF('Capacity summary'!$D$14="Yes",IF(COUNTBLANK('Capacity summary'!$H167:$BG167)&lt;52,IF('Capacity summary'!AI167&lt;&gt;"",IF(LOWER('Capacity summary'!AI167)="x",$BI48*AI48,VALUE('Capacity summary'!AI167)),0),AI48*$BI48),AI48*$BI48),0)</f>
        <v>0</v>
      </c>
      <c r="CM48" s="311">
        <f>IF($BI48&lt;&gt;"",IF('Capacity summary'!$D$14="Yes",IF(COUNTBLANK('Capacity summary'!$H167:$BG167)&lt;52,IF('Capacity summary'!AJ167&lt;&gt;"",IF(LOWER('Capacity summary'!AJ167)="x",$BI48*AJ48,VALUE('Capacity summary'!AJ167)),0),AJ48*$BI48),AJ48*$BI48),0)</f>
        <v>0</v>
      </c>
      <c r="CN48" s="311">
        <f>IF($BI48&lt;&gt;"",IF('Capacity summary'!$D$14="Yes",IF(COUNTBLANK('Capacity summary'!$H167:$BG167)&lt;52,IF('Capacity summary'!AK167&lt;&gt;"",IF(LOWER('Capacity summary'!AK167)="x",$BI48*AK48,VALUE('Capacity summary'!AK167)),0),AK48*$BI48),AK48*$BI48),0)</f>
        <v>0</v>
      </c>
      <c r="CO48" s="311">
        <f>IF($BI48&lt;&gt;"",IF('Capacity summary'!$D$14="Yes",IF(COUNTBLANK('Capacity summary'!$H167:$BG167)&lt;52,IF('Capacity summary'!AL167&lt;&gt;"",IF(LOWER('Capacity summary'!AL167)="x",$BI48*AL48,VALUE('Capacity summary'!AL167)),0),AL48*$BI48),AL48*$BI48),0)</f>
        <v>0</v>
      </c>
      <c r="CP48" s="311">
        <f>IF($BI48&lt;&gt;"",IF('Capacity summary'!$D$14="Yes",IF(COUNTBLANK('Capacity summary'!$H167:$BG167)&lt;52,IF('Capacity summary'!AM167&lt;&gt;"",IF(LOWER('Capacity summary'!AM167)="x",$BI48*AM48,VALUE('Capacity summary'!AM167)),0),AM48*$BI48),AM48*$BI48),0)</f>
        <v>0</v>
      </c>
      <c r="CQ48" s="311">
        <f>IF($BI48&lt;&gt;"",IF('Capacity summary'!$D$14="Yes",IF(COUNTBLANK('Capacity summary'!$H167:$BG167)&lt;52,IF('Capacity summary'!AN167&lt;&gt;"",IF(LOWER('Capacity summary'!AN167)="x",$BI48*AN48,VALUE('Capacity summary'!AN167)),0),AN48*$BI48),AN48*$BI48),0)</f>
        <v>0</v>
      </c>
      <c r="CR48" s="311">
        <f>IF($BI48&lt;&gt;"",IF('Capacity summary'!$D$14="Yes",IF(COUNTBLANK('Capacity summary'!$H167:$BG167)&lt;52,IF('Capacity summary'!AO167&lt;&gt;"",IF(LOWER('Capacity summary'!AO167)="x",$BI48*AO48,VALUE('Capacity summary'!AO167)),0),AO48*$BI48),AO48*$BI48),0)</f>
        <v>0</v>
      </c>
      <c r="CS48" s="311">
        <f>IF($BI48&lt;&gt;"",IF('Capacity summary'!$D$14="Yes",IF(COUNTBLANK('Capacity summary'!$H167:$BG167)&lt;52,IF('Capacity summary'!AP167&lt;&gt;"",IF(LOWER('Capacity summary'!AP167)="x",$BI48*AP48,VALUE('Capacity summary'!AP167)),0),AP48*$BI48),AP48*$BI48),0)</f>
        <v>0</v>
      </c>
      <c r="CT48" s="311">
        <f>IF($BI48&lt;&gt;"",IF('Capacity summary'!$D$14="Yes",IF(COUNTBLANK('Capacity summary'!$H167:$BG167)&lt;52,IF('Capacity summary'!AQ167&lt;&gt;"",IF(LOWER('Capacity summary'!AQ167)="x",$BI48*AQ48,VALUE('Capacity summary'!AQ167)),0),AQ48*$BI48),AQ48*$BI48),0)</f>
        <v>0</v>
      </c>
      <c r="CU48" s="311">
        <f>IF($BI48&lt;&gt;"",IF('Capacity summary'!$D$14="Yes",IF(COUNTBLANK('Capacity summary'!$H167:$BG167)&lt;52,IF('Capacity summary'!AR167&lt;&gt;"",IF(LOWER('Capacity summary'!AR167)="x",$BI48*AR48,VALUE('Capacity summary'!AR167)),0),AR48*$BI48),AR48*$BI48),0)</f>
        <v>0</v>
      </c>
      <c r="CV48" s="311">
        <f>IF($BI48&lt;&gt;"",IF('Capacity summary'!$D$14="Yes",IF(COUNTBLANK('Capacity summary'!$H167:$BG167)&lt;52,IF('Capacity summary'!AS167&lt;&gt;"",IF(LOWER('Capacity summary'!AS167)="x",$BI48*AS48,VALUE('Capacity summary'!AS167)),0),AS48*$BI48),AS48*$BI48),0)</f>
        <v>0</v>
      </c>
      <c r="CW48" s="311">
        <f>IF($BI48&lt;&gt;"",IF('Capacity summary'!$D$14="Yes",IF(COUNTBLANK('Capacity summary'!$H167:$BG167)&lt;52,IF('Capacity summary'!AT167&lt;&gt;"",IF(LOWER('Capacity summary'!AT167)="x",$BI48*AT48,VALUE('Capacity summary'!AT167)),0),AT48*$BI48),AT48*$BI48),0)</f>
        <v>0</v>
      </c>
      <c r="CX48" s="311">
        <f>IF($BI48&lt;&gt;"",IF('Capacity summary'!$D$14="Yes",IF(COUNTBLANK('Capacity summary'!$H167:$BG167)&lt;52,IF('Capacity summary'!AU167&lt;&gt;"",IF(LOWER('Capacity summary'!AU167)="x",$BI48*AU48,VALUE('Capacity summary'!AU167)),0),AU48*$BI48),AU48*$BI48),0)</f>
        <v>0</v>
      </c>
      <c r="CY48" s="311">
        <f>IF($BI48&lt;&gt;"",IF('Capacity summary'!$D$14="Yes",IF(COUNTBLANK('Capacity summary'!$H167:$BG167)&lt;52,IF('Capacity summary'!AV167&lt;&gt;"",IF(LOWER('Capacity summary'!AV167)="x",$BI48*AV48,VALUE('Capacity summary'!AV167)),0),AV48*$BI48),AV48*$BI48),0)</f>
        <v>0</v>
      </c>
      <c r="CZ48" s="311">
        <f>IF($BI48&lt;&gt;"",IF('Capacity summary'!$D$14="Yes",IF(COUNTBLANK('Capacity summary'!$H167:$BG167)&lt;52,IF('Capacity summary'!AW167&lt;&gt;"",IF(LOWER('Capacity summary'!AW167)="x",$BI48*AW48,VALUE('Capacity summary'!AW167)),0),AW48*$BI48),AW48*$BI48),0)</f>
        <v>0</v>
      </c>
      <c r="DA48" s="311">
        <f>IF($BI48&lt;&gt;"",IF('Capacity summary'!$D$14="Yes",IF(COUNTBLANK('Capacity summary'!$H167:$BG167)&lt;52,IF('Capacity summary'!AX167&lt;&gt;"",IF(LOWER('Capacity summary'!AX167)="x",$BI48*AX48,VALUE('Capacity summary'!AX167)),0),AX48*$BI48),AX48*$BI48),0)</f>
        <v>0</v>
      </c>
      <c r="DB48" s="311">
        <f>IF($BI48&lt;&gt;"",IF('Capacity summary'!$D$14="Yes",IF(COUNTBLANK('Capacity summary'!$H167:$BG167)&lt;52,IF('Capacity summary'!AY167&lt;&gt;"",IF(LOWER('Capacity summary'!AY167)="x",$BI48*AY48,VALUE('Capacity summary'!AY167)),0),AY48*$BI48),AY48*$BI48),0)</f>
        <v>0</v>
      </c>
      <c r="DC48" s="311">
        <f>IF($BI48&lt;&gt;"",IF('Capacity summary'!$D$14="Yes",IF(COUNTBLANK('Capacity summary'!$H167:$BG167)&lt;52,IF('Capacity summary'!AZ167&lt;&gt;"",IF(LOWER('Capacity summary'!AZ167)="x",$BI48*AZ48,VALUE('Capacity summary'!AZ167)),0),AZ48*$BI48),AZ48*$BI48),0)</f>
        <v>0</v>
      </c>
      <c r="DD48" s="311">
        <f>IF($BI48&lt;&gt;"",IF('Capacity summary'!$D$14="Yes",IF(COUNTBLANK('Capacity summary'!$H167:$BG167)&lt;52,IF('Capacity summary'!BA167&lt;&gt;"",IF(LOWER('Capacity summary'!BA167)="x",$BI48*BA48,VALUE('Capacity summary'!BA167)),0),BA48*$BI48),BA48*$BI48),0)</f>
        <v>0</v>
      </c>
      <c r="DE48" s="311">
        <f>IF($BI48&lt;&gt;"",IF('Capacity summary'!$D$14="Yes",IF(COUNTBLANK('Capacity summary'!$H167:$BG167)&lt;52,IF('Capacity summary'!BB167&lt;&gt;"",IF(LOWER('Capacity summary'!BB167)="x",$BI48*BB48,VALUE('Capacity summary'!BB167)),0),BB48*$BI48),BB48*$BI48),0)</f>
        <v>0</v>
      </c>
      <c r="DF48" s="311">
        <f>IF($BI48&lt;&gt;"",IF('Capacity summary'!$D$14="Yes",IF(COUNTBLANK('Capacity summary'!$H167:$BG167)&lt;52,IF('Capacity summary'!BC167&lt;&gt;"",IF(LOWER('Capacity summary'!BC167)="x",$BI48*BC48,VALUE('Capacity summary'!BC167)),0),BC48*$BI48),BC48*$BI48),0)</f>
        <v>0</v>
      </c>
      <c r="DG48" s="311">
        <f>IF($BI48&lt;&gt;"",IF('Capacity summary'!$D$14="Yes",IF(COUNTBLANK('Capacity summary'!$H167:$BG167)&lt;52,IF('Capacity summary'!BD167&lt;&gt;"",IF(LOWER('Capacity summary'!BD167)="x",$BI48*BD48,VALUE('Capacity summary'!BD167)),0),BD48*$BI48),BD48*$BI48),0)</f>
        <v>0</v>
      </c>
      <c r="DH48" s="311">
        <f>IF($BI48&lt;&gt;"",IF('Capacity summary'!$D$14="Yes",IF(COUNTBLANK('Capacity summary'!$H167:$BG167)&lt;52,IF('Capacity summary'!BE167&lt;&gt;"",IF(LOWER('Capacity summary'!BE167)="x",$BI48*BE48,VALUE('Capacity summary'!BE167)),0),BE48*$BI48),BE48*$BI48),0)</f>
        <v>0</v>
      </c>
      <c r="DI48" s="311">
        <f>IF($BI48&lt;&gt;"",IF('Capacity summary'!$D$14="Yes",IF(COUNTBLANK('Capacity summary'!$H167:$BG167)&lt;52,IF('Capacity summary'!BF167&lt;&gt;"",IF(LOWER('Capacity summary'!BF167)="x",$BI48*BF48,VALUE('Capacity summary'!BF167)),0),BF48*$BI48),BF48*$BI48),0)</f>
        <v>0</v>
      </c>
      <c r="DJ48" s="311">
        <f>IF($BI48&lt;&gt;"",IF('Capacity summary'!$D$14="Yes",IF(COUNTBLANK('Capacity summary'!$H167:$BG167)&lt;52,IF('Capacity summary'!BG167&lt;&gt;"",IF(LOWER('Capacity summary'!BG167)="x",$BI48*BG48,VALUE('Capacity summary'!BG167)),0),BG48*$BI48),BG48*$BI48),0)</f>
        <v>0</v>
      </c>
      <c r="DK48" s="391">
        <f t="shared" si="2"/>
        <v>0</v>
      </c>
      <c r="DL48" s="136">
        <f t="shared" si="3"/>
        <v>0</v>
      </c>
      <c r="DM48" s="311" t="str">
        <f>Capacity!H60</f>
        <v/>
      </c>
      <c r="DQ48" s="5"/>
    </row>
    <row r="49" spans="1:121" x14ac:dyDescent="0.2">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1">
        <f>IF($BI49&lt;&gt;"",IF('Capacity summary'!$D$14="Yes",IF(COUNTBLANK('Capacity summary'!$H168:$BG168)&lt;52,IF('Capacity summary'!H168&lt;&gt;"",IF(LOWER('Capacity summary'!H168)="x",$BI49*H49,VALUE('Capacity summary'!H168)),0),H49*$BI49),H49*$BI49),0)</f>
        <v>0</v>
      </c>
      <c r="BL49" s="311">
        <f>IF($BI49&lt;&gt;"",IF('Capacity summary'!$D$14="Yes",IF(COUNTBLANK('Capacity summary'!$H168:$BG168)&lt;52,IF('Capacity summary'!I168&lt;&gt;"",IF(LOWER('Capacity summary'!I168)="x",$BI49*I49,VALUE('Capacity summary'!I168)),0),I49*$BI49),I49*$BI49),0)</f>
        <v>0</v>
      </c>
      <c r="BM49" s="311">
        <f>IF($BI49&lt;&gt;"",IF('Capacity summary'!$D$14="Yes",IF(COUNTBLANK('Capacity summary'!$H168:$BG168)&lt;52,IF('Capacity summary'!J168&lt;&gt;"",IF(LOWER('Capacity summary'!J168)="x",$BI49*J49,VALUE('Capacity summary'!J168)),0),J49*$BI49),J49*$BI49),0)</f>
        <v>0</v>
      </c>
      <c r="BN49" s="311">
        <f>IF($BI49&lt;&gt;"",IF('Capacity summary'!$D$14="Yes",IF(COUNTBLANK('Capacity summary'!$H168:$BG168)&lt;52,IF('Capacity summary'!K168&lt;&gt;"",IF(LOWER('Capacity summary'!K168)="x",$BI49*K49,VALUE('Capacity summary'!K168)),0),K49*$BI49),K49*$BI49),0)</f>
        <v>0</v>
      </c>
      <c r="BO49" s="311">
        <f>IF($BI49&lt;&gt;"",IF('Capacity summary'!$D$14="Yes",IF(COUNTBLANK('Capacity summary'!$H168:$BG168)&lt;52,IF('Capacity summary'!L168&lt;&gt;"",IF(LOWER('Capacity summary'!L168)="x",$BI49*L49,VALUE('Capacity summary'!L168)),0),L49*$BI49),L49*$BI49),0)</f>
        <v>0</v>
      </c>
      <c r="BP49" s="311">
        <f>IF($BI49&lt;&gt;"",IF('Capacity summary'!$D$14="Yes",IF(COUNTBLANK('Capacity summary'!$H168:$BG168)&lt;52,IF('Capacity summary'!M168&lt;&gt;"",IF(LOWER('Capacity summary'!M168)="x",$BI49*M49,VALUE('Capacity summary'!M168)),0),M49*$BI49),M49*$BI49),0)</f>
        <v>0</v>
      </c>
      <c r="BQ49" s="311">
        <f>IF($BI49&lt;&gt;"",IF('Capacity summary'!$D$14="Yes",IF(COUNTBLANK('Capacity summary'!$H168:$BG168)&lt;52,IF('Capacity summary'!N168&lt;&gt;"",IF(LOWER('Capacity summary'!N168)="x",$BI49*N49,VALUE('Capacity summary'!N168)),0),N49*$BI49),N49*$BI49),0)</f>
        <v>0</v>
      </c>
      <c r="BR49" s="311">
        <f>IF($BI49&lt;&gt;"",IF('Capacity summary'!$D$14="Yes",IF(COUNTBLANK('Capacity summary'!$H168:$BG168)&lt;52,IF('Capacity summary'!O168&lt;&gt;"",IF(LOWER('Capacity summary'!O168)="x",$BI49*O49,VALUE('Capacity summary'!O168)),0),O49*$BI49),O49*$BI49),0)</f>
        <v>0</v>
      </c>
      <c r="BS49" s="311">
        <f>IF($BI49&lt;&gt;"",IF('Capacity summary'!$D$14="Yes",IF(COUNTBLANK('Capacity summary'!$H168:$BG168)&lt;52,IF('Capacity summary'!P168&lt;&gt;"",IF(LOWER('Capacity summary'!P168)="x",$BI49*P49,VALUE('Capacity summary'!P168)),0),P49*$BI49),P49*$BI49),0)</f>
        <v>0</v>
      </c>
      <c r="BT49" s="311">
        <f>IF($BI49&lt;&gt;"",IF('Capacity summary'!$D$14="Yes",IF(COUNTBLANK('Capacity summary'!$H168:$BG168)&lt;52,IF('Capacity summary'!Q168&lt;&gt;"",IF(LOWER('Capacity summary'!Q168)="x",$BI49*Q49,VALUE('Capacity summary'!Q168)),0),Q49*$BI49),Q49*$BI49),0)</f>
        <v>0</v>
      </c>
      <c r="BU49" s="311">
        <f>IF($BI49&lt;&gt;"",IF('Capacity summary'!$D$14="Yes",IF(COUNTBLANK('Capacity summary'!$H168:$BG168)&lt;52,IF('Capacity summary'!R168&lt;&gt;"",IF(LOWER('Capacity summary'!R168)="x",$BI49*R49,VALUE('Capacity summary'!R168)),0),R49*$BI49),R49*$BI49),0)</f>
        <v>0</v>
      </c>
      <c r="BV49" s="311">
        <f>IF($BI49&lt;&gt;"",IF('Capacity summary'!$D$14="Yes",IF(COUNTBLANK('Capacity summary'!$H168:$BG168)&lt;52,IF('Capacity summary'!S168&lt;&gt;"",IF(LOWER('Capacity summary'!S168)="x",$BI49*S49,VALUE('Capacity summary'!S168)),0),S49*$BI49),S49*$BI49),0)</f>
        <v>0</v>
      </c>
      <c r="BW49" s="311">
        <f>IF($BI49&lt;&gt;"",IF('Capacity summary'!$D$14="Yes",IF(COUNTBLANK('Capacity summary'!$H168:$BG168)&lt;52,IF('Capacity summary'!T168&lt;&gt;"",IF(LOWER('Capacity summary'!T168)="x",$BI49*T49,VALUE('Capacity summary'!T168)),0),T49*$BI49),T49*$BI49),0)</f>
        <v>0</v>
      </c>
      <c r="BX49" s="311">
        <f>IF($BI49&lt;&gt;"",IF('Capacity summary'!$D$14="Yes",IF(COUNTBLANK('Capacity summary'!$H168:$BG168)&lt;52,IF('Capacity summary'!U168&lt;&gt;"",IF(LOWER('Capacity summary'!U168)="x",$BI49*U49,VALUE('Capacity summary'!U168)),0),U49*$BI49),U49*$BI49),0)</f>
        <v>0</v>
      </c>
      <c r="BY49" s="311">
        <f>IF($BI49&lt;&gt;"",IF('Capacity summary'!$D$14="Yes",IF(COUNTBLANK('Capacity summary'!$H168:$BG168)&lt;52,IF('Capacity summary'!V168&lt;&gt;"",IF(LOWER('Capacity summary'!V168)="x",$BI49*V49,VALUE('Capacity summary'!V168)),0),V49*$BI49),V49*$BI49),0)</f>
        <v>0</v>
      </c>
      <c r="BZ49" s="311">
        <f>IF($BI49&lt;&gt;"",IF('Capacity summary'!$D$14="Yes",IF(COUNTBLANK('Capacity summary'!$H168:$BG168)&lt;52,IF('Capacity summary'!W168&lt;&gt;"",IF(LOWER('Capacity summary'!W168)="x",$BI49*W49,VALUE('Capacity summary'!W168)),0),W49*$BI49),W49*$BI49),0)</f>
        <v>0</v>
      </c>
      <c r="CA49" s="311">
        <f>IF($BI49&lt;&gt;"",IF('Capacity summary'!$D$14="Yes",IF(COUNTBLANK('Capacity summary'!$H168:$BG168)&lt;52,IF('Capacity summary'!X168&lt;&gt;"",IF(LOWER('Capacity summary'!X168)="x",$BI49*X49,VALUE('Capacity summary'!X168)),0),X49*$BI49),X49*$BI49),0)</f>
        <v>0</v>
      </c>
      <c r="CB49" s="311">
        <f>IF($BI49&lt;&gt;"",IF('Capacity summary'!$D$14="Yes",IF(COUNTBLANK('Capacity summary'!$H168:$BG168)&lt;52,IF('Capacity summary'!Y168&lt;&gt;"",IF(LOWER('Capacity summary'!Y168)="x",$BI49*Y49,VALUE('Capacity summary'!Y168)),0),Y49*$BI49),Y49*$BI49),0)</f>
        <v>0</v>
      </c>
      <c r="CC49" s="311">
        <f>IF($BI49&lt;&gt;"",IF('Capacity summary'!$D$14="Yes",IF(COUNTBLANK('Capacity summary'!$H168:$BG168)&lt;52,IF('Capacity summary'!Z168&lt;&gt;"",IF(LOWER('Capacity summary'!Z168)="x",$BI49*Z49,VALUE('Capacity summary'!Z168)),0),Z49*$BI49),Z49*$BI49),0)</f>
        <v>0</v>
      </c>
      <c r="CD49" s="311">
        <f>IF($BI49&lt;&gt;"",IF('Capacity summary'!$D$14="Yes",IF(COUNTBLANK('Capacity summary'!$H168:$BG168)&lt;52,IF('Capacity summary'!AA168&lt;&gt;"",IF(LOWER('Capacity summary'!AA168)="x",$BI49*AA49,VALUE('Capacity summary'!AA168)),0),AA49*$BI49),AA49*$BI49),0)</f>
        <v>0</v>
      </c>
      <c r="CE49" s="311">
        <f>IF($BI49&lt;&gt;"",IF('Capacity summary'!$D$14="Yes",IF(COUNTBLANK('Capacity summary'!$H168:$BG168)&lt;52,IF('Capacity summary'!AB168&lt;&gt;"",IF(LOWER('Capacity summary'!AB168)="x",$BI49*AB49,VALUE('Capacity summary'!AB168)),0),AB49*$BI49),AB49*$BI49),0)</f>
        <v>0</v>
      </c>
      <c r="CF49" s="311">
        <f>IF($BI49&lt;&gt;"",IF('Capacity summary'!$D$14="Yes",IF(COUNTBLANK('Capacity summary'!$H168:$BG168)&lt;52,IF('Capacity summary'!AC168&lt;&gt;"",IF(LOWER('Capacity summary'!AC168)="x",$BI49*AC49,VALUE('Capacity summary'!AC168)),0),AC49*$BI49),AC49*$BI49),0)</f>
        <v>0</v>
      </c>
      <c r="CG49" s="311">
        <f>IF($BI49&lt;&gt;"",IF('Capacity summary'!$D$14="Yes",IF(COUNTBLANK('Capacity summary'!$H168:$BG168)&lt;52,IF('Capacity summary'!AD168&lt;&gt;"",IF(LOWER('Capacity summary'!AD168)="x",$BI49*AD49,VALUE('Capacity summary'!AD168)),0),AD49*$BI49),AD49*$BI49),0)</f>
        <v>0</v>
      </c>
      <c r="CH49" s="311">
        <f>IF($BI49&lt;&gt;"",IF('Capacity summary'!$D$14="Yes",IF(COUNTBLANK('Capacity summary'!$H168:$BG168)&lt;52,IF('Capacity summary'!AE168&lt;&gt;"",IF(LOWER('Capacity summary'!AE168)="x",$BI49*AE49,VALUE('Capacity summary'!AE168)),0),AE49*$BI49),AE49*$BI49),0)</f>
        <v>0</v>
      </c>
      <c r="CI49" s="311">
        <f>IF($BI49&lt;&gt;"",IF('Capacity summary'!$D$14="Yes",IF(COUNTBLANK('Capacity summary'!$H168:$BG168)&lt;52,IF('Capacity summary'!AF168&lt;&gt;"",IF(LOWER('Capacity summary'!AF168)="x",$BI49*AF49,VALUE('Capacity summary'!AF168)),0),AF49*$BI49),AF49*$BI49),0)</f>
        <v>0</v>
      </c>
      <c r="CJ49" s="311">
        <f>IF($BI49&lt;&gt;"",IF('Capacity summary'!$D$14="Yes",IF(COUNTBLANK('Capacity summary'!$H168:$BG168)&lt;52,IF('Capacity summary'!AG168&lt;&gt;"",IF(LOWER('Capacity summary'!AG168)="x",$BI49*AG49,VALUE('Capacity summary'!AG168)),0),AG49*$BI49),AG49*$BI49),0)</f>
        <v>0</v>
      </c>
      <c r="CK49" s="311">
        <f>IF($BI49&lt;&gt;"",IF('Capacity summary'!$D$14="Yes",IF(COUNTBLANK('Capacity summary'!$H168:$BG168)&lt;52,IF('Capacity summary'!AH168&lt;&gt;"",IF(LOWER('Capacity summary'!AH168)="x",$BI49*AH49,VALUE('Capacity summary'!AH168)),0),AH49*$BI49),AH49*$BI49),0)</f>
        <v>0</v>
      </c>
      <c r="CL49" s="311">
        <f>IF($BI49&lt;&gt;"",IF('Capacity summary'!$D$14="Yes",IF(COUNTBLANK('Capacity summary'!$H168:$BG168)&lt;52,IF('Capacity summary'!AI168&lt;&gt;"",IF(LOWER('Capacity summary'!AI168)="x",$BI49*AI49,VALUE('Capacity summary'!AI168)),0),AI49*$BI49),AI49*$BI49),0)</f>
        <v>0</v>
      </c>
      <c r="CM49" s="311">
        <f>IF($BI49&lt;&gt;"",IF('Capacity summary'!$D$14="Yes",IF(COUNTBLANK('Capacity summary'!$H168:$BG168)&lt;52,IF('Capacity summary'!AJ168&lt;&gt;"",IF(LOWER('Capacity summary'!AJ168)="x",$BI49*AJ49,VALUE('Capacity summary'!AJ168)),0),AJ49*$BI49),AJ49*$BI49),0)</f>
        <v>0</v>
      </c>
      <c r="CN49" s="311">
        <f>IF($BI49&lt;&gt;"",IF('Capacity summary'!$D$14="Yes",IF(COUNTBLANK('Capacity summary'!$H168:$BG168)&lt;52,IF('Capacity summary'!AK168&lt;&gt;"",IF(LOWER('Capacity summary'!AK168)="x",$BI49*AK49,VALUE('Capacity summary'!AK168)),0),AK49*$BI49),AK49*$BI49),0)</f>
        <v>0</v>
      </c>
      <c r="CO49" s="311">
        <f>IF($BI49&lt;&gt;"",IF('Capacity summary'!$D$14="Yes",IF(COUNTBLANK('Capacity summary'!$H168:$BG168)&lt;52,IF('Capacity summary'!AL168&lt;&gt;"",IF(LOWER('Capacity summary'!AL168)="x",$BI49*AL49,VALUE('Capacity summary'!AL168)),0),AL49*$BI49),AL49*$BI49),0)</f>
        <v>0</v>
      </c>
      <c r="CP49" s="311">
        <f>IF($BI49&lt;&gt;"",IF('Capacity summary'!$D$14="Yes",IF(COUNTBLANK('Capacity summary'!$H168:$BG168)&lt;52,IF('Capacity summary'!AM168&lt;&gt;"",IF(LOWER('Capacity summary'!AM168)="x",$BI49*AM49,VALUE('Capacity summary'!AM168)),0),AM49*$BI49),AM49*$BI49),0)</f>
        <v>0</v>
      </c>
      <c r="CQ49" s="311">
        <f>IF($BI49&lt;&gt;"",IF('Capacity summary'!$D$14="Yes",IF(COUNTBLANK('Capacity summary'!$H168:$BG168)&lt;52,IF('Capacity summary'!AN168&lt;&gt;"",IF(LOWER('Capacity summary'!AN168)="x",$BI49*AN49,VALUE('Capacity summary'!AN168)),0),AN49*$BI49),AN49*$BI49),0)</f>
        <v>0</v>
      </c>
      <c r="CR49" s="311">
        <f>IF($BI49&lt;&gt;"",IF('Capacity summary'!$D$14="Yes",IF(COUNTBLANK('Capacity summary'!$H168:$BG168)&lt;52,IF('Capacity summary'!AO168&lt;&gt;"",IF(LOWER('Capacity summary'!AO168)="x",$BI49*AO49,VALUE('Capacity summary'!AO168)),0),AO49*$BI49),AO49*$BI49),0)</f>
        <v>0</v>
      </c>
      <c r="CS49" s="311">
        <f>IF($BI49&lt;&gt;"",IF('Capacity summary'!$D$14="Yes",IF(COUNTBLANK('Capacity summary'!$H168:$BG168)&lt;52,IF('Capacity summary'!AP168&lt;&gt;"",IF(LOWER('Capacity summary'!AP168)="x",$BI49*AP49,VALUE('Capacity summary'!AP168)),0),AP49*$BI49),AP49*$BI49),0)</f>
        <v>0</v>
      </c>
      <c r="CT49" s="311">
        <f>IF($BI49&lt;&gt;"",IF('Capacity summary'!$D$14="Yes",IF(COUNTBLANK('Capacity summary'!$H168:$BG168)&lt;52,IF('Capacity summary'!AQ168&lt;&gt;"",IF(LOWER('Capacity summary'!AQ168)="x",$BI49*AQ49,VALUE('Capacity summary'!AQ168)),0),AQ49*$BI49),AQ49*$BI49),0)</f>
        <v>0</v>
      </c>
      <c r="CU49" s="311">
        <f>IF($BI49&lt;&gt;"",IF('Capacity summary'!$D$14="Yes",IF(COUNTBLANK('Capacity summary'!$H168:$BG168)&lt;52,IF('Capacity summary'!AR168&lt;&gt;"",IF(LOWER('Capacity summary'!AR168)="x",$BI49*AR49,VALUE('Capacity summary'!AR168)),0),AR49*$BI49),AR49*$BI49),0)</f>
        <v>0</v>
      </c>
      <c r="CV49" s="311">
        <f>IF($BI49&lt;&gt;"",IF('Capacity summary'!$D$14="Yes",IF(COUNTBLANK('Capacity summary'!$H168:$BG168)&lt;52,IF('Capacity summary'!AS168&lt;&gt;"",IF(LOWER('Capacity summary'!AS168)="x",$BI49*AS49,VALUE('Capacity summary'!AS168)),0),AS49*$BI49),AS49*$BI49),0)</f>
        <v>0</v>
      </c>
      <c r="CW49" s="311">
        <f>IF($BI49&lt;&gt;"",IF('Capacity summary'!$D$14="Yes",IF(COUNTBLANK('Capacity summary'!$H168:$BG168)&lt;52,IF('Capacity summary'!AT168&lt;&gt;"",IF(LOWER('Capacity summary'!AT168)="x",$BI49*AT49,VALUE('Capacity summary'!AT168)),0),AT49*$BI49),AT49*$BI49),0)</f>
        <v>0</v>
      </c>
      <c r="CX49" s="311">
        <f>IF($BI49&lt;&gt;"",IF('Capacity summary'!$D$14="Yes",IF(COUNTBLANK('Capacity summary'!$H168:$BG168)&lt;52,IF('Capacity summary'!AU168&lt;&gt;"",IF(LOWER('Capacity summary'!AU168)="x",$BI49*AU49,VALUE('Capacity summary'!AU168)),0),AU49*$BI49),AU49*$BI49),0)</f>
        <v>0</v>
      </c>
      <c r="CY49" s="311">
        <f>IF($BI49&lt;&gt;"",IF('Capacity summary'!$D$14="Yes",IF(COUNTBLANK('Capacity summary'!$H168:$BG168)&lt;52,IF('Capacity summary'!AV168&lt;&gt;"",IF(LOWER('Capacity summary'!AV168)="x",$BI49*AV49,VALUE('Capacity summary'!AV168)),0),AV49*$BI49),AV49*$BI49),0)</f>
        <v>0</v>
      </c>
      <c r="CZ49" s="311">
        <f>IF($BI49&lt;&gt;"",IF('Capacity summary'!$D$14="Yes",IF(COUNTBLANK('Capacity summary'!$H168:$BG168)&lt;52,IF('Capacity summary'!AW168&lt;&gt;"",IF(LOWER('Capacity summary'!AW168)="x",$BI49*AW49,VALUE('Capacity summary'!AW168)),0),AW49*$BI49),AW49*$BI49),0)</f>
        <v>0</v>
      </c>
      <c r="DA49" s="311">
        <f>IF($BI49&lt;&gt;"",IF('Capacity summary'!$D$14="Yes",IF(COUNTBLANK('Capacity summary'!$H168:$BG168)&lt;52,IF('Capacity summary'!AX168&lt;&gt;"",IF(LOWER('Capacity summary'!AX168)="x",$BI49*AX49,VALUE('Capacity summary'!AX168)),0),AX49*$BI49),AX49*$BI49),0)</f>
        <v>0</v>
      </c>
      <c r="DB49" s="311">
        <f>IF($BI49&lt;&gt;"",IF('Capacity summary'!$D$14="Yes",IF(COUNTBLANK('Capacity summary'!$H168:$BG168)&lt;52,IF('Capacity summary'!AY168&lt;&gt;"",IF(LOWER('Capacity summary'!AY168)="x",$BI49*AY49,VALUE('Capacity summary'!AY168)),0),AY49*$BI49),AY49*$BI49),0)</f>
        <v>0</v>
      </c>
      <c r="DC49" s="311">
        <f>IF($BI49&lt;&gt;"",IF('Capacity summary'!$D$14="Yes",IF(COUNTBLANK('Capacity summary'!$H168:$BG168)&lt;52,IF('Capacity summary'!AZ168&lt;&gt;"",IF(LOWER('Capacity summary'!AZ168)="x",$BI49*AZ49,VALUE('Capacity summary'!AZ168)),0),AZ49*$BI49),AZ49*$BI49),0)</f>
        <v>0</v>
      </c>
      <c r="DD49" s="311">
        <f>IF($BI49&lt;&gt;"",IF('Capacity summary'!$D$14="Yes",IF(COUNTBLANK('Capacity summary'!$H168:$BG168)&lt;52,IF('Capacity summary'!BA168&lt;&gt;"",IF(LOWER('Capacity summary'!BA168)="x",$BI49*BA49,VALUE('Capacity summary'!BA168)),0),BA49*$BI49),BA49*$BI49),0)</f>
        <v>0</v>
      </c>
      <c r="DE49" s="311">
        <f>IF($BI49&lt;&gt;"",IF('Capacity summary'!$D$14="Yes",IF(COUNTBLANK('Capacity summary'!$H168:$BG168)&lt;52,IF('Capacity summary'!BB168&lt;&gt;"",IF(LOWER('Capacity summary'!BB168)="x",$BI49*BB49,VALUE('Capacity summary'!BB168)),0),BB49*$BI49),BB49*$BI49),0)</f>
        <v>0</v>
      </c>
      <c r="DF49" s="311">
        <f>IF($BI49&lt;&gt;"",IF('Capacity summary'!$D$14="Yes",IF(COUNTBLANK('Capacity summary'!$H168:$BG168)&lt;52,IF('Capacity summary'!BC168&lt;&gt;"",IF(LOWER('Capacity summary'!BC168)="x",$BI49*BC49,VALUE('Capacity summary'!BC168)),0),BC49*$BI49),BC49*$BI49),0)</f>
        <v>0</v>
      </c>
      <c r="DG49" s="311">
        <f>IF($BI49&lt;&gt;"",IF('Capacity summary'!$D$14="Yes",IF(COUNTBLANK('Capacity summary'!$H168:$BG168)&lt;52,IF('Capacity summary'!BD168&lt;&gt;"",IF(LOWER('Capacity summary'!BD168)="x",$BI49*BD49,VALUE('Capacity summary'!BD168)),0),BD49*$BI49),BD49*$BI49),0)</f>
        <v>0</v>
      </c>
      <c r="DH49" s="311">
        <f>IF($BI49&lt;&gt;"",IF('Capacity summary'!$D$14="Yes",IF(COUNTBLANK('Capacity summary'!$H168:$BG168)&lt;52,IF('Capacity summary'!BE168&lt;&gt;"",IF(LOWER('Capacity summary'!BE168)="x",$BI49*BE49,VALUE('Capacity summary'!BE168)),0),BE49*$BI49),BE49*$BI49),0)</f>
        <v>0</v>
      </c>
      <c r="DI49" s="311">
        <f>IF($BI49&lt;&gt;"",IF('Capacity summary'!$D$14="Yes",IF(COUNTBLANK('Capacity summary'!$H168:$BG168)&lt;52,IF('Capacity summary'!BF168&lt;&gt;"",IF(LOWER('Capacity summary'!BF168)="x",$BI49*BF49,VALUE('Capacity summary'!BF168)),0),BF49*$BI49),BF49*$BI49),0)</f>
        <v>0</v>
      </c>
      <c r="DJ49" s="311">
        <f>IF($BI49&lt;&gt;"",IF('Capacity summary'!$D$14="Yes",IF(COUNTBLANK('Capacity summary'!$H168:$BG168)&lt;52,IF('Capacity summary'!BG168&lt;&gt;"",IF(LOWER('Capacity summary'!BG168)="x",$BI49*BG49,VALUE('Capacity summary'!BG168)),0),BG49*$BI49),BG49*$BI49),0)</f>
        <v>0</v>
      </c>
      <c r="DK49" s="391">
        <f t="shared" si="2"/>
        <v>0</v>
      </c>
      <c r="DL49" s="136">
        <f t="shared" si="3"/>
        <v>0</v>
      </c>
      <c r="DM49" s="311" t="str">
        <f>Capacity!H61</f>
        <v/>
      </c>
      <c r="DQ49" s="5"/>
    </row>
    <row r="50" spans="1:121" x14ac:dyDescent="0.2">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1">
        <f>IF($BI50&lt;&gt;"",IF('Capacity summary'!$D$14="Yes",IF(COUNTBLANK('Capacity summary'!$H169:$BG169)&lt;52,IF('Capacity summary'!H169&lt;&gt;"",IF(LOWER('Capacity summary'!H169)="x",$BI50*H50,VALUE('Capacity summary'!H169)),0),H50*$BI50),H50*$BI50),0)</f>
        <v>0</v>
      </c>
      <c r="BL50" s="311">
        <f>IF($BI50&lt;&gt;"",IF('Capacity summary'!$D$14="Yes",IF(COUNTBLANK('Capacity summary'!$H169:$BG169)&lt;52,IF('Capacity summary'!I169&lt;&gt;"",IF(LOWER('Capacity summary'!I169)="x",$BI50*I50,VALUE('Capacity summary'!I169)),0),I50*$BI50),I50*$BI50),0)</f>
        <v>0</v>
      </c>
      <c r="BM50" s="311">
        <f>IF($BI50&lt;&gt;"",IF('Capacity summary'!$D$14="Yes",IF(COUNTBLANK('Capacity summary'!$H169:$BG169)&lt;52,IF('Capacity summary'!J169&lt;&gt;"",IF(LOWER('Capacity summary'!J169)="x",$BI50*J50,VALUE('Capacity summary'!J169)),0),J50*$BI50),J50*$BI50),0)</f>
        <v>0</v>
      </c>
      <c r="BN50" s="311">
        <f>IF($BI50&lt;&gt;"",IF('Capacity summary'!$D$14="Yes",IF(COUNTBLANK('Capacity summary'!$H169:$BG169)&lt;52,IF('Capacity summary'!K169&lt;&gt;"",IF(LOWER('Capacity summary'!K169)="x",$BI50*K50,VALUE('Capacity summary'!K169)),0),K50*$BI50),K50*$BI50),0)</f>
        <v>0</v>
      </c>
      <c r="BO50" s="311">
        <f>IF($BI50&lt;&gt;"",IF('Capacity summary'!$D$14="Yes",IF(COUNTBLANK('Capacity summary'!$H169:$BG169)&lt;52,IF('Capacity summary'!L169&lt;&gt;"",IF(LOWER('Capacity summary'!L169)="x",$BI50*L50,VALUE('Capacity summary'!L169)),0),L50*$BI50),L50*$BI50),0)</f>
        <v>0</v>
      </c>
      <c r="BP50" s="311">
        <f>IF($BI50&lt;&gt;"",IF('Capacity summary'!$D$14="Yes",IF(COUNTBLANK('Capacity summary'!$H169:$BG169)&lt;52,IF('Capacity summary'!M169&lt;&gt;"",IF(LOWER('Capacity summary'!M169)="x",$BI50*M50,VALUE('Capacity summary'!M169)),0),M50*$BI50),M50*$BI50),0)</f>
        <v>0</v>
      </c>
      <c r="BQ50" s="311">
        <f>IF($BI50&lt;&gt;"",IF('Capacity summary'!$D$14="Yes",IF(COUNTBLANK('Capacity summary'!$H169:$BG169)&lt;52,IF('Capacity summary'!N169&lt;&gt;"",IF(LOWER('Capacity summary'!N169)="x",$BI50*N50,VALUE('Capacity summary'!N169)),0),N50*$BI50),N50*$BI50),0)</f>
        <v>0</v>
      </c>
      <c r="BR50" s="311">
        <f>IF($BI50&lt;&gt;"",IF('Capacity summary'!$D$14="Yes",IF(COUNTBLANK('Capacity summary'!$H169:$BG169)&lt;52,IF('Capacity summary'!O169&lt;&gt;"",IF(LOWER('Capacity summary'!O169)="x",$BI50*O50,VALUE('Capacity summary'!O169)),0),O50*$BI50),O50*$BI50),0)</f>
        <v>0</v>
      </c>
      <c r="BS50" s="311">
        <f>IF($BI50&lt;&gt;"",IF('Capacity summary'!$D$14="Yes",IF(COUNTBLANK('Capacity summary'!$H169:$BG169)&lt;52,IF('Capacity summary'!P169&lt;&gt;"",IF(LOWER('Capacity summary'!P169)="x",$BI50*P50,VALUE('Capacity summary'!P169)),0),P50*$BI50),P50*$BI50),0)</f>
        <v>0</v>
      </c>
      <c r="BT50" s="311">
        <f>IF($BI50&lt;&gt;"",IF('Capacity summary'!$D$14="Yes",IF(COUNTBLANK('Capacity summary'!$H169:$BG169)&lt;52,IF('Capacity summary'!Q169&lt;&gt;"",IF(LOWER('Capacity summary'!Q169)="x",$BI50*Q50,VALUE('Capacity summary'!Q169)),0),Q50*$BI50),Q50*$BI50),0)</f>
        <v>0</v>
      </c>
      <c r="BU50" s="311">
        <f>IF($BI50&lt;&gt;"",IF('Capacity summary'!$D$14="Yes",IF(COUNTBLANK('Capacity summary'!$H169:$BG169)&lt;52,IF('Capacity summary'!R169&lt;&gt;"",IF(LOWER('Capacity summary'!R169)="x",$BI50*R50,VALUE('Capacity summary'!R169)),0),R50*$BI50),R50*$BI50),0)</f>
        <v>0</v>
      </c>
      <c r="BV50" s="311">
        <f>IF($BI50&lt;&gt;"",IF('Capacity summary'!$D$14="Yes",IF(COUNTBLANK('Capacity summary'!$H169:$BG169)&lt;52,IF('Capacity summary'!S169&lt;&gt;"",IF(LOWER('Capacity summary'!S169)="x",$BI50*S50,VALUE('Capacity summary'!S169)),0),S50*$BI50),S50*$BI50),0)</f>
        <v>0</v>
      </c>
      <c r="BW50" s="311">
        <f>IF($BI50&lt;&gt;"",IF('Capacity summary'!$D$14="Yes",IF(COUNTBLANK('Capacity summary'!$H169:$BG169)&lt;52,IF('Capacity summary'!T169&lt;&gt;"",IF(LOWER('Capacity summary'!T169)="x",$BI50*T50,VALUE('Capacity summary'!T169)),0),T50*$BI50),T50*$BI50),0)</f>
        <v>0</v>
      </c>
      <c r="BX50" s="311">
        <f>IF($BI50&lt;&gt;"",IF('Capacity summary'!$D$14="Yes",IF(COUNTBLANK('Capacity summary'!$H169:$BG169)&lt;52,IF('Capacity summary'!U169&lt;&gt;"",IF(LOWER('Capacity summary'!U169)="x",$BI50*U50,VALUE('Capacity summary'!U169)),0),U50*$BI50),U50*$BI50),0)</f>
        <v>0</v>
      </c>
      <c r="BY50" s="311">
        <f>IF($BI50&lt;&gt;"",IF('Capacity summary'!$D$14="Yes",IF(COUNTBLANK('Capacity summary'!$H169:$BG169)&lt;52,IF('Capacity summary'!V169&lt;&gt;"",IF(LOWER('Capacity summary'!V169)="x",$BI50*V50,VALUE('Capacity summary'!V169)),0),V50*$BI50),V50*$BI50),0)</f>
        <v>0</v>
      </c>
      <c r="BZ50" s="311">
        <f>IF($BI50&lt;&gt;"",IF('Capacity summary'!$D$14="Yes",IF(COUNTBLANK('Capacity summary'!$H169:$BG169)&lt;52,IF('Capacity summary'!W169&lt;&gt;"",IF(LOWER('Capacity summary'!W169)="x",$BI50*W50,VALUE('Capacity summary'!W169)),0),W50*$BI50),W50*$BI50),0)</f>
        <v>0</v>
      </c>
      <c r="CA50" s="311">
        <f>IF($BI50&lt;&gt;"",IF('Capacity summary'!$D$14="Yes",IF(COUNTBLANK('Capacity summary'!$H169:$BG169)&lt;52,IF('Capacity summary'!X169&lt;&gt;"",IF(LOWER('Capacity summary'!X169)="x",$BI50*X50,VALUE('Capacity summary'!X169)),0),X50*$BI50),X50*$BI50),0)</f>
        <v>0</v>
      </c>
      <c r="CB50" s="311">
        <f>IF($BI50&lt;&gt;"",IF('Capacity summary'!$D$14="Yes",IF(COUNTBLANK('Capacity summary'!$H169:$BG169)&lt;52,IF('Capacity summary'!Y169&lt;&gt;"",IF(LOWER('Capacity summary'!Y169)="x",$BI50*Y50,VALUE('Capacity summary'!Y169)),0),Y50*$BI50),Y50*$BI50),0)</f>
        <v>0</v>
      </c>
      <c r="CC50" s="311">
        <f>IF($BI50&lt;&gt;"",IF('Capacity summary'!$D$14="Yes",IF(COUNTBLANK('Capacity summary'!$H169:$BG169)&lt;52,IF('Capacity summary'!Z169&lt;&gt;"",IF(LOWER('Capacity summary'!Z169)="x",$BI50*Z50,VALUE('Capacity summary'!Z169)),0),Z50*$BI50),Z50*$BI50),0)</f>
        <v>0</v>
      </c>
      <c r="CD50" s="311">
        <f>IF($BI50&lt;&gt;"",IF('Capacity summary'!$D$14="Yes",IF(COUNTBLANK('Capacity summary'!$H169:$BG169)&lt;52,IF('Capacity summary'!AA169&lt;&gt;"",IF(LOWER('Capacity summary'!AA169)="x",$BI50*AA50,VALUE('Capacity summary'!AA169)),0),AA50*$BI50),AA50*$BI50),0)</f>
        <v>0</v>
      </c>
      <c r="CE50" s="311">
        <f>IF($BI50&lt;&gt;"",IF('Capacity summary'!$D$14="Yes",IF(COUNTBLANK('Capacity summary'!$H169:$BG169)&lt;52,IF('Capacity summary'!AB169&lt;&gt;"",IF(LOWER('Capacity summary'!AB169)="x",$BI50*AB50,VALUE('Capacity summary'!AB169)),0),AB50*$BI50),AB50*$BI50),0)</f>
        <v>0</v>
      </c>
      <c r="CF50" s="311">
        <f>IF($BI50&lt;&gt;"",IF('Capacity summary'!$D$14="Yes",IF(COUNTBLANK('Capacity summary'!$H169:$BG169)&lt;52,IF('Capacity summary'!AC169&lt;&gt;"",IF(LOWER('Capacity summary'!AC169)="x",$BI50*AC50,VALUE('Capacity summary'!AC169)),0),AC50*$BI50),AC50*$BI50),0)</f>
        <v>0</v>
      </c>
      <c r="CG50" s="311">
        <f>IF($BI50&lt;&gt;"",IF('Capacity summary'!$D$14="Yes",IF(COUNTBLANK('Capacity summary'!$H169:$BG169)&lt;52,IF('Capacity summary'!AD169&lt;&gt;"",IF(LOWER('Capacity summary'!AD169)="x",$BI50*AD50,VALUE('Capacity summary'!AD169)),0),AD50*$BI50),AD50*$BI50),0)</f>
        <v>0</v>
      </c>
      <c r="CH50" s="311">
        <f>IF($BI50&lt;&gt;"",IF('Capacity summary'!$D$14="Yes",IF(COUNTBLANK('Capacity summary'!$H169:$BG169)&lt;52,IF('Capacity summary'!AE169&lt;&gt;"",IF(LOWER('Capacity summary'!AE169)="x",$BI50*AE50,VALUE('Capacity summary'!AE169)),0),AE50*$BI50),AE50*$BI50),0)</f>
        <v>0</v>
      </c>
      <c r="CI50" s="311">
        <f>IF($BI50&lt;&gt;"",IF('Capacity summary'!$D$14="Yes",IF(COUNTBLANK('Capacity summary'!$H169:$BG169)&lt;52,IF('Capacity summary'!AF169&lt;&gt;"",IF(LOWER('Capacity summary'!AF169)="x",$BI50*AF50,VALUE('Capacity summary'!AF169)),0),AF50*$BI50),AF50*$BI50),0)</f>
        <v>0</v>
      </c>
      <c r="CJ50" s="311">
        <f>IF($BI50&lt;&gt;"",IF('Capacity summary'!$D$14="Yes",IF(COUNTBLANK('Capacity summary'!$H169:$BG169)&lt;52,IF('Capacity summary'!AG169&lt;&gt;"",IF(LOWER('Capacity summary'!AG169)="x",$BI50*AG50,VALUE('Capacity summary'!AG169)),0),AG50*$BI50),AG50*$BI50),0)</f>
        <v>0</v>
      </c>
      <c r="CK50" s="311">
        <f>IF($BI50&lt;&gt;"",IF('Capacity summary'!$D$14="Yes",IF(COUNTBLANK('Capacity summary'!$H169:$BG169)&lt;52,IF('Capacity summary'!AH169&lt;&gt;"",IF(LOWER('Capacity summary'!AH169)="x",$BI50*AH50,VALUE('Capacity summary'!AH169)),0),AH50*$BI50),AH50*$BI50),0)</f>
        <v>0</v>
      </c>
      <c r="CL50" s="311">
        <f>IF($BI50&lt;&gt;"",IF('Capacity summary'!$D$14="Yes",IF(COUNTBLANK('Capacity summary'!$H169:$BG169)&lt;52,IF('Capacity summary'!AI169&lt;&gt;"",IF(LOWER('Capacity summary'!AI169)="x",$BI50*AI50,VALUE('Capacity summary'!AI169)),0),AI50*$BI50),AI50*$BI50),0)</f>
        <v>0</v>
      </c>
      <c r="CM50" s="311">
        <f>IF($BI50&lt;&gt;"",IF('Capacity summary'!$D$14="Yes",IF(COUNTBLANK('Capacity summary'!$H169:$BG169)&lt;52,IF('Capacity summary'!AJ169&lt;&gt;"",IF(LOWER('Capacity summary'!AJ169)="x",$BI50*AJ50,VALUE('Capacity summary'!AJ169)),0),AJ50*$BI50),AJ50*$BI50),0)</f>
        <v>0</v>
      </c>
      <c r="CN50" s="311">
        <f>IF($BI50&lt;&gt;"",IF('Capacity summary'!$D$14="Yes",IF(COUNTBLANK('Capacity summary'!$H169:$BG169)&lt;52,IF('Capacity summary'!AK169&lt;&gt;"",IF(LOWER('Capacity summary'!AK169)="x",$BI50*AK50,VALUE('Capacity summary'!AK169)),0),AK50*$BI50),AK50*$BI50),0)</f>
        <v>0</v>
      </c>
      <c r="CO50" s="311">
        <f>IF($BI50&lt;&gt;"",IF('Capacity summary'!$D$14="Yes",IF(COUNTBLANK('Capacity summary'!$H169:$BG169)&lt;52,IF('Capacity summary'!AL169&lt;&gt;"",IF(LOWER('Capacity summary'!AL169)="x",$BI50*AL50,VALUE('Capacity summary'!AL169)),0),AL50*$BI50),AL50*$BI50),0)</f>
        <v>0</v>
      </c>
      <c r="CP50" s="311">
        <f>IF($BI50&lt;&gt;"",IF('Capacity summary'!$D$14="Yes",IF(COUNTBLANK('Capacity summary'!$H169:$BG169)&lt;52,IF('Capacity summary'!AM169&lt;&gt;"",IF(LOWER('Capacity summary'!AM169)="x",$BI50*AM50,VALUE('Capacity summary'!AM169)),0),AM50*$BI50),AM50*$BI50),0)</f>
        <v>0</v>
      </c>
      <c r="CQ50" s="311">
        <f>IF($BI50&lt;&gt;"",IF('Capacity summary'!$D$14="Yes",IF(COUNTBLANK('Capacity summary'!$H169:$BG169)&lt;52,IF('Capacity summary'!AN169&lt;&gt;"",IF(LOWER('Capacity summary'!AN169)="x",$BI50*AN50,VALUE('Capacity summary'!AN169)),0),AN50*$BI50),AN50*$BI50),0)</f>
        <v>0</v>
      </c>
      <c r="CR50" s="311">
        <f>IF($BI50&lt;&gt;"",IF('Capacity summary'!$D$14="Yes",IF(COUNTBLANK('Capacity summary'!$H169:$BG169)&lt;52,IF('Capacity summary'!AO169&lt;&gt;"",IF(LOWER('Capacity summary'!AO169)="x",$BI50*AO50,VALUE('Capacity summary'!AO169)),0),AO50*$BI50),AO50*$BI50),0)</f>
        <v>0</v>
      </c>
      <c r="CS50" s="311">
        <f>IF($BI50&lt;&gt;"",IF('Capacity summary'!$D$14="Yes",IF(COUNTBLANK('Capacity summary'!$H169:$BG169)&lt;52,IF('Capacity summary'!AP169&lt;&gt;"",IF(LOWER('Capacity summary'!AP169)="x",$BI50*AP50,VALUE('Capacity summary'!AP169)),0),AP50*$BI50),AP50*$BI50),0)</f>
        <v>0</v>
      </c>
      <c r="CT50" s="311">
        <f>IF($BI50&lt;&gt;"",IF('Capacity summary'!$D$14="Yes",IF(COUNTBLANK('Capacity summary'!$H169:$BG169)&lt;52,IF('Capacity summary'!AQ169&lt;&gt;"",IF(LOWER('Capacity summary'!AQ169)="x",$BI50*AQ50,VALUE('Capacity summary'!AQ169)),0),AQ50*$BI50),AQ50*$BI50),0)</f>
        <v>0</v>
      </c>
      <c r="CU50" s="311">
        <f>IF($BI50&lt;&gt;"",IF('Capacity summary'!$D$14="Yes",IF(COUNTBLANK('Capacity summary'!$H169:$BG169)&lt;52,IF('Capacity summary'!AR169&lt;&gt;"",IF(LOWER('Capacity summary'!AR169)="x",$BI50*AR50,VALUE('Capacity summary'!AR169)),0),AR50*$BI50),AR50*$BI50),0)</f>
        <v>0</v>
      </c>
      <c r="CV50" s="311">
        <f>IF($BI50&lt;&gt;"",IF('Capacity summary'!$D$14="Yes",IF(COUNTBLANK('Capacity summary'!$H169:$BG169)&lt;52,IF('Capacity summary'!AS169&lt;&gt;"",IF(LOWER('Capacity summary'!AS169)="x",$BI50*AS50,VALUE('Capacity summary'!AS169)),0),AS50*$BI50),AS50*$BI50),0)</f>
        <v>0</v>
      </c>
      <c r="CW50" s="311">
        <f>IF($BI50&lt;&gt;"",IF('Capacity summary'!$D$14="Yes",IF(COUNTBLANK('Capacity summary'!$H169:$BG169)&lt;52,IF('Capacity summary'!AT169&lt;&gt;"",IF(LOWER('Capacity summary'!AT169)="x",$BI50*AT50,VALUE('Capacity summary'!AT169)),0),AT50*$BI50),AT50*$BI50),0)</f>
        <v>0</v>
      </c>
      <c r="CX50" s="311">
        <f>IF($BI50&lt;&gt;"",IF('Capacity summary'!$D$14="Yes",IF(COUNTBLANK('Capacity summary'!$H169:$BG169)&lt;52,IF('Capacity summary'!AU169&lt;&gt;"",IF(LOWER('Capacity summary'!AU169)="x",$BI50*AU50,VALUE('Capacity summary'!AU169)),0),AU50*$BI50),AU50*$BI50),0)</f>
        <v>0</v>
      </c>
      <c r="CY50" s="311">
        <f>IF($BI50&lt;&gt;"",IF('Capacity summary'!$D$14="Yes",IF(COUNTBLANK('Capacity summary'!$H169:$BG169)&lt;52,IF('Capacity summary'!AV169&lt;&gt;"",IF(LOWER('Capacity summary'!AV169)="x",$BI50*AV50,VALUE('Capacity summary'!AV169)),0),AV50*$BI50),AV50*$BI50),0)</f>
        <v>0</v>
      </c>
      <c r="CZ50" s="311">
        <f>IF($BI50&lt;&gt;"",IF('Capacity summary'!$D$14="Yes",IF(COUNTBLANK('Capacity summary'!$H169:$BG169)&lt;52,IF('Capacity summary'!AW169&lt;&gt;"",IF(LOWER('Capacity summary'!AW169)="x",$BI50*AW50,VALUE('Capacity summary'!AW169)),0),AW50*$BI50),AW50*$BI50),0)</f>
        <v>0</v>
      </c>
      <c r="DA50" s="311">
        <f>IF($BI50&lt;&gt;"",IF('Capacity summary'!$D$14="Yes",IF(COUNTBLANK('Capacity summary'!$H169:$BG169)&lt;52,IF('Capacity summary'!AX169&lt;&gt;"",IF(LOWER('Capacity summary'!AX169)="x",$BI50*AX50,VALUE('Capacity summary'!AX169)),0),AX50*$BI50),AX50*$BI50),0)</f>
        <v>0</v>
      </c>
      <c r="DB50" s="311">
        <f>IF($BI50&lt;&gt;"",IF('Capacity summary'!$D$14="Yes",IF(COUNTBLANK('Capacity summary'!$H169:$BG169)&lt;52,IF('Capacity summary'!AY169&lt;&gt;"",IF(LOWER('Capacity summary'!AY169)="x",$BI50*AY50,VALUE('Capacity summary'!AY169)),0),AY50*$BI50),AY50*$BI50),0)</f>
        <v>0</v>
      </c>
      <c r="DC50" s="311">
        <f>IF($BI50&lt;&gt;"",IF('Capacity summary'!$D$14="Yes",IF(COUNTBLANK('Capacity summary'!$H169:$BG169)&lt;52,IF('Capacity summary'!AZ169&lt;&gt;"",IF(LOWER('Capacity summary'!AZ169)="x",$BI50*AZ50,VALUE('Capacity summary'!AZ169)),0),AZ50*$BI50),AZ50*$BI50),0)</f>
        <v>0</v>
      </c>
      <c r="DD50" s="311">
        <f>IF($BI50&lt;&gt;"",IF('Capacity summary'!$D$14="Yes",IF(COUNTBLANK('Capacity summary'!$H169:$BG169)&lt;52,IF('Capacity summary'!BA169&lt;&gt;"",IF(LOWER('Capacity summary'!BA169)="x",$BI50*BA50,VALUE('Capacity summary'!BA169)),0),BA50*$BI50),BA50*$BI50),0)</f>
        <v>0</v>
      </c>
      <c r="DE50" s="311">
        <f>IF($BI50&lt;&gt;"",IF('Capacity summary'!$D$14="Yes",IF(COUNTBLANK('Capacity summary'!$H169:$BG169)&lt;52,IF('Capacity summary'!BB169&lt;&gt;"",IF(LOWER('Capacity summary'!BB169)="x",$BI50*BB50,VALUE('Capacity summary'!BB169)),0),BB50*$BI50),BB50*$BI50),0)</f>
        <v>0</v>
      </c>
      <c r="DF50" s="311">
        <f>IF($BI50&lt;&gt;"",IF('Capacity summary'!$D$14="Yes",IF(COUNTBLANK('Capacity summary'!$H169:$BG169)&lt;52,IF('Capacity summary'!BC169&lt;&gt;"",IF(LOWER('Capacity summary'!BC169)="x",$BI50*BC50,VALUE('Capacity summary'!BC169)),0),BC50*$BI50),BC50*$BI50),0)</f>
        <v>0</v>
      </c>
      <c r="DG50" s="311">
        <f>IF($BI50&lt;&gt;"",IF('Capacity summary'!$D$14="Yes",IF(COUNTBLANK('Capacity summary'!$H169:$BG169)&lt;52,IF('Capacity summary'!BD169&lt;&gt;"",IF(LOWER('Capacity summary'!BD169)="x",$BI50*BD50,VALUE('Capacity summary'!BD169)),0),BD50*$BI50),BD50*$BI50),0)</f>
        <v>0</v>
      </c>
      <c r="DH50" s="311">
        <f>IF($BI50&lt;&gt;"",IF('Capacity summary'!$D$14="Yes",IF(COUNTBLANK('Capacity summary'!$H169:$BG169)&lt;52,IF('Capacity summary'!BE169&lt;&gt;"",IF(LOWER('Capacity summary'!BE169)="x",$BI50*BE50,VALUE('Capacity summary'!BE169)),0),BE50*$BI50),BE50*$BI50),0)</f>
        <v>0</v>
      </c>
      <c r="DI50" s="311">
        <f>IF($BI50&lt;&gt;"",IF('Capacity summary'!$D$14="Yes",IF(COUNTBLANK('Capacity summary'!$H169:$BG169)&lt;52,IF('Capacity summary'!BF169&lt;&gt;"",IF(LOWER('Capacity summary'!BF169)="x",$BI50*BF50,VALUE('Capacity summary'!BF169)),0),BF50*$BI50),BF50*$BI50),0)</f>
        <v>0</v>
      </c>
      <c r="DJ50" s="311">
        <f>IF($BI50&lt;&gt;"",IF('Capacity summary'!$D$14="Yes",IF(COUNTBLANK('Capacity summary'!$H169:$BG169)&lt;52,IF('Capacity summary'!BG169&lt;&gt;"",IF(LOWER('Capacity summary'!BG169)="x",$BI50*BG50,VALUE('Capacity summary'!BG169)),0),BG50*$BI50),BG50*$BI50),0)</f>
        <v>0</v>
      </c>
      <c r="DK50" s="391">
        <f t="shared" si="2"/>
        <v>0</v>
      </c>
      <c r="DL50" s="136">
        <f t="shared" si="3"/>
        <v>0</v>
      </c>
      <c r="DM50" s="311" t="str">
        <f>Capacity!H62</f>
        <v/>
      </c>
      <c r="DQ50" s="5"/>
    </row>
    <row r="51" spans="1:121" x14ac:dyDescent="0.2">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1">
        <f>IF($BI51&lt;&gt;"",IF('Capacity summary'!$D$14="Yes",IF(COUNTBLANK('Capacity summary'!$H170:$BG170)&lt;52,IF('Capacity summary'!H170&lt;&gt;"",IF(LOWER('Capacity summary'!H170)="x",$BI51*H51,VALUE('Capacity summary'!H170)),0),H51*$BI51),H51*$BI51),0)</f>
        <v>0</v>
      </c>
      <c r="BL51" s="311">
        <f>IF($BI51&lt;&gt;"",IF('Capacity summary'!$D$14="Yes",IF(COUNTBLANK('Capacity summary'!$H170:$BG170)&lt;52,IF('Capacity summary'!I170&lt;&gt;"",IF(LOWER('Capacity summary'!I170)="x",$BI51*I51,VALUE('Capacity summary'!I170)),0),I51*$BI51),I51*$BI51),0)</f>
        <v>0</v>
      </c>
      <c r="BM51" s="311">
        <f>IF($BI51&lt;&gt;"",IF('Capacity summary'!$D$14="Yes",IF(COUNTBLANK('Capacity summary'!$H170:$BG170)&lt;52,IF('Capacity summary'!J170&lt;&gt;"",IF(LOWER('Capacity summary'!J170)="x",$BI51*J51,VALUE('Capacity summary'!J170)),0),J51*$BI51),J51*$BI51),0)</f>
        <v>0</v>
      </c>
      <c r="BN51" s="311">
        <f>IF($BI51&lt;&gt;"",IF('Capacity summary'!$D$14="Yes",IF(COUNTBLANK('Capacity summary'!$H170:$BG170)&lt;52,IF('Capacity summary'!K170&lt;&gt;"",IF(LOWER('Capacity summary'!K170)="x",$BI51*K51,VALUE('Capacity summary'!K170)),0),K51*$BI51),K51*$BI51),0)</f>
        <v>0</v>
      </c>
      <c r="BO51" s="311">
        <f>IF($BI51&lt;&gt;"",IF('Capacity summary'!$D$14="Yes",IF(COUNTBLANK('Capacity summary'!$H170:$BG170)&lt;52,IF('Capacity summary'!L170&lt;&gt;"",IF(LOWER('Capacity summary'!L170)="x",$BI51*L51,VALUE('Capacity summary'!L170)),0),L51*$BI51),L51*$BI51),0)</f>
        <v>0</v>
      </c>
      <c r="BP51" s="311">
        <f>IF($BI51&lt;&gt;"",IF('Capacity summary'!$D$14="Yes",IF(COUNTBLANK('Capacity summary'!$H170:$BG170)&lt;52,IF('Capacity summary'!M170&lt;&gt;"",IF(LOWER('Capacity summary'!M170)="x",$BI51*M51,VALUE('Capacity summary'!M170)),0),M51*$BI51),M51*$BI51),0)</f>
        <v>0</v>
      </c>
      <c r="BQ51" s="311">
        <f>IF($BI51&lt;&gt;"",IF('Capacity summary'!$D$14="Yes",IF(COUNTBLANK('Capacity summary'!$H170:$BG170)&lt;52,IF('Capacity summary'!N170&lt;&gt;"",IF(LOWER('Capacity summary'!N170)="x",$BI51*N51,VALUE('Capacity summary'!N170)),0),N51*$BI51),N51*$BI51),0)</f>
        <v>0</v>
      </c>
      <c r="BR51" s="311">
        <f>IF($BI51&lt;&gt;"",IF('Capacity summary'!$D$14="Yes",IF(COUNTBLANK('Capacity summary'!$H170:$BG170)&lt;52,IF('Capacity summary'!O170&lt;&gt;"",IF(LOWER('Capacity summary'!O170)="x",$BI51*O51,VALUE('Capacity summary'!O170)),0),O51*$BI51),O51*$BI51),0)</f>
        <v>0</v>
      </c>
      <c r="BS51" s="311">
        <f>IF($BI51&lt;&gt;"",IF('Capacity summary'!$D$14="Yes",IF(COUNTBLANK('Capacity summary'!$H170:$BG170)&lt;52,IF('Capacity summary'!P170&lt;&gt;"",IF(LOWER('Capacity summary'!P170)="x",$BI51*P51,VALUE('Capacity summary'!P170)),0),P51*$BI51),P51*$BI51),0)</f>
        <v>0</v>
      </c>
      <c r="BT51" s="311">
        <f>IF($BI51&lt;&gt;"",IF('Capacity summary'!$D$14="Yes",IF(COUNTBLANK('Capacity summary'!$H170:$BG170)&lt;52,IF('Capacity summary'!Q170&lt;&gt;"",IF(LOWER('Capacity summary'!Q170)="x",$BI51*Q51,VALUE('Capacity summary'!Q170)),0),Q51*$BI51),Q51*$BI51),0)</f>
        <v>0</v>
      </c>
      <c r="BU51" s="311">
        <f>IF($BI51&lt;&gt;"",IF('Capacity summary'!$D$14="Yes",IF(COUNTBLANK('Capacity summary'!$H170:$BG170)&lt;52,IF('Capacity summary'!R170&lt;&gt;"",IF(LOWER('Capacity summary'!R170)="x",$BI51*R51,VALUE('Capacity summary'!R170)),0),R51*$BI51),R51*$BI51),0)</f>
        <v>0</v>
      </c>
      <c r="BV51" s="311">
        <f>IF($BI51&lt;&gt;"",IF('Capacity summary'!$D$14="Yes",IF(COUNTBLANK('Capacity summary'!$H170:$BG170)&lt;52,IF('Capacity summary'!S170&lt;&gt;"",IF(LOWER('Capacity summary'!S170)="x",$BI51*S51,VALUE('Capacity summary'!S170)),0),S51*$BI51),S51*$BI51),0)</f>
        <v>0</v>
      </c>
      <c r="BW51" s="311">
        <f>IF($BI51&lt;&gt;"",IF('Capacity summary'!$D$14="Yes",IF(COUNTBLANK('Capacity summary'!$H170:$BG170)&lt;52,IF('Capacity summary'!T170&lt;&gt;"",IF(LOWER('Capacity summary'!T170)="x",$BI51*T51,VALUE('Capacity summary'!T170)),0),T51*$BI51),T51*$BI51),0)</f>
        <v>0</v>
      </c>
      <c r="BX51" s="311">
        <f>IF($BI51&lt;&gt;"",IF('Capacity summary'!$D$14="Yes",IF(COUNTBLANK('Capacity summary'!$H170:$BG170)&lt;52,IF('Capacity summary'!U170&lt;&gt;"",IF(LOWER('Capacity summary'!U170)="x",$BI51*U51,VALUE('Capacity summary'!U170)),0),U51*$BI51),U51*$BI51),0)</f>
        <v>0</v>
      </c>
      <c r="BY51" s="311">
        <f>IF($BI51&lt;&gt;"",IF('Capacity summary'!$D$14="Yes",IF(COUNTBLANK('Capacity summary'!$H170:$BG170)&lt;52,IF('Capacity summary'!V170&lt;&gt;"",IF(LOWER('Capacity summary'!V170)="x",$BI51*V51,VALUE('Capacity summary'!V170)),0),V51*$BI51),V51*$BI51),0)</f>
        <v>0</v>
      </c>
      <c r="BZ51" s="311">
        <f>IF($BI51&lt;&gt;"",IF('Capacity summary'!$D$14="Yes",IF(COUNTBLANK('Capacity summary'!$H170:$BG170)&lt;52,IF('Capacity summary'!W170&lt;&gt;"",IF(LOWER('Capacity summary'!W170)="x",$BI51*W51,VALUE('Capacity summary'!W170)),0),W51*$BI51),W51*$BI51),0)</f>
        <v>0</v>
      </c>
      <c r="CA51" s="311">
        <f>IF($BI51&lt;&gt;"",IF('Capacity summary'!$D$14="Yes",IF(COUNTBLANK('Capacity summary'!$H170:$BG170)&lt;52,IF('Capacity summary'!X170&lt;&gt;"",IF(LOWER('Capacity summary'!X170)="x",$BI51*X51,VALUE('Capacity summary'!X170)),0),X51*$BI51),X51*$BI51),0)</f>
        <v>0</v>
      </c>
      <c r="CB51" s="311">
        <f>IF($BI51&lt;&gt;"",IF('Capacity summary'!$D$14="Yes",IF(COUNTBLANK('Capacity summary'!$H170:$BG170)&lt;52,IF('Capacity summary'!Y170&lt;&gt;"",IF(LOWER('Capacity summary'!Y170)="x",$BI51*Y51,VALUE('Capacity summary'!Y170)),0),Y51*$BI51),Y51*$BI51),0)</f>
        <v>0</v>
      </c>
      <c r="CC51" s="311">
        <f>IF($BI51&lt;&gt;"",IF('Capacity summary'!$D$14="Yes",IF(COUNTBLANK('Capacity summary'!$H170:$BG170)&lt;52,IF('Capacity summary'!Z170&lt;&gt;"",IF(LOWER('Capacity summary'!Z170)="x",$BI51*Z51,VALUE('Capacity summary'!Z170)),0),Z51*$BI51),Z51*$BI51),0)</f>
        <v>0</v>
      </c>
      <c r="CD51" s="311">
        <f>IF($BI51&lt;&gt;"",IF('Capacity summary'!$D$14="Yes",IF(COUNTBLANK('Capacity summary'!$H170:$BG170)&lt;52,IF('Capacity summary'!AA170&lt;&gt;"",IF(LOWER('Capacity summary'!AA170)="x",$BI51*AA51,VALUE('Capacity summary'!AA170)),0),AA51*$BI51),AA51*$BI51),0)</f>
        <v>0</v>
      </c>
      <c r="CE51" s="311">
        <f>IF($BI51&lt;&gt;"",IF('Capacity summary'!$D$14="Yes",IF(COUNTBLANK('Capacity summary'!$H170:$BG170)&lt;52,IF('Capacity summary'!AB170&lt;&gt;"",IF(LOWER('Capacity summary'!AB170)="x",$BI51*AB51,VALUE('Capacity summary'!AB170)),0),AB51*$BI51),AB51*$BI51),0)</f>
        <v>0</v>
      </c>
      <c r="CF51" s="311">
        <f>IF($BI51&lt;&gt;"",IF('Capacity summary'!$D$14="Yes",IF(COUNTBLANK('Capacity summary'!$H170:$BG170)&lt;52,IF('Capacity summary'!AC170&lt;&gt;"",IF(LOWER('Capacity summary'!AC170)="x",$BI51*AC51,VALUE('Capacity summary'!AC170)),0),AC51*$BI51),AC51*$BI51),0)</f>
        <v>0</v>
      </c>
      <c r="CG51" s="311">
        <f>IF($BI51&lt;&gt;"",IF('Capacity summary'!$D$14="Yes",IF(COUNTBLANK('Capacity summary'!$H170:$BG170)&lt;52,IF('Capacity summary'!AD170&lt;&gt;"",IF(LOWER('Capacity summary'!AD170)="x",$BI51*AD51,VALUE('Capacity summary'!AD170)),0),AD51*$BI51),AD51*$BI51),0)</f>
        <v>0</v>
      </c>
      <c r="CH51" s="311">
        <f>IF($BI51&lt;&gt;"",IF('Capacity summary'!$D$14="Yes",IF(COUNTBLANK('Capacity summary'!$H170:$BG170)&lt;52,IF('Capacity summary'!AE170&lt;&gt;"",IF(LOWER('Capacity summary'!AE170)="x",$BI51*AE51,VALUE('Capacity summary'!AE170)),0),AE51*$BI51),AE51*$BI51),0)</f>
        <v>0</v>
      </c>
      <c r="CI51" s="311">
        <f>IF($BI51&lt;&gt;"",IF('Capacity summary'!$D$14="Yes",IF(COUNTBLANK('Capacity summary'!$H170:$BG170)&lt;52,IF('Capacity summary'!AF170&lt;&gt;"",IF(LOWER('Capacity summary'!AF170)="x",$BI51*AF51,VALUE('Capacity summary'!AF170)),0),AF51*$BI51),AF51*$BI51),0)</f>
        <v>0</v>
      </c>
      <c r="CJ51" s="311">
        <f>IF($BI51&lt;&gt;"",IF('Capacity summary'!$D$14="Yes",IF(COUNTBLANK('Capacity summary'!$H170:$BG170)&lt;52,IF('Capacity summary'!AG170&lt;&gt;"",IF(LOWER('Capacity summary'!AG170)="x",$BI51*AG51,VALUE('Capacity summary'!AG170)),0),AG51*$BI51),AG51*$BI51),0)</f>
        <v>0</v>
      </c>
      <c r="CK51" s="311">
        <f>IF($BI51&lt;&gt;"",IF('Capacity summary'!$D$14="Yes",IF(COUNTBLANK('Capacity summary'!$H170:$BG170)&lt;52,IF('Capacity summary'!AH170&lt;&gt;"",IF(LOWER('Capacity summary'!AH170)="x",$BI51*AH51,VALUE('Capacity summary'!AH170)),0),AH51*$BI51),AH51*$BI51),0)</f>
        <v>0</v>
      </c>
      <c r="CL51" s="311">
        <f>IF($BI51&lt;&gt;"",IF('Capacity summary'!$D$14="Yes",IF(COUNTBLANK('Capacity summary'!$H170:$BG170)&lt;52,IF('Capacity summary'!AI170&lt;&gt;"",IF(LOWER('Capacity summary'!AI170)="x",$BI51*AI51,VALUE('Capacity summary'!AI170)),0),AI51*$BI51),AI51*$BI51),0)</f>
        <v>0</v>
      </c>
      <c r="CM51" s="311">
        <f>IF($BI51&lt;&gt;"",IF('Capacity summary'!$D$14="Yes",IF(COUNTBLANK('Capacity summary'!$H170:$BG170)&lt;52,IF('Capacity summary'!AJ170&lt;&gt;"",IF(LOWER('Capacity summary'!AJ170)="x",$BI51*AJ51,VALUE('Capacity summary'!AJ170)),0),AJ51*$BI51),AJ51*$BI51),0)</f>
        <v>0</v>
      </c>
      <c r="CN51" s="311">
        <f>IF($BI51&lt;&gt;"",IF('Capacity summary'!$D$14="Yes",IF(COUNTBLANK('Capacity summary'!$H170:$BG170)&lt;52,IF('Capacity summary'!AK170&lt;&gt;"",IF(LOWER('Capacity summary'!AK170)="x",$BI51*AK51,VALUE('Capacity summary'!AK170)),0),AK51*$BI51),AK51*$BI51),0)</f>
        <v>0</v>
      </c>
      <c r="CO51" s="311">
        <f>IF($BI51&lt;&gt;"",IF('Capacity summary'!$D$14="Yes",IF(COUNTBLANK('Capacity summary'!$H170:$BG170)&lt;52,IF('Capacity summary'!AL170&lt;&gt;"",IF(LOWER('Capacity summary'!AL170)="x",$BI51*AL51,VALUE('Capacity summary'!AL170)),0),AL51*$BI51),AL51*$BI51),0)</f>
        <v>0</v>
      </c>
      <c r="CP51" s="311">
        <f>IF($BI51&lt;&gt;"",IF('Capacity summary'!$D$14="Yes",IF(COUNTBLANK('Capacity summary'!$H170:$BG170)&lt;52,IF('Capacity summary'!AM170&lt;&gt;"",IF(LOWER('Capacity summary'!AM170)="x",$BI51*AM51,VALUE('Capacity summary'!AM170)),0),AM51*$BI51),AM51*$BI51),0)</f>
        <v>0</v>
      </c>
      <c r="CQ51" s="311">
        <f>IF($BI51&lt;&gt;"",IF('Capacity summary'!$D$14="Yes",IF(COUNTBLANK('Capacity summary'!$H170:$BG170)&lt;52,IF('Capacity summary'!AN170&lt;&gt;"",IF(LOWER('Capacity summary'!AN170)="x",$BI51*AN51,VALUE('Capacity summary'!AN170)),0),AN51*$BI51),AN51*$BI51),0)</f>
        <v>0</v>
      </c>
      <c r="CR51" s="311">
        <f>IF($BI51&lt;&gt;"",IF('Capacity summary'!$D$14="Yes",IF(COUNTBLANK('Capacity summary'!$H170:$BG170)&lt;52,IF('Capacity summary'!AO170&lt;&gt;"",IF(LOWER('Capacity summary'!AO170)="x",$BI51*AO51,VALUE('Capacity summary'!AO170)),0),AO51*$BI51),AO51*$BI51),0)</f>
        <v>0</v>
      </c>
      <c r="CS51" s="311">
        <f>IF($BI51&lt;&gt;"",IF('Capacity summary'!$D$14="Yes",IF(COUNTBLANK('Capacity summary'!$H170:$BG170)&lt;52,IF('Capacity summary'!AP170&lt;&gt;"",IF(LOWER('Capacity summary'!AP170)="x",$BI51*AP51,VALUE('Capacity summary'!AP170)),0),AP51*$BI51),AP51*$BI51),0)</f>
        <v>0</v>
      </c>
      <c r="CT51" s="311">
        <f>IF($BI51&lt;&gt;"",IF('Capacity summary'!$D$14="Yes",IF(COUNTBLANK('Capacity summary'!$H170:$BG170)&lt;52,IF('Capacity summary'!AQ170&lt;&gt;"",IF(LOWER('Capacity summary'!AQ170)="x",$BI51*AQ51,VALUE('Capacity summary'!AQ170)),0),AQ51*$BI51),AQ51*$BI51),0)</f>
        <v>0</v>
      </c>
      <c r="CU51" s="311">
        <f>IF($BI51&lt;&gt;"",IF('Capacity summary'!$D$14="Yes",IF(COUNTBLANK('Capacity summary'!$H170:$BG170)&lt;52,IF('Capacity summary'!AR170&lt;&gt;"",IF(LOWER('Capacity summary'!AR170)="x",$BI51*AR51,VALUE('Capacity summary'!AR170)),0),AR51*$BI51),AR51*$BI51),0)</f>
        <v>0</v>
      </c>
      <c r="CV51" s="311">
        <f>IF($BI51&lt;&gt;"",IF('Capacity summary'!$D$14="Yes",IF(COUNTBLANK('Capacity summary'!$H170:$BG170)&lt;52,IF('Capacity summary'!AS170&lt;&gt;"",IF(LOWER('Capacity summary'!AS170)="x",$BI51*AS51,VALUE('Capacity summary'!AS170)),0),AS51*$BI51),AS51*$BI51),0)</f>
        <v>0</v>
      </c>
      <c r="CW51" s="311">
        <f>IF($BI51&lt;&gt;"",IF('Capacity summary'!$D$14="Yes",IF(COUNTBLANK('Capacity summary'!$H170:$BG170)&lt;52,IF('Capacity summary'!AT170&lt;&gt;"",IF(LOWER('Capacity summary'!AT170)="x",$BI51*AT51,VALUE('Capacity summary'!AT170)),0),AT51*$BI51),AT51*$BI51),0)</f>
        <v>0</v>
      </c>
      <c r="CX51" s="311">
        <f>IF($BI51&lt;&gt;"",IF('Capacity summary'!$D$14="Yes",IF(COUNTBLANK('Capacity summary'!$H170:$BG170)&lt;52,IF('Capacity summary'!AU170&lt;&gt;"",IF(LOWER('Capacity summary'!AU170)="x",$BI51*AU51,VALUE('Capacity summary'!AU170)),0),AU51*$BI51),AU51*$BI51),0)</f>
        <v>0</v>
      </c>
      <c r="CY51" s="311">
        <f>IF($BI51&lt;&gt;"",IF('Capacity summary'!$D$14="Yes",IF(COUNTBLANK('Capacity summary'!$H170:$BG170)&lt;52,IF('Capacity summary'!AV170&lt;&gt;"",IF(LOWER('Capacity summary'!AV170)="x",$BI51*AV51,VALUE('Capacity summary'!AV170)),0),AV51*$BI51),AV51*$BI51),0)</f>
        <v>0</v>
      </c>
      <c r="CZ51" s="311">
        <f>IF($BI51&lt;&gt;"",IF('Capacity summary'!$D$14="Yes",IF(COUNTBLANK('Capacity summary'!$H170:$BG170)&lt;52,IF('Capacity summary'!AW170&lt;&gt;"",IF(LOWER('Capacity summary'!AW170)="x",$BI51*AW51,VALUE('Capacity summary'!AW170)),0),AW51*$BI51),AW51*$BI51),0)</f>
        <v>0</v>
      </c>
      <c r="DA51" s="311">
        <f>IF($BI51&lt;&gt;"",IF('Capacity summary'!$D$14="Yes",IF(COUNTBLANK('Capacity summary'!$H170:$BG170)&lt;52,IF('Capacity summary'!AX170&lt;&gt;"",IF(LOWER('Capacity summary'!AX170)="x",$BI51*AX51,VALUE('Capacity summary'!AX170)),0),AX51*$BI51),AX51*$BI51),0)</f>
        <v>0</v>
      </c>
      <c r="DB51" s="311">
        <f>IF($BI51&lt;&gt;"",IF('Capacity summary'!$D$14="Yes",IF(COUNTBLANK('Capacity summary'!$H170:$BG170)&lt;52,IF('Capacity summary'!AY170&lt;&gt;"",IF(LOWER('Capacity summary'!AY170)="x",$BI51*AY51,VALUE('Capacity summary'!AY170)),0),AY51*$BI51),AY51*$BI51),0)</f>
        <v>0</v>
      </c>
      <c r="DC51" s="311">
        <f>IF($BI51&lt;&gt;"",IF('Capacity summary'!$D$14="Yes",IF(COUNTBLANK('Capacity summary'!$H170:$BG170)&lt;52,IF('Capacity summary'!AZ170&lt;&gt;"",IF(LOWER('Capacity summary'!AZ170)="x",$BI51*AZ51,VALUE('Capacity summary'!AZ170)),0),AZ51*$BI51),AZ51*$BI51),0)</f>
        <v>0</v>
      </c>
      <c r="DD51" s="311">
        <f>IF($BI51&lt;&gt;"",IF('Capacity summary'!$D$14="Yes",IF(COUNTBLANK('Capacity summary'!$H170:$BG170)&lt;52,IF('Capacity summary'!BA170&lt;&gt;"",IF(LOWER('Capacity summary'!BA170)="x",$BI51*BA51,VALUE('Capacity summary'!BA170)),0),BA51*$BI51),BA51*$BI51),0)</f>
        <v>0</v>
      </c>
      <c r="DE51" s="311">
        <f>IF($BI51&lt;&gt;"",IF('Capacity summary'!$D$14="Yes",IF(COUNTBLANK('Capacity summary'!$H170:$BG170)&lt;52,IF('Capacity summary'!BB170&lt;&gt;"",IF(LOWER('Capacity summary'!BB170)="x",$BI51*BB51,VALUE('Capacity summary'!BB170)),0),BB51*$BI51),BB51*$BI51),0)</f>
        <v>0</v>
      </c>
      <c r="DF51" s="311">
        <f>IF($BI51&lt;&gt;"",IF('Capacity summary'!$D$14="Yes",IF(COUNTBLANK('Capacity summary'!$H170:$BG170)&lt;52,IF('Capacity summary'!BC170&lt;&gt;"",IF(LOWER('Capacity summary'!BC170)="x",$BI51*BC51,VALUE('Capacity summary'!BC170)),0),BC51*$BI51),BC51*$BI51),0)</f>
        <v>0</v>
      </c>
      <c r="DG51" s="311">
        <f>IF($BI51&lt;&gt;"",IF('Capacity summary'!$D$14="Yes",IF(COUNTBLANK('Capacity summary'!$H170:$BG170)&lt;52,IF('Capacity summary'!BD170&lt;&gt;"",IF(LOWER('Capacity summary'!BD170)="x",$BI51*BD51,VALUE('Capacity summary'!BD170)),0),BD51*$BI51),BD51*$BI51),0)</f>
        <v>0</v>
      </c>
      <c r="DH51" s="311">
        <f>IF($BI51&lt;&gt;"",IF('Capacity summary'!$D$14="Yes",IF(COUNTBLANK('Capacity summary'!$H170:$BG170)&lt;52,IF('Capacity summary'!BE170&lt;&gt;"",IF(LOWER('Capacity summary'!BE170)="x",$BI51*BE51,VALUE('Capacity summary'!BE170)),0),BE51*$BI51),BE51*$BI51),0)</f>
        <v>0</v>
      </c>
      <c r="DI51" s="311">
        <f>IF($BI51&lt;&gt;"",IF('Capacity summary'!$D$14="Yes",IF(COUNTBLANK('Capacity summary'!$H170:$BG170)&lt;52,IF('Capacity summary'!BF170&lt;&gt;"",IF(LOWER('Capacity summary'!BF170)="x",$BI51*BF51,VALUE('Capacity summary'!BF170)),0),BF51*$BI51),BF51*$BI51),0)</f>
        <v>0</v>
      </c>
      <c r="DJ51" s="311">
        <f>IF($BI51&lt;&gt;"",IF('Capacity summary'!$D$14="Yes",IF(COUNTBLANK('Capacity summary'!$H170:$BG170)&lt;52,IF('Capacity summary'!BG170&lt;&gt;"",IF(LOWER('Capacity summary'!BG170)="x",$BI51*BG51,VALUE('Capacity summary'!BG170)),0),BG51*$BI51),BG51*$BI51),0)</f>
        <v>0</v>
      </c>
      <c r="DK51" s="391">
        <f t="shared" si="2"/>
        <v>0</v>
      </c>
      <c r="DL51" s="136">
        <f t="shared" si="3"/>
        <v>0</v>
      </c>
      <c r="DM51" s="311" t="str">
        <f>Capacity!H63</f>
        <v/>
      </c>
      <c r="DQ51" s="5"/>
    </row>
    <row r="52" spans="1:121" x14ac:dyDescent="0.2">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1">
        <f>IF($BI52&lt;&gt;"",IF('Capacity summary'!$D$14="Yes",IF(COUNTBLANK('Capacity summary'!$H171:$BG171)&lt;52,IF('Capacity summary'!H171&lt;&gt;"",IF(LOWER('Capacity summary'!H171)="x",$BI52*H52,VALUE('Capacity summary'!H171)),0),H52*$BI52),H52*$BI52),0)</f>
        <v>0</v>
      </c>
      <c r="BL52" s="311">
        <f>IF($BI52&lt;&gt;"",IF('Capacity summary'!$D$14="Yes",IF(COUNTBLANK('Capacity summary'!$H171:$BG171)&lt;52,IF('Capacity summary'!I171&lt;&gt;"",IF(LOWER('Capacity summary'!I171)="x",$BI52*I52,VALUE('Capacity summary'!I171)),0),I52*$BI52),I52*$BI52),0)</f>
        <v>0</v>
      </c>
      <c r="BM52" s="311">
        <f>IF($BI52&lt;&gt;"",IF('Capacity summary'!$D$14="Yes",IF(COUNTBLANK('Capacity summary'!$H171:$BG171)&lt;52,IF('Capacity summary'!J171&lt;&gt;"",IF(LOWER('Capacity summary'!J171)="x",$BI52*J52,VALUE('Capacity summary'!J171)),0),J52*$BI52),J52*$BI52),0)</f>
        <v>0</v>
      </c>
      <c r="BN52" s="311">
        <f>IF($BI52&lt;&gt;"",IF('Capacity summary'!$D$14="Yes",IF(COUNTBLANK('Capacity summary'!$H171:$BG171)&lt;52,IF('Capacity summary'!K171&lt;&gt;"",IF(LOWER('Capacity summary'!K171)="x",$BI52*K52,VALUE('Capacity summary'!K171)),0),K52*$BI52),K52*$BI52),0)</f>
        <v>0</v>
      </c>
      <c r="BO52" s="311">
        <f>IF($BI52&lt;&gt;"",IF('Capacity summary'!$D$14="Yes",IF(COUNTBLANK('Capacity summary'!$H171:$BG171)&lt;52,IF('Capacity summary'!L171&lt;&gt;"",IF(LOWER('Capacity summary'!L171)="x",$BI52*L52,VALUE('Capacity summary'!L171)),0),L52*$BI52),L52*$BI52),0)</f>
        <v>0</v>
      </c>
      <c r="BP52" s="311">
        <f>IF($BI52&lt;&gt;"",IF('Capacity summary'!$D$14="Yes",IF(COUNTBLANK('Capacity summary'!$H171:$BG171)&lt;52,IF('Capacity summary'!M171&lt;&gt;"",IF(LOWER('Capacity summary'!M171)="x",$BI52*M52,VALUE('Capacity summary'!M171)),0),M52*$BI52),M52*$BI52),0)</f>
        <v>0</v>
      </c>
      <c r="BQ52" s="311">
        <f>IF($BI52&lt;&gt;"",IF('Capacity summary'!$D$14="Yes",IF(COUNTBLANK('Capacity summary'!$H171:$BG171)&lt;52,IF('Capacity summary'!N171&lt;&gt;"",IF(LOWER('Capacity summary'!N171)="x",$BI52*N52,VALUE('Capacity summary'!N171)),0),N52*$BI52),N52*$BI52),0)</f>
        <v>0</v>
      </c>
      <c r="BR52" s="311">
        <f>IF($BI52&lt;&gt;"",IF('Capacity summary'!$D$14="Yes",IF(COUNTBLANK('Capacity summary'!$H171:$BG171)&lt;52,IF('Capacity summary'!O171&lt;&gt;"",IF(LOWER('Capacity summary'!O171)="x",$BI52*O52,VALUE('Capacity summary'!O171)),0),O52*$BI52),O52*$BI52),0)</f>
        <v>0</v>
      </c>
      <c r="BS52" s="311">
        <f>IF($BI52&lt;&gt;"",IF('Capacity summary'!$D$14="Yes",IF(COUNTBLANK('Capacity summary'!$H171:$BG171)&lt;52,IF('Capacity summary'!P171&lt;&gt;"",IF(LOWER('Capacity summary'!P171)="x",$BI52*P52,VALUE('Capacity summary'!P171)),0),P52*$BI52),P52*$BI52),0)</f>
        <v>0</v>
      </c>
      <c r="BT52" s="311">
        <f>IF($BI52&lt;&gt;"",IF('Capacity summary'!$D$14="Yes",IF(COUNTBLANK('Capacity summary'!$H171:$BG171)&lt;52,IF('Capacity summary'!Q171&lt;&gt;"",IF(LOWER('Capacity summary'!Q171)="x",$BI52*Q52,VALUE('Capacity summary'!Q171)),0),Q52*$BI52),Q52*$BI52),0)</f>
        <v>0</v>
      </c>
      <c r="BU52" s="311">
        <f>IF($BI52&lt;&gt;"",IF('Capacity summary'!$D$14="Yes",IF(COUNTBLANK('Capacity summary'!$H171:$BG171)&lt;52,IF('Capacity summary'!R171&lt;&gt;"",IF(LOWER('Capacity summary'!R171)="x",$BI52*R52,VALUE('Capacity summary'!R171)),0),R52*$BI52),R52*$BI52),0)</f>
        <v>0</v>
      </c>
      <c r="BV52" s="311">
        <f>IF($BI52&lt;&gt;"",IF('Capacity summary'!$D$14="Yes",IF(COUNTBLANK('Capacity summary'!$H171:$BG171)&lt;52,IF('Capacity summary'!S171&lt;&gt;"",IF(LOWER('Capacity summary'!S171)="x",$BI52*S52,VALUE('Capacity summary'!S171)),0),S52*$BI52),S52*$BI52),0)</f>
        <v>0</v>
      </c>
      <c r="BW52" s="311">
        <f>IF($BI52&lt;&gt;"",IF('Capacity summary'!$D$14="Yes",IF(COUNTBLANK('Capacity summary'!$H171:$BG171)&lt;52,IF('Capacity summary'!T171&lt;&gt;"",IF(LOWER('Capacity summary'!T171)="x",$BI52*T52,VALUE('Capacity summary'!T171)),0),T52*$BI52),T52*$BI52),0)</f>
        <v>0</v>
      </c>
      <c r="BX52" s="311">
        <f>IF($BI52&lt;&gt;"",IF('Capacity summary'!$D$14="Yes",IF(COUNTBLANK('Capacity summary'!$H171:$BG171)&lt;52,IF('Capacity summary'!U171&lt;&gt;"",IF(LOWER('Capacity summary'!U171)="x",$BI52*U52,VALUE('Capacity summary'!U171)),0),U52*$BI52),U52*$BI52),0)</f>
        <v>0</v>
      </c>
      <c r="BY52" s="311">
        <f>IF($BI52&lt;&gt;"",IF('Capacity summary'!$D$14="Yes",IF(COUNTBLANK('Capacity summary'!$H171:$BG171)&lt;52,IF('Capacity summary'!V171&lt;&gt;"",IF(LOWER('Capacity summary'!V171)="x",$BI52*V52,VALUE('Capacity summary'!V171)),0),V52*$BI52),V52*$BI52),0)</f>
        <v>0</v>
      </c>
      <c r="BZ52" s="311">
        <f>IF($BI52&lt;&gt;"",IF('Capacity summary'!$D$14="Yes",IF(COUNTBLANK('Capacity summary'!$H171:$BG171)&lt;52,IF('Capacity summary'!W171&lt;&gt;"",IF(LOWER('Capacity summary'!W171)="x",$BI52*W52,VALUE('Capacity summary'!W171)),0),W52*$BI52),W52*$BI52),0)</f>
        <v>0</v>
      </c>
      <c r="CA52" s="311">
        <f>IF($BI52&lt;&gt;"",IF('Capacity summary'!$D$14="Yes",IF(COUNTBLANK('Capacity summary'!$H171:$BG171)&lt;52,IF('Capacity summary'!X171&lt;&gt;"",IF(LOWER('Capacity summary'!X171)="x",$BI52*X52,VALUE('Capacity summary'!X171)),0),X52*$BI52),X52*$BI52),0)</f>
        <v>0</v>
      </c>
      <c r="CB52" s="311">
        <f>IF($BI52&lt;&gt;"",IF('Capacity summary'!$D$14="Yes",IF(COUNTBLANK('Capacity summary'!$H171:$BG171)&lt;52,IF('Capacity summary'!Y171&lt;&gt;"",IF(LOWER('Capacity summary'!Y171)="x",$BI52*Y52,VALUE('Capacity summary'!Y171)),0),Y52*$BI52),Y52*$BI52),0)</f>
        <v>0</v>
      </c>
      <c r="CC52" s="311">
        <f>IF($BI52&lt;&gt;"",IF('Capacity summary'!$D$14="Yes",IF(COUNTBLANK('Capacity summary'!$H171:$BG171)&lt;52,IF('Capacity summary'!Z171&lt;&gt;"",IF(LOWER('Capacity summary'!Z171)="x",$BI52*Z52,VALUE('Capacity summary'!Z171)),0),Z52*$BI52),Z52*$BI52),0)</f>
        <v>0</v>
      </c>
      <c r="CD52" s="311">
        <f>IF($BI52&lt;&gt;"",IF('Capacity summary'!$D$14="Yes",IF(COUNTBLANK('Capacity summary'!$H171:$BG171)&lt;52,IF('Capacity summary'!AA171&lt;&gt;"",IF(LOWER('Capacity summary'!AA171)="x",$BI52*AA52,VALUE('Capacity summary'!AA171)),0),AA52*$BI52),AA52*$BI52),0)</f>
        <v>0</v>
      </c>
      <c r="CE52" s="311">
        <f>IF($BI52&lt;&gt;"",IF('Capacity summary'!$D$14="Yes",IF(COUNTBLANK('Capacity summary'!$H171:$BG171)&lt;52,IF('Capacity summary'!AB171&lt;&gt;"",IF(LOWER('Capacity summary'!AB171)="x",$BI52*AB52,VALUE('Capacity summary'!AB171)),0),AB52*$BI52),AB52*$BI52),0)</f>
        <v>0</v>
      </c>
      <c r="CF52" s="311">
        <f>IF($BI52&lt;&gt;"",IF('Capacity summary'!$D$14="Yes",IF(COUNTBLANK('Capacity summary'!$H171:$BG171)&lt;52,IF('Capacity summary'!AC171&lt;&gt;"",IF(LOWER('Capacity summary'!AC171)="x",$BI52*AC52,VALUE('Capacity summary'!AC171)),0),AC52*$BI52),AC52*$BI52),0)</f>
        <v>0</v>
      </c>
      <c r="CG52" s="311">
        <f>IF($BI52&lt;&gt;"",IF('Capacity summary'!$D$14="Yes",IF(COUNTBLANK('Capacity summary'!$H171:$BG171)&lt;52,IF('Capacity summary'!AD171&lt;&gt;"",IF(LOWER('Capacity summary'!AD171)="x",$BI52*AD52,VALUE('Capacity summary'!AD171)),0),AD52*$BI52),AD52*$BI52),0)</f>
        <v>0</v>
      </c>
      <c r="CH52" s="311">
        <f>IF($BI52&lt;&gt;"",IF('Capacity summary'!$D$14="Yes",IF(COUNTBLANK('Capacity summary'!$H171:$BG171)&lt;52,IF('Capacity summary'!AE171&lt;&gt;"",IF(LOWER('Capacity summary'!AE171)="x",$BI52*AE52,VALUE('Capacity summary'!AE171)),0),AE52*$BI52),AE52*$BI52),0)</f>
        <v>0</v>
      </c>
      <c r="CI52" s="311">
        <f>IF($BI52&lt;&gt;"",IF('Capacity summary'!$D$14="Yes",IF(COUNTBLANK('Capacity summary'!$H171:$BG171)&lt;52,IF('Capacity summary'!AF171&lt;&gt;"",IF(LOWER('Capacity summary'!AF171)="x",$BI52*AF52,VALUE('Capacity summary'!AF171)),0),AF52*$BI52),AF52*$BI52),0)</f>
        <v>0</v>
      </c>
      <c r="CJ52" s="311">
        <f>IF($BI52&lt;&gt;"",IF('Capacity summary'!$D$14="Yes",IF(COUNTBLANK('Capacity summary'!$H171:$BG171)&lt;52,IF('Capacity summary'!AG171&lt;&gt;"",IF(LOWER('Capacity summary'!AG171)="x",$BI52*AG52,VALUE('Capacity summary'!AG171)),0),AG52*$BI52),AG52*$BI52),0)</f>
        <v>0</v>
      </c>
      <c r="CK52" s="311">
        <f>IF($BI52&lt;&gt;"",IF('Capacity summary'!$D$14="Yes",IF(COUNTBLANK('Capacity summary'!$H171:$BG171)&lt;52,IF('Capacity summary'!AH171&lt;&gt;"",IF(LOWER('Capacity summary'!AH171)="x",$BI52*AH52,VALUE('Capacity summary'!AH171)),0),AH52*$BI52),AH52*$BI52),0)</f>
        <v>0</v>
      </c>
      <c r="CL52" s="311">
        <f>IF($BI52&lt;&gt;"",IF('Capacity summary'!$D$14="Yes",IF(COUNTBLANK('Capacity summary'!$H171:$BG171)&lt;52,IF('Capacity summary'!AI171&lt;&gt;"",IF(LOWER('Capacity summary'!AI171)="x",$BI52*AI52,VALUE('Capacity summary'!AI171)),0),AI52*$BI52),AI52*$BI52),0)</f>
        <v>0</v>
      </c>
      <c r="CM52" s="311">
        <f>IF($BI52&lt;&gt;"",IF('Capacity summary'!$D$14="Yes",IF(COUNTBLANK('Capacity summary'!$H171:$BG171)&lt;52,IF('Capacity summary'!AJ171&lt;&gt;"",IF(LOWER('Capacity summary'!AJ171)="x",$BI52*AJ52,VALUE('Capacity summary'!AJ171)),0),AJ52*$BI52),AJ52*$BI52),0)</f>
        <v>0</v>
      </c>
      <c r="CN52" s="311">
        <f>IF($BI52&lt;&gt;"",IF('Capacity summary'!$D$14="Yes",IF(COUNTBLANK('Capacity summary'!$H171:$BG171)&lt;52,IF('Capacity summary'!AK171&lt;&gt;"",IF(LOWER('Capacity summary'!AK171)="x",$BI52*AK52,VALUE('Capacity summary'!AK171)),0),AK52*$BI52),AK52*$BI52),0)</f>
        <v>0</v>
      </c>
      <c r="CO52" s="311">
        <f>IF($BI52&lt;&gt;"",IF('Capacity summary'!$D$14="Yes",IF(COUNTBLANK('Capacity summary'!$H171:$BG171)&lt;52,IF('Capacity summary'!AL171&lt;&gt;"",IF(LOWER('Capacity summary'!AL171)="x",$BI52*AL52,VALUE('Capacity summary'!AL171)),0),AL52*$BI52),AL52*$BI52),0)</f>
        <v>0</v>
      </c>
      <c r="CP52" s="311">
        <f>IF($BI52&lt;&gt;"",IF('Capacity summary'!$D$14="Yes",IF(COUNTBLANK('Capacity summary'!$H171:$BG171)&lt;52,IF('Capacity summary'!AM171&lt;&gt;"",IF(LOWER('Capacity summary'!AM171)="x",$BI52*AM52,VALUE('Capacity summary'!AM171)),0),AM52*$BI52),AM52*$BI52),0)</f>
        <v>0</v>
      </c>
      <c r="CQ52" s="311">
        <f>IF($BI52&lt;&gt;"",IF('Capacity summary'!$D$14="Yes",IF(COUNTBLANK('Capacity summary'!$H171:$BG171)&lt;52,IF('Capacity summary'!AN171&lt;&gt;"",IF(LOWER('Capacity summary'!AN171)="x",$BI52*AN52,VALUE('Capacity summary'!AN171)),0),AN52*$BI52),AN52*$BI52),0)</f>
        <v>0</v>
      </c>
      <c r="CR52" s="311">
        <f>IF($BI52&lt;&gt;"",IF('Capacity summary'!$D$14="Yes",IF(COUNTBLANK('Capacity summary'!$H171:$BG171)&lt;52,IF('Capacity summary'!AO171&lt;&gt;"",IF(LOWER('Capacity summary'!AO171)="x",$BI52*AO52,VALUE('Capacity summary'!AO171)),0),AO52*$BI52),AO52*$BI52),0)</f>
        <v>0</v>
      </c>
      <c r="CS52" s="311">
        <f>IF($BI52&lt;&gt;"",IF('Capacity summary'!$D$14="Yes",IF(COUNTBLANK('Capacity summary'!$H171:$BG171)&lt;52,IF('Capacity summary'!AP171&lt;&gt;"",IF(LOWER('Capacity summary'!AP171)="x",$BI52*AP52,VALUE('Capacity summary'!AP171)),0),AP52*$BI52),AP52*$BI52),0)</f>
        <v>0</v>
      </c>
      <c r="CT52" s="311">
        <f>IF($BI52&lt;&gt;"",IF('Capacity summary'!$D$14="Yes",IF(COUNTBLANK('Capacity summary'!$H171:$BG171)&lt;52,IF('Capacity summary'!AQ171&lt;&gt;"",IF(LOWER('Capacity summary'!AQ171)="x",$BI52*AQ52,VALUE('Capacity summary'!AQ171)),0),AQ52*$BI52),AQ52*$BI52),0)</f>
        <v>0</v>
      </c>
      <c r="CU52" s="311">
        <f>IF($BI52&lt;&gt;"",IF('Capacity summary'!$D$14="Yes",IF(COUNTBLANK('Capacity summary'!$H171:$BG171)&lt;52,IF('Capacity summary'!AR171&lt;&gt;"",IF(LOWER('Capacity summary'!AR171)="x",$BI52*AR52,VALUE('Capacity summary'!AR171)),0),AR52*$BI52),AR52*$BI52),0)</f>
        <v>0</v>
      </c>
      <c r="CV52" s="311">
        <f>IF($BI52&lt;&gt;"",IF('Capacity summary'!$D$14="Yes",IF(COUNTBLANK('Capacity summary'!$H171:$BG171)&lt;52,IF('Capacity summary'!AS171&lt;&gt;"",IF(LOWER('Capacity summary'!AS171)="x",$BI52*AS52,VALUE('Capacity summary'!AS171)),0),AS52*$BI52),AS52*$BI52),0)</f>
        <v>0</v>
      </c>
      <c r="CW52" s="311">
        <f>IF($BI52&lt;&gt;"",IF('Capacity summary'!$D$14="Yes",IF(COUNTBLANK('Capacity summary'!$H171:$BG171)&lt;52,IF('Capacity summary'!AT171&lt;&gt;"",IF(LOWER('Capacity summary'!AT171)="x",$BI52*AT52,VALUE('Capacity summary'!AT171)),0),AT52*$BI52),AT52*$BI52),0)</f>
        <v>0</v>
      </c>
      <c r="CX52" s="311">
        <f>IF($BI52&lt;&gt;"",IF('Capacity summary'!$D$14="Yes",IF(COUNTBLANK('Capacity summary'!$H171:$BG171)&lt;52,IF('Capacity summary'!AU171&lt;&gt;"",IF(LOWER('Capacity summary'!AU171)="x",$BI52*AU52,VALUE('Capacity summary'!AU171)),0),AU52*$BI52),AU52*$BI52),0)</f>
        <v>0</v>
      </c>
      <c r="CY52" s="311">
        <f>IF($BI52&lt;&gt;"",IF('Capacity summary'!$D$14="Yes",IF(COUNTBLANK('Capacity summary'!$H171:$BG171)&lt;52,IF('Capacity summary'!AV171&lt;&gt;"",IF(LOWER('Capacity summary'!AV171)="x",$BI52*AV52,VALUE('Capacity summary'!AV171)),0),AV52*$BI52),AV52*$BI52),0)</f>
        <v>0</v>
      </c>
      <c r="CZ52" s="311">
        <f>IF($BI52&lt;&gt;"",IF('Capacity summary'!$D$14="Yes",IF(COUNTBLANK('Capacity summary'!$H171:$BG171)&lt;52,IF('Capacity summary'!AW171&lt;&gt;"",IF(LOWER('Capacity summary'!AW171)="x",$BI52*AW52,VALUE('Capacity summary'!AW171)),0),AW52*$BI52),AW52*$BI52),0)</f>
        <v>0</v>
      </c>
      <c r="DA52" s="311">
        <f>IF($BI52&lt;&gt;"",IF('Capacity summary'!$D$14="Yes",IF(COUNTBLANK('Capacity summary'!$H171:$BG171)&lt;52,IF('Capacity summary'!AX171&lt;&gt;"",IF(LOWER('Capacity summary'!AX171)="x",$BI52*AX52,VALUE('Capacity summary'!AX171)),0),AX52*$BI52),AX52*$BI52),0)</f>
        <v>0</v>
      </c>
      <c r="DB52" s="311">
        <f>IF($BI52&lt;&gt;"",IF('Capacity summary'!$D$14="Yes",IF(COUNTBLANK('Capacity summary'!$H171:$BG171)&lt;52,IF('Capacity summary'!AY171&lt;&gt;"",IF(LOWER('Capacity summary'!AY171)="x",$BI52*AY52,VALUE('Capacity summary'!AY171)),0),AY52*$BI52),AY52*$BI52),0)</f>
        <v>0</v>
      </c>
      <c r="DC52" s="311">
        <f>IF($BI52&lt;&gt;"",IF('Capacity summary'!$D$14="Yes",IF(COUNTBLANK('Capacity summary'!$H171:$BG171)&lt;52,IF('Capacity summary'!AZ171&lt;&gt;"",IF(LOWER('Capacity summary'!AZ171)="x",$BI52*AZ52,VALUE('Capacity summary'!AZ171)),0),AZ52*$BI52),AZ52*$BI52),0)</f>
        <v>0</v>
      </c>
      <c r="DD52" s="311">
        <f>IF($BI52&lt;&gt;"",IF('Capacity summary'!$D$14="Yes",IF(COUNTBLANK('Capacity summary'!$H171:$BG171)&lt;52,IF('Capacity summary'!BA171&lt;&gt;"",IF(LOWER('Capacity summary'!BA171)="x",$BI52*BA52,VALUE('Capacity summary'!BA171)),0),BA52*$BI52),BA52*$BI52),0)</f>
        <v>0</v>
      </c>
      <c r="DE52" s="311">
        <f>IF($BI52&lt;&gt;"",IF('Capacity summary'!$D$14="Yes",IF(COUNTBLANK('Capacity summary'!$H171:$BG171)&lt;52,IF('Capacity summary'!BB171&lt;&gt;"",IF(LOWER('Capacity summary'!BB171)="x",$BI52*BB52,VALUE('Capacity summary'!BB171)),0),BB52*$BI52),BB52*$BI52),0)</f>
        <v>0</v>
      </c>
      <c r="DF52" s="311">
        <f>IF($BI52&lt;&gt;"",IF('Capacity summary'!$D$14="Yes",IF(COUNTBLANK('Capacity summary'!$H171:$BG171)&lt;52,IF('Capacity summary'!BC171&lt;&gt;"",IF(LOWER('Capacity summary'!BC171)="x",$BI52*BC52,VALUE('Capacity summary'!BC171)),0),BC52*$BI52),BC52*$BI52),0)</f>
        <v>0</v>
      </c>
      <c r="DG52" s="311">
        <f>IF($BI52&lt;&gt;"",IF('Capacity summary'!$D$14="Yes",IF(COUNTBLANK('Capacity summary'!$H171:$BG171)&lt;52,IF('Capacity summary'!BD171&lt;&gt;"",IF(LOWER('Capacity summary'!BD171)="x",$BI52*BD52,VALUE('Capacity summary'!BD171)),0),BD52*$BI52),BD52*$BI52),0)</f>
        <v>0</v>
      </c>
      <c r="DH52" s="311">
        <f>IF($BI52&lt;&gt;"",IF('Capacity summary'!$D$14="Yes",IF(COUNTBLANK('Capacity summary'!$H171:$BG171)&lt;52,IF('Capacity summary'!BE171&lt;&gt;"",IF(LOWER('Capacity summary'!BE171)="x",$BI52*BE52,VALUE('Capacity summary'!BE171)),0),BE52*$BI52),BE52*$BI52),0)</f>
        <v>0</v>
      </c>
      <c r="DI52" s="311">
        <f>IF($BI52&lt;&gt;"",IF('Capacity summary'!$D$14="Yes",IF(COUNTBLANK('Capacity summary'!$H171:$BG171)&lt;52,IF('Capacity summary'!BF171&lt;&gt;"",IF(LOWER('Capacity summary'!BF171)="x",$BI52*BF52,VALUE('Capacity summary'!BF171)),0),BF52*$BI52),BF52*$BI52),0)</f>
        <v>0</v>
      </c>
      <c r="DJ52" s="311">
        <f>IF($BI52&lt;&gt;"",IF('Capacity summary'!$D$14="Yes",IF(COUNTBLANK('Capacity summary'!$H171:$BG171)&lt;52,IF('Capacity summary'!BG171&lt;&gt;"",IF(LOWER('Capacity summary'!BG171)="x",$BI52*BG52,VALUE('Capacity summary'!BG171)),0),BG52*$BI52),BG52*$BI52),0)</f>
        <v>0</v>
      </c>
      <c r="DK52" s="391">
        <f t="shared" si="2"/>
        <v>0</v>
      </c>
      <c r="DL52" s="136">
        <f t="shared" si="3"/>
        <v>0</v>
      </c>
      <c r="DM52" s="311" t="str">
        <f>Capacity!H64</f>
        <v/>
      </c>
      <c r="DQ52" s="5"/>
    </row>
    <row r="53" spans="1:121" x14ac:dyDescent="0.2">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1">
        <f>IF($BI53&lt;&gt;"",IF('Capacity summary'!$D$14="Yes",IF(COUNTBLANK('Capacity summary'!$H172:$BG172)&lt;52,IF('Capacity summary'!H172&lt;&gt;"",IF(LOWER('Capacity summary'!H172)="x",$BI53*H53,VALUE('Capacity summary'!H172)),0),H53*$BI53),H53*$BI53),0)</f>
        <v>0</v>
      </c>
      <c r="BL53" s="311">
        <f>IF($BI53&lt;&gt;"",IF('Capacity summary'!$D$14="Yes",IF(COUNTBLANK('Capacity summary'!$H172:$BG172)&lt;52,IF('Capacity summary'!I172&lt;&gt;"",IF(LOWER('Capacity summary'!I172)="x",$BI53*I53,VALUE('Capacity summary'!I172)),0),I53*$BI53),I53*$BI53),0)</f>
        <v>0</v>
      </c>
      <c r="BM53" s="311">
        <f>IF($BI53&lt;&gt;"",IF('Capacity summary'!$D$14="Yes",IF(COUNTBLANK('Capacity summary'!$H172:$BG172)&lt;52,IF('Capacity summary'!J172&lt;&gt;"",IF(LOWER('Capacity summary'!J172)="x",$BI53*J53,VALUE('Capacity summary'!J172)),0),J53*$BI53),J53*$BI53),0)</f>
        <v>0</v>
      </c>
      <c r="BN53" s="311">
        <f>IF($BI53&lt;&gt;"",IF('Capacity summary'!$D$14="Yes",IF(COUNTBLANK('Capacity summary'!$H172:$BG172)&lt;52,IF('Capacity summary'!K172&lt;&gt;"",IF(LOWER('Capacity summary'!K172)="x",$BI53*K53,VALUE('Capacity summary'!K172)),0),K53*$BI53),K53*$BI53),0)</f>
        <v>0</v>
      </c>
      <c r="BO53" s="311">
        <f>IF($BI53&lt;&gt;"",IF('Capacity summary'!$D$14="Yes",IF(COUNTBLANK('Capacity summary'!$H172:$BG172)&lt;52,IF('Capacity summary'!L172&lt;&gt;"",IF(LOWER('Capacity summary'!L172)="x",$BI53*L53,VALUE('Capacity summary'!L172)),0),L53*$BI53),L53*$BI53),0)</f>
        <v>0</v>
      </c>
      <c r="BP53" s="311">
        <f>IF($BI53&lt;&gt;"",IF('Capacity summary'!$D$14="Yes",IF(COUNTBLANK('Capacity summary'!$H172:$BG172)&lt;52,IF('Capacity summary'!M172&lt;&gt;"",IF(LOWER('Capacity summary'!M172)="x",$BI53*M53,VALUE('Capacity summary'!M172)),0),M53*$BI53),M53*$BI53),0)</f>
        <v>0</v>
      </c>
      <c r="BQ53" s="311">
        <f>IF($BI53&lt;&gt;"",IF('Capacity summary'!$D$14="Yes",IF(COUNTBLANK('Capacity summary'!$H172:$BG172)&lt;52,IF('Capacity summary'!N172&lt;&gt;"",IF(LOWER('Capacity summary'!N172)="x",$BI53*N53,VALUE('Capacity summary'!N172)),0),N53*$BI53),N53*$BI53),0)</f>
        <v>0</v>
      </c>
      <c r="BR53" s="311">
        <f>IF($BI53&lt;&gt;"",IF('Capacity summary'!$D$14="Yes",IF(COUNTBLANK('Capacity summary'!$H172:$BG172)&lt;52,IF('Capacity summary'!O172&lt;&gt;"",IF(LOWER('Capacity summary'!O172)="x",$BI53*O53,VALUE('Capacity summary'!O172)),0),O53*$BI53),O53*$BI53),0)</f>
        <v>0</v>
      </c>
      <c r="BS53" s="311">
        <f>IF($BI53&lt;&gt;"",IF('Capacity summary'!$D$14="Yes",IF(COUNTBLANK('Capacity summary'!$H172:$BG172)&lt;52,IF('Capacity summary'!P172&lt;&gt;"",IF(LOWER('Capacity summary'!P172)="x",$BI53*P53,VALUE('Capacity summary'!P172)),0),P53*$BI53),P53*$BI53),0)</f>
        <v>0</v>
      </c>
      <c r="BT53" s="311">
        <f>IF($BI53&lt;&gt;"",IF('Capacity summary'!$D$14="Yes",IF(COUNTBLANK('Capacity summary'!$H172:$BG172)&lt;52,IF('Capacity summary'!Q172&lt;&gt;"",IF(LOWER('Capacity summary'!Q172)="x",$BI53*Q53,VALUE('Capacity summary'!Q172)),0),Q53*$BI53),Q53*$BI53),0)</f>
        <v>0</v>
      </c>
      <c r="BU53" s="311">
        <f>IF($BI53&lt;&gt;"",IF('Capacity summary'!$D$14="Yes",IF(COUNTBLANK('Capacity summary'!$H172:$BG172)&lt;52,IF('Capacity summary'!R172&lt;&gt;"",IF(LOWER('Capacity summary'!R172)="x",$BI53*R53,VALUE('Capacity summary'!R172)),0),R53*$BI53),R53*$BI53),0)</f>
        <v>0</v>
      </c>
      <c r="BV53" s="311">
        <f>IF($BI53&lt;&gt;"",IF('Capacity summary'!$D$14="Yes",IF(COUNTBLANK('Capacity summary'!$H172:$BG172)&lt;52,IF('Capacity summary'!S172&lt;&gt;"",IF(LOWER('Capacity summary'!S172)="x",$BI53*S53,VALUE('Capacity summary'!S172)),0),S53*$BI53),S53*$BI53),0)</f>
        <v>0</v>
      </c>
      <c r="BW53" s="311">
        <f>IF($BI53&lt;&gt;"",IF('Capacity summary'!$D$14="Yes",IF(COUNTBLANK('Capacity summary'!$H172:$BG172)&lt;52,IF('Capacity summary'!T172&lt;&gt;"",IF(LOWER('Capacity summary'!T172)="x",$BI53*T53,VALUE('Capacity summary'!T172)),0),T53*$BI53),T53*$BI53),0)</f>
        <v>0</v>
      </c>
      <c r="BX53" s="311">
        <f>IF($BI53&lt;&gt;"",IF('Capacity summary'!$D$14="Yes",IF(COUNTBLANK('Capacity summary'!$H172:$BG172)&lt;52,IF('Capacity summary'!U172&lt;&gt;"",IF(LOWER('Capacity summary'!U172)="x",$BI53*U53,VALUE('Capacity summary'!U172)),0),U53*$BI53),U53*$BI53),0)</f>
        <v>0</v>
      </c>
      <c r="BY53" s="311">
        <f>IF($BI53&lt;&gt;"",IF('Capacity summary'!$D$14="Yes",IF(COUNTBLANK('Capacity summary'!$H172:$BG172)&lt;52,IF('Capacity summary'!V172&lt;&gt;"",IF(LOWER('Capacity summary'!V172)="x",$BI53*V53,VALUE('Capacity summary'!V172)),0),V53*$BI53),V53*$BI53),0)</f>
        <v>0</v>
      </c>
      <c r="BZ53" s="311">
        <f>IF($BI53&lt;&gt;"",IF('Capacity summary'!$D$14="Yes",IF(COUNTBLANK('Capacity summary'!$H172:$BG172)&lt;52,IF('Capacity summary'!W172&lt;&gt;"",IF(LOWER('Capacity summary'!W172)="x",$BI53*W53,VALUE('Capacity summary'!W172)),0),W53*$BI53),W53*$BI53),0)</f>
        <v>0</v>
      </c>
      <c r="CA53" s="311">
        <f>IF($BI53&lt;&gt;"",IF('Capacity summary'!$D$14="Yes",IF(COUNTBLANK('Capacity summary'!$H172:$BG172)&lt;52,IF('Capacity summary'!X172&lt;&gt;"",IF(LOWER('Capacity summary'!X172)="x",$BI53*X53,VALUE('Capacity summary'!X172)),0),X53*$BI53),X53*$BI53),0)</f>
        <v>0</v>
      </c>
      <c r="CB53" s="311">
        <f>IF($BI53&lt;&gt;"",IF('Capacity summary'!$D$14="Yes",IF(COUNTBLANK('Capacity summary'!$H172:$BG172)&lt;52,IF('Capacity summary'!Y172&lt;&gt;"",IF(LOWER('Capacity summary'!Y172)="x",$BI53*Y53,VALUE('Capacity summary'!Y172)),0),Y53*$BI53),Y53*$BI53),0)</f>
        <v>0</v>
      </c>
      <c r="CC53" s="311">
        <f>IF($BI53&lt;&gt;"",IF('Capacity summary'!$D$14="Yes",IF(COUNTBLANK('Capacity summary'!$H172:$BG172)&lt;52,IF('Capacity summary'!Z172&lt;&gt;"",IF(LOWER('Capacity summary'!Z172)="x",$BI53*Z53,VALUE('Capacity summary'!Z172)),0),Z53*$BI53),Z53*$BI53),0)</f>
        <v>0</v>
      </c>
      <c r="CD53" s="311">
        <f>IF($BI53&lt;&gt;"",IF('Capacity summary'!$D$14="Yes",IF(COUNTBLANK('Capacity summary'!$H172:$BG172)&lt;52,IF('Capacity summary'!AA172&lt;&gt;"",IF(LOWER('Capacity summary'!AA172)="x",$BI53*AA53,VALUE('Capacity summary'!AA172)),0),AA53*$BI53),AA53*$BI53),0)</f>
        <v>0</v>
      </c>
      <c r="CE53" s="311">
        <f>IF($BI53&lt;&gt;"",IF('Capacity summary'!$D$14="Yes",IF(COUNTBLANK('Capacity summary'!$H172:$BG172)&lt;52,IF('Capacity summary'!AB172&lt;&gt;"",IF(LOWER('Capacity summary'!AB172)="x",$BI53*AB53,VALUE('Capacity summary'!AB172)),0),AB53*$BI53),AB53*$BI53),0)</f>
        <v>0</v>
      </c>
      <c r="CF53" s="311">
        <f>IF($BI53&lt;&gt;"",IF('Capacity summary'!$D$14="Yes",IF(COUNTBLANK('Capacity summary'!$H172:$BG172)&lt;52,IF('Capacity summary'!AC172&lt;&gt;"",IF(LOWER('Capacity summary'!AC172)="x",$BI53*AC53,VALUE('Capacity summary'!AC172)),0),AC53*$BI53),AC53*$BI53),0)</f>
        <v>0</v>
      </c>
      <c r="CG53" s="311">
        <f>IF($BI53&lt;&gt;"",IF('Capacity summary'!$D$14="Yes",IF(COUNTBLANK('Capacity summary'!$H172:$BG172)&lt;52,IF('Capacity summary'!AD172&lt;&gt;"",IF(LOWER('Capacity summary'!AD172)="x",$BI53*AD53,VALUE('Capacity summary'!AD172)),0),AD53*$BI53),AD53*$BI53),0)</f>
        <v>0</v>
      </c>
      <c r="CH53" s="311">
        <f>IF($BI53&lt;&gt;"",IF('Capacity summary'!$D$14="Yes",IF(COUNTBLANK('Capacity summary'!$H172:$BG172)&lt;52,IF('Capacity summary'!AE172&lt;&gt;"",IF(LOWER('Capacity summary'!AE172)="x",$BI53*AE53,VALUE('Capacity summary'!AE172)),0),AE53*$BI53),AE53*$BI53),0)</f>
        <v>0</v>
      </c>
      <c r="CI53" s="311">
        <f>IF($BI53&lt;&gt;"",IF('Capacity summary'!$D$14="Yes",IF(COUNTBLANK('Capacity summary'!$H172:$BG172)&lt;52,IF('Capacity summary'!AF172&lt;&gt;"",IF(LOWER('Capacity summary'!AF172)="x",$BI53*AF53,VALUE('Capacity summary'!AF172)),0),AF53*$BI53),AF53*$BI53),0)</f>
        <v>0</v>
      </c>
      <c r="CJ53" s="311">
        <f>IF($BI53&lt;&gt;"",IF('Capacity summary'!$D$14="Yes",IF(COUNTBLANK('Capacity summary'!$H172:$BG172)&lt;52,IF('Capacity summary'!AG172&lt;&gt;"",IF(LOWER('Capacity summary'!AG172)="x",$BI53*AG53,VALUE('Capacity summary'!AG172)),0),AG53*$BI53),AG53*$BI53),0)</f>
        <v>0</v>
      </c>
      <c r="CK53" s="311">
        <f>IF($BI53&lt;&gt;"",IF('Capacity summary'!$D$14="Yes",IF(COUNTBLANK('Capacity summary'!$H172:$BG172)&lt;52,IF('Capacity summary'!AH172&lt;&gt;"",IF(LOWER('Capacity summary'!AH172)="x",$BI53*AH53,VALUE('Capacity summary'!AH172)),0),AH53*$BI53),AH53*$BI53),0)</f>
        <v>0</v>
      </c>
      <c r="CL53" s="311">
        <f>IF($BI53&lt;&gt;"",IF('Capacity summary'!$D$14="Yes",IF(COUNTBLANK('Capacity summary'!$H172:$BG172)&lt;52,IF('Capacity summary'!AI172&lt;&gt;"",IF(LOWER('Capacity summary'!AI172)="x",$BI53*AI53,VALUE('Capacity summary'!AI172)),0),AI53*$BI53),AI53*$BI53),0)</f>
        <v>0</v>
      </c>
      <c r="CM53" s="311">
        <f>IF($BI53&lt;&gt;"",IF('Capacity summary'!$D$14="Yes",IF(COUNTBLANK('Capacity summary'!$H172:$BG172)&lt;52,IF('Capacity summary'!AJ172&lt;&gt;"",IF(LOWER('Capacity summary'!AJ172)="x",$BI53*AJ53,VALUE('Capacity summary'!AJ172)),0),AJ53*$BI53),AJ53*$BI53),0)</f>
        <v>0</v>
      </c>
      <c r="CN53" s="311">
        <f>IF($BI53&lt;&gt;"",IF('Capacity summary'!$D$14="Yes",IF(COUNTBLANK('Capacity summary'!$H172:$BG172)&lt;52,IF('Capacity summary'!AK172&lt;&gt;"",IF(LOWER('Capacity summary'!AK172)="x",$BI53*AK53,VALUE('Capacity summary'!AK172)),0),AK53*$BI53),AK53*$BI53),0)</f>
        <v>0</v>
      </c>
      <c r="CO53" s="311">
        <f>IF($BI53&lt;&gt;"",IF('Capacity summary'!$D$14="Yes",IF(COUNTBLANK('Capacity summary'!$H172:$BG172)&lt;52,IF('Capacity summary'!AL172&lt;&gt;"",IF(LOWER('Capacity summary'!AL172)="x",$BI53*AL53,VALUE('Capacity summary'!AL172)),0),AL53*$BI53),AL53*$BI53),0)</f>
        <v>0</v>
      </c>
      <c r="CP53" s="311">
        <f>IF($BI53&lt;&gt;"",IF('Capacity summary'!$D$14="Yes",IF(COUNTBLANK('Capacity summary'!$H172:$BG172)&lt;52,IF('Capacity summary'!AM172&lt;&gt;"",IF(LOWER('Capacity summary'!AM172)="x",$BI53*AM53,VALUE('Capacity summary'!AM172)),0),AM53*$BI53),AM53*$BI53),0)</f>
        <v>0</v>
      </c>
      <c r="CQ53" s="311">
        <f>IF($BI53&lt;&gt;"",IF('Capacity summary'!$D$14="Yes",IF(COUNTBLANK('Capacity summary'!$H172:$BG172)&lt;52,IF('Capacity summary'!AN172&lt;&gt;"",IF(LOWER('Capacity summary'!AN172)="x",$BI53*AN53,VALUE('Capacity summary'!AN172)),0),AN53*$BI53),AN53*$BI53),0)</f>
        <v>0</v>
      </c>
      <c r="CR53" s="311">
        <f>IF($BI53&lt;&gt;"",IF('Capacity summary'!$D$14="Yes",IF(COUNTBLANK('Capacity summary'!$H172:$BG172)&lt;52,IF('Capacity summary'!AO172&lt;&gt;"",IF(LOWER('Capacity summary'!AO172)="x",$BI53*AO53,VALUE('Capacity summary'!AO172)),0),AO53*$BI53),AO53*$BI53),0)</f>
        <v>0</v>
      </c>
      <c r="CS53" s="311">
        <f>IF($BI53&lt;&gt;"",IF('Capacity summary'!$D$14="Yes",IF(COUNTBLANK('Capacity summary'!$H172:$BG172)&lt;52,IF('Capacity summary'!AP172&lt;&gt;"",IF(LOWER('Capacity summary'!AP172)="x",$BI53*AP53,VALUE('Capacity summary'!AP172)),0),AP53*$BI53),AP53*$BI53),0)</f>
        <v>0</v>
      </c>
      <c r="CT53" s="311">
        <f>IF($BI53&lt;&gt;"",IF('Capacity summary'!$D$14="Yes",IF(COUNTBLANK('Capacity summary'!$H172:$BG172)&lt;52,IF('Capacity summary'!AQ172&lt;&gt;"",IF(LOWER('Capacity summary'!AQ172)="x",$BI53*AQ53,VALUE('Capacity summary'!AQ172)),0),AQ53*$BI53),AQ53*$BI53),0)</f>
        <v>0</v>
      </c>
      <c r="CU53" s="311">
        <f>IF($BI53&lt;&gt;"",IF('Capacity summary'!$D$14="Yes",IF(COUNTBLANK('Capacity summary'!$H172:$BG172)&lt;52,IF('Capacity summary'!AR172&lt;&gt;"",IF(LOWER('Capacity summary'!AR172)="x",$BI53*AR53,VALUE('Capacity summary'!AR172)),0),AR53*$BI53),AR53*$BI53),0)</f>
        <v>0</v>
      </c>
      <c r="CV53" s="311">
        <f>IF($BI53&lt;&gt;"",IF('Capacity summary'!$D$14="Yes",IF(COUNTBLANK('Capacity summary'!$H172:$BG172)&lt;52,IF('Capacity summary'!AS172&lt;&gt;"",IF(LOWER('Capacity summary'!AS172)="x",$BI53*AS53,VALUE('Capacity summary'!AS172)),0),AS53*$BI53),AS53*$BI53),0)</f>
        <v>0</v>
      </c>
      <c r="CW53" s="311">
        <f>IF($BI53&lt;&gt;"",IF('Capacity summary'!$D$14="Yes",IF(COUNTBLANK('Capacity summary'!$H172:$BG172)&lt;52,IF('Capacity summary'!AT172&lt;&gt;"",IF(LOWER('Capacity summary'!AT172)="x",$BI53*AT53,VALUE('Capacity summary'!AT172)),0),AT53*$BI53),AT53*$BI53),0)</f>
        <v>0</v>
      </c>
      <c r="CX53" s="311">
        <f>IF($BI53&lt;&gt;"",IF('Capacity summary'!$D$14="Yes",IF(COUNTBLANK('Capacity summary'!$H172:$BG172)&lt;52,IF('Capacity summary'!AU172&lt;&gt;"",IF(LOWER('Capacity summary'!AU172)="x",$BI53*AU53,VALUE('Capacity summary'!AU172)),0),AU53*$BI53),AU53*$BI53),0)</f>
        <v>0</v>
      </c>
      <c r="CY53" s="311">
        <f>IF($BI53&lt;&gt;"",IF('Capacity summary'!$D$14="Yes",IF(COUNTBLANK('Capacity summary'!$H172:$BG172)&lt;52,IF('Capacity summary'!AV172&lt;&gt;"",IF(LOWER('Capacity summary'!AV172)="x",$BI53*AV53,VALUE('Capacity summary'!AV172)),0),AV53*$BI53),AV53*$BI53),0)</f>
        <v>0</v>
      </c>
      <c r="CZ53" s="311">
        <f>IF($BI53&lt;&gt;"",IF('Capacity summary'!$D$14="Yes",IF(COUNTBLANK('Capacity summary'!$H172:$BG172)&lt;52,IF('Capacity summary'!AW172&lt;&gt;"",IF(LOWER('Capacity summary'!AW172)="x",$BI53*AW53,VALUE('Capacity summary'!AW172)),0),AW53*$BI53),AW53*$BI53),0)</f>
        <v>0</v>
      </c>
      <c r="DA53" s="311">
        <f>IF($BI53&lt;&gt;"",IF('Capacity summary'!$D$14="Yes",IF(COUNTBLANK('Capacity summary'!$H172:$BG172)&lt;52,IF('Capacity summary'!AX172&lt;&gt;"",IF(LOWER('Capacity summary'!AX172)="x",$BI53*AX53,VALUE('Capacity summary'!AX172)),0),AX53*$BI53),AX53*$BI53),0)</f>
        <v>0</v>
      </c>
      <c r="DB53" s="311">
        <f>IF($BI53&lt;&gt;"",IF('Capacity summary'!$D$14="Yes",IF(COUNTBLANK('Capacity summary'!$H172:$BG172)&lt;52,IF('Capacity summary'!AY172&lt;&gt;"",IF(LOWER('Capacity summary'!AY172)="x",$BI53*AY53,VALUE('Capacity summary'!AY172)),0),AY53*$BI53),AY53*$BI53),0)</f>
        <v>0</v>
      </c>
      <c r="DC53" s="311">
        <f>IF($BI53&lt;&gt;"",IF('Capacity summary'!$D$14="Yes",IF(COUNTBLANK('Capacity summary'!$H172:$BG172)&lt;52,IF('Capacity summary'!AZ172&lt;&gt;"",IF(LOWER('Capacity summary'!AZ172)="x",$BI53*AZ53,VALUE('Capacity summary'!AZ172)),0),AZ53*$BI53),AZ53*$BI53),0)</f>
        <v>0</v>
      </c>
      <c r="DD53" s="311">
        <f>IF($BI53&lt;&gt;"",IF('Capacity summary'!$D$14="Yes",IF(COUNTBLANK('Capacity summary'!$H172:$BG172)&lt;52,IF('Capacity summary'!BA172&lt;&gt;"",IF(LOWER('Capacity summary'!BA172)="x",$BI53*BA53,VALUE('Capacity summary'!BA172)),0),BA53*$BI53),BA53*$BI53),0)</f>
        <v>0</v>
      </c>
      <c r="DE53" s="311">
        <f>IF($BI53&lt;&gt;"",IF('Capacity summary'!$D$14="Yes",IF(COUNTBLANK('Capacity summary'!$H172:$BG172)&lt;52,IF('Capacity summary'!BB172&lt;&gt;"",IF(LOWER('Capacity summary'!BB172)="x",$BI53*BB53,VALUE('Capacity summary'!BB172)),0),BB53*$BI53),BB53*$BI53),0)</f>
        <v>0</v>
      </c>
      <c r="DF53" s="311">
        <f>IF($BI53&lt;&gt;"",IF('Capacity summary'!$D$14="Yes",IF(COUNTBLANK('Capacity summary'!$H172:$BG172)&lt;52,IF('Capacity summary'!BC172&lt;&gt;"",IF(LOWER('Capacity summary'!BC172)="x",$BI53*BC53,VALUE('Capacity summary'!BC172)),0),BC53*$BI53),BC53*$BI53),0)</f>
        <v>0</v>
      </c>
      <c r="DG53" s="311">
        <f>IF($BI53&lt;&gt;"",IF('Capacity summary'!$D$14="Yes",IF(COUNTBLANK('Capacity summary'!$H172:$BG172)&lt;52,IF('Capacity summary'!BD172&lt;&gt;"",IF(LOWER('Capacity summary'!BD172)="x",$BI53*BD53,VALUE('Capacity summary'!BD172)),0),BD53*$BI53),BD53*$BI53),0)</f>
        <v>0</v>
      </c>
      <c r="DH53" s="311">
        <f>IF($BI53&lt;&gt;"",IF('Capacity summary'!$D$14="Yes",IF(COUNTBLANK('Capacity summary'!$H172:$BG172)&lt;52,IF('Capacity summary'!BE172&lt;&gt;"",IF(LOWER('Capacity summary'!BE172)="x",$BI53*BE53,VALUE('Capacity summary'!BE172)),0),BE53*$BI53),BE53*$BI53),0)</f>
        <v>0</v>
      </c>
      <c r="DI53" s="311">
        <f>IF($BI53&lt;&gt;"",IF('Capacity summary'!$D$14="Yes",IF(COUNTBLANK('Capacity summary'!$H172:$BG172)&lt;52,IF('Capacity summary'!BF172&lt;&gt;"",IF(LOWER('Capacity summary'!BF172)="x",$BI53*BF53,VALUE('Capacity summary'!BF172)),0),BF53*$BI53),BF53*$BI53),0)</f>
        <v>0</v>
      </c>
      <c r="DJ53" s="311">
        <f>IF($BI53&lt;&gt;"",IF('Capacity summary'!$D$14="Yes",IF(COUNTBLANK('Capacity summary'!$H172:$BG172)&lt;52,IF('Capacity summary'!BG172&lt;&gt;"",IF(LOWER('Capacity summary'!BG172)="x",$BI53*BG53,VALUE('Capacity summary'!BG172)),0),BG53*$BI53),BG53*$BI53),0)</f>
        <v>0</v>
      </c>
      <c r="DK53" s="391">
        <f t="shared" si="2"/>
        <v>0</v>
      </c>
      <c r="DL53" s="136">
        <f t="shared" si="3"/>
        <v>0</v>
      </c>
      <c r="DM53" s="311" t="str">
        <f>Capacity!H65</f>
        <v/>
      </c>
      <c r="DQ53" s="5"/>
    </row>
    <row r="54" spans="1:121" x14ac:dyDescent="0.2">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1">
        <f>IF($BI54&lt;&gt;"",IF('Capacity summary'!$D$14="Yes",IF(COUNTBLANK('Capacity summary'!$H173:$BG173)&lt;52,IF('Capacity summary'!H173&lt;&gt;"",IF(LOWER('Capacity summary'!H173)="x",$BI54*H54,VALUE('Capacity summary'!H173)),0),H54*$BI54),H54*$BI54),0)</f>
        <v>0</v>
      </c>
      <c r="BL54" s="311">
        <f>IF($BI54&lt;&gt;"",IF('Capacity summary'!$D$14="Yes",IF(COUNTBLANK('Capacity summary'!$H173:$BG173)&lt;52,IF('Capacity summary'!I173&lt;&gt;"",IF(LOWER('Capacity summary'!I173)="x",$BI54*I54,VALUE('Capacity summary'!I173)),0),I54*$BI54),I54*$BI54),0)</f>
        <v>0</v>
      </c>
      <c r="BM54" s="311">
        <f>IF($BI54&lt;&gt;"",IF('Capacity summary'!$D$14="Yes",IF(COUNTBLANK('Capacity summary'!$H173:$BG173)&lt;52,IF('Capacity summary'!J173&lt;&gt;"",IF(LOWER('Capacity summary'!J173)="x",$BI54*J54,VALUE('Capacity summary'!J173)),0),J54*$BI54),J54*$BI54),0)</f>
        <v>0</v>
      </c>
      <c r="BN54" s="311">
        <f>IF($BI54&lt;&gt;"",IF('Capacity summary'!$D$14="Yes",IF(COUNTBLANK('Capacity summary'!$H173:$BG173)&lt;52,IF('Capacity summary'!K173&lt;&gt;"",IF(LOWER('Capacity summary'!K173)="x",$BI54*K54,VALUE('Capacity summary'!K173)),0),K54*$BI54),K54*$BI54),0)</f>
        <v>0</v>
      </c>
      <c r="BO54" s="311">
        <f>IF($BI54&lt;&gt;"",IF('Capacity summary'!$D$14="Yes",IF(COUNTBLANK('Capacity summary'!$H173:$BG173)&lt;52,IF('Capacity summary'!L173&lt;&gt;"",IF(LOWER('Capacity summary'!L173)="x",$BI54*L54,VALUE('Capacity summary'!L173)),0),L54*$BI54),L54*$BI54),0)</f>
        <v>0</v>
      </c>
      <c r="BP54" s="311">
        <f>IF($BI54&lt;&gt;"",IF('Capacity summary'!$D$14="Yes",IF(COUNTBLANK('Capacity summary'!$H173:$BG173)&lt;52,IF('Capacity summary'!M173&lt;&gt;"",IF(LOWER('Capacity summary'!M173)="x",$BI54*M54,VALUE('Capacity summary'!M173)),0),M54*$BI54),M54*$BI54),0)</f>
        <v>0</v>
      </c>
      <c r="BQ54" s="311">
        <f>IF($BI54&lt;&gt;"",IF('Capacity summary'!$D$14="Yes",IF(COUNTBLANK('Capacity summary'!$H173:$BG173)&lt;52,IF('Capacity summary'!N173&lt;&gt;"",IF(LOWER('Capacity summary'!N173)="x",$BI54*N54,VALUE('Capacity summary'!N173)),0),N54*$BI54),N54*$BI54),0)</f>
        <v>0</v>
      </c>
      <c r="BR54" s="311">
        <f>IF($BI54&lt;&gt;"",IF('Capacity summary'!$D$14="Yes",IF(COUNTBLANK('Capacity summary'!$H173:$BG173)&lt;52,IF('Capacity summary'!O173&lt;&gt;"",IF(LOWER('Capacity summary'!O173)="x",$BI54*O54,VALUE('Capacity summary'!O173)),0),O54*$BI54),O54*$BI54),0)</f>
        <v>0</v>
      </c>
      <c r="BS54" s="311">
        <f>IF($BI54&lt;&gt;"",IF('Capacity summary'!$D$14="Yes",IF(COUNTBLANK('Capacity summary'!$H173:$BG173)&lt;52,IF('Capacity summary'!P173&lt;&gt;"",IF(LOWER('Capacity summary'!P173)="x",$BI54*P54,VALUE('Capacity summary'!P173)),0),P54*$BI54),P54*$BI54),0)</f>
        <v>0</v>
      </c>
      <c r="BT54" s="311">
        <f>IF($BI54&lt;&gt;"",IF('Capacity summary'!$D$14="Yes",IF(COUNTBLANK('Capacity summary'!$H173:$BG173)&lt;52,IF('Capacity summary'!Q173&lt;&gt;"",IF(LOWER('Capacity summary'!Q173)="x",$BI54*Q54,VALUE('Capacity summary'!Q173)),0),Q54*$BI54),Q54*$BI54),0)</f>
        <v>0</v>
      </c>
      <c r="BU54" s="311">
        <f>IF($BI54&lt;&gt;"",IF('Capacity summary'!$D$14="Yes",IF(COUNTBLANK('Capacity summary'!$H173:$BG173)&lt;52,IF('Capacity summary'!R173&lt;&gt;"",IF(LOWER('Capacity summary'!R173)="x",$BI54*R54,VALUE('Capacity summary'!R173)),0),R54*$BI54),R54*$BI54),0)</f>
        <v>0</v>
      </c>
      <c r="BV54" s="311">
        <f>IF($BI54&lt;&gt;"",IF('Capacity summary'!$D$14="Yes",IF(COUNTBLANK('Capacity summary'!$H173:$BG173)&lt;52,IF('Capacity summary'!S173&lt;&gt;"",IF(LOWER('Capacity summary'!S173)="x",$BI54*S54,VALUE('Capacity summary'!S173)),0),S54*$BI54),S54*$BI54),0)</f>
        <v>0</v>
      </c>
      <c r="BW54" s="311">
        <f>IF($BI54&lt;&gt;"",IF('Capacity summary'!$D$14="Yes",IF(COUNTBLANK('Capacity summary'!$H173:$BG173)&lt;52,IF('Capacity summary'!T173&lt;&gt;"",IF(LOWER('Capacity summary'!T173)="x",$BI54*T54,VALUE('Capacity summary'!T173)),0),T54*$BI54),T54*$BI54),0)</f>
        <v>0</v>
      </c>
      <c r="BX54" s="311">
        <f>IF($BI54&lt;&gt;"",IF('Capacity summary'!$D$14="Yes",IF(COUNTBLANK('Capacity summary'!$H173:$BG173)&lt;52,IF('Capacity summary'!U173&lt;&gt;"",IF(LOWER('Capacity summary'!U173)="x",$BI54*U54,VALUE('Capacity summary'!U173)),0),U54*$BI54),U54*$BI54),0)</f>
        <v>0</v>
      </c>
      <c r="BY54" s="311">
        <f>IF($BI54&lt;&gt;"",IF('Capacity summary'!$D$14="Yes",IF(COUNTBLANK('Capacity summary'!$H173:$BG173)&lt;52,IF('Capacity summary'!V173&lt;&gt;"",IF(LOWER('Capacity summary'!V173)="x",$BI54*V54,VALUE('Capacity summary'!V173)),0),V54*$BI54),V54*$BI54),0)</f>
        <v>0</v>
      </c>
      <c r="BZ54" s="311">
        <f>IF($BI54&lt;&gt;"",IF('Capacity summary'!$D$14="Yes",IF(COUNTBLANK('Capacity summary'!$H173:$BG173)&lt;52,IF('Capacity summary'!W173&lt;&gt;"",IF(LOWER('Capacity summary'!W173)="x",$BI54*W54,VALUE('Capacity summary'!W173)),0),W54*$BI54),W54*$BI54),0)</f>
        <v>0</v>
      </c>
      <c r="CA54" s="311">
        <f>IF($BI54&lt;&gt;"",IF('Capacity summary'!$D$14="Yes",IF(COUNTBLANK('Capacity summary'!$H173:$BG173)&lt;52,IF('Capacity summary'!X173&lt;&gt;"",IF(LOWER('Capacity summary'!X173)="x",$BI54*X54,VALUE('Capacity summary'!X173)),0),X54*$BI54),X54*$BI54),0)</f>
        <v>0</v>
      </c>
      <c r="CB54" s="311">
        <f>IF($BI54&lt;&gt;"",IF('Capacity summary'!$D$14="Yes",IF(COUNTBLANK('Capacity summary'!$H173:$BG173)&lt;52,IF('Capacity summary'!Y173&lt;&gt;"",IF(LOWER('Capacity summary'!Y173)="x",$BI54*Y54,VALUE('Capacity summary'!Y173)),0),Y54*$BI54),Y54*$BI54),0)</f>
        <v>0</v>
      </c>
      <c r="CC54" s="311">
        <f>IF($BI54&lt;&gt;"",IF('Capacity summary'!$D$14="Yes",IF(COUNTBLANK('Capacity summary'!$H173:$BG173)&lt;52,IF('Capacity summary'!Z173&lt;&gt;"",IF(LOWER('Capacity summary'!Z173)="x",$BI54*Z54,VALUE('Capacity summary'!Z173)),0),Z54*$BI54),Z54*$BI54),0)</f>
        <v>0</v>
      </c>
      <c r="CD54" s="311">
        <f>IF($BI54&lt;&gt;"",IF('Capacity summary'!$D$14="Yes",IF(COUNTBLANK('Capacity summary'!$H173:$BG173)&lt;52,IF('Capacity summary'!AA173&lt;&gt;"",IF(LOWER('Capacity summary'!AA173)="x",$BI54*AA54,VALUE('Capacity summary'!AA173)),0),AA54*$BI54),AA54*$BI54),0)</f>
        <v>0</v>
      </c>
      <c r="CE54" s="311">
        <f>IF($BI54&lt;&gt;"",IF('Capacity summary'!$D$14="Yes",IF(COUNTBLANK('Capacity summary'!$H173:$BG173)&lt;52,IF('Capacity summary'!AB173&lt;&gt;"",IF(LOWER('Capacity summary'!AB173)="x",$BI54*AB54,VALUE('Capacity summary'!AB173)),0),AB54*$BI54),AB54*$BI54),0)</f>
        <v>0</v>
      </c>
      <c r="CF54" s="311">
        <f>IF($BI54&lt;&gt;"",IF('Capacity summary'!$D$14="Yes",IF(COUNTBLANK('Capacity summary'!$H173:$BG173)&lt;52,IF('Capacity summary'!AC173&lt;&gt;"",IF(LOWER('Capacity summary'!AC173)="x",$BI54*AC54,VALUE('Capacity summary'!AC173)),0),AC54*$BI54),AC54*$BI54),0)</f>
        <v>0</v>
      </c>
      <c r="CG54" s="311">
        <f>IF($BI54&lt;&gt;"",IF('Capacity summary'!$D$14="Yes",IF(COUNTBLANK('Capacity summary'!$H173:$BG173)&lt;52,IF('Capacity summary'!AD173&lt;&gt;"",IF(LOWER('Capacity summary'!AD173)="x",$BI54*AD54,VALUE('Capacity summary'!AD173)),0),AD54*$BI54),AD54*$BI54),0)</f>
        <v>0</v>
      </c>
      <c r="CH54" s="311">
        <f>IF($BI54&lt;&gt;"",IF('Capacity summary'!$D$14="Yes",IF(COUNTBLANK('Capacity summary'!$H173:$BG173)&lt;52,IF('Capacity summary'!AE173&lt;&gt;"",IF(LOWER('Capacity summary'!AE173)="x",$BI54*AE54,VALUE('Capacity summary'!AE173)),0),AE54*$BI54),AE54*$BI54),0)</f>
        <v>0</v>
      </c>
      <c r="CI54" s="311">
        <f>IF($BI54&lt;&gt;"",IF('Capacity summary'!$D$14="Yes",IF(COUNTBLANK('Capacity summary'!$H173:$BG173)&lt;52,IF('Capacity summary'!AF173&lt;&gt;"",IF(LOWER('Capacity summary'!AF173)="x",$BI54*AF54,VALUE('Capacity summary'!AF173)),0),AF54*$BI54),AF54*$BI54),0)</f>
        <v>0</v>
      </c>
      <c r="CJ54" s="311">
        <f>IF($BI54&lt;&gt;"",IF('Capacity summary'!$D$14="Yes",IF(COUNTBLANK('Capacity summary'!$H173:$BG173)&lt;52,IF('Capacity summary'!AG173&lt;&gt;"",IF(LOWER('Capacity summary'!AG173)="x",$BI54*AG54,VALUE('Capacity summary'!AG173)),0),AG54*$BI54),AG54*$BI54),0)</f>
        <v>0</v>
      </c>
      <c r="CK54" s="311">
        <f>IF($BI54&lt;&gt;"",IF('Capacity summary'!$D$14="Yes",IF(COUNTBLANK('Capacity summary'!$H173:$BG173)&lt;52,IF('Capacity summary'!AH173&lt;&gt;"",IF(LOWER('Capacity summary'!AH173)="x",$BI54*AH54,VALUE('Capacity summary'!AH173)),0),AH54*$BI54),AH54*$BI54),0)</f>
        <v>0</v>
      </c>
      <c r="CL54" s="311">
        <f>IF($BI54&lt;&gt;"",IF('Capacity summary'!$D$14="Yes",IF(COUNTBLANK('Capacity summary'!$H173:$BG173)&lt;52,IF('Capacity summary'!AI173&lt;&gt;"",IF(LOWER('Capacity summary'!AI173)="x",$BI54*AI54,VALUE('Capacity summary'!AI173)),0),AI54*$BI54),AI54*$BI54),0)</f>
        <v>0</v>
      </c>
      <c r="CM54" s="311">
        <f>IF($BI54&lt;&gt;"",IF('Capacity summary'!$D$14="Yes",IF(COUNTBLANK('Capacity summary'!$H173:$BG173)&lt;52,IF('Capacity summary'!AJ173&lt;&gt;"",IF(LOWER('Capacity summary'!AJ173)="x",$BI54*AJ54,VALUE('Capacity summary'!AJ173)),0),AJ54*$BI54),AJ54*$BI54),0)</f>
        <v>0</v>
      </c>
      <c r="CN54" s="311">
        <f>IF($BI54&lt;&gt;"",IF('Capacity summary'!$D$14="Yes",IF(COUNTBLANK('Capacity summary'!$H173:$BG173)&lt;52,IF('Capacity summary'!AK173&lt;&gt;"",IF(LOWER('Capacity summary'!AK173)="x",$BI54*AK54,VALUE('Capacity summary'!AK173)),0),AK54*$BI54),AK54*$BI54),0)</f>
        <v>0</v>
      </c>
      <c r="CO54" s="311">
        <f>IF($BI54&lt;&gt;"",IF('Capacity summary'!$D$14="Yes",IF(COUNTBLANK('Capacity summary'!$H173:$BG173)&lt;52,IF('Capacity summary'!AL173&lt;&gt;"",IF(LOWER('Capacity summary'!AL173)="x",$BI54*AL54,VALUE('Capacity summary'!AL173)),0),AL54*$BI54),AL54*$BI54),0)</f>
        <v>0</v>
      </c>
      <c r="CP54" s="311">
        <f>IF($BI54&lt;&gt;"",IF('Capacity summary'!$D$14="Yes",IF(COUNTBLANK('Capacity summary'!$H173:$BG173)&lt;52,IF('Capacity summary'!AM173&lt;&gt;"",IF(LOWER('Capacity summary'!AM173)="x",$BI54*AM54,VALUE('Capacity summary'!AM173)),0),AM54*$BI54),AM54*$BI54),0)</f>
        <v>0</v>
      </c>
      <c r="CQ54" s="311">
        <f>IF($BI54&lt;&gt;"",IF('Capacity summary'!$D$14="Yes",IF(COUNTBLANK('Capacity summary'!$H173:$BG173)&lt;52,IF('Capacity summary'!AN173&lt;&gt;"",IF(LOWER('Capacity summary'!AN173)="x",$BI54*AN54,VALUE('Capacity summary'!AN173)),0),AN54*$BI54),AN54*$BI54),0)</f>
        <v>0</v>
      </c>
      <c r="CR54" s="311">
        <f>IF($BI54&lt;&gt;"",IF('Capacity summary'!$D$14="Yes",IF(COUNTBLANK('Capacity summary'!$H173:$BG173)&lt;52,IF('Capacity summary'!AO173&lt;&gt;"",IF(LOWER('Capacity summary'!AO173)="x",$BI54*AO54,VALUE('Capacity summary'!AO173)),0),AO54*$BI54),AO54*$BI54),0)</f>
        <v>0</v>
      </c>
      <c r="CS54" s="311">
        <f>IF($BI54&lt;&gt;"",IF('Capacity summary'!$D$14="Yes",IF(COUNTBLANK('Capacity summary'!$H173:$BG173)&lt;52,IF('Capacity summary'!AP173&lt;&gt;"",IF(LOWER('Capacity summary'!AP173)="x",$BI54*AP54,VALUE('Capacity summary'!AP173)),0),AP54*$BI54),AP54*$BI54),0)</f>
        <v>0</v>
      </c>
      <c r="CT54" s="311">
        <f>IF($BI54&lt;&gt;"",IF('Capacity summary'!$D$14="Yes",IF(COUNTBLANK('Capacity summary'!$H173:$BG173)&lt;52,IF('Capacity summary'!AQ173&lt;&gt;"",IF(LOWER('Capacity summary'!AQ173)="x",$BI54*AQ54,VALUE('Capacity summary'!AQ173)),0),AQ54*$BI54),AQ54*$BI54),0)</f>
        <v>0</v>
      </c>
      <c r="CU54" s="311">
        <f>IF($BI54&lt;&gt;"",IF('Capacity summary'!$D$14="Yes",IF(COUNTBLANK('Capacity summary'!$H173:$BG173)&lt;52,IF('Capacity summary'!AR173&lt;&gt;"",IF(LOWER('Capacity summary'!AR173)="x",$BI54*AR54,VALUE('Capacity summary'!AR173)),0),AR54*$BI54),AR54*$BI54),0)</f>
        <v>0</v>
      </c>
      <c r="CV54" s="311">
        <f>IF($BI54&lt;&gt;"",IF('Capacity summary'!$D$14="Yes",IF(COUNTBLANK('Capacity summary'!$H173:$BG173)&lt;52,IF('Capacity summary'!AS173&lt;&gt;"",IF(LOWER('Capacity summary'!AS173)="x",$BI54*AS54,VALUE('Capacity summary'!AS173)),0),AS54*$BI54),AS54*$BI54),0)</f>
        <v>0</v>
      </c>
      <c r="CW54" s="311">
        <f>IF($BI54&lt;&gt;"",IF('Capacity summary'!$D$14="Yes",IF(COUNTBLANK('Capacity summary'!$H173:$BG173)&lt;52,IF('Capacity summary'!AT173&lt;&gt;"",IF(LOWER('Capacity summary'!AT173)="x",$BI54*AT54,VALUE('Capacity summary'!AT173)),0),AT54*$BI54),AT54*$BI54),0)</f>
        <v>0</v>
      </c>
      <c r="CX54" s="311">
        <f>IF($BI54&lt;&gt;"",IF('Capacity summary'!$D$14="Yes",IF(COUNTBLANK('Capacity summary'!$H173:$BG173)&lt;52,IF('Capacity summary'!AU173&lt;&gt;"",IF(LOWER('Capacity summary'!AU173)="x",$BI54*AU54,VALUE('Capacity summary'!AU173)),0),AU54*$BI54),AU54*$BI54),0)</f>
        <v>0</v>
      </c>
      <c r="CY54" s="311">
        <f>IF($BI54&lt;&gt;"",IF('Capacity summary'!$D$14="Yes",IF(COUNTBLANK('Capacity summary'!$H173:$BG173)&lt;52,IF('Capacity summary'!AV173&lt;&gt;"",IF(LOWER('Capacity summary'!AV173)="x",$BI54*AV54,VALUE('Capacity summary'!AV173)),0),AV54*$BI54),AV54*$BI54),0)</f>
        <v>0</v>
      </c>
      <c r="CZ54" s="311">
        <f>IF($BI54&lt;&gt;"",IF('Capacity summary'!$D$14="Yes",IF(COUNTBLANK('Capacity summary'!$H173:$BG173)&lt;52,IF('Capacity summary'!AW173&lt;&gt;"",IF(LOWER('Capacity summary'!AW173)="x",$BI54*AW54,VALUE('Capacity summary'!AW173)),0),AW54*$BI54),AW54*$BI54),0)</f>
        <v>0</v>
      </c>
      <c r="DA54" s="311">
        <f>IF($BI54&lt;&gt;"",IF('Capacity summary'!$D$14="Yes",IF(COUNTBLANK('Capacity summary'!$H173:$BG173)&lt;52,IF('Capacity summary'!AX173&lt;&gt;"",IF(LOWER('Capacity summary'!AX173)="x",$BI54*AX54,VALUE('Capacity summary'!AX173)),0),AX54*$BI54),AX54*$BI54),0)</f>
        <v>0</v>
      </c>
      <c r="DB54" s="311">
        <f>IF($BI54&lt;&gt;"",IF('Capacity summary'!$D$14="Yes",IF(COUNTBLANK('Capacity summary'!$H173:$BG173)&lt;52,IF('Capacity summary'!AY173&lt;&gt;"",IF(LOWER('Capacity summary'!AY173)="x",$BI54*AY54,VALUE('Capacity summary'!AY173)),0),AY54*$BI54),AY54*$BI54),0)</f>
        <v>0</v>
      </c>
      <c r="DC54" s="311">
        <f>IF($BI54&lt;&gt;"",IF('Capacity summary'!$D$14="Yes",IF(COUNTBLANK('Capacity summary'!$H173:$BG173)&lt;52,IF('Capacity summary'!AZ173&lt;&gt;"",IF(LOWER('Capacity summary'!AZ173)="x",$BI54*AZ54,VALUE('Capacity summary'!AZ173)),0),AZ54*$BI54),AZ54*$BI54),0)</f>
        <v>0</v>
      </c>
      <c r="DD54" s="311">
        <f>IF($BI54&lt;&gt;"",IF('Capacity summary'!$D$14="Yes",IF(COUNTBLANK('Capacity summary'!$H173:$BG173)&lt;52,IF('Capacity summary'!BA173&lt;&gt;"",IF(LOWER('Capacity summary'!BA173)="x",$BI54*BA54,VALUE('Capacity summary'!BA173)),0),BA54*$BI54),BA54*$BI54),0)</f>
        <v>0</v>
      </c>
      <c r="DE54" s="311">
        <f>IF($BI54&lt;&gt;"",IF('Capacity summary'!$D$14="Yes",IF(COUNTBLANK('Capacity summary'!$H173:$BG173)&lt;52,IF('Capacity summary'!BB173&lt;&gt;"",IF(LOWER('Capacity summary'!BB173)="x",$BI54*BB54,VALUE('Capacity summary'!BB173)),0),BB54*$BI54),BB54*$BI54),0)</f>
        <v>0</v>
      </c>
      <c r="DF54" s="311">
        <f>IF($BI54&lt;&gt;"",IF('Capacity summary'!$D$14="Yes",IF(COUNTBLANK('Capacity summary'!$H173:$BG173)&lt;52,IF('Capacity summary'!BC173&lt;&gt;"",IF(LOWER('Capacity summary'!BC173)="x",$BI54*BC54,VALUE('Capacity summary'!BC173)),0),BC54*$BI54),BC54*$BI54),0)</f>
        <v>0</v>
      </c>
      <c r="DG54" s="311">
        <f>IF($BI54&lt;&gt;"",IF('Capacity summary'!$D$14="Yes",IF(COUNTBLANK('Capacity summary'!$H173:$BG173)&lt;52,IF('Capacity summary'!BD173&lt;&gt;"",IF(LOWER('Capacity summary'!BD173)="x",$BI54*BD54,VALUE('Capacity summary'!BD173)),0),BD54*$BI54),BD54*$BI54),0)</f>
        <v>0</v>
      </c>
      <c r="DH54" s="311">
        <f>IF($BI54&lt;&gt;"",IF('Capacity summary'!$D$14="Yes",IF(COUNTBLANK('Capacity summary'!$H173:$BG173)&lt;52,IF('Capacity summary'!BE173&lt;&gt;"",IF(LOWER('Capacity summary'!BE173)="x",$BI54*BE54,VALUE('Capacity summary'!BE173)),0),BE54*$BI54),BE54*$BI54),0)</f>
        <v>0</v>
      </c>
      <c r="DI54" s="311">
        <f>IF($BI54&lt;&gt;"",IF('Capacity summary'!$D$14="Yes",IF(COUNTBLANK('Capacity summary'!$H173:$BG173)&lt;52,IF('Capacity summary'!BF173&lt;&gt;"",IF(LOWER('Capacity summary'!BF173)="x",$BI54*BF54,VALUE('Capacity summary'!BF173)),0),BF54*$BI54),BF54*$BI54),0)</f>
        <v>0</v>
      </c>
      <c r="DJ54" s="311">
        <f>IF($BI54&lt;&gt;"",IF('Capacity summary'!$D$14="Yes",IF(COUNTBLANK('Capacity summary'!$H173:$BG173)&lt;52,IF('Capacity summary'!BG173&lt;&gt;"",IF(LOWER('Capacity summary'!BG173)="x",$BI54*BG54,VALUE('Capacity summary'!BG173)),0),BG54*$BI54),BG54*$BI54),0)</f>
        <v>0</v>
      </c>
      <c r="DK54" s="391">
        <f t="shared" si="2"/>
        <v>0</v>
      </c>
      <c r="DL54" s="136">
        <f t="shared" si="3"/>
        <v>0</v>
      </c>
      <c r="DM54" s="311" t="str">
        <f>Capacity!H66</f>
        <v/>
      </c>
      <c r="DQ54" s="5"/>
    </row>
    <row r="55" spans="1:121" x14ac:dyDescent="0.2">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1">
        <f>IF($BI55&lt;&gt;"",IF('Capacity summary'!$D$14="Yes",IF(COUNTBLANK('Capacity summary'!$H174:$BG174)&lt;52,IF('Capacity summary'!H174&lt;&gt;"",IF(LOWER('Capacity summary'!H174)="x",$BI55*H55,VALUE('Capacity summary'!H174)),0),H55*$BI55),H55*$BI55),0)</f>
        <v>0</v>
      </c>
      <c r="BL55" s="311">
        <f>IF($BI55&lt;&gt;"",IF('Capacity summary'!$D$14="Yes",IF(COUNTBLANK('Capacity summary'!$H174:$BG174)&lt;52,IF('Capacity summary'!I174&lt;&gt;"",IF(LOWER('Capacity summary'!I174)="x",$BI55*I55,VALUE('Capacity summary'!I174)),0),I55*$BI55),I55*$BI55),0)</f>
        <v>0</v>
      </c>
      <c r="BM55" s="311">
        <f>IF($BI55&lt;&gt;"",IF('Capacity summary'!$D$14="Yes",IF(COUNTBLANK('Capacity summary'!$H174:$BG174)&lt;52,IF('Capacity summary'!J174&lt;&gt;"",IF(LOWER('Capacity summary'!J174)="x",$BI55*J55,VALUE('Capacity summary'!J174)),0),J55*$BI55),J55*$BI55),0)</f>
        <v>0</v>
      </c>
      <c r="BN55" s="311">
        <f>IF($BI55&lt;&gt;"",IF('Capacity summary'!$D$14="Yes",IF(COUNTBLANK('Capacity summary'!$H174:$BG174)&lt;52,IF('Capacity summary'!K174&lt;&gt;"",IF(LOWER('Capacity summary'!K174)="x",$BI55*K55,VALUE('Capacity summary'!K174)),0),K55*$BI55),K55*$BI55),0)</f>
        <v>0</v>
      </c>
      <c r="BO55" s="311">
        <f>IF($BI55&lt;&gt;"",IF('Capacity summary'!$D$14="Yes",IF(COUNTBLANK('Capacity summary'!$H174:$BG174)&lt;52,IF('Capacity summary'!L174&lt;&gt;"",IF(LOWER('Capacity summary'!L174)="x",$BI55*L55,VALUE('Capacity summary'!L174)),0),L55*$BI55),L55*$BI55),0)</f>
        <v>0</v>
      </c>
      <c r="BP55" s="311">
        <f>IF($BI55&lt;&gt;"",IF('Capacity summary'!$D$14="Yes",IF(COUNTBLANK('Capacity summary'!$H174:$BG174)&lt;52,IF('Capacity summary'!M174&lt;&gt;"",IF(LOWER('Capacity summary'!M174)="x",$BI55*M55,VALUE('Capacity summary'!M174)),0),M55*$BI55),M55*$BI55),0)</f>
        <v>0</v>
      </c>
      <c r="BQ55" s="311">
        <f>IF($BI55&lt;&gt;"",IF('Capacity summary'!$D$14="Yes",IF(COUNTBLANK('Capacity summary'!$H174:$BG174)&lt;52,IF('Capacity summary'!N174&lt;&gt;"",IF(LOWER('Capacity summary'!N174)="x",$BI55*N55,VALUE('Capacity summary'!N174)),0),N55*$BI55),N55*$BI55),0)</f>
        <v>0</v>
      </c>
      <c r="BR55" s="311">
        <f>IF($BI55&lt;&gt;"",IF('Capacity summary'!$D$14="Yes",IF(COUNTBLANK('Capacity summary'!$H174:$BG174)&lt;52,IF('Capacity summary'!O174&lt;&gt;"",IF(LOWER('Capacity summary'!O174)="x",$BI55*O55,VALUE('Capacity summary'!O174)),0),O55*$BI55),O55*$BI55),0)</f>
        <v>0</v>
      </c>
      <c r="BS55" s="311">
        <f>IF($BI55&lt;&gt;"",IF('Capacity summary'!$D$14="Yes",IF(COUNTBLANK('Capacity summary'!$H174:$BG174)&lt;52,IF('Capacity summary'!P174&lt;&gt;"",IF(LOWER('Capacity summary'!P174)="x",$BI55*P55,VALUE('Capacity summary'!P174)),0),P55*$BI55),P55*$BI55),0)</f>
        <v>0</v>
      </c>
      <c r="BT55" s="311">
        <f>IF($BI55&lt;&gt;"",IF('Capacity summary'!$D$14="Yes",IF(COUNTBLANK('Capacity summary'!$H174:$BG174)&lt;52,IF('Capacity summary'!Q174&lt;&gt;"",IF(LOWER('Capacity summary'!Q174)="x",$BI55*Q55,VALUE('Capacity summary'!Q174)),0),Q55*$BI55),Q55*$BI55),0)</f>
        <v>0</v>
      </c>
      <c r="BU55" s="311">
        <f>IF($BI55&lt;&gt;"",IF('Capacity summary'!$D$14="Yes",IF(COUNTBLANK('Capacity summary'!$H174:$BG174)&lt;52,IF('Capacity summary'!R174&lt;&gt;"",IF(LOWER('Capacity summary'!R174)="x",$BI55*R55,VALUE('Capacity summary'!R174)),0),R55*$BI55),R55*$BI55),0)</f>
        <v>0</v>
      </c>
      <c r="BV55" s="311">
        <f>IF($BI55&lt;&gt;"",IF('Capacity summary'!$D$14="Yes",IF(COUNTBLANK('Capacity summary'!$H174:$BG174)&lt;52,IF('Capacity summary'!S174&lt;&gt;"",IF(LOWER('Capacity summary'!S174)="x",$BI55*S55,VALUE('Capacity summary'!S174)),0),S55*$BI55),S55*$BI55),0)</f>
        <v>0</v>
      </c>
      <c r="BW55" s="311">
        <f>IF($BI55&lt;&gt;"",IF('Capacity summary'!$D$14="Yes",IF(COUNTBLANK('Capacity summary'!$H174:$BG174)&lt;52,IF('Capacity summary'!T174&lt;&gt;"",IF(LOWER('Capacity summary'!T174)="x",$BI55*T55,VALUE('Capacity summary'!T174)),0),T55*$BI55),T55*$BI55),0)</f>
        <v>0</v>
      </c>
      <c r="BX55" s="311">
        <f>IF($BI55&lt;&gt;"",IF('Capacity summary'!$D$14="Yes",IF(COUNTBLANK('Capacity summary'!$H174:$BG174)&lt;52,IF('Capacity summary'!U174&lt;&gt;"",IF(LOWER('Capacity summary'!U174)="x",$BI55*U55,VALUE('Capacity summary'!U174)),0),U55*$BI55),U55*$BI55),0)</f>
        <v>0</v>
      </c>
      <c r="BY55" s="311">
        <f>IF($BI55&lt;&gt;"",IF('Capacity summary'!$D$14="Yes",IF(COUNTBLANK('Capacity summary'!$H174:$BG174)&lt;52,IF('Capacity summary'!V174&lt;&gt;"",IF(LOWER('Capacity summary'!V174)="x",$BI55*V55,VALUE('Capacity summary'!V174)),0),V55*$BI55),V55*$BI55),0)</f>
        <v>0</v>
      </c>
      <c r="BZ55" s="311">
        <f>IF($BI55&lt;&gt;"",IF('Capacity summary'!$D$14="Yes",IF(COUNTBLANK('Capacity summary'!$H174:$BG174)&lt;52,IF('Capacity summary'!W174&lt;&gt;"",IF(LOWER('Capacity summary'!W174)="x",$BI55*W55,VALUE('Capacity summary'!W174)),0),W55*$BI55),W55*$BI55),0)</f>
        <v>0</v>
      </c>
      <c r="CA55" s="311">
        <f>IF($BI55&lt;&gt;"",IF('Capacity summary'!$D$14="Yes",IF(COUNTBLANK('Capacity summary'!$H174:$BG174)&lt;52,IF('Capacity summary'!X174&lt;&gt;"",IF(LOWER('Capacity summary'!X174)="x",$BI55*X55,VALUE('Capacity summary'!X174)),0),X55*$BI55),X55*$BI55),0)</f>
        <v>0</v>
      </c>
      <c r="CB55" s="311">
        <f>IF($BI55&lt;&gt;"",IF('Capacity summary'!$D$14="Yes",IF(COUNTBLANK('Capacity summary'!$H174:$BG174)&lt;52,IF('Capacity summary'!Y174&lt;&gt;"",IF(LOWER('Capacity summary'!Y174)="x",$BI55*Y55,VALUE('Capacity summary'!Y174)),0),Y55*$BI55),Y55*$BI55),0)</f>
        <v>0</v>
      </c>
      <c r="CC55" s="311">
        <f>IF($BI55&lt;&gt;"",IF('Capacity summary'!$D$14="Yes",IF(COUNTBLANK('Capacity summary'!$H174:$BG174)&lt;52,IF('Capacity summary'!Z174&lt;&gt;"",IF(LOWER('Capacity summary'!Z174)="x",$BI55*Z55,VALUE('Capacity summary'!Z174)),0),Z55*$BI55),Z55*$BI55),0)</f>
        <v>0</v>
      </c>
      <c r="CD55" s="311">
        <f>IF($BI55&lt;&gt;"",IF('Capacity summary'!$D$14="Yes",IF(COUNTBLANK('Capacity summary'!$H174:$BG174)&lt;52,IF('Capacity summary'!AA174&lt;&gt;"",IF(LOWER('Capacity summary'!AA174)="x",$BI55*AA55,VALUE('Capacity summary'!AA174)),0),AA55*$BI55),AA55*$BI55),0)</f>
        <v>0</v>
      </c>
      <c r="CE55" s="311">
        <f>IF($BI55&lt;&gt;"",IF('Capacity summary'!$D$14="Yes",IF(COUNTBLANK('Capacity summary'!$H174:$BG174)&lt;52,IF('Capacity summary'!AB174&lt;&gt;"",IF(LOWER('Capacity summary'!AB174)="x",$BI55*AB55,VALUE('Capacity summary'!AB174)),0),AB55*$BI55),AB55*$BI55),0)</f>
        <v>0</v>
      </c>
      <c r="CF55" s="311">
        <f>IF($BI55&lt;&gt;"",IF('Capacity summary'!$D$14="Yes",IF(COUNTBLANK('Capacity summary'!$H174:$BG174)&lt;52,IF('Capacity summary'!AC174&lt;&gt;"",IF(LOWER('Capacity summary'!AC174)="x",$BI55*AC55,VALUE('Capacity summary'!AC174)),0),AC55*$BI55),AC55*$BI55),0)</f>
        <v>0</v>
      </c>
      <c r="CG55" s="311">
        <f>IF($BI55&lt;&gt;"",IF('Capacity summary'!$D$14="Yes",IF(COUNTBLANK('Capacity summary'!$H174:$BG174)&lt;52,IF('Capacity summary'!AD174&lt;&gt;"",IF(LOWER('Capacity summary'!AD174)="x",$BI55*AD55,VALUE('Capacity summary'!AD174)),0),AD55*$BI55),AD55*$BI55),0)</f>
        <v>0</v>
      </c>
      <c r="CH55" s="311">
        <f>IF($BI55&lt;&gt;"",IF('Capacity summary'!$D$14="Yes",IF(COUNTBLANK('Capacity summary'!$H174:$BG174)&lt;52,IF('Capacity summary'!AE174&lt;&gt;"",IF(LOWER('Capacity summary'!AE174)="x",$BI55*AE55,VALUE('Capacity summary'!AE174)),0),AE55*$BI55),AE55*$BI55),0)</f>
        <v>0</v>
      </c>
      <c r="CI55" s="311">
        <f>IF($BI55&lt;&gt;"",IF('Capacity summary'!$D$14="Yes",IF(COUNTBLANK('Capacity summary'!$H174:$BG174)&lt;52,IF('Capacity summary'!AF174&lt;&gt;"",IF(LOWER('Capacity summary'!AF174)="x",$BI55*AF55,VALUE('Capacity summary'!AF174)),0),AF55*$BI55),AF55*$BI55),0)</f>
        <v>0</v>
      </c>
      <c r="CJ55" s="311">
        <f>IF($BI55&lt;&gt;"",IF('Capacity summary'!$D$14="Yes",IF(COUNTBLANK('Capacity summary'!$H174:$BG174)&lt;52,IF('Capacity summary'!AG174&lt;&gt;"",IF(LOWER('Capacity summary'!AG174)="x",$BI55*AG55,VALUE('Capacity summary'!AG174)),0),AG55*$BI55),AG55*$BI55),0)</f>
        <v>0</v>
      </c>
      <c r="CK55" s="311">
        <f>IF($BI55&lt;&gt;"",IF('Capacity summary'!$D$14="Yes",IF(COUNTBLANK('Capacity summary'!$H174:$BG174)&lt;52,IF('Capacity summary'!AH174&lt;&gt;"",IF(LOWER('Capacity summary'!AH174)="x",$BI55*AH55,VALUE('Capacity summary'!AH174)),0),AH55*$BI55),AH55*$BI55),0)</f>
        <v>0</v>
      </c>
      <c r="CL55" s="311">
        <f>IF($BI55&lt;&gt;"",IF('Capacity summary'!$D$14="Yes",IF(COUNTBLANK('Capacity summary'!$H174:$BG174)&lt;52,IF('Capacity summary'!AI174&lt;&gt;"",IF(LOWER('Capacity summary'!AI174)="x",$BI55*AI55,VALUE('Capacity summary'!AI174)),0),AI55*$BI55),AI55*$BI55),0)</f>
        <v>0</v>
      </c>
      <c r="CM55" s="311">
        <f>IF($BI55&lt;&gt;"",IF('Capacity summary'!$D$14="Yes",IF(COUNTBLANK('Capacity summary'!$H174:$BG174)&lt;52,IF('Capacity summary'!AJ174&lt;&gt;"",IF(LOWER('Capacity summary'!AJ174)="x",$BI55*AJ55,VALUE('Capacity summary'!AJ174)),0),AJ55*$BI55),AJ55*$BI55),0)</f>
        <v>0</v>
      </c>
      <c r="CN55" s="311">
        <f>IF($BI55&lt;&gt;"",IF('Capacity summary'!$D$14="Yes",IF(COUNTBLANK('Capacity summary'!$H174:$BG174)&lt;52,IF('Capacity summary'!AK174&lt;&gt;"",IF(LOWER('Capacity summary'!AK174)="x",$BI55*AK55,VALUE('Capacity summary'!AK174)),0),AK55*$BI55),AK55*$BI55),0)</f>
        <v>0</v>
      </c>
      <c r="CO55" s="311">
        <f>IF($BI55&lt;&gt;"",IF('Capacity summary'!$D$14="Yes",IF(COUNTBLANK('Capacity summary'!$H174:$BG174)&lt;52,IF('Capacity summary'!AL174&lt;&gt;"",IF(LOWER('Capacity summary'!AL174)="x",$BI55*AL55,VALUE('Capacity summary'!AL174)),0),AL55*$BI55),AL55*$BI55),0)</f>
        <v>0</v>
      </c>
      <c r="CP55" s="311">
        <f>IF($BI55&lt;&gt;"",IF('Capacity summary'!$D$14="Yes",IF(COUNTBLANK('Capacity summary'!$H174:$BG174)&lt;52,IF('Capacity summary'!AM174&lt;&gt;"",IF(LOWER('Capacity summary'!AM174)="x",$BI55*AM55,VALUE('Capacity summary'!AM174)),0),AM55*$BI55),AM55*$BI55),0)</f>
        <v>0</v>
      </c>
      <c r="CQ55" s="311">
        <f>IF($BI55&lt;&gt;"",IF('Capacity summary'!$D$14="Yes",IF(COUNTBLANK('Capacity summary'!$H174:$BG174)&lt;52,IF('Capacity summary'!AN174&lt;&gt;"",IF(LOWER('Capacity summary'!AN174)="x",$BI55*AN55,VALUE('Capacity summary'!AN174)),0),AN55*$BI55),AN55*$BI55),0)</f>
        <v>0</v>
      </c>
      <c r="CR55" s="311">
        <f>IF($BI55&lt;&gt;"",IF('Capacity summary'!$D$14="Yes",IF(COUNTBLANK('Capacity summary'!$H174:$BG174)&lt;52,IF('Capacity summary'!AO174&lt;&gt;"",IF(LOWER('Capacity summary'!AO174)="x",$BI55*AO55,VALUE('Capacity summary'!AO174)),0),AO55*$BI55),AO55*$BI55),0)</f>
        <v>0</v>
      </c>
      <c r="CS55" s="311">
        <f>IF($BI55&lt;&gt;"",IF('Capacity summary'!$D$14="Yes",IF(COUNTBLANK('Capacity summary'!$H174:$BG174)&lt;52,IF('Capacity summary'!AP174&lt;&gt;"",IF(LOWER('Capacity summary'!AP174)="x",$BI55*AP55,VALUE('Capacity summary'!AP174)),0),AP55*$BI55),AP55*$BI55),0)</f>
        <v>0</v>
      </c>
      <c r="CT55" s="311">
        <f>IF($BI55&lt;&gt;"",IF('Capacity summary'!$D$14="Yes",IF(COUNTBLANK('Capacity summary'!$H174:$BG174)&lt;52,IF('Capacity summary'!AQ174&lt;&gt;"",IF(LOWER('Capacity summary'!AQ174)="x",$BI55*AQ55,VALUE('Capacity summary'!AQ174)),0),AQ55*$BI55),AQ55*$BI55),0)</f>
        <v>0</v>
      </c>
      <c r="CU55" s="311">
        <f>IF($BI55&lt;&gt;"",IF('Capacity summary'!$D$14="Yes",IF(COUNTBLANK('Capacity summary'!$H174:$BG174)&lt;52,IF('Capacity summary'!AR174&lt;&gt;"",IF(LOWER('Capacity summary'!AR174)="x",$BI55*AR55,VALUE('Capacity summary'!AR174)),0),AR55*$BI55),AR55*$BI55),0)</f>
        <v>0</v>
      </c>
      <c r="CV55" s="311">
        <f>IF($BI55&lt;&gt;"",IF('Capacity summary'!$D$14="Yes",IF(COUNTBLANK('Capacity summary'!$H174:$BG174)&lt;52,IF('Capacity summary'!AS174&lt;&gt;"",IF(LOWER('Capacity summary'!AS174)="x",$BI55*AS55,VALUE('Capacity summary'!AS174)),0),AS55*$BI55),AS55*$BI55),0)</f>
        <v>0</v>
      </c>
      <c r="CW55" s="311">
        <f>IF($BI55&lt;&gt;"",IF('Capacity summary'!$D$14="Yes",IF(COUNTBLANK('Capacity summary'!$H174:$BG174)&lt;52,IF('Capacity summary'!AT174&lt;&gt;"",IF(LOWER('Capacity summary'!AT174)="x",$BI55*AT55,VALUE('Capacity summary'!AT174)),0),AT55*$BI55),AT55*$BI55),0)</f>
        <v>0</v>
      </c>
      <c r="CX55" s="311">
        <f>IF($BI55&lt;&gt;"",IF('Capacity summary'!$D$14="Yes",IF(COUNTBLANK('Capacity summary'!$H174:$BG174)&lt;52,IF('Capacity summary'!AU174&lt;&gt;"",IF(LOWER('Capacity summary'!AU174)="x",$BI55*AU55,VALUE('Capacity summary'!AU174)),0),AU55*$BI55),AU55*$BI55),0)</f>
        <v>0</v>
      </c>
      <c r="CY55" s="311">
        <f>IF($BI55&lt;&gt;"",IF('Capacity summary'!$D$14="Yes",IF(COUNTBLANK('Capacity summary'!$H174:$BG174)&lt;52,IF('Capacity summary'!AV174&lt;&gt;"",IF(LOWER('Capacity summary'!AV174)="x",$BI55*AV55,VALUE('Capacity summary'!AV174)),0),AV55*$BI55),AV55*$BI55),0)</f>
        <v>0</v>
      </c>
      <c r="CZ55" s="311">
        <f>IF($BI55&lt;&gt;"",IF('Capacity summary'!$D$14="Yes",IF(COUNTBLANK('Capacity summary'!$H174:$BG174)&lt;52,IF('Capacity summary'!AW174&lt;&gt;"",IF(LOWER('Capacity summary'!AW174)="x",$BI55*AW55,VALUE('Capacity summary'!AW174)),0),AW55*$BI55),AW55*$BI55),0)</f>
        <v>0</v>
      </c>
      <c r="DA55" s="311">
        <f>IF($BI55&lt;&gt;"",IF('Capacity summary'!$D$14="Yes",IF(COUNTBLANK('Capacity summary'!$H174:$BG174)&lt;52,IF('Capacity summary'!AX174&lt;&gt;"",IF(LOWER('Capacity summary'!AX174)="x",$BI55*AX55,VALUE('Capacity summary'!AX174)),0),AX55*$BI55),AX55*$BI55),0)</f>
        <v>0</v>
      </c>
      <c r="DB55" s="311">
        <f>IF($BI55&lt;&gt;"",IF('Capacity summary'!$D$14="Yes",IF(COUNTBLANK('Capacity summary'!$H174:$BG174)&lt;52,IF('Capacity summary'!AY174&lt;&gt;"",IF(LOWER('Capacity summary'!AY174)="x",$BI55*AY55,VALUE('Capacity summary'!AY174)),0),AY55*$BI55),AY55*$BI55),0)</f>
        <v>0</v>
      </c>
      <c r="DC55" s="311">
        <f>IF($BI55&lt;&gt;"",IF('Capacity summary'!$D$14="Yes",IF(COUNTBLANK('Capacity summary'!$H174:$BG174)&lt;52,IF('Capacity summary'!AZ174&lt;&gt;"",IF(LOWER('Capacity summary'!AZ174)="x",$BI55*AZ55,VALUE('Capacity summary'!AZ174)),0),AZ55*$BI55),AZ55*$BI55),0)</f>
        <v>0</v>
      </c>
      <c r="DD55" s="311">
        <f>IF($BI55&lt;&gt;"",IF('Capacity summary'!$D$14="Yes",IF(COUNTBLANK('Capacity summary'!$H174:$BG174)&lt;52,IF('Capacity summary'!BA174&lt;&gt;"",IF(LOWER('Capacity summary'!BA174)="x",$BI55*BA55,VALUE('Capacity summary'!BA174)),0),BA55*$BI55),BA55*$BI55),0)</f>
        <v>0</v>
      </c>
      <c r="DE55" s="311">
        <f>IF($BI55&lt;&gt;"",IF('Capacity summary'!$D$14="Yes",IF(COUNTBLANK('Capacity summary'!$H174:$BG174)&lt;52,IF('Capacity summary'!BB174&lt;&gt;"",IF(LOWER('Capacity summary'!BB174)="x",$BI55*BB55,VALUE('Capacity summary'!BB174)),0),BB55*$BI55),BB55*$BI55),0)</f>
        <v>0</v>
      </c>
      <c r="DF55" s="311">
        <f>IF($BI55&lt;&gt;"",IF('Capacity summary'!$D$14="Yes",IF(COUNTBLANK('Capacity summary'!$H174:$BG174)&lt;52,IF('Capacity summary'!BC174&lt;&gt;"",IF(LOWER('Capacity summary'!BC174)="x",$BI55*BC55,VALUE('Capacity summary'!BC174)),0),BC55*$BI55),BC55*$BI55),0)</f>
        <v>0</v>
      </c>
      <c r="DG55" s="311">
        <f>IF($BI55&lt;&gt;"",IF('Capacity summary'!$D$14="Yes",IF(COUNTBLANK('Capacity summary'!$H174:$BG174)&lt;52,IF('Capacity summary'!BD174&lt;&gt;"",IF(LOWER('Capacity summary'!BD174)="x",$BI55*BD55,VALUE('Capacity summary'!BD174)),0),BD55*$BI55),BD55*$BI55),0)</f>
        <v>0</v>
      </c>
      <c r="DH55" s="311">
        <f>IF($BI55&lt;&gt;"",IF('Capacity summary'!$D$14="Yes",IF(COUNTBLANK('Capacity summary'!$H174:$BG174)&lt;52,IF('Capacity summary'!BE174&lt;&gt;"",IF(LOWER('Capacity summary'!BE174)="x",$BI55*BE55,VALUE('Capacity summary'!BE174)),0),BE55*$BI55),BE55*$BI55),0)</f>
        <v>0</v>
      </c>
      <c r="DI55" s="311">
        <f>IF($BI55&lt;&gt;"",IF('Capacity summary'!$D$14="Yes",IF(COUNTBLANK('Capacity summary'!$H174:$BG174)&lt;52,IF('Capacity summary'!BF174&lt;&gt;"",IF(LOWER('Capacity summary'!BF174)="x",$BI55*BF55,VALUE('Capacity summary'!BF174)),0),BF55*$BI55),BF55*$BI55),0)</f>
        <v>0</v>
      </c>
      <c r="DJ55" s="311">
        <f>IF($BI55&lt;&gt;"",IF('Capacity summary'!$D$14="Yes",IF(COUNTBLANK('Capacity summary'!$H174:$BG174)&lt;52,IF('Capacity summary'!BG174&lt;&gt;"",IF(LOWER('Capacity summary'!BG174)="x",$BI55*BG55,VALUE('Capacity summary'!BG174)),0),BG55*$BI55),BG55*$BI55),0)</f>
        <v>0</v>
      </c>
      <c r="DK55" s="391">
        <f t="shared" si="2"/>
        <v>0</v>
      </c>
      <c r="DL55" s="136">
        <f t="shared" si="3"/>
        <v>0</v>
      </c>
      <c r="DM55" s="311" t="str">
        <f>Capacity!H67</f>
        <v/>
      </c>
      <c r="DQ55" s="5"/>
    </row>
    <row r="56" spans="1:121" x14ac:dyDescent="0.2">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1">
        <f>IF($BI56&lt;&gt;"",IF('Capacity summary'!$D$14="Yes",IF(COUNTBLANK('Capacity summary'!$H175:$BG175)&lt;52,IF('Capacity summary'!H175&lt;&gt;"",IF(LOWER('Capacity summary'!H175)="x",$BI56*H56,VALUE('Capacity summary'!H175)),0),H56*$BI56),H56*$BI56),0)</f>
        <v>0</v>
      </c>
      <c r="BL56" s="311">
        <f>IF($BI56&lt;&gt;"",IF('Capacity summary'!$D$14="Yes",IF(COUNTBLANK('Capacity summary'!$H175:$BG175)&lt;52,IF('Capacity summary'!I175&lt;&gt;"",IF(LOWER('Capacity summary'!I175)="x",$BI56*I56,VALUE('Capacity summary'!I175)),0),I56*$BI56),I56*$BI56),0)</f>
        <v>0</v>
      </c>
      <c r="BM56" s="311">
        <f>IF($BI56&lt;&gt;"",IF('Capacity summary'!$D$14="Yes",IF(COUNTBLANK('Capacity summary'!$H175:$BG175)&lt;52,IF('Capacity summary'!J175&lt;&gt;"",IF(LOWER('Capacity summary'!J175)="x",$BI56*J56,VALUE('Capacity summary'!J175)),0),J56*$BI56),J56*$BI56),0)</f>
        <v>0</v>
      </c>
      <c r="BN56" s="311">
        <f>IF($BI56&lt;&gt;"",IF('Capacity summary'!$D$14="Yes",IF(COUNTBLANK('Capacity summary'!$H175:$BG175)&lt;52,IF('Capacity summary'!K175&lt;&gt;"",IF(LOWER('Capacity summary'!K175)="x",$BI56*K56,VALUE('Capacity summary'!K175)),0),K56*$BI56),K56*$BI56),0)</f>
        <v>0</v>
      </c>
      <c r="BO56" s="311">
        <f>IF($BI56&lt;&gt;"",IF('Capacity summary'!$D$14="Yes",IF(COUNTBLANK('Capacity summary'!$H175:$BG175)&lt;52,IF('Capacity summary'!L175&lt;&gt;"",IF(LOWER('Capacity summary'!L175)="x",$BI56*L56,VALUE('Capacity summary'!L175)),0),L56*$BI56),L56*$BI56),0)</f>
        <v>0</v>
      </c>
      <c r="BP56" s="311">
        <f>IF($BI56&lt;&gt;"",IF('Capacity summary'!$D$14="Yes",IF(COUNTBLANK('Capacity summary'!$H175:$BG175)&lt;52,IF('Capacity summary'!M175&lt;&gt;"",IF(LOWER('Capacity summary'!M175)="x",$BI56*M56,VALUE('Capacity summary'!M175)),0),M56*$BI56),M56*$BI56),0)</f>
        <v>0</v>
      </c>
      <c r="BQ56" s="311">
        <f>IF($BI56&lt;&gt;"",IF('Capacity summary'!$D$14="Yes",IF(COUNTBLANK('Capacity summary'!$H175:$BG175)&lt;52,IF('Capacity summary'!N175&lt;&gt;"",IF(LOWER('Capacity summary'!N175)="x",$BI56*N56,VALUE('Capacity summary'!N175)),0),N56*$BI56),N56*$BI56),0)</f>
        <v>0</v>
      </c>
      <c r="BR56" s="311">
        <f>IF($BI56&lt;&gt;"",IF('Capacity summary'!$D$14="Yes",IF(COUNTBLANK('Capacity summary'!$H175:$BG175)&lt;52,IF('Capacity summary'!O175&lt;&gt;"",IF(LOWER('Capacity summary'!O175)="x",$BI56*O56,VALUE('Capacity summary'!O175)),0),O56*$BI56),O56*$BI56),0)</f>
        <v>0</v>
      </c>
      <c r="BS56" s="311">
        <f>IF($BI56&lt;&gt;"",IF('Capacity summary'!$D$14="Yes",IF(COUNTBLANK('Capacity summary'!$H175:$BG175)&lt;52,IF('Capacity summary'!P175&lt;&gt;"",IF(LOWER('Capacity summary'!P175)="x",$BI56*P56,VALUE('Capacity summary'!P175)),0),P56*$BI56),P56*$BI56),0)</f>
        <v>0</v>
      </c>
      <c r="BT56" s="311">
        <f>IF($BI56&lt;&gt;"",IF('Capacity summary'!$D$14="Yes",IF(COUNTBLANK('Capacity summary'!$H175:$BG175)&lt;52,IF('Capacity summary'!Q175&lt;&gt;"",IF(LOWER('Capacity summary'!Q175)="x",$BI56*Q56,VALUE('Capacity summary'!Q175)),0),Q56*$BI56),Q56*$BI56),0)</f>
        <v>0</v>
      </c>
      <c r="BU56" s="311">
        <f>IF($BI56&lt;&gt;"",IF('Capacity summary'!$D$14="Yes",IF(COUNTBLANK('Capacity summary'!$H175:$BG175)&lt;52,IF('Capacity summary'!R175&lt;&gt;"",IF(LOWER('Capacity summary'!R175)="x",$BI56*R56,VALUE('Capacity summary'!R175)),0),R56*$BI56),R56*$BI56),0)</f>
        <v>0</v>
      </c>
      <c r="BV56" s="311">
        <f>IF($BI56&lt;&gt;"",IF('Capacity summary'!$D$14="Yes",IF(COUNTBLANK('Capacity summary'!$H175:$BG175)&lt;52,IF('Capacity summary'!S175&lt;&gt;"",IF(LOWER('Capacity summary'!S175)="x",$BI56*S56,VALUE('Capacity summary'!S175)),0),S56*$BI56),S56*$BI56),0)</f>
        <v>0</v>
      </c>
      <c r="BW56" s="311">
        <f>IF($BI56&lt;&gt;"",IF('Capacity summary'!$D$14="Yes",IF(COUNTBLANK('Capacity summary'!$H175:$BG175)&lt;52,IF('Capacity summary'!T175&lt;&gt;"",IF(LOWER('Capacity summary'!T175)="x",$BI56*T56,VALUE('Capacity summary'!T175)),0),T56*$BI56),T56*$BI56),0)</f>
        <v>0</v>
      </c>
      <c r="BX56" s="311">
        <f>IF($BI56&lt;&gt;"",IF('Capacity summary'!$D$14="Yes",IF(COUNTBLANK('Capacity summary'!$H175:$BG175)&lt;52,IF('Capacity summary'!U175&lt;&gt;"",IF(LOWER('Capacity summary'!U175)="x",$BI56*U56,VALUE('Capacity summary'!U175)),0),U56*$BI56),U56*$BI56),0)</f>
        <v>0</v>
      </c>
      <c r="BY56" s="311">
        <f>IF($BI56&lt;&gt;"",IF('Capacity summary'!$D$14="Yes",IF(COUNTBLANK('Capacity summary'!$H175:$BG175)&lt;52,IF('Capacity summary'!V175&lt;&gt;"",IF(LOWER('Capacity summary'!V175)="x",$BI56*V56,VALUE('Capacity summary'!V175)),0),V56*$BI56),V56*$BI56),0)</f>
        <v>0</v>
      </c>
      <c r="BZ56" s="311">
        <f>IF($BI56&lt;&gt;"",IF('Capacity summary'!$D$14="Yes",IF(COUNTBLANK('Capacity summary'!$H175:$BG175)&lt;52,IF('Capacity summary'!W175&lt;&gt;"",IF(LOWER('Capacity summary'!W175)="x",$BI56*W56,VALUE('Capacity summary'!W175)),0),W56*$BI56),W56*$BI56),0)</f>
        <v>0</v>
      </c>
      <c r="CA56" s="311">
        <f>IF($BI56&lt;&gt;"",IF('Capacity summary'!$D$14="Yes",IF(COUNTBLANK('Capacity summary'!$H175:$BG175)&lt;52,IF('Capacity summary'!X175&lt;&gt;"",IF(LOWER('Capacity summary'!X175)="x",$BI56*X56,VALUE('Capacity summary'!X175)),0),X56*$BI56),X56*$BI56),0)</f>
        <v>0</v>
      </c>
      <c r="CB56" s="311">
        <f>IF($BI56&lt;&gt;"",IF('Capacity summary'!$D$14="Yes",IF(COUNTBLANK('Capacity summary'!$H175:$BG175)&lt;52,IF('Capacity summary'!Y175&lt;&gt;"",IF(LOWER('Capacity summary'!Y175)="x",$BI56*Y56,VALUE('Capacity summary'!Y175)),0),Y56*$BI56),Y56*$BI56),0)</f>
        <v>0</v>
      </c>
      <c r="CC56" s="311">
        <f>IF($BI56&lt;&gt;"",IF('Capacity summary'!$D$14="Yes",IF(COUNTBLANK('Capacity summary'!$H175:$BG175)&lt;52,IF('Capacity summary'!Z175&lt;&gt;"",IF(LOWER('Capacity summary'!Z175)="x",$BI56*Z56,VALUE('Capacity summary'!Z175)),0),Z56*$BI56),Z56*$BI56),0)</f>
        <v>0</v>
      </c>
      <c r="CD56" s="311">
        <f>IF($BI56&lt;&gt;"",IF('Capacity summary'!$D$14="Yes",IF(COUNTBLANK('Capacity summary'!$H175:$BG175)&lt;52,IF('Capacity summary'!AA175&lt;&gt;"",IF(LOWER('Capacity summary'!AA175)="x",$BI56*AA56,VALUE('Capacity summary'!AA175)),0),AA56*$BI56),AA56*$BI56),0)</f>
        <v>0</v>
      </c>
      <c r="CE56" s="311">
        <f>IF($BI56&lt;&gt;"",IF('Capacity summary'!$D$14="Yes",IF(COUNTBLANK('Capacity summary'!$H175:$BG175)&lt;52,IF('Capacity summary'!AB175&lt;&gt;"",IF(LOWER('Capacity summary'!AB175)="x",$BI56*AB56,VALUE('Capacity summary'!AB175)),0),AB56*$BI56),AB56*$BI56),0)</f>
        <v>0</v>
      </c>
      <c r="CF56" s="311">
        <f>IF($BI56&lt;&gt;"",IF('Capacity summary'!$D$14="Yes",IF(COUNTBLANK('Capacity summary'!$H175:$BG175)&lt;52,IF('Capacity summary'!AC175&lt;&gt;"",IF(LOWER('Capacity summary'!AC175)="x",$BI56*AC56,VALUE('Capacity summary'!AC175)),0),AC56*$BI56),AC56*$BI56),0)</f>
        <v>0</v>
      </c>
      <c r="CG56" s="311">
        <f>IF($BI56&lt;&gt;"",IF('Capacity summary'!$D$14="Yes",IF(COUNTBLANK('Capacity summary'!$H175:$BG175)&lt;52,IF('Capacity summary'!AD175&lt;&gt;"",IF(LOWER('Capacity summary'!AD175)="x",$BI56*AD56,VALUE('Capacity summary'!AD175)),0),AD56*$BI56),AD56*$BI56),0)</f>
        <v>0</v>
      </c>
      <c r="CH56" s="311">
        <f>IF($BI56&lt;&gt;"",IF('Capacity summary'!$D$14="Yes",IF(COUNTBLANK('Capacity summary'!$H175:$BG175)&lt;52,IF('Capacity summary'!AE175&lt;&gt;"",IF(LOWER('Capacity summary'!AE175)="x",$BI56*AE56,VALUE('Capacity summary'!AE175)),0),AE56*$BI56),AE56*$BI56),0)</f>
        <v>0</v>
      </c>
      <c r="CI56" s="311">
        <f>IF($BI56&lt;&gt;"",IF('Capacity summary'!$D$14="Yes",IF(COUNTBLANK('Capacity summary'!$H175:$BG175)&lt;52,IF('Capacity summary'!AF175&lt;&gt;"",IF(LOWER('Capacity summary'!AF175)="x",$BI56*AF56,VALUE('Capacity summary'!AF175)),0),AF56*$BI56),AF56*$BI56),0)</f>
        <v>0</v>
      </c>
      <c r="CJ56" s="311">
        <f>IF($BI56&lt;&gt;"",IF('Capacity summary'!$D$14="Yes",IF(COUNTBLANK('Capacity summary'!$H175:$BG175)&lt;52,IF('Capacity summary'!AG175&lt;&gt;"",IF(LOWER('Capacity summary'!AG175)="x",$BI56*AG56,VALUE('Capacity summary'!AG175)),0),AG56*$BI56),AG56*$BI56),0)</f>
        <v>0</v>
      </c>
      <c r="CK56" s="311">
        <f>IF($BI56&lt;&gt;"",IF('Capacity summary'!$D$14="Yes",IF(COUNTBLANK('Capacity summary'!$H175:$BG175)&lt;52,IF('Capacity summary'!AH175&lt;&gt;"",IF(LOWER('Capacity summary'!AH175)="x",$BI56*AH56,VALUE('Capacity summary'!AH175)),0),AH56*$BI56),AH56*$BI56),0)</f>
        <v>0</v>
      </c>
      <c r="CL56" s="311">
        <f>IF($BI56&lt;&gt;"",IF('Capacity summary'!$D$14="Yes",IF(COUNTBLANK('Capacity summary'!$H175:$BG175)&lt;52,IF('Capacity summary'!AI175&lt;&gt;"",IF(LOWER('Capacity summary'!AI175)="x",$BI56*AI56,VALUE('Capacity summary'!AI175)),0),AI56*$BI56),AI56*$BI56),0)</f>
        <v>0</v>
      </c>
      <c r="CM56" s="311">
        <f>IF($BI56&lt;&gt;"",IF('Capacity summary'!$D$14="Yes",IF(COUNTBLANK('Capacity summary'!$H175:$BG175)&lt;52,IF('Capacity summary'!AJ175&lt;&gt;"",IF(LOWER('Capacity summary'!AJ175)="x",$BI56*AJ56,VALUE('Capacity summary'!AJ175)),0),AJ56*$BI56),AJ56*$BI56),0)</f>
        <v>0</v>
      </c>
      <c r="CN56" s="311">
        <f>IF($BI56&lt;&gt;"",IF('Capacity summary'!$D$14="Yes",IF(COUNTBLANK('Capacity summary'!$H175:$BG175)&lt;52,IF('Capacity summary'!AK175&lt;&gt;"",IF(LOWER('Capacity summary'!AK175)="x",$BI56*AK56,VALUE('Capacity summary'!AK175)),0),AK56*$BI56),AK56*$BI56),0)</f>
        <v>0</v>
      </c>
      <c r="CO56" s="311">
        <f>IF($BI56&lt;&gt;"",IF('Capacity summary'!$D$14="Yes",IF(COUNTBLANK('Capacity summary'!$H175:$BG175)&lt;52,IF('Capacity summary'!AL175&lt;&gt;"",IF(LOWER('Capacity summary'!AL175)="x",$BI56*AL56,VALUE('Capacity summary'!AL175)),0),AL56*$BI56),AL56*$BI56),0)</f>
        <v>0</v>
      </c>
      <c r="CP56" s="311">
        <f>IF($BI56&lt;&gt;"",IF('Capacity summary'!$D$14="Yes",IF(COUNTBLANK('Capacity summary'!$H175:$BG175)&lt;52,IF('Capacity summary'!AM175&lt;&gt;"",IF(LOWER('Capacity summary'!AM175)="x",$BI56*AM56,VALUE('Capacity summary'!AM175)),0),AM56*$BI56),AM56*$BI56),0)</f>
        <v>0</v>
      </c>
      <c r="CQ56" s="311">
        <f>IF($BI56&lt;&gt;"",IF('Capacity summary'!$D$14="Yes",IF(COUNTBLANK('Capacity summary'!$H175:$BG175)&lt;52,IF('Capacity summary'!AN175&lt;&gt;"",IF(LOWER('Capacity summary'!AN175)="x",$BI56*AN56,VALUE('Capacity summary'!AN175)),0),AN56*$BI56),AN56*$BI56),0)</f>
        <v>0</v>
      </c>
      <c r="CR56" s="311">
        <f>IF($BI56&lt;&gt;"",IF('Capacity summary'!$D$14="Yes",IF(COUNTBLANK('Capacity summary'!$H175:$BG175)&lt;52,IF('Capacity summary'!AO175&lt;&gt;"",IF(LOWER('Capacity summary'!AO175)="x",$BI56*AO56,VALUE('Capacity summary'!AO175)),0),AO56*$BI56),AO56*$BI56),0)</f>
        <v>0</v>
      </c>
      <c r="CS56" s="311">
        <f>IF($BI56&lt;&gt;"",IF('Capacity summary'!$D$14="Yes",IF(COUNTBLANK('Capacity summary'!$H175:$BG175)&lt;52,IF('Capacity summary'!AP175&lt;&gt;"",IF(LOWER('Capacity summary'!AP175)="x",$BI56*AP56,VALUE('Capacity summary'!AP175)),0),AP56*$BI56),AP56*$BI56),0)</f>
        <v>0</v>
      </c>
      <c r="CT56" s="311">
        <f>IF($BI56&lt;&gt;"",IF('Capacity summary'!$D$14="Yes",IF(COUNTBLANK('Capacity summary'!$H175:$BG175)&lt;52,IF('Capacity summary'!AQ175&lt;&gt;"",IF(LOWER('Capacity summary'!AQ175)="x",$BI56*AQ56,VALUE('Capacity summary'!AQ175)),0),AQ56*$BI56),AQ56*$BI56),0)</f>
        <v>0</v>
      </c>
      <c r="CU56" s="311">
        <f>IF($BI56&lt;&gt;"",IF('Capacity summary'!$D$14="Yes",IF(COUNTBLANK('Capacity summary'!$H175:$BG175)&lt;52,IF('Capacity summary'!AR175&lt;&gt;"",IF(LOWER('Capacity summary'!AR175)="x",$BI56*AR56,VALUE('Capacity summary'!AR175)),0),AR56*$BI56),AR56*$BI56),0)</f>
        <v>0</v>
      </c>
      <c r="CV56" s="311">
        <f>IF($BI56&lt;&gt;"",IF('Capacity summary'!$D$14="Yes",IF(COUNTBLANK('Capacity summary'!$H175:$BG175)&lt;52,IF('Capacity summary'!AS175&lt;&gt;"",IF(LOWER('Capacity summary'!AS175)="x",$BI56*AS56,VALUE('Capacity summary'!AS175)),0),AS56*$BI56),AS56*$BI56),0)</f>
        <v>0</v>
      </c>
      <c r="CW56" s="311">
        <f>IF($BI56&lt;&gt;"",IF('Capacity summary'!$D$14="Yes",IF(COUNTBLANK('Capacity summary'!$H175:$BG175)&lt;52,IF('Capacity summary'!AT175&lt;&gt;"",IF(LOWER('Capacity summary'!AT175)="x",$BI56*AT56,VALUE('Capacity summary'!AT175)),0),AT56*$BI56),AT56*$BI56),0)</f>
        <v>0</v>
      </c>
      <c r="CX56" s="311">
        <f>IF($BI56&lt;&gt;"",IF('Capacity summary'!$D$14="Yes",IF(COUNTBLANK('Capacity summary'!$H175:$BG175)&lt;52,IF('Capacity summary'!AU175&lt;&gt;"",IF(LOWER('Capacity summary'!AU175)="x",$BI56*AU56,VALUE('Capacity summary'!AU175)),0),AU56*$BI56),AU56*$BI56),0)</f>
        <v>0</v>
      </c>
      <c r="CY56" s="311">
        <f>IF($BI56&lt;&gt;"",IF('Capacity summary'!$D$14="Yes",IF(COUNTBLANK('Capacity summary'!$H175:$BG175)&lt;52,IF('Capacity summary'!AV175&lt;&gt;"",IF(LOWER('Capacity summary'!AV175)="x",$BI56*AV56,VALUE('Capacity summary'!AV175)),0),AV56*$BI56),AV56*$BI56),0)</f>
        <v>0</v>
      </c>
      <c r="CZ56" s="311">
        <f>IF($BI56&lt;&gt;"",IF('Capacity summary'!$D$14="Yes",IF(COUNTBLANK('Capacity summary'!$H175:$BG175)&lt;52,IF('Capacity summary'!AW175&lt;&gt;"",IF(LOWER('Capacity summary'!AW175)="x",$BI56*AW56,VALUE('Capacity summary'!AW175)),0),AW56*$BI56),AW56*$BI56),0)</f>
        <v>0</v>
      </c>
      <c r="DA56" s="311">
        <f>IF($BI56&lt;&gt;"",IF('Capacity summary'!$D$14="Yes",IF(COUNTBLANK('Capacity summary'!$H175:$BG175)&lt;52,IF('Capacity summary'!AX175&lt;&gt;"",IF(LOWER('Capacity summary'!AX175)="x",$BI56*AX56,VALUE('Capacity summary'!AX175)),0),AX56*$BI56),AX56*$BI56),0)</f>
        <v>0</v>
      </c>
      <c r="DB56" s="311">
        <f>IF($BI56&lt;&gt;"",IF('Capacity summary'!$D$14="Yes",IF(COUNTBLANK('Capacity summary'!$H175:$BG175)&lt;52,IF('Capacity summary'!AY175&lt;&gt;"",IF(LOWER('Capacity summary'!AY175)="x",$BI56*AY56,VALUE('Capacity summary'!AY175)),0),AY56*$BI56),AY56*$BI56),0)</f>
        <v>0</v>
      </c>
      <c r="DC56" s="311">
        <f>IF($BI56&lt;&gt;"",IF('Capacity summary'!$D$14="Yes",IF(COUNTBLANK('Capacity summary'!$H175:$BG175)&lt;52,IF('Capacity summary'!AZ175&lt;&gt;"",IF(LOWER('Capacity summary'!AZ175)="x",$BI56*AZ56,VALUE('Capacity summary'!AZ175)),0),AZ56*$BI56),AZ56*$BI56),0)</f>
        <v>0</v>
      </c>
      <c r="DD56" s="311">
        <f>IF($BI56&lt;&gt;"",IF('Capacity summary'!$D$14="Yes",IF(COUNTBLANK('Capacity summary'!$H175:$BG175)&lt;52,IF('Capacity summary'!BA175&lt;&gt;"",IF(LOWER('Capacity summary'!BA175)="x",$BI56*BA56,VALUE('Capacity summary'!BA175)),0),BA56*$BI56),BA56*$BI56),0)</f>
        <v>0</v>
      </c>
      <c r="DE56" s="311">
        <f>IF($BI56&lt;&gt;"",IF('Capacity summary'!$D$14="Yes",IF(COUNTBLANK('Capacity summary'!$H175:$BG175)&lt;52,IF('Capacity summary'!BB175&lt;&gt;"",IF(LOWER('Capacity summary'!BB175)="x",$BI56*BB56,VALUE('Capacity summary'!BB175)),0),BB56*$BI56),BB56*$BI56),0)</f>
        <v>0</v>
      </c>
      <c r="DF56" s="311">
        <f>IF($BI56&lt;&gt;"",IF('Capacity summary'!$D$14="Yes",IF(COUNTBLANK('Capacity summary'!$H175:$BG175)&lt;52,IF('Capacity summary'!BC175&lt;&gt;"",IF(LOWER('Capacity summary'!BC175)="x",$BI56*BC56,VALUE('Capacity summary'!BC175)),0),BC56*$BI56),BC56*$BI56),0)</f>
        <v>0</v>
      </c>
      <c r="DG56" s="311">
        <f>IF($BI56&lt;&gt;"",IF('Capacity summary'!$D$14="Yes",IF(COUNTBLANK('Capacity summary'!$H175:$BG175)&lt;52,IF('Capacity summary'!BD175&lt;&gt;"",IF(LOWER('Capacity summary'!BD175)="x",$BI56*BD56,VALUE('Capacity summary'!BD175)),0),BD56*$BI56),BD56*$BI56),0)</f>
        <v>0</v>
      </c>
      <c r="DH56" s="311">
        <f>IF($BI56&lt;&gt;"",IF('Capacity summary'!$D$14="Yes",IF(COUNTBLANK('Capacity summary'!$H175:$BG175)&lt;52,IF('Capacity summary'!BE175&lt;&gt;"",IF(LOWER('Capacity summary'!BE175)="x",$BI56*BE56,VALUE('Capacity summary'!BE175)),0),BE56*$BI56),BE56*$BI56),0)</f>
        <v>0</v>
      </c>
      <c r="DI56" s="311">
        <f>IF($BI56&lt;&gt;"",IF('Capacity summary'!$D$14="Yes",IF(COUNTBLANK('Capacity summary'!$H175:$BG175)&lt;52,IF('Capacity summary'!BF175&lt;&gt;"",IF(LOWER('Capacity summary'!BF175)="x",$BI56*BF56,VALUE('Capacity summary'!BF175)),0),BF56*$BI56),BF56*$BI56),0)</f>
        <v>0</v>
      </c>
      <c r="DJ56" s="311">
        <f>IF($BI56&lt;&gt;"",IF('Capacity summary'!$D$14="Yes",IF(COUNTBLANK('Capacity summary'!$H175:$BG175)&lt;52,IF('Capacity summary'!BG175&lt;&gt;"",IF(LOWER('Capacity summary'!BG175)="x",$BI56*BG56,VALUE('Capacity summary'!BG175)),0),BG56*$BI56),BG56*$BI56),0)</f>
        <v>0</v>
      </c>
      <c r="DK56" s="391">
        <f t="shared" si="2"/>
        <v>0</v>
      </c>
      <c r="DL56" s="136">
        <f t="shared" si="3"/>
        <v>0</v>
      </c>
      <c r="DM56" s="311" t="str">
        <f>Capacity!H68</f>
        <v/>
      </c>
      <c r="DQ56" s="5"/>
    </row>
    <row r="57" spans="1:121" x14ac:dyDescent="0.2">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1">
        <f>IF($BI57&lt;&gt;"",IF('Capacity summary'!$D$14="Yes",IF(COUNTBLANK('Capacity summary'!$H176:$BG176)&lt;52,IF('Capacity summary'!H176&lt;&gt;"",IF(LOWER('Capacity summary'!H176)="x",$BI57*H57,VALUE('Capacity summary'!H176)),0),H57*$BI57),H57*$BI57),0)</f>
        <v>0</v>
      </c>
      <c r="BL57" s="311">
        <f>IF($BI57&lt;&gt;"",IF('Capacity summary'!$D$14="Yes",IF(COUNTBLANK('Capacity summary'!$H176:$BG176)&lt;52,IF('Capacity summary'!I176&lt;&gt;"",IF(LOWER('Capacity summary'!I176)="x",$BI57*I57,VALUE('Capacity summary'!I176)),0),I57*$BI57),I57*$BI57),0)</f>
        <v>0</v>
      </c>
      <c r="BM57" s="311">
        <f>IF($BI57&lt;&gt;"",IF('Capacity summary'!$D$14="Yes",IF(COUNTBLANK('Capacity summary'!$H176:$BG176)&lt;52,IF('Capacity summary'!J176&lt;&gt;"",IF(LOWER('Capacity summary'!J176)="x",$BI57*J57,VALUE('Capacity summary'!J176)),0),J57*$BI57),J57*$BI57),0)</f>
        <v>0</v>
      </c>
      <c r="BN57" s="311">
        <f>IF($BI57&lt;&gt;"",IF('Capacity summary'!$D$14="Yes",IF(COUNTBLANK('Capacity summary'!$H176:$BG176)&lt;52,IF('Capacity summary'!K176&lt;&gt;"",IF(LOWER('Capacity summary'!K176)="x",$BI57*K57,VALUE('Capacity summary'!K176)),0),K57*$BI57),K57*$BI57),0)</f>
        <v>0</v>
      </c>
      <c r="BO57" s="311">
        <f>IF($BI57&lt;&gt;"",IF('Capacity summary'!$D$14="Yes",IF(COUNTBLANK('Capacity summary'!$H176:$BG176)&lt;52,IF('Capacity summary'!L176&lt;&gt;"",IF(LOWER('Capacity summary'!L176)="x",$BI57*L57,VALUE('Capacity summary'!L176)),0),L57*$BI57),L57*$BI57),0)</f>
        <v>0</v>
      </c>
      <c r="BP57" s="311">
        <f>IF($BI57&lt;&gt;"",IF('Capacity summary'!$D$14="Yes",IF(COUNTBLANK('Capacity summary'!$H176:$BG176)&lt;52,IF('Capacity summary'!M176&lt;&gt;"",IF(LOWER('Capacity summary'!M176)="x",$BI57*M57,VALUE('Capacity summary'!M176)),0),M57*$BI57),M57*$BI57),0)</f>
        <v>0</v>
      </c>
      <c r="BQ57" s="311">
        <f>IF($BI57&lt;&gt;"",IF('Capacity summary'!$D$14="Yes",IF(COUNTBLANK('Capacity summary'!$H176:$BG176)&lt;52,IF('Capacity summary'!N176&lt;&gt;"",IF(LOWER('Capacity summary'!N176)="x",$BI57*N57,VALUE('Capacity summary'!N176)),0),N57*$BI57),N57*$BI57),0)</f>
        <v>0</v>
      </c>
      <c r="BR57" s="311">
        <f>IF($BI57&lt;&gt;"",IF('Capacity summary'!$D$14="Yes",IF(COUNTBLANK('Capacity summary'!$H176:$BG176)&lt;52,IF('Capacity summary'!O176&lt;&gt;"",IF(LOWER('Capacity summary'!O176)="x",$BI57*O57,VALUE('Capacity summary'!O176)),0),O57*$BI57),O57*$BI57),0)</f>
        <v>0</v>
      </c>
      <c r="BS57" s="311">
        <f>IF($BI57&lt;&gt;"",IF('Capacity summary'!$D$14="Yes",IF(COUNTBLANK('Capacity summary'!$H176:$BG176)&lt;52,IF('Capacity summary'!P176&lt;&gt;"",IF(LOWER('Capacity summary'!P176)="x",$BI57*P57,VALUE('Capacity summary'!P176)),0),P57*$BI57),P57*$BI57),0)</f>
        <v>0</v>
      </c>
      <c r="BT57" s="311">
        <f>IF($BI57&lt;&gt;"",IF('Capacity summary'!$D$14="Yes",IF(COUNTBLANK('Capacity summary'!$H176:$BG176)&lt;52,IF('Capacity summary'!Q176&lt;&gt;"",IF(LOWER('Capacity summary'!Q176)="x",$BI57*Q57,VALUE('Capacity summary'!Q176)),0),Q57*$BI57),Q57*$BI57),0)</f>
        <v>0</v>
      </c>
      <c r="BU57" s="311">
        <f>IF($BI57&lt;&gt;"",IF('Capacity summary'!$D$14="Yes",IF(COUNTBLANK('Capacity summary'!$H176:$BG176)&lt;52,IF('Capacity summary'!R176&lt;&gt;"",IF(LOWER('Capacity summary'!R176)="x",$BI57*R57,VALUE('Capacity summary'!R176)),0),R57*$BI57),R57*$BI57),0)</f>
        <v>0</v>
      </c>
      <c r="BV57" s="311">
        <f>IF($BI57&lt;&gt;"",IF('Capacity summary'!$D$14="Yes",IF(COUNTBLANK('Capacity summary'!$H176:$BG176)&lt;52,IF('Capacity summary'!S176&lt;&gt;"",IF(LOWER('Capacity summary'!S176)="x",$BI57*S57,VALUE('Capacity summary'!S176)),0),S57*$BI57),S57*$BI57),0)</f>
        <v>0</v>
      </c>
      <c r="BW57" s="311">
        <f>IF($BI57&lt;&gt;"",IF('Capacity summary'!$D$14="Yes",IF(COUNTBLANK('Capacity summary'!$H176:$BG176)&lt;52,IF('Capacity summary'!T176&lt;&gt;"",IF(LOWER('Capacity summary'!T176)="x",$BI57*T57,VALUE('Capacity summary'!T176)),0),T57*$BI57),T57*$BI57),0)</f>
        <v>0</v>
      </c>
      <c r="BX57" s="311">
        <f>IF($BI57&lt;&gt;"",IF('Capacity summary'!$D$14="Yes",IF(COUNTBLANK('Capacity summary'!$H176:$BG176)&lt;52,IF('Capacity summary'!U176&lt;&gt;"",IF(LOWER('Capacity summary'!U176)="x",$BI57*U57,VALUE('Capacity summary'!U176)),0),U57*$BI57),U57*$BI57),0)</f>
        <v>0</v>
      </c>
      <c r="BY57" s="311">
        <f>IF($BI57&lt;&gt;"",IF('Capacity summary'!$D$14="Yes",IF(COUNTBLANK('Capacity summary'!$H176:$BG176)&lt;52,IF('Capacity summary'!V176&lt;&gt;"",IF(LOWER('Capacity summary'!V176)="x",$BI57*V57,VALUE('Capacity summary'!V176)),0),V57*$BI57),V57*$BI57),0)</f>
        <v>0</v>
      </c>
      <c r="BZ57" s="311">
        <f>IF($BI57&lt;&gt;"",IF('Capacity summary'!$D$14="Yes",IF(COUNTBLANK('Capacity summary'!$H176:$BG176)&lt;52,IF('Capacity summary'!W176&lt;&gt;"",IF(LOWER('Capacity summary'!W176)="x",$BI57*W57,VALUE('Capacity summary'!W176)),0),W57*$BI57),W57*$BI57),0)</f>
        <v>0</v>
      </c>
      <c r="CA57" s="311">
        <f>IF($BI57&lt;&gt;"",IF('Capacity summary'!$D$14="Yes",IF(COUNTBLANK('Capacity summary'!$H176:$BG176)&lt;52,IF('Capacity summary'!X176&lt;&gt;"",IF(LOWER('Capacity summary'!X176)="x",$BI57*X57,VALUE('Capacity summary'!X176)),0),X57*$BI57),X57*$BI57),0)</f>
        <v>0</v>
      </c>
      <c r="CB57" s="311">
        <f>IF($BI57&lt;&gt;"",IF('Capacity summary'!$D$14="Yes",IF(COUNTBLANK('Capacity summary'!$H176:$BG176)&lt;52,IF('Capacity summary'!Y176&lt;&gt;"",IF(LOWER('Capacity summary'!Y176)="x",$BI57*Y57,VALUE('Capacity summary'!Y176)),0),Y57*$BI57),Y57*$BI57),0)</f>
        <v>0</v>
      </c>
      <c r="CC57" s="311">
        <f>IF($BI57&lt;&gt;"",IF('Capacity summary'!$D$14="Yes",IF(COUNTBLANK('Capacity summary'!$H176:$BG176)&lt;52,IF('Capacity summary'!Z176&lt;&gt;"",IF(LOWER('Capacity summary'!Z176)="x",$BI57*Z57,VALUE('Capacity summary'!Z176)),0),Z57*$BI57),Z57*$BI57),0)</f>
        <v>0</v>
      </c>
      <c r="CD57" s="311">
        <f>IF($BI57&lt;&gt;"",IF('Capacity summary'!$D$14="Yes",IF(COUNTBLANK('Capacity summary'!$H176:$BG176)&lt;52,IF('Capacity summary'!AA176&lt;&gt;"",IF(LOWER('Capacity summary'!AA176)="x",$BI57*AA57,VALUE('Capacity summary'!AA176)),0),AA57*$BI57),AA57*$BI57),0)</f>
        <v>0</v>
      </c>
      <c r="CE57" s="311">
        <f>IF($BI57&lt;&gt;"",IF('Capacity summary'!$D$14="Yes",IF(COUNTBLANK('Capacity summary'!$H176:$BG176)&lt;52,IF('Capacity summary'!AB176&lt;&gt;"",IF(LOWER('Capacity summary'!AB176)="x",$BI57*AB57,VALUE('Capacity summary'!AB176)),0),AB57*$BI57),AB57*$BI57),0)</f>
        <v>0</v>
      </c>
      <c r="CF57" s="311">
        <f>IF($BI57&lt;&gt;"",IF('Capacity summary'!$D$14="Yes",IF(COUNTBLANK('Capacity summary'!$H176:$BG176)&lt;52,IF('Capacity summary'!AC176&lt;&gt;"",IF(LOWER('Capacity summary'!AC176)="x",$BI57*AC57,VALUE('Capacity summary'!AC176)),0),AC57*$BI57),AC57*$BI57),0)</f>
        <v>0</v>
      </c>
      <c r="CG57" s="311">
        <f>IF($BI57&lt;&gt;"",IF('Capacity summary'!$D$14="Yes",IF(COUNTBLANK('Capacity summary'!$H176:$BG176)&lt;52,IF('Capacity summary'!AD176&lt;&gt;"",IF(LOWER('Capacity summary'!AD176)="x",$BI57*AD57,VALUE('Capacity summary'!AD176)),0),AD57*$BI57),AD57*$BI57),0)</f>
        <v>0</v>
      </c>
      <c r="CH57" s="311">
        <f>IF($BI57&lt;&gt;"",IF('Capacity summary'!$D$14="Yes",IF(COUNTBLANK('Capacity summary'!$H176:$BG176)&lt;52,IF('Capacity summary'!AE176&lt;&gt;"",IF(LOWER('Capacity summary'!AE176)="x",$BI57*AE57,VALUE('Capacity summary'!AE176)),0),AE57*$BI57),AE57*$BI57),0)</f>
        <v>0</v>
      </c>
      <c r="CI57" s="311">
        <f>IF($BI57&lt;&gt;"",IF('Capacity summary'!$D$14="Yes",IF(COUNTBLANK('Capacity summary'!$H176:$BG176)&lt;52,IF('Capacity summary'!AF176&lt;&gt;"",IF(LOWER('Capacity summary'!AF176)="x",$BI57*AF57,VALUE('Capacity summary'!AF176)),0),AF57*$BI57),AF57*$BI57),0)</f>
        <v>0</v>
      </c>
      <c r="CJ57" s="311">
        <f>IF($BI57&lt;&gt;"",IF('Capacity summary'!$D$14="Yes",IF(COUNTBLANK('Capacity summary'!$H176:$BG176)&lt;52,IF('Capacity summary'!AG176&lt;&gt;"",IF(LOWER('Capacity summary'!AG176)="x",$BI57*AG57,VALUE('Capacity summary'!AG176)),0),AG57*$BI57),AG57*$BI57),0)</f>
        <v>0</v>
      </c>
      <c r="CK57" s="311">
        <f>IF($BI57&lt;&gt;"",IF('Capacity summary'!$D$14="Yes",IF(COUNTBLANK('Capacity summary'!$H176:$BG176)&lt;52,IF('Capacity summary'!AH176&lt;&gt;"",IF(LOWER('Capacity summary'!AH176)="x",$BI57*AH57,VALUE('Capacity summary'!AH176)),0),AH57*$BI57),AH57*$BI57),0)</f>
        <v>0</v>
      </c>
      <c r="CL57" s="311">
        <f>IF($BI57&lt;&gt;"",IF('Capacity summary'!$D$14="Yes",IF(COUNTBLANK('Capacity summary'!$H176:$BG176)&lt;52,IF('Capacity summary'!AI176&lt;&gt;"",IF(LOWER('Capacity summary'!AI176)="x",$BI57*AI57,VALUE('Capacity summary'!AI176)),0),AI57*$BI57),AI57*$BI57),0)</f>
        <v>0</v>
      </c>
      <c r="CM57" s="311">
        <f>IF($BI57&lt;&gt;"",IF('Capacity summary'!$D$14="Yes",IF(COUNTBLANK('Capacity summary'!$H176:$BG176)&lt;52,IF('Capacity summary'!AJ176&lt;&gt;"",IF(LOWER('Capacity summary'!AJ176)="x",$BI57*AJ57,VALUE('Capacity summary'!AJ176)),0),AJ57*$BI57),AJ57*$BI57),0)</f>
        <v>0</v>
      </c>
      <c r="CN57" s="311">
        <f>IF($BI57&lt;&gt;"",IF('Capacity summary'!$D$14="Yes",IF(COUNTBLANK('Capacity summary'!$H176:$BG176)&lt;52,IF('Capacity summary'!AK176&lt;&gt;"",IF(LOWER('Capacity summary'!AK176)="x",$BI57*AK57,VALUE('Capacity summary'!AK176)),0),AK57*$BI57),AK57*$BI57),0)</f>
        <v>0</v>
      </c>
      <c r="CO57" s="311">
        <f>IF($BI57&lt;&gt;"",IF('Capacity summary'!$D$14="Yes",IF(COUNTBLANK('Capacity summary'!$H176:$BG176)&lt;52,IF('Capacity summary'!AL176&lt;&gt;"",IF(LOWER('Capacity summary'!AL176)="x",$BI57*AL57,VALUE('Capacity summary'!AL176)),0),AL57*$BI57),AL57*$BI57),0)</f>
        <v>0</v>
      </c>
      <c r="CP57" s="311">
        <f>IF($BI57&lt;&gt;"",IF('Capacity summary'!$D$14="Yes",IF(COUNTBLANK('Capacity summary'!$H176:$BG176)&lt;52,IF('Capacity summary'!AM176&lt;&gt;"",IF(LOWER('Capacity summary'!AM176)="x",$BI57*AM57,VALUE('Capacity summary'!AM176)),0),AM57*$BI57),AM57*$BI57),0)</f>
        <v>0</v>
      </c>
      <c r="CQ57" s="311">
        <f>IF($BI57&lt;&gt;"",IF('Capacity summary'!$D$14="Yes",IF(COUNTBLANK('Capacity summary'!$H176:$BG176)&lt;52,IF('Capacity summary'!AN176&lt;&gt;"",IF(LOWER('Capacity summary'!AN176)="x",$BI57*AN57,VALUE('Capacity summary'!AN176)),0),AN57*$BI57),AN57*$BI57),0)</f>
        <v>0</v>
      </c>
      <c r="CR57" s="311">
        <f>IF($BI57&lt;&gt;"",IF('Capacity summary'!$D$14="Yes",IF(COUNTBLANK('Capacity summary'!$H176:$BG176)&lt;52,IF('Capacity summary'!AO176&lt;&gt;"",IF(LOWER('Capacity summary'!AO176)="x",$BI57*AO57,VALUE('Capacity summary'!AO176)),0),AO57*$BI57),AO57*$BI57),0)</f>
        <v>0</v>
      </c>
      <c r="CS57" s="311">
        <f>IF($BI57&lt;&gt;"",IF('Capacity summary'!$D$14="Yes",IF(COUNTBLANK('Capacity summary'!$H176:$BG176)&lt;52,IF('Capacity summary'!AP176&lt;&gt;"",IF(LOWER('Capacity summary'!AP176)="x",$BI57*AP57,VALUE('Capacity summary'!AP176)),0),AP57*$BI57),AP57*$BI57),0)</f>
        <v>0</v>
      </c>
      <c r="CT57" s="311">
        <f>IF($BI57&lt;&gt;"",IF('Capacity summary'!$D$14="Yes",IF(COUNTBLANK('Capacity summary'!$H176:$BG176)&lt;52,IF('Capacity summary'!AQ176&lt;&gt;"",IF(LOWER('Capacity summary'!AQ176)="x",$BI57*AQ57,VALUE('Capacity summary'!AQ176)),0),AQ57*$BI57),AQ57*$BI57),0)</f>
        <v>0</v>
      </c>
      <c r="CU57" s="311">
        <f>IF($BI57&lt;&gt;"",IF('Capacity summary'!$D$14="Yes",IF(COUNTBLANK('Capacity summary'!$H176:$BG176)&lt;52,IF('Capacity summary'!AR176&lt;&gt;"",IF(LOWER('Capacity summary'!AR176)="x",$BI57*AR57,VALUE('Capacity summary'!AR176)),0),AR57*$BI57),AR57*$BI57),0)</f>
        <v>0</v>
      </c>
      <c r="CV57" s="311">
        <f>IF($BI57&lt;&gt;"",IF('Capacity summary'!$D$14="Yes",IF(COUNTBLANK('Capacity summary'!$H176:$BG176)&lt;52,IF('Capacity summary'!AS176&lt;&gt;"",IF(LOWER('Capacity summary'!AS176)="x",$BI57*AS57,VALUE('Capacity summary'!AS176)),0),AS57*$BI57),AS57*$BI57),0)</f>
        <v>0</v>
      </c>
      <c r="CW57" s="311">
        <f>IF($BI57&lt;&gt;"",IF('Capacity summary'!$D$14="Yes",IF(COUNTBLANK('Capacity summary'!$H176:$BG176)&lt;52,IF('Capacity summary'!AT176&lt;&gt;"",IF(LOWER('Capacity summary'!AT176)="x",$BI57*AT57,VALUE('Capacity summary'!AT176)),0),AT57*$BI57),AT57*$BI57),0)</f>
        <v>0</v>
      </c>
      <c r="CX57" s="311">
        <f>IF($BI57&lt;&gt;"",IF('Capacity summary'!$D$14="Yes",IF(COUNTBLANK('Capacity summary'!$H176:$BG176)&lt;52,IF('Capacity summary'!AU176&lt;&gt;"",IF(LOWER('Capacity summary'!AU176)="x",$BI57*AU57,VALUE('Capacity summary'!AU176)),0),AU57*$BI57),AU57*$BI57),0)</f>
        <v>0</v>
      </c>
      <c r="CY57" s="311">
        <f>IF($BI57&lt;&gt;"",IF('Capacity summary'!$D$14="Yes",IF(COUNTBLANK('Capacity summary'!$H176:$BG176)&lt;52,IF('Capacity summary'!AV176&lt;&gt;"",IF(LOWER('Capacity summary'!AV176)="x",$BI57*AV57,VALUE('Capacity summary'!AV176)),0),AV57*$BI57),AV57*$BI57),0)</f>
        <v>0</v>
      </c>
      <c r="CZ57" s="311">
        <f>IF($BI57&lt;&gt;"",IF('Capacity summary'!$D$14="Yes",IF(COUNTBLANK('Capacity summary'!$H176:$BG176)&lt;52,IF('Capacity summary'!AW176&lt;&gt;"",IF(LOWER('Capacity summary'!AW176)="x",$BI57*AW57,VALUE('Capacity summary'!AW176)),0),AW57*$BI57),AW57*$BI57),0)</f>
        <v>0</v>
      </c>
      <c r="DA57" s="311">
        <f>IF($BI57&lt;&gt;"",IF('Capacity summary'!$D$14="Yes",IF(COUNTBLANK('Capacity summary'!$H176:$BG176)&lt;52,IF('Capacity summary'!AX176&lt;&gt;"",IF(LOWER('Capacity summary'!AX176)="x",$BI57*AX57,VALUE('Capacity summary'!AX176)),0),AX57*$BI57),AX57*$BI57),0)</f>
        <v>0</v>
      </c>
      <c r="DB57" s="311">
        <f>IF($BI57&lt;&gt;"",IF('Capacity summary'!$D$14="Yes",IF(COUNTBLANK('Capacity summary'!$H176:$BG176)&lt;52,IF('Capacity summary'!AY176&lt;&gt;"",IF(LOWER('Capacity summary'!AY176)="x",$BI57*AY57,VALUE('Capacity summary'!AY176)),0),AY57*$BI57),AY57*$BI57),0)</f>
        <v>0</v>
      </c>
      <c r="DC57" s="311">
        <f>IF($BI57&lt;&gt;"",IF('Capacity summary'!$D$14="Yes",IF(COUNTBLANK('Capacity summary'!$H176:$BG176)&lt;52,IF('Capacity summary'!AZ176&lt;&gt;"",IF(LOWER('Capacity summary'!AZ176)="x",$BI57*AZ57,VALUE('Capacity summary'!AZ176)),0),AZ57*$BI57),AZ57*$BI57),0)</f>
        <v>0</v>
      </c>
      <c r="DD57" s="311">
        <f>IF($BI57&lt;&gt;"",IF('Capacity summary'!$D$14="Yes",IF(COUNTBLANK('Capacity summary'!$H176:$BG176)&lt;52,IF('Capacity summary'!BA176&lt;&gt;"",IF(LOWER('Capacity summary'!BA176)="x",$BI57*BA57,VALUE('Capacity summary'!BA176)),0),BA57*$BI57),BA57*$BI57),0)</f>
        <v>0</v>
      </c>
      <c r="DE57" s="311">
        <f>IF($BI57&lt;&gt;"",IF('Capacity summary'!$D$14="Yes",IF(COUNTBLANK('Capacity summary'!$H176:$BG176)&lt;52,IF('Capacity summary'!BB176&lt;&gt;"",IF(LOWER('Capacity summary'!BB176)="x",$BI57*BB57,VALUE('Capacity summary'!BB176)),0),BB57*$BI57),BB57*$BI57),0)</f>
        <v>0</v>
      </c>
      <c r="DF57" s="311">
        <f>IF($BI57&lt;&gt;"",IF('Capacity summary'!$D$14="Yes",IF(COUNTBLANK('Capacity summary'!$H176:$BG176)&lt;52,IF('Capacity summary'!BC176&lt;&gt;"",IF(LOWER('Capacity summary'!BC176)="x",$BI57*BC57,VALUE('Capacity summary'!BC176)),0),BC57*$BI57),BC57*$BI57),0)</f>
        <v>0</v>
      </c>
      <c r="DG57" s="311">
        <f>IF($BI57&lt;&gt;"",IF('Capacity summary'!$D$14="Yes",IF(COUNTBLANK('Capacity summary'!$H176:$BG176)&lt;52,IF('Capacity summary'!BD176&lt;&gt;"",IF(LOWER('Capacity summary'!BD176)="x",$BI57*BD57,VALUE('Capacity summary'!BD176)),0),BD57*$BI57),BD57*$BI57),0)</f>
        <v>0</v>
      </c>
      <c r="DH57" s="311">
        <f>IF($BI57&lt;&gt;"",IF('Capacity summary'!$D$14="Yes",IF(COUNTBLANK('Capacity summary'!$H176:$BG176)&lt;52,IF('Capacity summary'!BE176&lt;&gt;"",IF(LOWER('Capacity summary'!BE176)="x",$BI57*BE57,VALUE('Capacity summary'!BE176)),0),BE57*$BI57),BE57*$BI57),0)</f>
        <v>0</v>
      </c>
      <c r="DI57" s="311">
        <f>IF($BI57&lt;&gt;"",IF('Capacity summary'!$D$14="Yes",IF(COUNTBLANK('Capacity summary'!$H176:$BG176)&lt;52,IF('Capacity summary'!BF176&lt;&gt;"",IF(LOWER('Capacity summary'!BF176)="x",$BI57*BF57,VALUE('Capacity summary'!BF176)),0),BF57*$BI57),BF57*$BI57),0)</f>
        <v>0</v>
      </c>
      <c r="DJ57" s="311">
        <f>IF($BI57&lt;&gt;"",IF('Capacity summary'!$D$14="Yes",IF(COUNTBLANK('Capacity summary'!$H176:$BG176)&lt;52,IF('Capacity summary'!BG176&lt;&gt;"",IF(LOWER('Capacity summary'!BG176)="x",$BI57*BG57,VALUE('Capacity summary'!BG176)),0),BG57*$BI57),BG57*$BI57),0)</f>
        <v>0</v>
      </c>
      <c r="DK57" s="391">
        <f t="shared" si="2"/>
        <v>0</v>
      </c>
      <c r="DL57" s="136">
        <f t="shared" si="3"/>
        <v>0</v>
      </c>
      <c r="DM57" s="311" t="str">
        <f>Capacity!H69</f>
        <v/>
      </c>
    </row>
    <row r="58" spans="1:121" x14ac:dyDescent="0.2">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1">
        <f>IF($BI58&lt;&gt;"",IF('Capacity summary'!$D$14="Yes",IF(COUNTBLANK('Capacity summary'!$H177:$BG177)&lt;52,IF('Capacity summary'!H177&lt;&gt;"",IF(LOWER('Capacity summary'!H177)="x",$BI58*H58,VALUE('Capacity summary'!H177)),0),H58*$BI58),H58*$BI58),0)</f>
        <v>0</v>
      </c>
      <c r="BL58" s="311">
        <f>IF($BI58&lt;&gt;"",IF('Capacity summary'!$D$14="Yes",IF(COUNTBLANK('Capacity summary'!$H177:$BG177)&lt;52,IF('Capacity summary'!I177&lt;&gt;"",IF(LOWER('Capacity summary'!I177)="x",$BI58*I58,VALUE('Capacity summary'!I177)),0),I58*$BI58),I58*$BI58),0)</f>
        <v>0</v>
      </c>
      <c r="BM58" s="311">
        <f>IF($BI58&lt;&gt;"",IF('Capacity summary'!$D$14="Yes",IF(COUNTBLANK('Capacity summary'!$H177:$BG177)&lt;52,IF('Capacity summary'!J177&lt;&gt;"",IF(LOWER('Capacity summary'!J177)="x",$BI58*J58,VALUE('Capacity summary'!J177)),0),J58*$BI58),J58*$BI58),0)</f>
        <v>0</v>
      </c>
      <c r="BN58" s="311">
        <f>IF($BI58&lt;&gt;"",IF('Capacity summary'!$D$14="Yes",IF(COUNTBLANK('Capacity summary'!$H177:$BG177)&lt;52,IF('Capacity summary'!K177&lt;&gt;"",IF(LOWER('Capacity summary'!K177)="x",$BI58*K58,VALUE('Capacity summary'!K177)),0),K58*$BI58),K58*$BI58),0)</f>
        <v>0</v>
      </c>
      <c r="BO58" s="311">
        <f>IF($BI58&lt;&gt;"",IF('Capacity summary'!$D$14="Yes",IF(COUNTBLANK('Capacity summary'!$H177:$BG177)&lt;52,IF('Capacity summary'!L177&lt;&gt;"",IF(LOWER('Capacity summary'!L177)="x",$BI58*L58,VALUE('Capacity summary'!L177)),0),L58*$BI58),L58*$BI58),0)</f>
        <v>0</v>
      </c>
      <c r="BP58" s="311">
        <f>IF($BI58&lt;&gt;"",IF('Capacity summary'!$D$14="Yes",IF(COUNTBLANK('Capacity summary'!$H177:$BG177)&lt;52,IF('Capacity summary'!M177&lt;&gt;"",IF(LOWER('Capacity summary'!M177)="x",$BI58*M58,VALUE('Capacity summary'!M177)),0),M58*$BI58),M58*$BI58),0)</f>
        <v>0</v>
      </c>
      <c r="BQ58" s="311">
        <f>IF($BI58&lt;&gt;"",IF('Capacity summary'!$D$14="Yes",IF(COUNTBLANK('Capacity summary'!$H177:$BG177)&lt;52,IF('Capacity summary'!N177&lt;&gt;"",IF(LOWER('Capacity summary'!N177)="x",$BI58*N58,VALUE('Capacity summary'!N177)),0),N58*$BI58),N58*$BI58),0)</f>
        <v>0</v>
      </c>
      <c r="BR58" s="311">
        <f>IF($BI58&lt;&gt;"",IF('Capacity summary'!$D$14="Yes",IF(COUNTBLANK('Capacity summary'!$H177:$BG177)&lt;52,IF('Capacity summary'!O177&lt;&gt;"",IF(LOWER('Capacity summary'!O177)="x",$BI58*O58,VALUE('Capacity summary'!O177)),0),O58*$BI58),O58*$BI58),0)</f>
        <v>0</v>
      </c>
      <c r="BS58" s="311">
        <f>IF($BI58&lt;&gt;"",IF('Capacity summary'!$D$14="Yes",IF(COUNTBLANK('Capacity summary'!$H177:$BG177)&lt;52,IF('Capacity summary'!P177&lt;&gt;"",IF(LOWER('Capacity summary'!P177)="x",$BI58*P58,VALUE('Capacity summary'!P177)),0),P58*$BI58),P58*$BI58),0)</f>
        <v>0</v>
      </c>
      <c r="BT58" s="311">
        <f>IF($BI58&lt;&gt;"",IF('Capacity summary'!$D$14="Yes",IF(COUNTBLANK('Capacity summary'!$H177:$BG177)&lt;52,IF('Capacity summary'!Q177&lt;&gt;"",IF(LOWER('Capacity summary'!Q177)="x",$BI58*Q58,VALUE('Capacity summary'!Q177)),0),Q58*$BI58),Q58*$BI58),0)</f>
        <v>0</v>
      </c>
      <c r="BU58" s="311">
        <f>IF($BI58&lt;&gt;"",IF('Capacity summary'!$D$14="Yes",IF(COUNTBLANK('Capacity summary'!$H177:$BG177)&lt;52,IF('Capacity summary'!R177&lt;&gt;"",IF(LOWER('Capacity summary'!R177)="x",$BI58*R58,VALUE('Capacity summary'!R177)),0),R58*$BI58),R58*$BI58),0)</f>
        <v>0</v>
      </c>
      <c r="BV58" s="311">
        <f>IF($BI58&lt;&gt;"",IF('Capacity summary'!$D$14="Yes",IF(COUNTBLANK('Capacity summary'!$H177:$BG177)&lt;52,IF('Capacity summary'!S177&lt;&gt;"",IF(LOWER('Capacity summary'!S177)="x",$BI58*S58,VALUE('Capacity summary'!S177)),0),S58*$BI58),S58*$BI58),0)</f>
        <v>0</v>
      </c>
      <c r="BW58" s="311">
        <f>IF($BI58&lt;&gt;"",IF('Capacity summary'!$D$14="Yes",IF(COUNTBLANK('Capacity summary'!$H177:$BG177)&lt;52,IF('Capacity summary'!T177&lt;&gt;"",IF(LOWER('Capacity summary'!T177)="x",$BI58*T58,VALUE('Capacity summary'!T177)),0),T58*$BI58),T58*$BI58),0)</f>
        <v>0</v>
      </c>
      <c r="BX58" s="311">
        <f>IF($BI58&lt;&gt;"",IF('Capacity summary'!$D$14="Yes",IF(COUNTBLANK('Capacity summary'!$H177:$BG177)&lt;52,IF('Capacity summary'!U177&lt;&gt;"",IF(LOWER('Capacity summary'!U177)="x",$BI58*U58,VALUE('Capacity summary'!U177)),0),U58*$BI58),U58*$BI58),0)</f>
        <v>0</v>
      </c>
      <c r="BY58" s="311">
        <f>IF($BI58&lt;&gt;"",IF('Capacity summary'!$D$14="Yes",IF(COUNTBLANK('Capacity summary'!$H177:$BG177)&lt;52,IF('Capacity summary'!V177&lt;&gt;"",IF(LOWER('Capacity summary'!V177)="x",$BI58*V58,VALUE('Capacity summary'!V177)),0),V58*$BI58),V58*$BI58),0)</f>
        <v>0</v>
      </c>
      <c r="BZ58" s="311">
        <f>IF($BI58&lt;&gt;"",IF('Capacity summary'!$D$14="Yes",IF(COUNTBLANK('Capacity summary'!$H177:$BG177)&lt;52,IF('Capacity summary'!W177&lt;&gt;"",IF(LOWER('Capacity summary'!W177)="x",$BI58*W58,VALUE('Capacity summary'!W177)),0),W58*$BI58),W58*$BI58),0)</f>
        <v>0</v>
      </c>
      <c r="CA58" s="311">
        <f>IF($BI58&lt;&gt;"",IF('Capacity summary'!$D$14="Yes",IF(COUNTBLANK('Capacity summary'!$H177:$BG177)&lt;52,IF('Capacity summary'!X177&lt;&gt;"",IF(LOWER('Capacity summary'!X177)="x",$BI58*X58,VALUE('Capacity summary'!X177)),0),X58*$BI58),X58*$BI58),0)</f>
        <v>0</v>
      </c>
      <c r="CB58" s="311">
        <f>IF($BI58&lt;&gt;"",IF('Capacity summary'!$D$14="Yes",IF(COUNTBLANK('Capacity summary'!$H177:$BG177)&lt;52,IF('Capacity summary'!Y177&lt;&gt;"",IF(LOWER('Capacity summary'!Y177)="x",$BI58*Y58,VALUE('Capacity summary'!Y177)),0),Y58*$BI58),Y58*$BI58),0)</f>
        <v>0</v>
      </c>
      <c r="CC58" s="311">
        <f>IF($BI58&lt;&gt;"",IF('Capacity summary'!$D$14="Yes",IF(COUNTBLANK('Capacity summary'!$H177:$BG177)&lt;52,IF('Capacity summary'!Z177&lt;&gt;"",IF(LOWER('Capacity summary'!Z177)="x",$BI58*Z58,VALUE('Capacity summary'!Z177)),0),Z58*$BI58),Z58*$BI58),0)</f>
        <v>0</v>
      </c>
      <c r="CD58" s="311">
        <f>IF($BI58&lt;&gt;"",IF('Capacity summary'!$D$14="Yes",IF(COUNTBLANK('Capacity summary'!$H177:$BG177)&lt;52,IF('Capacity summary'!AA177&lt;&gt;"",IF(LOWER('Capacity summary'!AA177)="x",$BI58*AA58,VALUE('Capacity summary'!AA177)),0),AA58*$BI58),AA58*$BI58),0)</f>
        <v>0</v>
      </c>
      <c r="CE58" s="311">
        <f>IF($BI58&lt;&gt;"",IF('Capacity summary'!$D$14="Yes",IF(COUNTBLANK('Capacity summary'!$H177:$BG177)&lt;52,IF('Capacity summary'!AB177&lt;&gt;"",IF(LOWER('Capacity summary'!AB177)="x",$BI58*AB58,VALUE('Capacity summary'!AB177)),0),AB58*$BI58),AB58*$BI58),0)</f>
        <v>0</v>
      </c>
      <c r="CF58" s="311">
        <f>IF($BI58&lt;&gt;"",IF('Capacity summary'!$D$14="Yes",IF(COUNTBLANK('Capacity summary'!$H177:$BG177)&lt;52,IF('Capacity summary'!AC177&lt;&gt;"",IF(LOWER('Capacity summary'!AC177)="x",$BI58*AC58,VALUE('Capacity summary'!AC177)),0),AC58*$BI58),AC58*$BI58),0)</f>
        <v>0</v>
      </c>
      <c r="CG58" s="311">
        <f>IF($BI58&lt;&gt;"",IF('Capacity summary'!$D$14="Yes",IF(COUNTBLANK('Capacity summary'!$H177:$BG177)&lt;52,IF('Capacity summary'!AD177&lt;&gt;"",IF(LOWER('Capacity summary'!AD177)="x",$BI58*AD58,VALUE('Capacity summary'!AD177)),0),AD58*$BI58),AD58*$BI58),0)</f>
        <v>0</v>
      </c>
      <c r="CH58" s="311">
        <f>IF($BI58&lt;&gt;"",IF('Capacity summary'!$D$14="Yes",IF(COUNTBLANK('Capacity summary'!$H177:$BG177)&lt;52,IF('Capacity summary'!AE177&lt;&gt;"",IF(LOWER('Capacity summary'!AE177)="x",$BI58*AE58,VALUE('Capacity summary'!AE177)),0),AE58*$BI58),AE58*$BI58),0)</f>
        <v>0</v>
      </c>
      <c r="CI58" s="311">
        <f>IF($BI58&lt;&gt;"",IF('Capacity summary'!$D$14="Yes",IF(COUNTBLANK('Capacity summary'!$H177:$BG177)&lt;52,IF('Capacity summary'!AF177&lt;&gt;"",IF(LOWER('Capacity summary'!AF177)="x",$BI58*AF58,VALUE('Capacity summary'!AF177)),0),AF58*$BI58),AF58*$BI58),0)</f>
        <v>0</v>
      </c>
      <c r="CJ58" s="311">
        <f>IF($BI58&lt;&gt;"",IF('Capacity summary'!$D$14="Yes",IF(COUNTBLANK('Capacity summary'!$H177:$BG177)&lt;52,IF('Capacity summary'!AG177&lt;&gt;"",IF(LOWER('Capacity summary'!AG177)="x",$BI58*AG58,VALUE('Capacity summary'!AG177)),0),AG58*$BI58),AG58*$BI58),0)</f>
        <v>0</v>
      </c>
      <c r="CK58" s="311">
        <f>IF($BI58&lt;&gt;"",IF('Capacity summary'!$D$14="Yes",IF(COUNTBLANK('Capacity summary'!$H177:$BG177)&lt;52,IF('Capacity summary'!AH177&lt;&gt;"",IF(LOWER('Capacity summary'!AH177)="x",$BI58*AH58,VALUE('Capacity summary'!AH177)),0),AH58*$BI58),AH58*$BI58),0)</f>
        <v>0</v>
      </c>
      <c r="CL58" s="311">
        <f>IF($BI58&lt;&gt;"",IF('Capacity summary'!$D$14="Yes",IF(COUNTBLANK('Capacity summary'!$H177:$BG177)&lt;52,IF('Capacity summary'!AI177&lt;&gt;"",IF(LOWER('Capacity summary'!AI177)="x",$BI58*AI58,VALUE('Capacity summary'!AI177)),0),AI58*$BI58),AI58*$BI58),0)</f>
        <v>0</v>
      </c>
      <c r="CM58" s="311">
        <f>IF($BI58&lt;&gt;"",IF('Capacity summary'!$D$14="Yes",IF(COUNTBLANK('Capacity summary'!$H177:$BG177)&lt;52,IF('Capacity summary'!AJ177&lt;&gt;"",IF(LOWER('Capacity summary'!AJ177)="x",$BI58*AJ58,VALUE('Capacity summary'!AJ177)),0),AJ58*$BI58),AJ58*$BI58),0)</f>
        <v>0</v>
      </c>
      <c r="CN58" s="311">
        <f>IF($BI58&lt;&gt;"",IF('Capacity summary'!$D$14="Yes",IF(COUNTBLANK('Capacity summary'!$H177:$BG177)&lt;52,IF('Capacity summary'!AK177&lt;&gt;"",IF(LOWER('Capacity summary'!AK177)="x",$BI58*AK58,VALUE('Capacity summary'!AK177)),0),AK58*$BI58),AK58*$BI58),0)</f>
        <v>0</v>
      </c>
      <c r="CO58" s="311">
        <f>IF($BI58&lt;&gt;"",IF('Capacity summary'!$D$14="Yes",IF(COUNTBLANK('Capacity summary'!$H177:$BG177)&lt;52,IF('Capacity summary'!AL177&lt;&gt;"",IF(LOWER('Capacity summary'!AL177)="x",$BI58*AL58,VALUE('Capacity summary'!AL177)),0),AL58*$BI58),AL58*$BI58),0)</f>
        <v>0</v>
      </c>
      <c r="CP58" s="311">
        <f>IF($BI58&lt;&gt;"",IF('Capacity summary'!$D$14="Yes",IF(COUNTBLANK('Capacity summary'!$H177:$BG177)&lt;52,IF('Capacity summary'!AM177&lt;&gt;"",IF(LOWER('Capacity summary'!AM177)="x",$BI58*AM58,VALUE('Capacity summary'!AM177)),0),AM58*$BI58),AM58*$BI58),0)</f>
        <v>0</v>
      </c>
      <c r="CQ58" s="311">
        <f>IF($BI58&lt;&gt;"",IF('Capacity summary'!$D$14="Yes",IF(COUNTBLANK('Capacity summary'!$H177:$BG177)&lt;52,IF('Capacity summary'!AN177&lt;&gt;"",IF(LOWER('Capacity summary'!AN177)="x",$BI58*AN58,VALUE('Capacity summary'!AN177)),0),AN58*$BI58),AN58*$BI58),0)</f>
        <v>0</v>
      </c>
      <c r="CR58" s="311">
        <f>IF($BI58&lt;&gt;"",IF('Capacity summary'!$D$14="Yes",IF(COUNTBLANK('Capacity summary'!$H177:$BG177)&lt;52,IF('Capacity summary'!AO177&lt;&gt;"",IF(LOWER('Capacity summary'!AO177)="x",$BI58*AO58,VALUE('Capacity summary'!AO177)),0),AO58*$BI58),AO58*$BI58),0)</f>
        <v>0</v>
      </c>
      <c r="CS58" s="311">
        <f>IF($BI58&lt;&gt;"",IF('Capacity summary'!$D$14="Yes",IF(COUNTBLANK('Capacity summary'!$H177:$BG177)&lt;52,IF('Capacity summary'!AP177&lt;&gt;"",IF(LOWER('Capacity summary'!AP177)="x",$BI58*AP58,VALUE('Capacity summary'!AP177)),0),AP58*$BI58),AP58*$BI58),0)</f>
        <v>0</v>
      </c>
      <c r="CT58" s="311">
        <f>IF($BI58&lt;&gt;"",IF('Capacity summary'!$D$14="Yes",IF(COUNTBLANK('Capacity summary'!$H177:$BG177)&lt;52,IF('Capacity summary'!AQ177&lt;&gt;"",IF(LOWER('Capacity summary'!AQ177)="x",$BI58*AQ58,VALUE('Capacity summary'!AQ177)),0),AQ58*$BI58),AQ58*$BI58),0)</f>
        <v>0</v>
      </c>
      <c r="CU58" s="311">
        <f>IF($BI58&lt;&gt;"",IF('Capacity summary'!$D$14="Yes",IF(COUNTBLANK('Capacity summary'!$H177:$BG177)&lt;52,IF('Capacity summary'!AR177&lt;&gt;"",IF(LOWER('Capacity summary'!AR177)="x",$BI58*AR58,VALUE('Capacity summary'!AR177)),0),AR58*$BI58),AR58*$BI58),0)</f>
        <v>0</v>
      </c>
      <c r="CV58" s="311">
        <f>IF($BI58&lt;&gt;"",IF('Capacity summary'!$D$14="Yes",IF(COUNTBLANK('Capacity summary'!$H177:$BG177)&lt;52,IF('Capacity summary'!AS177&lt;&gt;"",IF(LOWER('Capacity summary'!AS177)="x",$BI58*AS58,VALUE('Capacity summary'!AS177)),0),AS58*$BI58),AS58*$BI58),0)</f>
        <v>0</v>
      </c>
      <c r="CW58" s="311">
        <f>IF($BI58&lt;&gt;"",IF('Capacity summary'!$D$14="Yes",IF(COUNTBLANK('Capacity summary'!$H177:$BG177)&lt;52,IF('Capacity summary'!AT177&lt;&gt;"",IF(LOWER('Capacity summary'!AT177)="x",$BI58*AT58,VALUE('Capacity summary'!AT177)),0),AT58*$BI58),AT58*$BI58),0)</f>
        <v>0</v>
      </c>
      <c r="CX58" s="311">
        <f>IF($BI58&lt;&gt;"",IF('Capacity summary'!$D$14="Yes",IF(COUNTBLANK('Capacity summary'!$H177:$BG177)&lt;52,IF('Capacity summary'!AU177&lt;&gt;"",IF(LOWER('Capacity summary'!AU177)="x",$BI58*AU58,VALUE('Capacity summary'!AU177)),0),AU58*$BI58),AU58*$BI58),0)</f>
        <v>0</v>
      </c>
      <c r="CY58" s="311">
        <f>IF($BI58&lt;&gt;"",IF('Capacity summary'!$D$14="Yes",IF(COUNTBLANK('Capacity summary'!$H177:$BG177)&lt;52,IF('Capacity summary'!AV177&lt;&gt;"",IF(LOWER('Capacity summary'!AV177)="x",$BI58*AV58,VALUE('Capacity summary'!AV177)),0),AV58*$BI58),AV58*$BI58),0)</f>
        <v>0</v>
      </c>
      <c r="CZ58" s="311">
        <f>IF($BI58&lt;&gt;"",IF('Capacity summary'!$D$14="Yes",IF(COUNTBLANK('Capacity summary'!$H177:$BG177)&lt;52,IF('Capacity summary'!AW177&lt;&gt;"",IF(LOWER('Capacity summary'!AW177)="x",$BI58*AW58,VALUE('Capacity summary'!AW177)),0),AW58*$BI58),AW58*$BI58),0)</f>
        <v>0</v>
      </c>
      <c r="DA58" s="311">
        <f>IF($BI58&lt;&gt;"",IF('Capacity summary'!$D$14="Yes",IF(COUNTBLANK('Capacity summary'!$H177:$BG177)&lt;52,IF('Capacity summary'!AX177&lt;&gt;"",IF(LOWER('Capacity summary'!AX177)="x",$BI58*AX58,VALUE('Capacity summary'!AX177)),0),AX58*$BI58),AX58*$BI58),0)</f>
        <v>0</v>
      </c>
      <c r="DB58" s="311">
        <f>IF($BI58&lt;&gt;"",IF('Capacity summary'!$D$14="Yes",IF(COUNTBLANK('Capacity summary'!$H177:$BG177)&lt;52,IF('Capacity summary'!AY177&lt;&gt;"",IF(LOWER('Capacity summary'!AY177)="x",$BI58*AY58,VALUE('Capacity summary'!AY177)),0),AY58*$BI58),AY58*$BI58),0)</f>
        <v>0</v>
      </c>
      <c r="DC58" s="311">
        <f>IF($BI58&lt;&gt;"",IF('Capacity summary'!$D$14="Yes",IF(COUNTBLANK('Capacity summary'!$H177:$BG177)&lt;52,IF('Capacity summary'!AZ177&lt;&gt;"",IF(LOWER('Capacity summary'!AZ177)="x",$BI58*AZ58,VALUE('Capacity summary'!AZ177)),0),AZ58*$BI58),AZ58*$BI58),0)</f>
        <v>0</v>
      </c>
      <c r="DD58" s="311">
        <f>IF($BI58&lt;&gt;"",IF('Capacity summary'!$D$14="Yes",IF(COUNTBLANK('Capacity summary'!$H177:$BG177)&lt;52,IF('Capacity summary'!BA177&lt;&gt;"",IF(LOWER('Capacity summary'!BA177)="x",$BI58*BA58,VALUE('Capacity summary'!BA177)),0),BA58*$BI58),BA58*$BI58),0)</f>
        <v>0</v>
      </c>
      <c r="DE58" s="311">
        <f>IF($BI58&lt;&gt;"",IF('Capacity summary'!$D$14="Yes",IF(COUNTBLANK('Capacity summary'!$H177:$BG177)&lt;52,IF('Capacity summary'!BB177&lt;&gt;"",IF(LOWER('Capacity summary'!BB177)="x",$BI58*BB58,VALUE('Capacity summary'!BB177)),0),BB58*$BI58),BB58*$BI58),0)</f>
        <v>0</v>
      </c>
      <c r="DF58" s="311">
        <f>IF($BI58&lt;&gt;"",IF('Capacity summary'!$D$14="Yes",IF(COUNTBLANK('Capacity summary'!$H177:$BG177)&lt;52,IF('Capacity summary'!BC177&lt;&gt;"",IF(LOWER('Capacity summary'!BC177)="x",$BI58*BC58,VALUE('Capacity summary'!BC177)),0),BC58*$BI58),BC58*$BI58),0)</f>
        <v>0</v>
      </c>
      <c r="DG58" s="311">
        <f>IF($BI58&lt;&gt;"",IF('Capacity summary'!$D$14="Yes",IF(COUNTBLANK('Capacity summary'!$H177:$BG177)&lt;52,IF('Capacity summary'!BD177&lt;&gt;"",IF(LOWER('Capacity summary'!BD177)="x",$BI58*BD58,VALUE('Capacity summary'!BD177)),0),BD58*$BI58),BD58*$BI58),0)</f>
        <v>0</v>
      </c>
      <c r="DH58" s="311">
        <f>IF($BI58&lt;&gt;"",IF('Capacity summary'!$D$14="Yes",IF(COUNTBLANK('Capacity summary'!$H177:$BG177)&lt;52,IF('Capacity summary'!BE177&lt;&gt;"",IF(LOWER('Capacity summary'!BE177)="x",$BI58*BE58,VALUE('Capacity summary'!BE177)),0),BE58*$BI58),BE58*$BI58),0)</f>
        <v>0</v>
      </c>
      <c r="DI58" s="311">
        <f>IF($BI58&lt;&gt;"",IF('Capacity summary'!$D$14="Yes",IF(COUNTBLANK('Capacity summary'!$H177:$BG177)&lt;52,IF('Capacity summary'!BF177&lt;&gt;"",IF(LOWER('Capacity summary'!BF177)="x",$BI58*BF58,VALUE('Capacity summary'!BF177)),0),BF58*$BI58),BF58*$BI58),0)</f>
        <v>0</v>
      </c>
      <c r="DJ58" s="311">
        <f>IF($BI58&lt;&gt;"",IF('Capacity summary'!$D$14="Yes",IF(COUNTBLANK('Capacity summary'!$H177:$BG177)&lt;52,IF('Capacity summary'!BG177&lt;&gt;"",IF(LOWER('Capacity summary'!BG177)="x",$BI58*BG58,VALUE('Capacity summary'!BG177)),0),BG58*$BI58),BG58*$BI58),0)</f>
        <v>0</v>
      </c>
      <c r="DK58" s="391">
        <f t="shared" si="2"/>
        <v>0</v>
      </c>
      <c r="DL58" s="136">
        <f t="shared" si="3"/>
        <v>0</v>
      </c>
      <c r="DM58" s="311" t="str">
        <f>Capacity!H70</f>
        <v/>
      </c>
    </row>
    <row r="59" spans="1:121" x14ac:dyDescent="0.2">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1">
        <f>IF($BI59&lt;&gt;"",IF('Capacity summary'!$D$14="Yes",IF(COUNTBLANK('Capacity summary'!$H178:$BG178)&lt;52,IF('Capacity summary'!H178&lt;&gt;"",IF(LOWER('Capacity summary'!H178)="x",$BI59*H59,VALUE('Capacity summary'!H178)),0),H59*$BI59),H59*$BI59),0)</f>
        <v>0</v>
      </c>
      <c r="BL59" s="311">
        <f>IF($BI59&lt;&gt;"",IF('Capacity summary'!$D$14="Yes",IF(COUNTBLANK('Capacity summary'!$H178:$BG178)&lt;52,IF('Capacity summary'!I178&lt;&gt;"",IF(LOWER('Capacity summary'!I178)="x",$BI59*I59,VALUE('Capacity summary'!I178)),0),I59*$BI59),I59*$BI59),0)</f>
        <v>0</v>
      </c>
      <c r="BM59" s="311">
        <f>IF($BI59&lt;&gt;"",IF('Capacity summary'!$D$14="Yes",IF(COUNTBLANK('Capacity summary'!$H178:$BG178)&lt;52,IF('Capacity summary'!J178&lt;&gt;"",IF(LOWER('Capacity summary'!J178)="x",$BI59*J59,VALUE('Capacity summary'!J178)),0),J59*$BI59),J59*$BI59),0)</f>
        <v>0</v>
      </c>
      <c r="BN59" s="311">
        <f>IF($BI59&lt;&gt;"",IF('Capacity summary'!$D$14="Yes",IF(COUNTBLANK('Capacity summary'!$H178:$BG178)&lt;52,IF('Capacity summary'!K178&lt;&gt;"",IF(LOWER('Capacity summary'!K178)="x",$BI59*K59,VALUE('Capacity summary'!K178)),0),K59*$BI59),K59*$BI59),0)</f>
        <v>0</v>
      </c>
      <c r="BO59" s="311">
        <f>IF($BI59&lt;&gt;"",IF('Capacity summary'!$D$14="Yes",IF(COUNTBLANK('Capacity summary'!$H178:$BG178)&lt;52,IF('Capacity summary'!L178&lt;&gt;"",IF(LOWER('Capacity summary'!L178)="x",$BI59*L59,VALUE('Capacity summary'!L178)),0),L59*$BI59),L59*$BI59),0)</f>
        <v>0</v>
      </c>
      <c r="BP59" s="311">
        <f>IF($BI59&lt;&gt;"",IF('Capacity summary'!$D$14="Yes",IF(COUNTBLANK('Capacity summary'!$H178:$BG178)&lt;52,IF('Capacity summary'!M178&lt;&gt;"",IF(LOWER('Capacity summary'!M178)="x",$BI59*M59,VALUE('Capacity summary'!M178)),0),M59*$BI59),M59*$BI59),0)</f>
        <v>0</v>
      </c>
      <c r="BQ59" s="311">
        <f>IF($BI59&lt;&gt;"",IF('Capacity summary'!$D$14="Yes",IF(COUNTBLANK('Capacity summary'!$H178:$BG178)&lt;52,IF('Capacity summary'!N178&lt;&gt;"",IF(LOWER('Capacity summary'!N178)="x",$BI59*N59,VALUE('Capacity summary'!N178)),0),N59*$BI59),N59*$BI59),0)</f>
        <v>0</v>
      </c>
      <c r="BR59" s="311">
        <f>IF($BI59&lt;&gt;"",IF('Capacity summary'!$D$14="Yes",IF(COUNTBLANK('Capacity summary'!$H178:$BG178)&lt;52,IF('Capacity summary'!O178&lt;&gt;"",IF(LOWER('Capacity summary'!O178)="x",$BI59*O59,VALUE('Capacity summary'!O178)),0),O59*$BI59),O59*$BI59),0)</f>
        <v>0</v>
      </c>
      <c r="BS59" s="311">
        <f>IF($BI59&lt;&gt;"",IF('Capacity summary'!$D$14="Yes",IF(COUNTBLANK('Capacity summary'!$H178:$BG178)&lt;52,IF('Capacity summary'!P178&lt;&gt;"",IF(LOWER('Capacity summary'!P178)="x",$BI59*P59,VALUE('Capacity summary'!P178)),0),P59*$BI59),P59*$BI59),0)</f>
        <v>0</v>
      </c>
      <c r="BT59" s="311">
        <f>IF($BI59&lt;&gt;"",IF('Capacity summary'!$D$14="Yes",IF(COUNTBLANK('Capacity summary'!$H178:$BG178)&lt;52,IF('Capacity summary'!Q178&lt;&gt;"",IF(LOWER('Capacity summary'!Q178)="x",$BI59*Q59,VALUE('Capacity summary'!Q178)),0),Q59*$BI59),Q59*$BI59),0)</f>
        <v>0</v>
      </c>
      <c r="BU59" s="311">
        <f>IF($BI59&lt;&gt;"",IF('Capacity summary'!$D$14="Yes",IF(COUNTBLANK('Capacity summary'!$H178:$BG178)&lt;52,IF('Capacity summary'!R178&lt;&gt;"",IF(LOWER('Capacity summary'!R178)="x",$BI59*R59,VALUE('Capacity summary'!R178)),0),R59*$BI59),R59*$BI59),0)</f>
        <v>0</v>
      </c>
      <c r="BV59" s="311">
        <f>IF($BI59&lt;&gt;"",IF('Capacity summary'!$D$14="Yes",IF(COUNTBLANK('Capacity summary'!$H178:$BG178)&lt;52,IF('Capacity summary'!S178&lt;&gt;"",IF(LOWER('Capacity summary'!S178)="x",$BI59*S59,VALUE('Capacity summary'!S178)),0),S59*$BI59),S59*$BI59),0)</f>
        <v>0</v>
      </c>
      <c r="BW59" s="311">
        <f>IF($BI59&lt;&gt;"",IF('Capacity summary'!$D$14="Yes",IF(COUNTBLANK('Capacity summary'!$H178:$BG178)&lt;52,IF('Capacity summary'!T178&lt;&gt;"",IF(LOWER('Capacity summary'!T178)="x",$BI59*T59,VALUE('Capacity summary'!T178)),0),T59*$BI59),T59*$BI59),0)</f>
        <v>0</v>
      </c>
      <c r="BX59" s="311">
        <f>IF($BI59&lt;&gt;"",IF('Capacity summary'!$D$14="Yes",IF(COUNTBLANK('Capacity summary'!$H178:$BG178)&lt;52,IF('Capacity summary'!U178&lt;&gt;"",IF(LOWER('Capacity summary'!U178)="x",$BI59*U59,VALUE('Capacity summary'!U178)),0),U59*$BI59),U59*$BI59),0)</f>
        <v>0</v>
      </c>
      <c r="BY59" s="311">
        <f>IF($BI59&lt;&gt;"",IF('Capacity summary'!$D$14="Yes",IF(COUNTBLANK('Capacity summary'!$H178:$BG178)&lt;52,IF('Capacity summary'!V178&lt;&gt;"",IF(LOWER('Capacity summary'!V178)="x",$BI59*V59,VALUE('Capacity summary'!V178)),0),V59*$BI59),V59*$BI59),0)</f>
        <v>0</v>
      </c>
      <c r="BZ59" s="311">
        <f>IF($BI59&lt;&gt;"",IF('Capacity summary'!$D$14="Yes",IF(COUNTBLANK('Capacity summary'!$H178:$BG178)&lt;52,IF('Capacity summary'!W178&lt;&gt;"",IF(LOWER('Capacity summary'!W178)="x",$BI59*W59,VALUE('Capacity summary'!W178)),0),W59*$BI59),W59*$BI59),0)</f>
        <v>0</v>
      </c>
      <c r="CA59" s="311">
        <f>IF($BI59&lt;&gt;"",IF('Capacity summary'!$D$14="Yes",IF(COUNTBLANK('Capacity summary'!$H178:$BG178)&lt;52,IF('Capacity summary'!X178&lt;&gt;"",IF(LOWER('Capacity summary'!X178)="x",$BI59*X59,VALUE('Capacity summary'!X178)),0),X59*$BI59),X59*$BI59),0)</f>
        <v>0</v>
      </c>
      <c r="CB59" s="311">
        <f>IF($BI59&lt;&gt;"",IF('Capacity summary'!$D$14="Yes",IF(COUNTBLANK('Capacity summary'!$H178:$BG178)&lt;52,IF('Capacity summary'!Y178&lt;&gt;"",IF(LOWER('Capacity summary'!Y178)="x",$BI59*Y59,VALUE('Capacity summary'!Y178)),0),Y59*$BI59),Y59*$BI59),0)</f>
        <v>0</v>
      </c>
      <c r="CC59" s="311">
        <f>IF($BI59&lt;&gt;"",IF('Capacity summary'!$D$14="Yes",IF(COUNTBLANK('Capacity summary'!$H178:$BG178)&lt;52,IF('Capacity summary'!Z178&lt;&gt;"",IF(LOWER('Capacity summary'!Z178)="x",$BI59*Z59,VALUE('Capacity summary'!Z178)),0),Z59*$BI59),Z59*$BI59),0)</f>
        <v>0</v>
      </c>
      <c r="CD59" s="311">
        <f>IF($BI59&lt;&gt;"",IF('Capacity summary'!$D$14="Yes",IF(COUNTBLANK('Capacity summary'!$H178:$BG178)&lt;52,IF('Capacity summary'!AA178&lt;&gt;"",IF(LOWER('Capacity summary'!AA178)="x",$BI59*AA59,VALUE('Capacity summary'!AA178)),0),AA59*$BI59),AA59*$BI59),0)</f>
        <v>0</v>
      </c>
      <c r="CE59" s="311">
        <f>IF($BI59&lt;&gt;"",IF('Capacity summary'!$D$14="Yes",IF(COUNTBLANK('Capacity summary'!$H178:$BG178)&lt;52,IF('Capacity summary'!AB178&lt;&gt;"",IF(LOWER('Capacity summary'!AB178)="x",$BI59*AB59,VALUE('Capacity summary'!AB178)),0),AB59*$BI59),AB59*$BI59),0)</f>
        <v>0</v>
      </c>
      <c r="CF59" s="311">
        <f>IF($BI59&lt;&gt;"",IF('Capacity summary'!$D$14="Yes",IF(COUNTBLANK('Capacity summary'!$H178:$BG178)&lt;52,IF('Capacity summary'!AC178&lt;&gt;"",IF(LOWER('Capacity summary'!AC178)="x",$BI59*AC59,VALUE('Capacity summary'!AC178)),0),AC59*$BI59),AC59*$BI59),0)</f>
        <v>0</v>
      </c>
      <c r="CG59" s="311">
        <f>IF($BI59&lt;&gt;"",IF('Capacity summary'!$D$14="Yes",IF(COUNTBLANK('Capacity summary'!$H178:$BG178)&lt;52,IF('Capacity summary'!AD178&lt;&gt;"",IF(LOWER('Capacity summary'!AD178)="x",$BI59*AD59,VALUE('Capacity summary'!AD178)),0),AD59*$BI59),AD59*$BI59),0)</f>
        <v>0</v>
      </c>
      <c r="CH59" s="311">
        <f>IF($BI59&lt;&gt;"",IF('Capacity summary'!$D$14="Yes",IF(COUNTBLANK('Capacity summary'!$H178:$BG178)&lt;52,IF('Capacity summary'!AE178&lt;&gt;"",IF(LOWER('Capacity summary'!AE178)="x",$BI59*AE59,VALUE('Capacity summary'!AE178)),0),AE59*$BI59),AE59*$BI59),0)</f>
        <v>0</v>
      </c>
      <c r="CI59" s="311">
        <f>IF($BI59&lt;&gt;"",IF('Capacity summary'!$D$14="Yes",IF(COUNTBLANK('Capacity summary'!$H178:$BG178)&lt;52,IF('Capacity summary'!AF178&lt;&gt;"",IF(LOWER('Capacity summary'!AF178)="x",$BI59*AF59,VALUE('Capacity summary'!AF178)),0),AF59*$BI59),AF59*$BI59),0)</f>
        <v>0</v>
      </c>
      <c r="CJ59" s="311">
        <f>IF($BI59&lt;&gt;"",IF('Capacity summary'!$D$14="Yes",IF(COUNTBLANK('Capacity summary'!$H178:$BG178)&lt;52,IF('Capacity summary'!AG178&lt;&gt;"",IF(LOWER('Capacity summary'!AG178)="x",$BI59*AG59,VALUE('Capacity summary'!AG178)),0),AG59*$BI59),AG59*$BI59),0)</f>
        <v>0</v>
      </c>
      <c r="CK59" s="311">
        <f>IF($BI59&lt;&gt;"",IF('Capacity summary'!$D$14="Yes",IF(COUNTBLANK('Capacity summary'!$H178:$BG178)&lt;52,IF('Capacity summary'!AH178&lt;&gt;"",IF(LOWER('Capacity summary'!AH178)="x",$BI59*AH59,VALUE('Capacity summary'!AH178)),0),AH59*$BI59),AH59*$BI59),0)</f>
        <v>0</v>
      </c>
      <c r="CL59" s="311">
        <f>IF($BI59&lt;&gt;"",IF('Capacity summary'!$D$14="Yes",IF(COUNTBLANK('Capacity summary'!$H178:$BG178)&lt;52,IF('Capacity summary'!AI178&lt;&gt;"",IF(LOWER('Capacity summary'!AI178)="x",$BI59*AI59,VALUE('Capacity summary'!AI178)),0),AI59*$BI59),AI59*$BI59),0)</f>
        <v>0</v>
      </c>
      <c r="CM59" s="311">
        <f>IF($BI59&lt;&gt;"",IF('Capacity summary'!$D$14="Yes",IF(COUNTBLANK('Capacity summary'!$H178:$BG178)&lt;52,IF('Capacity summary'!AJ178&lt;&gt;"",IF(LOWER('Capacity summary'!AJ178)="x",$BI59*AJ59,VALUE('Capacity summary'!AJ178)),0),AJ59*$BI59),AJ59*$BI59),0)</f>
        <v>0</v>
      </c>
      <c r="CN59" s="311">
        <f>IF($BI59&lt;&gt;"",IF('Capacity summary'!$D$14="Yes",IF(COUNTBLANK('Capacity summary'!$H178:$BG178)&lt;52,IF('Capacity summary'!AK178&lt;&gt;"",IF(LOWER('Capacity summary'!AK178)="x",$BI59*AK59,VALUE('Capacity summary'!AK178)),0),AK59*$BI59),AK59*$BI59),0)</f>
        <v>0</v>
      </c>
      <c r="CO59" s="311">
        <f>IF($BI59&lt;&gt;"",IF('Capacity summary'!$D$14="Yes",IF(COUNTBLANK('Capacity summary'!$H178:$BG178)&lt;52,IF('Capacity summary'!AL178&lt;&gt;"",IF(LOWER('Capacity summary'!AL178)="x",$BI59*AL59,VALUE('Capacity summary'!AL178)),0),AL59*$BI59),AL59*$BI59),0)</f>
        <v>0</v>
      </c>
      <c r="CP59" s="311">
        <f>IF($BI59&lt;&gt;"",IF('Capacity summary'!$D$14="Yes",IF(COUNTBLANK('Capacity summary'!$H178:$BG178)&lt;52,IF('Capacity summary'!AM178&lt;&gt;"",IF(LOWER('Capacity summary'!AM178)="x",$BI59*AM59,VALUE('Capacity summary'!AM178)),0),AM59*$BI59),AM59*$BI59),0)</f>
        <v>0</v>
      </c>
      <c r="CQ59" s="311">
        <f>IF($BI59&lt;&gt;"",IF('Capacity summary'!$D$14="Yes",IF(COUNTBLANK('Capacity summary'!$H178:$BG178)&lt;52,IF('Capacity summary'!AN178&lt;&gt;"",IF(LOWER('Capacity summary'!AN178)="x",$BI59*AN59,VALUE('Capacity summary'!AN178)),0),AN59*$BI59),AN59*$BI59),0)</f>
        <v>0</v>
      </c>
      <c r="CR59" s="311">
        <f>IF($BI59&lt;&gt;"",IF('Capacity summary'!$D$14="Yes",IF(COUNTBLANK('Capacity summary'!$H178:$BG178)&lt;52,IF('Capacity summary'!AO178&lt;&gt;"",IF(LOWER('Capacity summary'!AO178)="x",$BI59*AO59,VALUE('Capacity summary'!AO178)),0),AO59*$BI59),AO59*$BI59),0)</f>
        <v>0</v>
      </c>
      <c r="CS59" s="311">
        <f>IF($BI59&lt;&gt;"",IF('Capacity summary'!$D$14="Yes",IF(COUNTBLANK('Capacity summary'!$H178:$BG178)&lt;52,IF('Capacity summary'!AP178&lt;&gt;"",IF(LOWER('Capacity summary'!AP178)="x",$BI59*AP59,VALUE('Capacity summary'!AP178)),0),AP59*$BI59),AP59*$BI59),0)</f>
        <v>0</v>
      </c>
      <c r="CT59" s="311">
        <f>IF($BI59&lt;&gt;"",IF('Capacity summary'!$D$14="Yes",IF(COUNTBLANK('Capacity summary'!$H178:$BG178)&lt;52,IF('Capacity summary'!AQ178&lt;&gt;"",IF(LOWER('Capacity summary'!AQ178)="x",$BI59*AQ59,VALUE('Capacity summary'!AQ178)),0),AQ59*$BI59),AQ59*$BI59),0)</f>
        <v>0</v>
      </c>
      <c r="CU59" s="311">
        <f>IF($BI59&lt;&gt;"",IF('Capacity summary'!$D$14="Yes",IF(COUNTBLANK('Capacity summary'!$H178:$BG178)&lt;52,IF('Capacity summary'!AR178&lt;&gt;"",IF(LOWER('Capacity summary'!AR178)="x",$BI59*AR59,VALUE('Capacity summary'!AR178)),0),AR59*$BI59),AR59*$BI59),0)</f>
        <v>0</v>
      </c>
      <c r="CV59" s="311">
        <f>IF($BI59&lt;&gt;"",IF('Capacity summary'!$D$14="Yes",IF(COUNTBLANK('Capacity summary'!$H178:$BG178)&lt;52,IF('Capacity summary'!AS178&lt;&gt;"",IF(LOWER('Capacity summary'!AS178)="x",$BI59*AS59,VALUE('Capacity summary'!AS178)),0),AS59*$BI59),AS59*$BI59),0)</f>
        <v>0</v>
      </c>
      <c r="CW59" s="311">
        <f>IF($BI59&lt;&gt;"",IF('Capacity summary'!$D$14="Yes",IF(COUNTBLANK('Capacity summary'!$H178:$BG178)&lt;52,IF('Capacity summary'!AT178&lt;&gt;"",IF(LOWER('Capacity summary'!AT178)="x",$BI59*AT59,VALUE('Capacity summary'!AT178)),0),AT59*$BI59),AT59*$BI59),0)</f>
        <v>0</v>
      </c>
      <c r="CX59" s="311">
        <f>IF($BI59&lt;&gt;"",IF('Capacity summary'!$D$14="Yes",IF(COUNTBLANK('Capacity summary'!$H178:$BG178)&lt;52,IF('Capacity summary'!AU178&lt;&gt;"",IF(LOWER('Capacity summary'!AU178)="x",$BI59*AU59,VALUE('Capacity summary'!AU178)),0),AU59*$BI59),AU59*$BI59),0)</f>
        <v>0</v>
      </c>
      <c r="CY59" s="311">
        <f>IF($BI59&lt;&gt;"",IF('Capacity summary'!$D$14="Yes",IF(COUNTBLANK('Capacity summary'!$H178:$BG178)&lt;52,IF('Capacity summary'!AV178&lt;&gt;"",IF(LOWER('Capacity summary'!AV178)="x",$BI59*AV59,VALUE('Capacity summary'!AV178)),0),AV59*$BI59),AV59*$BI59),0)</f>
        <v>0</v>
      </c>
      <c r="CZ59" s="311">
        <f>IF($BI59&lt;&gt;"",IF('Capacity summary'!$D$14="Yes",IF(COUNTBLANK('Capacity summary'!$H178:$BG178)&lt;52,IF('Capacity summary'!AW178&lt;&gt;"",IF(LOWER('Capacity summary'!AW178)="x",$BI59*AW59,VALUE('Capacity summary'!AW178)),0),AW59*$BI59),AW59*$BI59),0)</f>
        <v>0</v>
      </c>
      <c r="DA59" s="311">
        <f>IF($BI59&lt;&gt;"",IF('Capacity summary'!$D$14="Yes",IF(COUNTBLANK('Capacity summary'!$H178:$BG178)&lt;52,IF('Capacity summary'!AX178&lt;&gt;"",IF(LOWER('Capacity summary'!AX178)="x",$BI59*AX59,VALUE('Capacity summary'!AX178)),0),AX59*$BI59),AX59*$BI59),0)</f>
        <v>0</v>
      </c>
      <c r="DB59" s="311">
        <f>IF($BI59&lt;&gt;"",IF('Capacity summary'!$D$14="Yes",IF(COUNTBLANK('Capacity summary'!$H178:$BG178)&lt;52,IF('Capacity summary'!AY178&lt;&gt;"",IF(LOWER('Capacity summary'!AY178)="x",$BI59*AY59,VALUE('Capacity summary'!AY178)),0),AY59*$BI59),AY59*$BI59),0)</f>
        <v>0</v>
      </c>
      <c r="DC59" s="311">
        <f>IF($BI59&lt;&gt;"",IF('Capacity summary'!$D$14="Yes",IF(COUNTBLANK('Capacity summary'!$H178:$BG178)&lt;52,IF('Capacity summary'!AZ178&lt;&gt;"",IF(LOWER('Capacity summary'!AZ178)="x",$BI59*AZ59,VALUE('Capacity summary'!AZ178)),0),AZ59*$BI59),AZ59*$BI59),0)</f>
        <v>0</v>
      </c>
      <c r="DD59" s="311">
        <f>IF($BI59&lt;&gt;"",IF('Capacity summary'!$D$14="Yes",IF(COUNTBLANK('Capacity summary'!$H178:$BG178)&lt;52,IF('Capacity summary'!BA178&lt;&gt;"",IF(LOWER('Capacity summary'!BA178)="x",$BI59*BA59,VALUE('Capacity summary'!BA178)),0),BA59*$BI59),BA59*$BI59),0)</f>
        <v>0</v>
      </c>
      <c r="DE59" s="311">
        <f>IF($BI59&lt;&gt;"",IF('Capacity summary'!$D$14="Yes",IF(COUNTBLANK('Capacity summary'!$H178:$BG178)&lt;52,IF('Capacity summary'!BB178&lt;&gt;"",IF(LOWER('Capacity summary'!BB178)="x",$BI59*BB59,VALUE('Capacity summary'!BB178)),0),BB59*$BI59),BB59*$BI59),0)</f>
        <v>0</v>
      </c>
      <c r="DF59" s="311">
        <f>IF($BI59&lt;&gt;"",IF('Capacity summary'!$D$14="Yes",IF(COUNTBLANK('Capacity summary'!$H178:$BG178)&lt;52,IF('Capacity summary'!BC178&lt;&gt;"",IF(LOWER('Capacity summary'!BC178)="x",$BI59*BC59,VALUE('Capacity summary'!BC178)),0),BC59*$BI59),BC59*$BI59),0)</f>
        <v>0</v>
      </c>
      <c r="DG59" s="311">
        <f>IF($BI59&lt;&gt;"",IF('Capacity summary'!$D$14="Yes",IF(COUNTBLANK('Capacity summary'!$H178:$BG178)&lt;52,IF('Capacity summary'!BD178&lt;&gt;"",IF(LOWER('Capacity summary'!BD178)="x",$BI59*BD59,VALUE('Capacity summary'!BD178)),0),BD59*$BI59),BD59*$BI59),0)</f>
        <v>0</v>
      </c>
      <c r="DH59" s="311">
        <f>IF($BI59&lt;&gt;"",IF('Capacity summary'!$D$14="Yes",IF(COUNTBLANK('Capacity summary'!$H178:$BG178)&lt;52,IF('Capacity summary'!BE178&lt;&gt;"",IF(LOWER('Capacity summary'!BE178)="x",$BI59*BE59,VALUE('Capacity summary'!BE178)),0),BE59*$BI59),BE59*$BI59),0)</f>
        <v>0</v>
      </c>
      <c r="DI59" s="311">
        <f>IF($BI59&lt;&gt;"",IF('Capacity summary'!$D$14="Yes",IF(COUNTBLANK('Capacity summary'!$H178:$BG178)&lt;52,IF('Capacity summary'!BF178&lt;&gt;"",IF(LOWER('Capacity summary'!BF178)="x",$BI59*BF59,VALUE('Capacity summary'!BF178)),0),BF59*$BI59),BF59*$BI59),0)</f>
        <v>0</v>
      </c>
      <c r="DJ59" s="311">
        <f>IF($BI59&lt;&gt;"",IF('Capacity summary'!$D$14="Yes",IF(COUNTBLANK('Capacity summary'!$H178:$BG178)&lt;52,IF('Capacity summary'!BG178&lt;&gt;"",IF(LOWER('Capacity summary'!BG178)="x",$BI59*BG59,VALUE('Capacity summary'!BG178)),0),BG59*$BI59),BG59*$BI59),0)</f>
        <v>0</v>
      </c>
      <c r="DK59" s="391">
        <f t="shared" si="2"/>
        <v>0</v>
      </c>
      <c r="DL59" s="136">
        <f t="shared" si="3"/>
        <v>0</v>
      </c>
      <c r="DM59" s="311" t="str">
        <f>Capacity!H71</f>
        <v/>
      </c>
    </row>
    <row r="60" spans="1:121" x14ac:dyDescent="0.2">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1">
        <f>IF($BI60&lt;&gt;"",IF('Capacity summary'!$D$14="Yes",IF(COUNTBLANK('Capacity summary'!$H179:$BG179)&lt;52,IF('Capacity summary'!H179&lt;&gt;"",IF(LOWER('Capacity summary'!H179)="x",$BI60*H60,VALUE('Capacity summary'!H179)),0),H60*$BI60),H60*$BI60),0)</f>
        <v>0</v>
      </c>
      <c r="BL60" s="311">
        <f>IF($BI60&lt;&gt;"",IF('Capacity summary'!$D$14="Yes",IF(COUNTBLANK('Capacity summary'!$H179:$BG179)&lt;52,IF('Capacity summary'!I179&lt;&gt;"",IF(LOWER('Capacity summary'!I179)="x",$BI60*I60,VALUE('Capacity summary'!I179)),0),I60*$BI60),I60*$BI60),0)</f>
        <v>0</v>
      </c>
      <c r="BM60" s="311">
        <f>IF($BI60&lt;&gt;"",IF('Capacity summary'!$D$14="Yes",IF(COUNTBLANK('Capacity summary'!$H179:$BG179)&lt;52,IF('Capacity summary'!J179&lt;&gt;"",IF(LOWER('Capacity summary'!J179)="x",$BI60*J60,VALUE('Capacity summary'!J179)),0),J60*$BI60),J60*$BI60),0)</f>
        <v>0</v>
      </c>
      <c r="BN60" s="311">
        <f>IF($BI60&lt;&gt;"",IF('Capacity summary'!$D$14="Yes",IF(COUNTBLANK('Capacity summary'!$H179:$BG179)&lt;52,IF('Capacity summary'!K179&lt;&gt;"",IF(LOWER('Capacity summary'!K179)="x",$BI60*K60,VALUE('Capacity summary'!K179)),0),K60*$BI60),K60*$BI60),0)</f>
        <v>0</v>
      </c>
      <c r="BO60" s="311">
        <f>IF($BI60&lt;&gt;"",IF('Capacity summary'!$D$14="Yes",IF(COUNTBLANK('Capacity summary'!$H179:$BG179)&lt;52,IF('Capacity summary'!L179&lt;&gt;"",IF(LOWER('Capacity summary'!L179)="x",$BI60*L60,VALUE('Capacity summary'!L179)),0),L60*$BI60),L60*$BI60),0)</f>
        <v>0</v>
      </c>
      <c r="BP60" s="311">
        <f>IF($BI60&lt;&gt;"",IF('Capacity summary'!$D$14="Yes",IF(COUNTBLANK('Capacity summary'!$H179:$BG179)&lt;52,IF('Capacity summary'!M179&lt;&gt;"",IF(LOWER('Capacity summary'!M179)="x",$BI60*M60,VALUE('Capacity summary'!M179)),0),M60*$BI60),M60*$BI60),0)</f>
        <v>0</v>
      </c>
      <c r="BQ60" s="311">
        <f>IF($BI60&lt;&gt;"",IF('Capacity summary'!$D$14="Yes",IF(COUNTBLANK('Capacity summary'!$H179:$BG179)&lt;52,IF('Capacity summary'!N179&lt;&gt;"",IF(LOWER('Capacity summary'!N179)="x",$BI60*N60,VALUE('Capacity summary'!N179)),0),N60*$BI60),N60*$BI60),0)</f>
        <v>0</v>
      </c>
      <c r="BR60" s="311">
        <f>IF($BI60&lt;&gt;"",IF('Capacity summary'!$D$14="Yes",IF(COUNTBLANK('Capacity summary'!$H179:$BG179)&lt;52,IF('Capacity summary'!O179&lt;&gt;"",IF(LOWER('Capacity summary'!O179)="x",$BI60*O60,VALUE('Capacity summary'!O179)),0),O60*$BI60),O60*$BI60),0)</f>
        <v>0</v>
      </c>
      <c r="BS60" s="311">
        <f>IF($BI60&lt;&gt;"",IF('Capacity summary'!$D$14="Yes",IF(COUNTBLANK('Capacity summary'!$H179:$BG179)&lt;52,IF('Capacity summary'!P179&lt;&gt;"",IF(LOWER('Capacity summary'!P179)="x",$BI60*P60,VALUE('Capacity summary'!P179)),0),P60*$BI60),P60*$BI60),0)</f>
        <v>0</v>
      </c>
      <c r="BT60" s="311">
        <f>IF($BI60&lt;&gt;"",IF('Capacity summary'!$D$14="Yes",IF(COUNTBLANK('Capacity summary'!$H179:$BG179)&lt;52,IF('Capacity summary'!Q179&lt;&gt;"",IF(LOWER('Capacity summary'!Q179)="x",$BI60*Q60,VALUE('Capacity summary'!Q179)),0),Q60*$BI60),Q60*$BI60),0)</f>
        <v>0</v>
      </c>
      <c r="BU60" s="311">
        <f>IF($BI60&lt;&gt;"",IF('Capacity summary'!$D$14="Yes",IF(COUNTBLANK('Capacity summary'!$H179:$BG179)&lt;52,IF('Capacity summary'!R179&lt;&gt;"",IF(LOWER('Capacity summary'!R179)="x",$BI60*R60,VALUE('Capacity summary'!R179)),0),R60*$BI60),R60*$BI60),0)</f>
        <v>0</v>
      </c>
      <c r="BV60" s="311">
        <f>IF($BI60&lt;&gt;"",IF('Capacity summary'!$D$14="Yes",IF(COUNTBLANK('Capacity summary'!$H179:$BG179)&lt;52,IF('Capacity summary'!S179&lt;&gt;"",IF(LOWER('Capacity summary'!S179)="x",$BI60*S60,VALUE('Capacity summary'!S179)),0),S60*$BI60),S60*$BI60),0)</f>
        <v>0</v>
      </c>
      <c r="BW60" s="311">
        <f>IF($BI60&lt;&gt;"",IF('Capacity summary'!$D$14="Yes",IF(COUNTBLANK('Capacity summary'!$H179:$BG179)&lt;52,IF('Capacity summary'!T179&lt;&gt;"",IF(LOWER('Capacity summary'!T179)="x",$BI60*T60,VALUE('Capacity summary'!T179)),0),T60*$BI60),T60*$BI60),0)</f>
        <v>0</v>
      </c>
      <c r="BX60" s="311">
        <f>IF($BI60&lt;&gt;"",IF('Capacity summary'!$D$14="Yes",IF(COUNTBLANK('Capacity summary'!$H179:$BG179)&lt;52,IF('Capacity summary'!U179&lt;&gt;"",IF(LOWER('Capacity summary'!U179)="x",$BI60*U60,VALUE('Capacity summary'!U179)),0),U60*$BI60),U60*$BI60),0)</f>
        <v>0</v>
      </c>
      <c r="BY60" s="311">
        <f>IF($BI60&lt;&gt;"",IF('Capacity summary'!$D$14="Yes",IF(COUNTBLANK('Capacity summary'!$H179:$BG179)&lt;52,IF('Capacity summary'!V179&lt;&gt;"",IF(LOWER('Capacity summary'!V179)="x",$BI60*V60,VALUE('Capacity summary'!V179)),0),V60*$BI60),V60*$BI60),0)</f>
        <v>0</v>
      </c>
      <c r="BZ60" s="311">
        <f>IF($BI60&lt;&gt;"",IF('Capacity summary'!$D$14="Yes",IF(COUNTBLANK('Capacity summary'!$H179:$BG179)&lt;52,IF('Capacity summary'!W179&lt;&gt;"",IF(LOWER('Capacity summary'!W179)="x",$BI60*W60,VALUE('Capacity summary'!W179)),0),W60*$BI60),W60*$BI60),0)</f>
        <v>0</v>
      </c>
      <c r="CA60" s="311">
        <f>IF($BI60&lt;&gt;"",IF('Capacity summary'!$D$14="Yes",IF(COUNTBLANK('Capacity summary'!$H179:$BG179)&lt;52,IF('Capacity summary'!X179&lt;&gt;"",IF(LOWER('Capacity summary'!X179)="x",$BI60*X60,VALUE('Capacity summary'!X179)),0),X60*$BI60),X60*$BI60),0)</f>
        <v>0</v>
      </c>
      <c r="CB60" s="311">
        <f>IF($BI60&lt;&gt;"",IF('Capacity summary'!$D$14="Yes",IF(COUNTBLANK('Capacity summary'!$H179:$BG179)&lt;52,IF('Capacity summary'!Y179&lt;&gt;"",IF(LOWER('Capacity summary'!Y179)="x",$BI60*Y60,VALUE('Capacity summary'!Y179)),0),Y60*$BI60),Y60*$BI60),0)</f>
        <v>0</v>
      </c>
      <c r="CC60" s="311">
        <f>IF($BI60&lt;&gt;"",IF('Capacity summary'!$D$14="Yes",IF(COUNTBLANK('Capacity summary'!$H179:$BG179)&lt;52,IF('Capacity summary'!Z179&lt;&gt;"",IF(LOWER('Capacity summary'!Z179)="x",$BI60*Z60,VALUE('Capacity summary'!Z179)),0),Z60*$BI60),Z60*$BI60),0)</f>
        <v>0</v>
      </c>
      <c r="CD60" s="311">
        <f>IF($BI60&lt;&gt;"",IF('Capacity summary'!$D$14="Yes",IF(COUNTBLANK('Capacity summary'!$H179:$BG179)&lt;52,IF('Capacity summary'!AA179&lt;&gt;"",IF(LOWER('Capacity summary'!AA179)="x",$BI60*AA60,VALUE('Capacity summary'!AA179)),0),AA60*$BI60),AA60*$BI60),0)</f>
        <v>0</v>
      </c>
      <c r="CE60" s="311">
        <f>IF($BI60&lt;&gt;"",IF('Capacity summary'!$D$14="Yes",IF(COUNTBLANK('Capacity summary'!$H179:$BG179)&lt;52,IF('Capacity summary'!AB179&lt;&gt;"",IF(LOWER('Capacity summary'!AB179)="x",$BI60*AB60,VALUE('Capacity summary'!AB179)),0),AB60*$BI60),AB60*$BI60),0)</f>
        <v>0</v>
      </c>
      <c r="CF60" s="311">
        <f>IF($BI60&lt;&gt;"",IF('Capacity summary'!$D$14="Yes",IF(COUNTBLANK('Capacity summary'!$H179:$BG179)&lt;52,IF('Capacity summary'!AC179&lt;&gt;"",IF(LOWER('Capacity summary'!AC179)="x",$BI60*AC60,VALUE('Capacity summary'!AC179)),0),AC60*$BI60),AC60*$BI60),0)</f>
        <v>0</v>
      </c>
      <c r="CG60" s="311">
        <f>IF($BI60&lt;&gt;"",IF('Capacity summary'!$D$14="Yes",IF(COUNTBLANK('Capacity summary'!$H179:$BG179)&lt;52,IF('Capacity summary'!AD179&lt;&gt;"",IF(LOWER('Capacity summary'!AD179)="x",$BI60*AD60,VALUE('Capacity summary'!AD179)),0),AD60*$BI60),AD60*$BI60),0)</f>
        <v>0</v>
      </c>
      <c r="CH60" s="311">
        <f>IF($BI60&lt;&gt;"",IF('Capacity summary'!$D$14="Yes",IF(COUNTBLANK('Capacity summary'!$H179:$BG179)&lt;52,IF('Capacity summary'!AE179&lt;&gt;"",IF(LOWER('Capacity summary'!AE179)="x",$BI60*AE60,VALUE('Capacity summary'!AE179)),0),AE60*$BI60),AE60*$BI60),0)</f>
        <v>0</v>
      </c>
      <c r="CI60" s="311">
        <f>IF($BI60&lt;&gt;"",IF('Capacity summary'!$D$14="Yes",IF(COUNTBLANK('Capacity summary'!$H179:$BG179)&lt;52,IF('Capacity summary'!AF179&lt;&gt;"",IF(LOWER('Capacity summary'!AF179)="x",$BI60*AF60,VALUE('Capacity summary'!AF179)),0),AF60*$BI60),AF60*$BI60),0)</f>
        <v>0</v>
      </c>
      <c r="CJ60" s="311">
        <f>IF($BI60&lt;&gt;"",IF('Capacity summary'!$D$14="Yes",IF(COUNTBLANK('Capacity summary'!$H179:$BG179)&lt;52,IF('Capacity summary'!AG179&lt;&gt;"",IF(LOWER('Capacity summary'!AG179)="x",$BI60*AG60,VALUE('Capacity summary'!AG179)),0),AG60*$BI60),AG60*$BI60),0)</f>
        <v>0</v>
      </c>
      <c r="CK60" s="311">
        <f>IF($BI60&lt;&gt;"",IF('Capacity summary'!$D$14="Yes",IF(COUNTBLANK('Capacity summary'!$H179:$BG179)&lt;52,IF('Capacity summary'!AH179&lt;&gt;"",IF(LOWER('Capacity summary'!AH179)="x",$BI60*AH60,VALUE('Capacity summary'!AH179)),0),AH60*$BI60),AH60*$BI60),0)</f>
        <v>0</v>
      </c>
      <c r="CL60" s="311">
        <f>IF($BI60&lt;&gt;"",IF('Capacity summary'!$D$14="Yes",IF(COUNTBLANK('Capacity summary'!$H179:$BG179)&lt;52,IF('Capacity summary'!AI179&lt;&gt;"",IF(LOWER('Capacity summary'!AI179)="x",$BI60*AI60,VALUE('Capacity summary'!AI179)),0),AI60*$BI60),AI60*$BI60),0)</f>
        <v>0</v>
      </c>
      <c r="CM60" s="311">
        <f>IF($BI60&lt;&gt;"",IF('Capacity summary'!$D$14="Yes",IF(COUNTBLANK('Capacity summary'!$H179:$BG179)&lt;52,IF('Capacity summary'!AJ179&lt;&gt;"",IF(LOWER('Capacity summary'!AJ179)="x",$BI60*AJ60,VALUE('Capacity summary'!AJ179)),0),AJ60*$BI60),AJ60*$BI60),0)</f>
        <v>0</v>
      </c>
      <c r="CN60" s="311">
        <f>IF($BI60&lt;&gt;"",IF('Capacity summary'!$D$14="Yes",IF(COUNTBLANK('Capacity summary'!$H179:$BG179)&lt;52,IF('Capacity summary'!AK179&lt;&gt;"",IF(LOWER('Capacity summary'!AK179)="x",$BI60*AK60,VALUE('Capacity summary'!AK179)),0),AK60*$BI60),AK60*$BI60),0)</f>
        <v>0</v>
      </c>
      <c r="CO60" s="311">
        <f>IF($BI60&lt;&gt;"",IF('Capacity summary'!$D$14="Yes",IF(COUNTBLANK('Capacity summary'!$H179:$BG179)&lt;52,IF('Capacity summary'!AL179&lt;&gt;"",IF(LOWER('Capacity summary'!AL179)="x",$BI60*AL60,VALUE('Capacity summary'!AL179)),0),AL60*$BI60),AL60*$BI60),0)</f>
        <v>0</v>
      </c>
      <c r="CP60" s="311">
        <f>IF($BI60&lt;&gt;"",IF('Capacity summary'!$D$14="Yes",IF(COUNTBLANK('Capacity summary'!$H179:$BG179)&lt;52,IF('Capacity summary'!AM179&lt;&gt;"",IF(LOWER('Capacity summary'!AM179)="x",$BI60*AM60,VALUE('Capacity summary'!AM179)),0),AM60*$BI60),AM60*$BI60),0)</f>
        <v>0</v>
      </c>
      <c r="CQ60" s="311">
        <f>IF($BI60&lt;&gt;"",IF('Capacity summary'!$D$14="Yes",IF(COUNTBLANK('Capacity summary'!$H179:$BG179)&lt;52,IF('Capacity summary'!AN179&lt;&gt;"",IF(LOWER('Capacity summary'!AN179)="x",$BI60*AN60,VALUE('Capacity summary'!AN179)),0),AN60*$BI60),AN60*$BI60),0)</f>
        <v>0</v>
      </c>
      <c r="CR60" s="311">
        <f>IF($BI60&lt;&gt;"",IF('Capacity summary'!$D$14="Yes",IF(COUNTBLANK('Capacity summary'!$H179:$BG179)&lt;52,IF('Capacity summary'!AO179&lt;&gt;"",IF(LOWER('Capacity summary'!AO179)="x",$BI60*AO60,VALUE('Capacity summary'!AO179)),0),AO60*$BI60),AO60*$BI60),0)</f>
        <v>0</v>
      </c>
      <c r="CS60" s="311">
        <f>IF($BI60&lt;&gt;"",IF('Capacity summary'!$D$14="Yes",IF(COUNTBLANK('Capacity summary'!$H179:$BG179)&lt;52,IF('Capacity summary'!AP179&lt;&gt;"",IF(LOWER('Capacity summary'!AP179)="x",$BI60*AP60,VALUE('Capacity summary'!AP179)),0),AP60*$BI60),AP60*$BI60),0)</f>
        <v>0</v>
      </c>
      <c r="CT60" s="311">
        <f>IF($BI60&lt;&gt;"",IF('Capacity summary'!$D$14="Yes",IF(COUNTBLANK('Capacity summary'!$H179:$BG179)&lt;52,IF('Capacity summary'!AQ179&lt;&gt;"",IF(LOWER('Capacity summary'!AQ179)="x",$BI60*AQ60,VALUE('Capacity summary'!AQ179)),0),AQ60*$BI60),AQ60*$BI60),0)</f>
        <v>0</v>
      </c>
      <c r="CU60" s="311">
        <f>IF($BI60&lt;&gt;"",IF('Capacity summary'!$D$14="Yes",IF(COUNTBLANK('Capacity summary'!$H179:$BG179)&lt;52,IF('Capacity summary'!AR179&lt;&gt;"",IF(LOWER('Capacity summary'!AR179)="x",$BI60*AR60,VALUE('Capacity summary'!AR179)),0),AR60*$BI60),AR60*$BI60),0)</f>
        <v>0</v>
      </c>
      <c r="CV60" s="311">
        <f>IF($BI60&lt;&gt;"",IF('Capacity summary'!$D$14="Yes",IF(COUNTBLANK('Capacity summary'!$H179:$BG179)&lt;52,IF('Capacity summary'!AS179&lt;&gt;"",IF(LOWER('Capacity summary'!AS179)="x",$BI60*AS60,VALUE('Capacity summary'!AS179)),0),AS60*$BI60),AS60*$BI60),0)</f>
        <v>0</v>
      </c>
      <c r="CW60" s="311">
        <f>IF($BI60&lt;&gt;"",IF('Capacity summary'!$D$14="Yes",IF(COUNTBLANK('Capacity summary'!$H179:$BG179)&lt;52,IF('Capacity summary'!AT179&lt;&gt;"",IF(LOWER('Capacity summary'!AT179)="x",$BI60*AT60,VALUE('Capacity summary'!AT179)),0),AT60*$BI60),AT60*$BI60),0)</f>
        <v>0</v>
      </c>
      <c r="CX60" s="311">
        <f>IF($BI60&lt;&gt;"",IF('Capacity summary'!$D$14="Yes",IF(COUNTBLANK('Capacity summary'!$H179:$BG179)&lt;52,IF('Capacity summary'!AU179&lt;&gt;"",IF(LOWER('Capacity summary'!AU179)="x",$BI60*AU60,VALUE('Capacity summary'!AU179)),0),AU60*$BI60),AU60*$BI60),0)</f>
        <v>0</v>
      </c>
      <c r="CY60" s="311">
        <f>IF($BI60&lt;&gt;"",IF('Capacity summary'!$D$14="Yes",IF(COUNTBLANK('Capacity summary'!$H179:$BG179)&lt;52,IF('Capacity summary'!AV179&lt;&gt;"",IF(LOWER('Capacity summary'!AV179)="x",$BI60*AV60,VALUE('Capacity summary'!AV179)),0),AV60*$BI60),AV60*$BI60),0)</f>
        <v>0</v>
      </c>
      <c r="CZ60" s="311">
        <f>IF($BI60&lt;&gt;"",IF('Capacity summary'!$D$14="Yes",IF(COUNTBLANK('Capacity summary'!$H179:$BG179)&lt;52,IF('Capacity summary'!AW179&lt;&gt;"",IF(LOWER('Capacity summary'!AW179)="x",$BI60*AW60,VALUE('Capacity summary'!AW179)),0),AW60*$BI60),AW60*$BI60),0)</f>
        <v>0</v>
      </c>
      <c r="DA60" s="311">
        <f>IF($BI60&lt;&gt;"",IF('Capacity summary'!$D$14="Yes",IF(COUNTBLANK('Capacity summary'!$H179:$BG179)&lt;52,IF('Capacity summary'!AX179&lt;&gt;"",IF(LOWER('Capacity summary'!AX179)="x",$BI60*AX60,VALUE('Capacity summary'!AX179)),0),AX60*$BI60),AX60*$BI60),0)</f>
        <v>0</v>
      </c>
      <c r="DB60" s="311">
        <f>IF($BI60&lt;&gt;"",IF('Capacity summary'!$D$14="Yes",IF(COUNTBLANK('Capacity summary'!$H179:$BG179)&lt;52,IF('Capacity summary'!AY179&lt;&gt;"",IF(LOWER('Capacity summary'!AY179)="x",$BI60*AY60,VALUE('Capacity summary'!AY179)),0),AY60*$BI60),AY60*$BI60),0)</f>
        <v>0</v>
      </c>
      <c r="DC60" s="311">
        <f>IF($BI60&lt;&gt;"",IF('Capacity summary'!$D$14="Yes",IF(COUNTBLANK('Capacity summary'!$H179:$BG179)&lt;52,IF('Capacity summary'!AZ179&lt;&gt;"",IF(LOWER('Capacity summary'!AZ179)="x",$BI60*AZ60,VALUE('Capacity summary'!AZ179)),0),AZ60*$BI60),AZ60*$BI60),0)</f>
        <v>0</v>
      </c>
      <c r="DD60" s="311">
        <f>IF($BI60&lt;&gt;"",IF('Capacity summary'!$D$14="Yes",IF(COUNTBLANK('Capacity summary'!$H179:$BG179)&lt;52,IF('Capacity summary'!BA179&lt;&gt;"",IF(LOWER('Capacity summary'!BA179)="x",$BI60*BA60,VALUE('Capacity summary'!BA179)),0),BA60*$BI60),BA60*$BI60),0)</f>
        <v>0</v>
      </c>
      <c r="DE60" s="311">
        <f>IF($BI60&lt;&gt;"",IF('Capacity summary'!$D$14="Yes",IF(COUNTBLANK('Capacity summary'!$H179:$BG179)&lt;52,IF('Capacity summary'!BB179&lt;&gt;"",IF(LOWER('Capacity summary'!BB179)="x",$BI60*BB60,VALUE('Capacity summary'!BB179)),0),BB60*$BI60),BB60*$BI60),0)</f>
        <v>0</v>
      </c>
      <c r="DF60" s="311">
        <f>IF($BI60&lt;&gt;"",IF('Capacity summary'!$D$14="Yes",IF(COUNTBLANK('Capacity summary'!$H179:$BG179)&lt;52,IF('Capacity summary'!BC179&lt;&gt;"",IF(LOWER('Capacity summary'!BC179)="x",$BI60*BC60,VALUE('Capacity summary'!BC179)),0),BC60*$BI60),BC60*$BI60),0)</f>
        <v>0</v>
      </c>
      <c r="DG60" s="311">
        <f>IF($BI60&lt;&gt;"",IF('Capacity summary'!$D$14="Yes",IF(COUNTBLANK('Capacity summary'!$H179:$BG179)&lt;52,IF('Capacity summary'!BD179&lt;&gt;"",IF(LOWER('Capacity summary'!BD179)="x",$BI60*BD60,VALUE('Capacity summary'!BD179)),0),BD60*$BI60),BD60*$BI60),0)</f>
        <v>0</v>
      </c>
      <c r="DH60" s="311">
        <f>IF($BI60&lt;&gt;"",IF('Capacity summary'!$D$14="Yes",IF(COUNTBLANK('Capacity summary'!$H179:$BG179)&lt;52,IF('Capacity summary'!BE179&lt;&gt;"",IF(LOWER('Capacity summary'!BE179)="x",$BI60*BE60,VALUE('Capacity summary'!BE179)),0),BE60*$BI60),BE60*$BI60),0)</f>
        <v>0</v>
      </c>
      <c r="DI60" s="311">
        <f>IF($BI60&lt;&gt;"",IF('Capacity summary'!$D$14="Yes",IF(COUNTBLANK('Capacity summary'!$H179:$BG179)&lt;52,IF('Capacity summary'!BF179&lt;&gt;"",IF(LOWER('Capacity summary'!BF179)="x",$BI60*BF60,VALUE('Capacity summary'!BF179)),0),BF60*$BI60),BF60*$BI60),0)</f>
        <v>0</v>
      </c>
      <c r="DJ60" s="311">
        <f>IF($BI60&lt;&gt;"",IF('Capacity summary'!$D$14="Yes",IF(COUNTBLANK('Capacity summary'!$H179:$BG179)&lt;52,IF('Capacity summary'!BG179&lt;&gt;"",IF(LOWER('Capacity summary'!BG179)="x",$BI60*BG60,VALUE('Capacity summary'!BG179)),0),BG60*$BI60),BG60*$BI60),0)</f>
        <v>0</v>
      </c>
      <c r="DK60" s="391">
        <f t="shared" si="2"/>
        <v>0</v>
      </c>
      <c r="DL60" s="136">
        <f t="shared" si="3"/>
        <v>0</v>
      </c>
      <c r="DM60" s="311" t="str">
        <f>Capacity!H72</f>
        <v/>
      </c>
    </row>
    <row r="61" spans="1:121" x14ac:dyDescent="0.2">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1">
        <f>IF($BI61&lt;&gt;"",IF('Capacity summary'!$D$14="Yes",IF(COUNTBLANK('Capacity summary'!$H180:$BG180)&lt;52,IF('Capacity summary'!H180&lt;&gt;"",IF(LOWER('Capacity summary'!H180)="x",$BI61*H61,VALUE('Capacity summary'!H180)),0),H61*$BI61),H61*$BI61),0)</f>
        <v>0</v>
      </c>
      <c r="BL61" s="311">
        <f>IF($BI61&lt;&gt;"",IF('Capacity summary'!$D$14="Yes",IF(COUNTBLANK('Capacity summary'!$H180:$BG180)&lt;52,IF('Capacity summary'!I180&lt;&gt;"",IF(LOWER('Capacity summary'!I180)="x",$BI61*I61,VALUE('Capacity summary'!I180)),0),I61*$BI61),I61*$BI61),0)</f>
        <v>0</v>
      </c>
      <c r="BM61" s="311">
        <f>IF($BI61&lt;&gt;"",IF('Capacity summary'!$D$14="Yes",IF(COUNTBLANK('Capacity summary'!$H180:$BG180)&lt;52,IF('Capacity summary'!J180&lt;&gt;"",IF(LOWER('Capacity summary'!J180)="x",$BI61*J61,VALUE('Capacity summary'!J180)),0),J61*$BI61),J61*$BI61),0)</f>
        <v>0</v>
      </c>
      <c r="BN61" s="311">
        <f>IF($BI61&lt;&gt;"",IF('Capacity summary'!$D$14="Yes",IF(COUNTBLANK('Capacity summary'!$H180:$BG180)&lt;52,IF('Capacity summary'!K180&lt;&gt;"",IF(LOWER('Capacity summary'!K180)="x",$BI61*K61,VALUE('Capacity summary'!K180)),0),K61*$BI61),K61*$BI61),0)</f>
        <v>0</v>
      </c>
      <c r="BO61" s="311">
        <f>IF($BI61&lt;&gt;"",IF('Capacity summary'!$D$14="Yes",IF(COUNTBLANK('Capacity summary'!$H180:$BG180)&lt;52,IF('Capacity summary'!L180&lt;&gt;"",IF(LOWER('Capacity summary'!L180)="x",$BI61*L61,VALUE('Capacity summary'!L180)),0),L61*$BI61),L61*$BI61),0)</f>
        <v>0</v>
      </c>
      <c r="BP61" s="311">
        <f>IF($BI61&lt;&gt;"",IF('Capacity summary'!$D$14="Yes",IF(COUNTBLANK('Capacity summary'!$H180:$BG180)&lt;52,IF('Capacity summary'!M180&lt;&gt;"",IF(LOWER('Capacity summary'!M180)="x",$BI61*M61,VALUE('Capacity summary'!M180)),0),M61*$BI61),M61*$BI61),0)</f>
        <v>0</v>
      </c>
      <c r="BQ61" s="311">
        <f>IF($BI61&lt;&gt;"",IF('Capacity summary'!$D$14="Yes",IF(COUNTBLANK('Capacity summary'!$H180:$BG180)&lt;52,IF('Capacity summary'!N180&lt;&gt;"",IF(LOWER('Capacity summary'!N180)="x",$BI61*N61,VALUE('Capacity summary'!N180)),0),N61*$BI61),N61*$BI61),0)</f>
        <v>0</v>
      </c>
      <c r="BR61" s="311">
        <f>IF($BI61&lt;&gt;"",IF('Capacity summary'!$D$14="Yes",IF(COUNTBLANK('Capacity summary'!$H180:$BG180)&lt;52,IF('Capacity summary'!O180&lt;&gt;"",IF(LOWER('Capacity summary'!O180)="x",$BI61*O61,VALUE('Capacity summary'!O180)),0),O61*$BI61),O61*$BI61),0)</f>
        <v>0</v>
      </c>
      <c r="BS61" s="311">
        <f>IF($BI61&lt;&gt;"",IF('Capacity summary'!$D$14="Yes",IF(COUNTBLANK('Capacity summary'!$H180:$BG180)&lt;52,IF('Capacity summary'!P180&lt;&gt;"",IF(LOWER('Capacity summary'!P180)="x",$BI61*P61,VALUE('Capacity summary'!P180)),0),P61*$BI61),P61*$BI61),0)</f>
        <v>0</v>
      </c>
      <c r="BT61" s="311">
        <f>IF($BI61&lt;&gt;"",IF('Capacity summary'!$D$14="Yes",IF(COUNTBLANK('Capacity summary'!$H180:$BG180)&lt;52,IF('Capacity summary'!Q180&lt;&gt;"",IF(LOWER('Capacity summary'!Q180)="x",$BI61*Q61,VALUE('Capacity summary'!Q180)),0),Q61*$BI61),Q61*$BI61),0)</f>
        <v>0</v>
      </c>
      <c r="BU61" s="311">
        <f>IF($BI61&lt;&gt;"",IF('Capacity summary'!$D$14="Yes",IF(COUNTBLANK('Capacity summary'!$H180:$BG180)&lt;52,IF('Capacity summary'!R180&lt;&gt;"",IF(LOWER('Capacity summary'!R180)="x",$BI61*R61,VALUE('Capacity summary'!R180)),0),R61*$BI61),R61*$BI61),0)</f>
        <v>0</v>
      </c>
      <c r="BV61" s="311">
        <f>IF($BI61&lt;&gt;"",IF('Capacity summary'!$D$14="Yes",IF(COUNTBLANK('Capacity summary'!$H180:$BG180)&lt;52,IF('Capacity summary'!S180&lt;&gt;"",IF(LOWER('Capacity summary'!S180)="x",$BI61*S61,VALUE('Capacity summary'!S180)),0),S61*$BI61),S61*$BI61),0)</f>
        <v>0</v>
      </c>
      <c r="BW61" s="311">
        <f>IF($BI61&lt;&gt;"",IF('Capacity summary'!$D$14="Yes",IF(COUNTBLANK('Capacity summary'!$H180:$BG180)&lt;52,IF('Capacity summary'!T180&lt;&gt;"",IF(LOWER('Capacity summary'!T180)="x",$BI61*T61,VALUE('Capacity summary'!T180)),0),T61*$BI61),T61*$BI61),0)</f>
        <v>0</v>
      </c>
      <c r="BX61" s="311">
        <f>IF($BI61&lt;&gt;"",IF('Capacity summary'!$D$14="Yes",IF(COUNTBLANK('Capacity summary'!$H180:$BG180)&lt;52,IF('Capacity summary'!U180&lt;&gt;"",IF(LOWER('Capacity summary'!U180)="x",$BI61*U61,VALUE('Capacity summary'!U180)),0),U61*$BI61),U61*$BI61),0)</f>
        <v>0</v>
      </c>
      <c r="BY61" s="311">
        <f>IF($BI61&lt;&gt;"",IF('Capacity summary'!$D$14="Yes",IF(COUNTBLANK('Capacity summary'!$H180:$BG180)&lt;52,IF('Capacity summary'!V180&lt;&gt;"",IF(LOWER('Capacity summary'!V180)="x",$BI61*V61,VALUE('Capacity summary'!V180)),0),V61*$BI61),V61*$BI61),0)</f>
        <v>0</v>
      </c>
      <c r="BZ61" s="311">
        <f>IF($BI61&lt;&gt;"",IF('Capacity summary'!$D$14="Yes",IF(COUNTBLANK('Capacity summary'!$H180:$BG180)&lt;52,IF('Capacity summary'!W180&lt;&gt;"",IF(LOWER('Capacity summary'!W180)="x",$BI61*W61,VALUE('Capacity summary'!W180)),0),W61*$BI61),W61*$BI61),0)</f>
        <v>0</v>
      </c>
      <c r="CA61" s="311">
        <f>IF($BI61&lt;&gt;"",IF('Capacity summary'!$D$14="Yes",IF(COUNTBLANK('Capacity summary'!$H180:$BG180)&lt;52,IF('Capacity summary'!X180&lt;&gt;"",IF(LOWER('Capacity summary'!X180)="x",$BI61*X61,VALUE('Capacity summary'!X180)),0),X61*$BI61),X61*$BI61),0)</f>
        <v>0</v>
      </c>
      <c r="CB61" s="311">
        <f>IF($BI61&lt;&gt;"",IF('Capacity summary'!$D$14="Yes",IF(COUNTBLANK('Capacity summary'!$H180:$BG180)&lt;52,IF('Capacity summary'!Y180&lt;&gt;"",IF(LOWER('Capacity summary'!Y180)="x",$BI61*Y61,VALUE('Capacity summary'!Y180)),0),Y61*$BI61),Y61*$BI61),0)</f>
        <v>0</v>
      </c>
      <c r="CC61" s="311">
        <f>IF($BI61&lt;&gt;"",IF('Capacity summary'!$D$14="Yes",IF(COUNTBLANK('Capacity summary'!$H180:$BG180)&lt;52,IF('Capacity summary'!Z180&lt;&gt;"",IF(LOWER('Capacity summary'!Z180)="x",$BI61*Z61,VALUE('Capacity summary'!Z180)),0),Z61*$BI61),Z61*$BI61),0)</f>
        <v>0</v>
      </c>
      <c r="CD61" s="311">
        <f>IF($BI61&lt;&gt;"",IF('Capacity summary'!$D$14="Yes",IF(COUNTBLANK('Capacity summary'!$H180:$BG180)&lt;52,IF('Capacity summary'!AA180&lt;&gt;"",IF(LOWER('Capacity summary'!AA180)="x",$BI61*AA61,VALUE('Capacity summary'!AA180)),0),AA61*$BI61),AA61*$BI61),0)</f>
        <v>0</v>
      </c>
      <c r="CE61" s="311">
        <f>IF($BI61&lt;&gt;"",IF('Capacity summary'!$D$14="Yes",IF(COUNTBLANK('Capacity summary'!$H180:$BG180)&lt;52,IF('Capacity summary'!AB180&lt;&gt;"",IF(LOWER('Capacity summary'!AB180)="x",$BI61*AB61,VALUE('Capacity summary'!AB180)),0),AB61*$BI61),AB61*$BI61),0)</f>
        <v>0</v>
      </c>
      <c r="CF61" s="311">
        <f>IF($BI61&lt;&gt;"",IF('Capacity summary'!$D$14="Yes",IF(COUNTBLANK('Capacity summary'!$H180:$BG180)&lt;52,IF('Capacity summary'!AC180&lt;&gt;"",IF(LOWER('Capacity summary'!AC180)="x",$BI61*AC61,VALUE('Capacity summary'!AC180)),0),AC61*$BI61),AC61*$BI61),0)</f>
        <v>0</v>
      </c>
      <c r="CG61" s="311">
        <f>IF($BI61&lt;&gt;"",IF('Capacity summary'!$D$14="Yes",IF(COUNTBLANK('Capacity summary'!$H180:$BG180)&lt;52,IF('Capacity summary'!AD180&lt;&gt;"",IF(LOWER('Capacity summary'!AD180)="x",$BI61*AD61,VALUE('Capacity summary'!AD180)),0),AD61*$BI61),AD61*$BI61),0)</f>
        <v>0</v>
      </c>
      <c r="CH61" s="311">
        <f>IF($BI61&lt;&gt;"",IF('Capacity summary'!$D$14="Yes",IF(COUNTBLANK('Capacity summary'!$H180:$BG180)&lt;52,IF('Capacity summary'!AE180&lt;&gt;"",IF(LOWER('Capacity summary'!AE180)="x",$BI61*AE61,VALUE('Capacity summary'!AE180)),0),AE61*$BI61),AE61*$BI61),0)</f>
        <v>0</v>
      </c>
      <c r="CI61" s="311">
        <f>IF($BI61&lt;&gt;"",IF('Capacity summary'!$D$14="Yes",IF(COUNTBLANK('Capacity summary'!$H180:$BG180)&lt;52,IF('Capacity summary'!AF180&lt;&gt;"",IF(LOWER('Capacity summary'!AF180)="x",$BI61*AF61,VALUE('Capacity summary'!AF180)),0),AF61*$BI61),AF61*$BI61),0)</f>
        <v>0</v>
      </c>
      <c r="CJ61" s="311">
        <f>IF($BI61&lt;&gt;"",IF('Capacity summary'!$D$14="Yes",IF(COUNTBLANK('Capacity summary'!$H180:$BG180)&lt;52,IF('Capacity summary'!AG180&lt;&gt;"",IF(LOWER('Capacity summary'!AG180)="x",$BI61*AG61,VALUE('Capacity summary'!AG180)),0),AG61*$BI61),AG61*$BI61),0)</f>
        <v>0</v>
      </c>
      <c r="CK61" s="311">
        <f>IF($BI61&lt;&gt;"",IF('Capacity summary'!$D$14="Yes",IF(COUNTBLANK('Capacity summary'!$H180:$BG180)&lt;52,IF('Capacity summary'!AH180&lt;&gt;"",IF(LOWER('Capacity summary'!AH180)="x",$BI61*AH61,VALUE('Capacity summary'!AH180)),0),AH61*$BI61),AH61*$BI61),0)</f>
        <v>0</v>
      </c>
      <c r="CL61" s="311">
        <f>IF($BI61&lt;&gt;"",IF('Capacity summary'!$D$14="Yes",IF(COUNTBLANK('Capacity summary'!$H180:$BG180)&lt;52,IF('Capacity summary'!AI180&lt;&gt;"",IF(LOWER('Capacity summary'!AI180)="x",$BI61*AI61,VALUE('Capacity summary'!AI180)),0),AI61*$BI61),AI61*$BI61),0)</f>
        <v>0</v>
      </c>
      <c r="CM61" s="311">
        <f>IF($BI61&lt;&gt;"",IF('Capacity summary'!$D$14="Yes",IF(COUNTBLANK('Capacity summary'!$H180:$BG180)&lt;52,IF('Capacity summary'!AJ180&lt;&gt;"",IF(LOWER('Capacity summary'!AJ180)="x",$BI61*AJ61,VALUE('Capacity summary'!AJ180)),0),AJ61*$BI61),AJ61*$BI61),0)</f>
        <v>0</v>
      </c>
      <c r="CN61" s="311">
        <f>IF($BI61&lt;&gt;"",IF('Capacity summary'!$D$14="Yes",IF(COUNTBLANK('Capacity summary'!$H180:$BG180)&lt;52,IF('Capacity summary'!AK180&lt;&gt;"",IF(LOWER('Capacity summary'!AK180)="x",$BI61*AK61,VALUE('Capacity summary'!AK180)),0),AK61*$BI61),AK61*$BI61),0)</f>
        <v>0</v>
      </c>
      <c r="CO61" s="311">
        <f>IF($BI61&lt;&gt;"",IF('Capacity summary'!$D$14="Yes",IF(COUNTBLANK('Capacity summary'!$H180:$BG180)&lt;52,IF('Capacity summary'!AL180&lt;&gt;"",IF(LOWER('Capacity summary'!AL180)="x",$BI61*AL61,VALUE('Capacity summary'!AL180)),0),AL61*$BI61),AL61*$BI61),0)</f>
        <v>0</v>
      </c>
      <c r="CP61" s="311">
        <f>IF($BI61&lt;&gt;"",IF('Capacity summary'!$D$14="Yes",IF(COUNTBLANK('Capacity summary'!$H180:$BG180)&lt;52,IF('Capacity summary'!AM180&lt;&gt;"",IF(LOWER('Capacity summary'!AM180)="x",$BI61*AM61,VALUE('Capacity summary'!AM180)),0),AM61*$BI61),AM61*$BI61),0)</f>
        <v>0</v>
      </c>
      <c r="CQ61" s="311">
        <f>IF($BI61&lt;&gt;"",IF('Capacity summary'!$D$14="Yes",IF(COUNTBLANK('Capacity summary'!$H180:$BG180)&lt;52,IF('Capacity summary'!AN180&lt;&gt;"",IF(LOWER('Capacity summary'!AN180)="x",$BI61*AN61,VALUE('Capacity summary'!AN180)),0),AN61*$BI61),AN61*$BI61),0)</f>
        <v>0</v>
      </c>
      <c r="CR61" s="311">
        <f>IF($BI61&lt;&gt;"",IF('Capacity summary'!$D$14="Yes",IF(COUNTBLANK('Capacity summary'!$H180:$BG180)&lt;52,IF('Capacity summary'!AO180&lt;&gt;"",IF(LOWER('Capacity summary'!AO180)="x",$BI61*AO61,VALUE('Capacity summary'!AO180)),0),AO61*$BI61),AO61*$BI61),0)</f>
        <v>0</v>
      </c>
      <c r="CS61" s="311">
        <f>IF($BI61&lt;&gt;"",IF('Capacity summary'!$D$14="Yes",IF(COUNTBLANK('Capacity summary'!$H180:$BG180)&lt;52,IF('Capacity summary'!AP180&lt;&gt;"",IF(LOWER('Capacity summary'!AP180)="x",$BI61*AP61,VALUE('Capacity summary'!AP180)),0),AP61*$BI61),AP61*$BI61),0)</f>
        <v>0</v>
      </c>
      <c r="CT61" s="311">
        <f>IF($BI61&lt;&gt;"",IF('Capacity summary'!$D$14="Yes",IF(COUNTBLANK('Capacity summary'!$H180:$BG180)&lt;52,IF('Capacity summary'!AQ180&lt;&gt;"",IF(LOWER('Capacity summary'!AQ180)="x",$BI61*AQ61,VALUE('Capacity summary'!AQ180)),0),AQ61*$BI61),AQ61*$BI61),0)</f>
        <v>0</v>
      </c>
      <c r="CU61" s="311">
        <f>IF($BI61&lt;&gt;"",IF('Capacity summary'!$D$14="Yes",IF(COUNTBLANK('Capacity summary'!$H180:$BG180)&lt;52,IF('Capacity summary'!AR180&lt;&gt;"",IF(LOWER('Capacity summary'!AR180)="x",$BI61*AR61,VALUE('Capacity summary'!AR180)),0),AR61*$BI61),AR61*$BI61),0)</f>
        <v>0</v>
      </c>
      <c r="CV61" s="311">
        <f>IF($BI61&lt;&gt;"",IF('Capacity summary'!$D$14="Yes",IF(COUNTBLANK('Capacity summary'!$H180:$BG180)&lt;52,IF('Capacity summary'!AS180&lt;&gt;"",IF(LOWER('Capacity summary'!AS180)="x",$BI61*AS61,VALUE('Capacity summary'!AS180)),0),AS61*$BI61),AS61*$BI61),0)</f>
        <v>0</v>
      </c>
      <c r="CW61" s="311">
        <f>IF($BI61&lt;&gt;"",IF('Capacity summary'!$D$14="Yes",IF(COUNTBLANK('Capacity summary'!$H180:$BG180)&lt;52,IF('Capacity summary'!AT180&lt;&gt;"",IF(LOWER('Capacity summary'!AT180)="x",$BI61*AT61,VALUE('Capacity summary'!AT180)),0),AT61*$BI61),AT61*$BI61),0)</f>
        <v>0</v>
      </c>
      <c r="CX61" s="311">
        <f>IF($BI61&lt;&gt;"",IF('Capacity summary'!$D$14="Yes",IF(COUNTBLANK('Capacity summary'!$H180:$BG180)&lt;52,IF('Capacity summary'!AU180&lt;&gt;"",IF(LOWER('Capacity summary'!AU180)="x",$BI61*AU61,VALUE('Capacity summary'!AU180)),0),AU61*$BI61),AU61*$BI61),0)</f>
        <v>0</v>
      </c>
      <c r="CY61" s="311">
        <f>IF($BI61&lt;&gt;"",IF('Capacity summary'!$D$14="Yes",IF(COUNTBLANK('Capacity summary'!$H180:$BG180)&lt;52,IF('Capacity summary'!AV180&lt;&gt;"",IF(LOWER('Capacity summary'!AV180)="x",$BI61*AV61,VALUE('Capacity summary'!AV180)),0),AV61*$BI61),AV61*$BI61),0)</f>
        <v>0</v>
      </c>
      <c r="CZ61" s="311">
        <f>IF($BI61&lt;&gt;"",IF('Capacity summary'!$D$14="Yes",IF(COUNTBLANK('Capacity summary'!$H180:$BG180)&lt;52,IF('Capacity summary'!AW180&lt;&gt;"",IF(LOWER('Capacity summary'!AW180)="x",$BI61*AW61,VALUE('Capacity summary'!AW180)),0),AW61*$BI61),AW61*$BI61),0)</f>
        <v>0</v>
      </c>
      <c r="DA61" s="311">
        <f>IF($BI61&lt;&gt;"",IF('Capacity summary'!$D$14="Yes",IF(COUNTBLANK('Capacity summary'!$H180:$BG180)&lt;52,IF('Capacity summary'!AX180&lt;&gt;"",IF(LOWER('Capacity summary'!AX180)="x",$BI61*AX61,VALUE('Capacity summary'!AX180)),0),AX61*$BI61),AX61*$BI61),0)</f>
        <v>0</v>
      </c>
      <c r="DB61" s="311">
        <f>IF($BI61&lt;&gt;"",IF('Capacity summary'!$D$14="Yes",IF(COUNTBLANK('Capacity summary'!$H180:$BG180)&lt;52,IF('Capacity summary'!AY180&lt;&gt;"",IF(LOWER('Capacity summary'!AY180)="x",$BI61*AY61,VALUE('Capacity summary'!AY180)),0),AY61*$BI61),AY61*$BI61),0)</f>
        <v>0</v>
      </c>
      <c r="DC61" s="311">
        <f>IF($BI61&lt;&gt;"",IF('Capacity summary'!$D$14="Yes",IF(COUNTBLANK('Capacity summary'!$H180:$BG180)&lt;52,IF('Capacity summary'!AZ180&lt;&gt;"",IF(LOWER('Capacity summary'!AZ180)="x",$BI61*AZ61,VALUE('Capacity summary'!AZ180)),0),AZ61*$BI61),AZ61*$BI61),0)</f>
        <v>0</v>
      </c>
      <c r="DD61" s="311">
        <f>IF($BI61&lt;&gt;"",IF('Capacity summary'!$D$14="Yes",IF(COUNTBLANK('Capacity summary'!$H180:$BG180)&lt;52,IF('Capacity summary'!BA180&lt;&gt;"",IF(LOWER('Capacity summary'!BA180)="x",$BI61*BA61,VALUE('Capacity summary'!BA180)),0),BA61*$BI61),BA61*$BI61),0)</f>
        <v>0</v>
      </c>
      <c r="DE61" s="311">
        <f>IF($BI61&lt;&gt;"",IF('Capacity summary'!$D$14="Yes",IF(COUNTBLANK('Capacity summary'!$H180:$BG180)&lt;52,IF('Capacity summary'!BB180&lt;&gt;"",IF(LOWER('Capacity summary'!BB180)="x",$BI61*BB61,VALUE('Capacity summary'!BB180)),0),BB61*$BI61),BB61*$BI61),0)</f>
        <v>0</v>
      </c>
      <c r="DF61" s="311">
        <f>IF($BI61&lt;&gt;"",IF('Capacity summary'!$D$14="Yes",IF(COUNTBLANK('Capacity summary'!$H180:$BG180)&lt;52,IF('Capacity summary'!BC180&lt;&gt;"",IF(LOWER('Capacity summary'!BC180)="x",$BI61*BC61,VALUE('Capacity summary'!BC180)),0),BC61*$BI61),BC61*$BI61),0)</f>
        <v>0</v>
      </c>
      <c r="DG61" s="311">
        <f>IF($BI61&lt;&gt;"",IF('Capacity summary'!$D$14="Yes",IF(COUNTBLANK('Capacity summary'!$H180:$BG180)&lt;52,IF('Capacity summary'!BD180&lt;&gt;"",IF(LOWER('Capacity summary'!BD180)="x",$BI61*BD61,VALUE('Capacity summary'!BD180)),0),BD61*$BI61),BD61*$BI61),0)</f>
        <v>0</v>
      </c>
      <c r="DH61" s="311">
        <f>IF($BI61&lt;&gt;"",IF('Capacity summary'!$D$14="Yes",IF(COUNTBLANK('Capacity summary'!$H180:$BG180)&lt;52,IF('Capacity summary'!BE180&lt;&gt;"",IF(LOWER('Capacity summary'!BE180)="x",$BI61*BE61,VALUE('Capacity summary'!BE180)),0),BE61*$BI61),BE61*$BI61),0)</f>
        <v>0</v>
      </c>
      <c r="DI61" s="311">
        <f>IF($BI61&lt;&gt;"",IF('Capacity summary'!$D$14="Yes",IF(COUNTBLANK('Capacity summary'!$H180:$BG180)&lt;52,IF('Capacity summary'!BF180&lt;&gt;"",IF(LOWER('Capacity summary'!BF180)="x",$BI61*BF61,VALUE('Capacity summary'!BF180)),0),BF61*$BI61),BF61*$BI61),0)</f>
        <v>0</v>
      </c>
      <c r="DJ61" s="311">
        <f>IF($BI61&lt;&gt;"",IF('Capacity summary'!$D$14="Yes",IF(COUNTBLANK('Capacity summary'!$H180:$BG180)&lt;52,IF('Capacity summary'!BG180&lt;&gt;"",IF(LOWER('Capacity summary'!BG180)="x",$BI61*BG61,VALUE('Capacity summary'!BG180)),0),BG61*$BI61),BG61*$BI61),0)</f>
        <v>0</v>
      </c>
      <c r="DK61" s="391">
        <f t="shared" si="2"/>
        <v>0</v>
      </c>
      <c r="DL61" s="136">
        <f t="shared" si="3"/>
        <v>0</v>
      </c>
      <c r="DM61" s="311" t="str">
        <f>Capacity!H73</f>
        <v/>
      </c>
    </row>
    <row r="62" spans="1:121" x14ac:dyDescent="0.2">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1">
        <f>IF($BI62&lt;&gt;"",IF('Capacity summary'!$D$14="Yes",IF(COUNTBLANK('Capacity summary'!$H181:$BG181)&lt;52,IF('Capacity summary'!H181&lt;&gt;"",IF(LOWER('Capacity summary'!H181)="x",$BI62*H62,VALUE('Capacity summary'!H181)),0),H62*$BI62),H62*$BI62),0)</f>
        <v>0</v>
      </c>
      <c r="BL62" s="311">
        <f>IF($BI62&lt;&gt;"",IF('Capacity summary'!$D$14="Yes",IF(COUNTBLANK('Capacity summary'!$H181:$BG181)&lt;52,IF('Capacity summary'!I181&lt;&gt;"",IF(LOWER('Capacity summary'!I181)="x",$BI62*I62,VALUE('Capacity summary'!I181)),0),I62*$BI62),I62*$BI62),0)</f>
        <v>0</v>
      </c>
      <c r="BM62" s="311">
        <f>IF($BI62&lt;&gt;"",IF('Capacity summary'!$D$14="Yes",IF(COUNTBLANK('Capacity summary'!$H181:$BG181)&lt;52,IF('Capacity summary'!J181&lt;&gt;"",IF(LOWER('Capacity summary'!J181)="x",$BI62*J62,VALUE('Capacity summary'!J181)),0),J62*$BI62),J62*$BI62),0)</f>
        <v>0</v>
      </c>
      <c r="BN62" s="311">
        <f>IF($BI62&lt;&gt;"",IF('Capacity summary'!$D$14="Yes",IF(COUNTBLANK('Capacity summary'!$H181:$BG181)&lt;52,IF('Capacity summary'!K181&lt;&gt;"",IF(LOWER('Capacity summary'!K181)="x",$BI62*K62,VALUE('Capacity summary'!K181)),0),K62*$BI62),K62*$BI62),0)</f>
        <v>0</v>
      </c>
      <c r="BO62" s="311">
        <f>IF($BI62&lt;&gt;"",IF('Capacity summary'!$D$14="Yes",IF(COUNTBLANK('Capacity summary'!$H181:$BG181)&lt;52,IF('Capacity summary'!L181&lt;&gt;"",IF(LOWER('Capacity summary'!L181)="x",$BI62*L62,VALUE('Capacity summary'!L181)),0),L62*$BI62),L62*$BI62),0)</f>
        <v>0</v>
      </c>
      <c r="BP62" s="311">
        <f>IF($BI62&lt;&gt;"",IF('Capacity summary'!$D$14="Yes",IF(COUNTBLANK('Capacity summary'!$H181:$BG181)&lt;52,IF('Capacity summary'!M181&lt;&gt;"",IF(LOWER('Capacity summary'!M181)="x",$BI62*M62,VALUE('Capacity summary'!M181)),0),M62*$BI62),M62*$BI62),0)</f>
        <v>0</v>
      </c>
      <c r="BQ62" s="311">
        <f>IF($BI62&lt;&gt;"",IF('Capacity summary'!$D$14="Yes",IF(COUNTBLANK('Capacity summary'!$H181:$BG181)&lt;52,IF('Capacity summary'!N181&lt;&gt;"",IF(LOWER('Capacity summary'!N181)="x",$BI62*N62,VALUE('Capacity summary'!N181)),0),N62*$BI62),N62*$BI62),0)</f>
        <v>0</v>
      </c>
      <c r="BR62" s="311">
        <f>IF($BI62&lt;&gt;"",IF('Capacity summary'!$D$14="Yes",IF(COUNTBLANK('Capacity summary'!$H181:$BG181)&lt;52,IF('Capacity summary'!O181&lt;&gt;"",IF(LOWER('Capacity summary'!O181)="x",$BI62*O62,VALUE('Capacity summary'!O181)),0),O62*$BI62),O62*$BI62),0)</f>
        <v>0</v>
      </c>
      <c r="BS62" s="311">
        <f>IF($BI62&lt;&gt;"",IF('Capacity summary'!$D$14="Yes",IF(COUNTBLANK('Capacity summary'!$H181:$BG181)&lt;52,IF('Capacity summary'!P181&lt;&gt;"",IF(LOWER('Capacity summary'!P181)="x",$BI62*P62,VALUE('Capacity summary'!P181)),0),P62*$BI62),P62*$BI62),0)</f>
        <v>0</v>
      </c>
      <c r="BT62" s="311">
        <f>IF($BI62&lt;&gt;"",IF('Capacity summary'!$D$14="Yes",IF(COUNTBLANK('Capacity summary'!$H181:$BG181)&lt;52,IF('Capacity summary'!Q181&lt;&gt;"",IF(LOWER('Capacity summary'!Q181)="x",$BI62*Q62,VALUE('Capacity summary'!Q181)),0),Q62*$BI62),Q62*$BI62),0)</f>
        <v>0</v>
      </c>
      <c r="BU62" s="311">
        <f>IF($BI62&lt;&gt;"",IF('Capacity summary'!$D$14="Yes",IF(COUNTBLANK('Capacity summary'!$H181:$BG181)&lt;52,IF('Capacity summary'!R181&lt;&gt;"",IF(LOWER('Capacity summary'!R181)="x",$BI62*R62,VALUE('Capacity summary'!R181)),0),R62*$BI62),R62*$BI62),0)</f>
        <v>0</v>
      </c>
      <c r="BV62" s="311">
        <f>IF($BI62&lt;&gt;"",IF('Capacity summary'!$D$14="Yes",IF(COUNTBLANK('Capacity summary'!$H181:$BG181)&lt;52,IF('Capacity summary'!S181&lt;&gt;"",IF(LOWER('Capacity summary'!S181)="x",$BI62*S62,VALUE('Capacity summary'!S181)),0),S62*$BI62),S62*$BI62),0)</f>
        <v>0</v>
      </c>
      <c r="BW62" s="311">
        <f>IF($BI62&lt;&gt;"",IF('Capacity summary'!$D$14="Yes",IF(COUNTBLANK('Capacity summary'!$H181:$BG181)&lt;52,IF('Capacity summary'!T181&lt;&gt;"",IF(LOWER('Capacity summary'!T181)="x",$BI62*T62,VALUE('Capacity summary'!T181)),0),T62*$BI62),T62*$BI62),0)</f>
        <v>0</v>
      </c>
      <c r="BX62" s="311">
        <f>IF($BI62&lt;&gt;"",IF('Capacity summary'!$D$14="Yes",IF(COUNTBLANK('Capacity summary'!$H181:$BG181)&lt;52,IF('Capacity summary'!U181&lt;&gt;"",IF(LOWER('Capacity summary'!U181)="x",$BI62*U62,VALUE('Capacity summary'!U181)),0),U62*$BI62),U62*$BI62),0)</f>
        <v>0</v>
      </c>
      <c r="BY62" s="311">
        <f>IF($BI62&lt;&gt;"",IF('Capacity summary'!$D$14="Yes",IF(COUNTBLANK('Capacity summary'!$H181:$BG181)&lt;52,IF('Capacity summary'!V181&lt;&gt;"",IF(LOWER('Capacity summary'!V181)="x",$BI62*V62,VALUE('Capacity summary'!V181)),0),V62*$BI62),V62*$BI62),0)</f>
        <v>0</v>
      </c>
      <c r="BZ62" s="311">
        <f>IF($BI62&lt;&gt;"",IF('Capacity summary'!$D$14="Yes",IF(COUNTBLANK('Capacity summary'!$H181:$BG181)&lt;52,IF('Capacity summary'!W181&lt;&gt;"",IF(LOWER('Capacity summary'!W181)="x",$BI62*W62,VALUE('Capacity summary'!W181)),0),W62*$BI62),W62*$BI62),0)</f>
        <v>0</v>
      </c>
      <c r="CA62" s="311">
        <f>IF($BI62&lt;&gt;"",IF('Capacity summary'!$D$14="Yes",IF(COUNTBLANK('Capacity summary'!$H181:$BG181)&lt;52,IF('Capacity summary'!X181&lt;&gt;"",IF(LOWER('Capacity summary'!X181)="x",$BI62*X62,VALUE('Capacity summary'!X181)),0),X62*$BI62),X62*$BI62),0)</f>
        <v>0</v>
      </c>
      <c r="CB62" s="311">
        <f>IF($BI62&lt;&gt;"",IF('Capacity summary'!$D$14="Yes",IF(COUNTBLANK('Capacity summary'!$H181:$BG181)&lt;52,IF('Capacity summary'!Y181&lt;&gt;"",IF(LOWER('Capacity summary'!Y181)="x",$BI62*Y62,VALUE('Capacity summary'!Y181)),0),Y62*$BI62),Y62*$BI62),0)</f>
        <v>0</v>
      </c>
      <c r="CC62" s="311">
        <f>IF($BI62&lt;&gt;"",IF('Capacity summary'!$D$14="Yes",IF(COUNTBLANK('Capacity summary'!$H181:$BG181)&lt;52,IF('Capacity summary'!Z181&lt;&gt;"",IF(LOWER('Capacity summary'!Z181)="x",$BI62*Z62,VALUE('Capacity summary'!Z181)),0),Z62*$BI62),Z62*$BI62),0)</f>
        <v>0</v>
      </c>
      <c r="CD62" s="311">
        <f>IF($BI62&lt;&gt;"",IF('Capacity summary'!$D$14="Yes",IF(COUNTBLANK('Capacity summary'!$H181:$BG181)&lt;52,IF('Capacity summary'!AA181&lt;&gt;"",IF(LOWER('Capacity summary'!AA181)="x",$BI62*AA62,VALUE('Capacity summary'!AA181)),0),AA62*$BI62),AA62*$BI62),0)</f>
        <v>0</v>
      </c>
      <c r="CE62" s="311">
        <f>IF($BI62&lt;&gt;"",IF('Capacity summary'!$D$14="Yes",IF(COUNTBLANK('Capacity summary'!$H181:$BG181)&lt;52,IF('Capacity summary'!AB181&lt;&gt;"",IF(LOWER('Capacity summary'!AB181)="x",$BI62*AB62,VALUE('Capacity summary'!AB181)),0),AB62*$BI62),AB62*$BI62),0)</f>
        <v>0</v>
      </c>
      <c r="CF62" s="311">
        <f>IF($BI62&lt;&gt;"",IF('Capacity summary'!$D$14="Yes",IF(COUNTBLANK('Capacity summary'!$H181:$BG181)&lt;52,IF('Capacity summary'!AC181&lt;&gt;"",IF(LOWER('Capacity summary'!AC181)="x",$BI62*AC62,VALUE('Capacity summary'!AC181)),0),AC62*$BI62),AC62*$BI62),0)</f>
        <v>0</v>
      </c>
      <c r="CG62" s="311">
        <f>IF($BI62&lt;&gt;"",IF('Capacity summary'!$D$14="Yes",IF(COUNTBLANK('Capacity summary'!$H181:$BG181)&lt;52,IF('Capacity summary'!AD181&lt;&gt;"",IF(LOWER('Capacity summary'!AD181)="x",$BI62*AD62,VALUE('Capacity summary'!AD181)),0),AD62*$BI62),AD62*$BI62),0)</f>
        <v>0</v>
      </c>
      <c r="CH62" s="311">
        <f>IF($BI62&lt;&gt;"",IF('Capacity summary'!$D$14="Yes",IF(COUNTBLANK('Capacity summary'!$H181:$BG181)&lt;52,IF('Capacity summary'!AE181&lt;&gt;"",IF(LOWER('Capacity summary'!AE181)="x",$BI62*AE62,VALUE('Capacity summary'!AE181)),0),AE62*$BI62),AE62*$BI62),0)</f>
        <v>0</v>
      </c>
      <c r="CI62" s="311">
        <f>IF($BI62&lt;&gt;"",IF('Capacity summary'!$D$14="Yes",IF(COUNTBLANK('Capacity summary'!$H181:$BG181)&lt;52,IF('Capacity summary'!AF181&lt;&gt;"",IF(LOWER('Capacity summary'!AF181)="x",$BI62*AF62,VALUE('Capacity summary'!AF181)),0),AF62*$BI62),AF62*$BI62),0)</f>
        <v>0</v>
      </c>
      <c r="CJ62" s="311">
        <f>IF($BI62&lt;&gt;"",IF('Capacity summary'!$D$14="Yes",IF(COUNTBLANK('Capacity summary'!$H181:$BG181)&lt;52,IF('Capacity summary'!AG181&lt;&gt;"",IF(LOWER('Capacity summary'!AG181)="x",$BI62*AG62,VALUE('Capacity summary'!AG181)),0),AG62*$BI62),AG62*$BI62),0)</f>
        <v>0</v>
      </c>
      <c r="CK62" s="311">
        <f>IF($BI62&lt;&gt;"",IF('Capacity summary'!$D$14="Yes",IF(COUNTBLANK('Capacity summary'!$H181:$BG181)&lt;52,IF('Capacity summary'!AH181&lt;&gt;"",IF(LOWER('Capacity summary'!AH181)="x",$BI62*AH62,VALUE('Capacity summary'!AH181)),0),AH62*$BI62),AH62*$BI62),0)</f>
        <v>0</v>
      </c>
      <c r="CL62" s="311">
        <f>IF($BI62&lt;&gt;"",IF('Capacity summary'!$D$14="Yes",IF(COUNTBLANK('Capacity summary'!$H181:$BG181)&lt;52,IF('Capacity summary'!AI181&lt;&gt;"",IF(LOWER('Capacity summary'!AI181)="x",$BI62*AI62,VALUE('Capacity summary'!AI181)),0),AI62*$BI62),AI62*$BI62),0)</f>
        <v>0</v>
      </c>
      <c r="CM62" s="311">
        <f>IF($BI62&lt;&gt;"",IF('Capacity summary'!$D$14="Yes",IF(COUNTBLANK('Capacity summary'!$H181:$BG181)&lt;52,IF('Capacity summary'!AJ181&lt;&gt;"",IF(LOWER('Capacity summary'!AJ181)="x",$BI62*AJ62,VALUE('Capacity summary'!AJ181)),0),AJ62*$BI62),AJ62*$BI62),0)</f>
        <v>0</v>
      </c>
      <c r="CN62" s="311">
        <f>IF($BI62&lt;&gt;"",IF('Capacity summary'!$D$14="Yes",IF(COUNTBLANK('Capacity summary'!$H181:$BG181)&lt;52,IF('Capacity summary'!AK181&lt;&gt;"",IF(LOWER('Capacity summary'!AK181)="x",$BI62*AK62,VALUE('Capacity summary'!AK181)),0),AK62*$BI62),AK62*$BI62),0)</f>
        <v>0</v>
      </c>
      <c r="CO62" s="311">
        <f>IF($BI62&lt;&gt;"",IF('Capacity summary'!$D$14="Yes",IF(COUNTBLANK('Capacity summary'!$H181:$BG181)&lt;52,IF('Capacity summary'!AL181&lt;&gt;"",IF(LOWER('Capacity summary'!AL181)="x",$BI62*AL62,VALUE('Capacity summary'!AL181)),0),AL62*$BI62),AL62*$BI62),0)</f>
        <v>0</v>
      </c>
      <c r="CP62" s="311">
        <f>IF($BI62&lt;&gt;"",IF('Capacity summary'!$D$14="Yes",IF(COUNTBLANK('Capacity summary'!$H181:$BG181)&lt;52,IF('Capacity summary'!AM181&lt;&gt;"",IF(LOWER('Capacity summary'!AM181)="x",$BI62*AM62,VALUE('Capacity summary'!AM181)),0),AM62*$BI62),AM62*$BI62),0)</f>
        <v>0</v>
      </c>
      <c r="CQ62" s="311">
        <f>IF($BI62&lt;&gt;"",IF('Capacity summary'!$D$14="Yes",IF(COUNTBLANK('Capacity summary'!$H181:$BG181)&lt;52,IF('Capacity summary'!AN181&lt;&gt;"",IF(LOWER('Capacity summary'!AN181)="x",$BI62*AN62,VALUE('Capacity summary'!AN181)),0),AN62*$BI62),AN62*$BI62),0)</f>
        <v>0</v>
      </c>
      <c r="CR62" s="311">
        <f>IF($BI62&lt;&gt;"",IF('Capacity summary'!$D$14="Yes",IF(COUNTBLANK('Capacity summary'!$H181:$BG181)&lt;52,IF('Capacity summary'!AO181&lt;&gt;"",IF(LOWER('Capacity summary'!AO181)="x",$BI62*AO62,VALUE('Capacity summary'!AO181)),0),AO62*$BI62),AO62*$BI62),0)</f>
        <v>0</v>
      </c>
      <c r="CS62" s="311">
        <f>IF($BI62&lt;&gt;"",IF('Capacity summary'!$D$14="Yes",IF(COUNTBLANK('Capacity summary'!$H181:$BG181)&lt;52,IF('Capacity summary'!AP181&lt;&gt;"",IF(LOWER('Capacity summary'!AP181)="x",$BI62*AP62,VALUE('Capacity summary'!AP181)),0),AP62*$BI62),AP62*$BI62),0)</f>
        <v>0</v>
      </c>
      <c r="CT62" s="311">
        <f>IF($BI62&lt;&gt;"",IF('Capacity summary'!$D$14="Yes",IF(COUNTBLANK('Capacity summary'!$H181:$BG181)&lt;52,IF('Capacity summary'!AQ181&lt;&gt;"",IF(LOWER('Capacity summary'!AQ181)="x",$BI62*AQ62,VALUE('Capacity summary'!AQ181)),0),AQ62*$BI62),AQ62*$BI62),0)</f>
        <v>0</v>
      </c>
      <c r="CU62" s="311">
        <f>IF($BI62&lt;&gt;"",IF('Capacity summary'!$D$14="Yes",IF(COUNTBLANK('Capacity summary'!$H181:$BG181)&lt;52,IF('Capacity summary'!AR181&lt;&gt;"",IF(LOWER('Capacity summary'!AR181)="x",$BI62*AR62,VALUE('Capacity summary'!AR181)),0),AR62*$BI62),AR62*$BI62),0)</f>
        <v>0</v>
      </c>
      <c r="CV62" s="311">
        <f>IF($BI62&lt;&gt;"",IF('Capacity summary'!$D$14="Yes",IF(COUNTBLANK('Capacity summary'!$H181:$BG181)&lt;52,IF('Capacity summary'!AS181&lt;&gt;"",IF(LOWER('Capacity summary'!AS181)="x",$BI62*AS62,VALUE('Capacity summary'!AS181)),0),AS62*$BI62),AS62*$BI62),0)</f>
        <v>0</v>
      </c>
      <c r="CW62" s="311">
        <f>IF($BI62&lt;&gt;"",IF('Capacity summary'!$D$14="Yes",IF(COUNTBLANK('Capacity summary'!$H181:$BG181)&lt;52,IF('Capacity summary'!AT181&lt;&gt;"",IF(LOWER('Capacity summary'!AT181)="x",$BI62*AT62,VALUE('Capacity summary'!AT181)),0),AT62*$BI62),AT62*$BI62),0)</f>
        <v>0</v>
      </c>
      <c r="CX62" s="311">
        <f>IF($BI62&lt;&gt;"",IF('Capacity summary'!$D$14="Yes",IF(COUNTBLANK('Capacity summary'!$H181:$BG181)&lt;52,IF('Capacity summary'!AU181&lt;&gt;"",IF(LOWER('Capacity summary'!AU181)="x",$BI62*AU62,VALUE('Capacity summary'!AU181)),0),AU62*$BI62),AU62*$BI62),0)</f>
        <v>0</v>
      </c>
      <c r="CY62" s="311">
        <f>IF($BI62&lt;&gt;"",IF('Capacity summary'!$D$14="Yes",IF(COUNTBLANK('Capacity summary'!$H181:$BG181)&lt;52,IF('Capacity summary'!AV181&lt;&gt;"",IF(LOWER('Capacity summary'!AV181)="x",$BI62*AV62,VALUE('Capacity summary'!AV181)),0),AV62*$BI62),AV62*$BI62),0)</f>
        <v>0</v>
      </c>
      <c r="CZ62" s="311">
        <f>IF($BI62&lt;&gt;"",IF('Capacity summary'!$D$14="Yes",IF(COUNTBLANK('Capacity summary'!$H181:$BG181)&lt;52,IF('Capacity summary'!AW181&lt;&gt;"",IF(LOWER('Capacity summary'!AW181)="x",$BI62*AW62,VALUE('Capacity summary'!AW181)),0),AW62*$BI62),AW62*$BI62),0)</f>
        <v>0</v>
      </c>
      <c r="DA62" s="311">
        <f>IF($BI62&lt;&gt;"",IF('Capacity summary'!$D$14="Yes",IF(COUNTBLANK('Capacity summary'!$H181:$BG181)&lt;52,IF('Capacity summary'!AX181&lt;&gt;"",IF(LOWER('Capacity summary'!AX181)="x",$BI62*AX62,VALUE('Capacity summary'!AX181)),0),AX62*$BI62),AX62*$BI62),0)</f>
        <v>0</v>
      </c>
      <c r="DB62" s="311">
        <f>IF($BI62&lt;&gt;"",IF('Capacity summary'!$D$14="Yes",IF(COUNTBLANK('Capacity summary'!$H181:$BG181)&lt;52,IF('Capacity summary'!AY181&lt;&gt;"",IF(LOWER('Capacity summary'!AY181)="x",$BI62*AY62,VALUE('Capacity summary'!AY181)),0),AY62*$BI62),AY62*$BI62),0)</f>
        <v>0</v>
      </c>
      <c r="DC62" s="311">
        <f>IF($BI62&lt;&gt;"",IF('Capacity summary'!$D$14="Yes",IF(COUNTBLANK('Capacity summary'!$H181:$BG181)&lt;52,IF('Capacity summary'!AZ181&lt;&gt;"",IF(LOWER('Capacity summary'!AZ181)="x",$BI62*AZ62,VALUE('Capacity summary'!AZ181)),0),AZ62*$BI62),AZ62*$BI62),0)</f>
        <v>0</v>
      </c>
      <c r="DD62" s="311">
        <f>IF($BI62&lt;&gt;"",IF('Capacity summary'!$D$14="Yes",IF(COUNTBLANK('Capacity summary'!$H181:$BG181)&lt;52,IF('Capacity summary'!BA181&lt;&gt;"",IF(LOWER('Capacity summary'!BA181)="x",$BI62*BA62,VALUE('Capacity summary'!BA181)),0),BA62*$BI62),BA62*$BI62),0)</f>
        <v>0</v>
      </c>
      <c r="DE62" s="311">
        <f>IF($BI62&lt;&gt;"",IF('Capacity summary'!$D$14="Yes",IF(COUNTBLANK('Capacity summary'!$H181:$BG181)&lt;52,IF('Capacity summary'!BB181&lt;&gt;"",IF(LOWER('Capacity summary'!BB181)="x",$BI62*BB62,VALUE('Capacity summary'!BB181)),0),BB62*$BI62),BB62*$BI62),0)</f>
        <v>0</v>
      </c>
      <c r="DF62" s="311">
        <f>IF($BI62&lt;&gt;"",IF('Capacity summary'!$D$14="Yes",IF(COUNTBLANK('Capacity summary'!$H181:$BG181)&lt;52,IF('Capacity summary'!BC181&lt;&gt;"",IF(LOWER('Capacity summary'!BC181)="x",$BI62*BC62,VALUE('Capacity summary'!BC181)),0),BC62*$BI62),BC62*$BI62),0)</f>
        <v>0</v>
      </c>
      <c r="DG62" s="311">
        <f>IF($BI62&lt;&gt;"",IF('Capacity summary'!$D$14="Yes",IF(COUNTBLANK('Capacity summary'!$H181:$BG181)&lt;52,IF('Capacity summary'!BD181&lt;&gt;"",IF(LOWER('Capacity summary'!BD181)="x",$BI62*BD62,VALUE('Capacity summary'!BD181)),0),BD62*$BI62),BD62*$BI62),0)</f>
        <v>0</v>
      </c>
      <c r="DH62" s="311">
        <f>IF($BI62&lt;&gt;"",IF('Capacity summary'!$D$14="Yes",IF(COUNTBLANK('Capacity summary'!$H181:$BG181)&lt;52,IF('Capacity summary'!BE181&lt;&gt;"",IF(LOWER('Capacity summary'!BE181)="x",$BI62*BE62,VALUE('Capacity summary'!BE181)),0),BE62*$BI62),BE62*$BI62),0)</f>
        <v>0</v>
      </c>
      <c r="DI62" s="311">
        <f>IF($BI62&lt;&gt;"",IF('Capacity summary'!$D$14="Yes",IF(COUNTBLANK('Capacity summary'!$H181:$BG181)&lt;52,IF('Capacity summary'!BF181&lt;&gt;"",IF(LOWER('Capacity summary'!BF181)="x",$BI62*BF62,VALUE('Capacity summary'!BF181)),0),BF62*$BI62),BF62*$BI62),0)</f>
        <v>0</v>
      </c>
      <c r="DJ62" s="311">
        <f>IF($BI62&lt;&gt;"",IF('Capacity summary'!$D$14="Yes",IF(COUNTBLANK('Capacity summary'!$H181:$BG181)&lt;52,IF('Capacity summary'!BG181&lt;&gt;"",IF(LOWER('Capacity summary'!BG181)="x",$BI62*BG62,VALUE('Capacity summary'!BG181)),0),BG62*$BI62),BG62*$BI62),0)</f>
        <v>0</v>
      </c>
      <c r="DK62" s="391">
        <f t="shared" si="2"/>
        <v>0</v>
      </c>
      <c r="DL62" s="136">
        <f t="shared" si="3"/>
        <v>0</v>
      </c>
      <c r="DM62" s="311" t="str">
        <f>Capacity!H74</f>
        <v/>
      </c>
    </row>
    <row r="63" spans="1:121" x14ac:dyDescent="0.2">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1">
        <f>IF($BI63&lt;&gt;"",IF('Capacity summary'!$D$14="Yes",IF(COUNTBLANK('Capacity summary'!$H182:$BG182)&lt;52,IF('Capacity summary'!H182&lt;&gt;"",IF(LOWER('Capacity summary'!H182)="x",$BI63*H63,VALUE('Capacity summary'!H182)),0),H63*$BI63),H63*$BI63),0)</f>
        <v>0</v>
      </c>
      <c r="BL63" s="311">
        <f>IF($BI63&lt;&gt;"",IF('Capacity summary'!$D$14="Yes",IF(COUNTBLANK('Capacity summary'!$H182:$BG182)&lt;52,IF('Capacity summary'!I182&lt;&gt;"",IF(LOWER('Capacity summary'!I182)="x",$BI63*I63,VALUE('Capacity summary'!I182)),0),I63*$BI63),I63*$BI63),0)</f>
        <v>0</v>
      </c>
      <c r="BM63" s="311">
        <f>IF($BI63&lt;&gt;"",IF('Capacity summary'!$D$14="Yes",IF(COUNTBLANK('Capacity summary'!$H182:$BG182)&lt;52,IF('Capacity summary'!J182&lt;&gt;"",IF(LOWER('Capacity summary'!J182)="x",$BI63*J63,VALUE('Capacity summary'!J182)),0),J63*$BI63),J63*$BI63),0)</f>
        <v>0</v>
      </c>
      <c r="BN63" s="311">
        <f>IF($BI63&lt;&gt;"",IF('Capacity summary'!$D$14="Yes",IF(COUNTBLANK('Capacity summary'!$H182:$BG182)&lt;52,IF('Capacity summary'!K182&lt;&gt;"",IF(LOWER('Capacity summary'!K182)="x",$BI63*K63,VALUE('Capacity summary'!K182)),0),K63*$BI63),K63*$BI63),0)</f>
        <v>0</v>
      </c>
      <c r="BO63" s="311">
        <f>IF($BI63&lt;&gt;"",IF('Capacity summary'!$D$14="Yes",IF(COUNTBLANK('Capacity summary'!$H182:$BG182)&lt;52,IF('Capacity summary'!L182&lt;&gt;"",IF(LOWER('Capacity summary'!L182)="x",$BI63*L63,VALUE('Capacity summary'!L182)),0),L63*$BI63),L63*$BI63),0)</f>
        <v>0</v>
      </c>
      <c r="BP63" s="311">
        <f>IF($BI63&lt;&gt;"",IF('Capacity summary'!$D$14="Yes",IF(COUNTBLANK('Capacity summary'!$H182:$BG182)&lt;52,IF('Capacity summary'!M182&lt;&gt;"",IF(LOWER('Capacity summary'!M182)="x",$BI63*M63,VALUE('Capacity summary'!M182)),0),M63*$BI63),M63*$BI63),0)</f>
        <v>0</v>
      </c>
      <c r="BQ63" s="311">
        <f>IF($BI63&lt;&gt;"",IF('Capacity summary'!$D$14="Yes",IF(COUNTBLANK('Capacity summary'!$H182:$BG182)&lt;52,IF('Capacity summary'!N182&lt;&gt;"",IF(LOWER('Capacity summary'!N182)="x",$BI63*N63,VALUE('Capacity summary'!N182)),0),N63*$BI63),N63*$BI63),0)</f>
        <v>0</v>
      </c>
      <c r="BR63" s="311">
        <f>IF($BI63&lt;&gt;"",IF('Capacity summary'!$D$14="Yes",IF(COUNTBLANK('Capacity summary'!$H182:$BG182)&lt;52,IF('Capacity summary'!O182&lt;&gt;"",IF(LOWER('Capacity summary'!O182)="x",$BI63*O63,VALUE('Capacity summary'!O182)),0),O63*$BI63),O63*$BI63),0)</f>
        <v>0</v>
      </c>
      <c r="BS63" s="311">
        <f>IF($BI63&lt;&gt;"",IF('Capacity summary'!$D$14="Yes",IF(COUNTBLANK('Capacity summary'!$H182:$BG182)&lt;52,IF('Capacity summary'!P182&lt;&gt;"",IF(LOWER('Capacity summary'!P182)="x",$BI63*P63,VALUE('Capacity summary'!P182)),0),P63*$BI63),P63*$BI63),0)</f>
        <v>0</v>
      </c>
      <c r="BT63" s="311">
        <f>IF($BI63&lt;&gt;"",IF('Capacity summary'!$D$14="Yes",IF(COUNTBLANK('Capacity summary'!$H182:$BG182)&lt;52,IF('Capacity summary'!Q182&lt;&gt;"",IF(LOWER('Capacity summary'!Q182)="x",$BI63*Q63,VALUE('Capacity summary'!Q182)),0),Q63*$BI63),Q63*$BI63),0)</f>
        <v>0</v>
      </c>
      <c r="BU63" s="311">
        <f>IF($BI63&lt;&gt;"",IF('Capacity summary'!$D$14="Yes",IF(COUNTBLANK('Capacity summary'!$H182:$BG182)&lt;52,IF('Capacity summary'!R182&lt;&gt;"",IF(LOWER('Capacity summary'!R182)="x",$BI63*R63,VALUE('Capacity summary'!R182)),0),R63*$BI63),R63*$BI63),0)</f>
        <v>0</v>
      </c>
      <c r="BV63" s="311">
        <f>IF($BI63&lt;&gt;"",IF('Capacity summary'!$D$14="Yes",IF(COUNTBLANK('Capacity summary'!$H182:$BG182)&lt;52,IF('Capacity summary'!S182&lt;&gt;"",IF(LOWER('Capacity summary'!S182)="x",$BI63*S63,VALUE('Capacity summary'!S182)),0),S63*$BI63),S63*$BI63),0)</f>
        <v>0</v>
      </c>
      <c r="BW63" s="311">
        <f>IF($BI63&lt;&gt;"",IF('Capacity summary'!$D$14="Yes",IF(COUNTBLANK('Capacity summary'!$H182:$BG182)&lt;52,IF('Capacity summary'!T182&lt;&gt;"",IF(LOWER('Capacity summary'!T182)="x",$BI63*T63,VALUE('Capacity summary'!T182)),0),T63*$BI63),T63*$BI63),0)</f>
        <v>0</v>
      </c>
      <c r="BX63" s="311">
        <f>IF($BI63&lt;&gt;"",IF('Capacity summary'!$D$14="Yes",IF(COUNTBLANK('Capacity summary'!$H182:$BG182)&lt;52,IF('Capacity summary'!U182&lt;&gt;"",IF(LOWER('Capacity summary'!U182)="x",$BI63*U63,VALUE('Capacity summary'!U182)),0),U63*$BI63),U63*$BI63),0)</f>
        <v>0</v>
      </c>
      <c r="BY63" s="311">
        <f>IF($BI63&lt;&gt;"",IF('Capacity summary'!$D$14="Yes",IF(COUNTBLANK('Capacity summary'!$H182:$BG182)&lt;52,IF('Capacity summary'!V182&lt;&gt;"",IF(LOWER('Capacity summary'!V182)="x",$BI63*V63,VALUE('Capacity summary'!V182)),0),V63*$BI63),V63*$BI63),0)</f>
        <v>0</v>
      </c>
      <c r="BZ63" s="311">
        <f>IF($BI63&lt;&gt;"",IF('Capacity summary'!$D$14="Yes",IF(COUNTBLANK('Capacity summary'!$H182:$BG182)&lt;52,IF('Capacity summary'!W182&lt;&gt;"",IF(LOWER('Capacity summary'!W182)="x",$BI63*W63,VALUE('Capacity summary'!W182)),0),W63*$BI63),W63*$BI63),0)</f>
        <v>0</v>
      </c>
      <c r="CA63" s="311">
        <f>IF($BI63&lt;&gt;"",IF('Capacity summary'!$D$14="Yes",IF(COUNTBLANK('Capacity summary'!$H182:$BG182)&lt;52,IF('Capacity summary'!X182&lt;&gt;"",IF(LOWER('Capacity summary'!X182)="x",$BI63*X63,VALUE('Capacity summary'!X182)),0),X63*$BI63),X63*$BI63),0)</f>
        <v>0</v>
      </c>
      <c r="CB63" s="311">
        <f>IF($BI63&lt;&gt;"",IF('Capacity summary'!$D$14="Yes",IF(COUNTBLANK('Capacity summary'!$H182:$BG182)&lt;52,IF('Capacity summary'!Y182&lt;&gt;"",IF(LOWER('Capacity summary'!Y182)="x",$BI63*Y63,VALUE('Capacity summary'!Y182)),0),Y63*$BI63),Y63*$BI63),0)</f>
        <v>0</v>
      </c>
      <c r="CC63" s="311">
        <f>IF($BI63&lt;&gt;"",IF('Capacity summary'!$D$14="Yes",IF(COUNTBLANK('Capacity summary'!$H182:$BG182)&lt;52,IF('Capacity summary'!Z182&lt;&gt;"",IF(LOWER('Capacity summary'!Z182)="x",$BI63*Z63,VALUE('Capacity summary'!Z182)),0),Z63*$BI63),Z63*$BI63),0)</f>
        <v>0</v>
      </c>
      <c r="CD63" s="311">
        <f>IF($BI63&lt;&gt;"",IF('Capacity summary'!$D$14="Yes",IF(COUNTBLANK('Capacity summary'!$H182:$BG182)&lt;52,IF('Capacity summary'!AA182&lt;&gt;"",IF(LOWER('Capacity summary'!AA182)="x",$BI63*AA63,VALUE('Capacity summary'!AA182)),0),AA63*$BI63),AA63*$BI63),0)</f>
        <v>0</v>
      </c>
      <c r="CE63" s="311">
        <f>IF($BI63&lt;&gt;"",IF('Capacity summary'!$D$14="Yes",IF(COUNTBLANK('Capacity summary'!$H182:$BG182)&lt;52,IF('Capacity summary'!AB182&lt;&gt;"",IF(LOWER('Capacity summary'!AB182)="x",$BI63*AB63,VALUE('Capacity summary'!AB182)),0),AB63*$BI63),AB63*$BI63),0)</f>
        <v>0</v>
      </c>
      <c r="CF63" s="311">
        <f>IF($BI63&lt;&gt;"",IF('Capacity summary'!$D$14="Yes",IF(COUNTBLANK('Capacity summary'!$H182:$BG182)&lt;52,IF('Capacity summary'!AC182&lt;&gt;"",IF(LOWER('Capacity summary'!AC182)="x",$BI63*AC63,VALUE('Capacity summary'!AC182)),0),AC63*$BI63),AC63*$BI63),0)</f>
        <v>0</v>
      </c>
      <c r="CG63" s="311">
        <f>IF($BI63&lt;&gt;"",IF('Capacity summary'!$D$14="Yes",IF(COUNTBLANK('Capacity summary'!$H182:$BG182)&lt;52,IF('Capacity summary'!AD182&lt;&gt;"",IF(LOWER('Capacity summary'!AD182)="x",$BI63*AD63,VALUE('Capacity summary'!AD182)),0),AD63*$BI63),AD63*$BI63),0)</f>
        <v>0</v>
      </c>
      <c r="CH63" s="311">
        <f>IF($BI63&lt;&gt;"",IF('Capacity summary'!$D$14="Yes",IF(COUNTBLANK('Capacity summary'!$H182:$BG182)&lt;52,IF('Capacity summary'!AE182&lt;&gt;"",IF(LOWER('Capacity summary'!AE182)="x",$BI63*AE63,VALUE('Capacity summary'!AE182)),0),AE63*$BI63),AE63*$BI63),0)</f>
        <v>0</v>
      </c>
      <c r="CI63" s="311">
        <f>IF($BI63&lt;&gt;"",IF('Capacity summary'!$D$14="Yes",IF(COUNTBLANK('Capacity summary'!$H182:$BG182)&lt;52,IF('Capacity summary'!AF182&lt;&gt;"",IF(LOWER('Capacity summary'!AF182)="x",$BI63*AF63,VALUE('Capacity summary'!AF182)),0),AF63*$BI63),AF63*$BI63),0)</f>
        <v>0</v>
      </c>
      <c r="CJ63" s="311">
        <f>IF($BI63&lt;&gt;"",IF('Capacity summary'!$D$14="Yes",IF(COUNTBLANK('Capacity summary'!$H182:$BG182)&lt;52,IF('Capacity summary'!AG182&lt;&gt;"",IF(LOWER('Capacity summary'!AG182)="x",$BI63*AG63,VALUE('Capacity summary'!AG182)),0),AG63*$BI63),AG63*$BI63),0)</f>
        <v>0</v>
      </c>
      <c r="CK63" s="311">
        <f>IF($BI63&lt;&gt;"",IF('Capacity summary'!$D$14="Yes",IF(COUNTBLANK('Capacity summary'!$H182:$BG182)&lt;52,IF('Capacity summary'!AH182&lt;&gt;"",IF(LOWER('Capacity summary'!AH182)="x",$BI63*AH63,VALUE('Capacity summary'!AH182)),0),AH63*$BI63),AH63*$BI63),0)</f>
        <v>0</v>
      </c>
      <c r="CL63" s="311">
        <f>IF($BI63&lt;&gt;"",IF('Capacity summary'!$D$14="Yes",IF(COUNTBLANK('Capacity summary'!$H182:$BG182)&lt;52,IF('Capacity summary'!AI182&lt;&gt;"",IF(LOWER('Capacity summary'!AI182)="x",$BI63*AI63,VALUE('Capacity summary'!AI182)),0),AI63*$BI63),AI63*$BI63),0)</f>
        <v>0</v>
      </c>
      <c r="CM63" s="311">
        <f>IF($BI63&lt;&gt;"",IF('Capacity summary'!$D$14="Yes",IF(COUNTBLANK('Capacity summary'!$H182:$BG182)&lt;52,IF('Capacity summary'!AJ182&lt;&gt;"",IF(LOWER('Capacity summary'!AJ182)="x",$BI63*AJ63,VALUE('Capacity summary'!AJ182)),0),AJ63*$BI63),AJ63*$BI63),0)</f>
        <v>0</v>
      </c>
      <c r="CN63" s="311">
        <f>IF($BI63&lt;&gt;"",IF('Capacity summary'!$D$14="Yes",IF(COUNTBLANK('Capacity summary'!$H182:$BG182)&lt;52,IF('Capacity summary'!AK182&lt;&gt;"",IF(LOWER('Capacity summary'!AK182)="x",$BI63*AK63,VALUE('Capacity summary'!AK182)),0),AK63*$BI63),AK63*$BI63),0)</f>
        <v>0</v>
      </c>
      <c r="CO63" s="311">
        <f>IF($BI63&lt;&gt;"",IF('Capacity summary'!$D$14="Yes",IF(COUNTBLANK('Capacity summary'!$H182:$BG182)&lt;52,IF('Capacity summary'!AL182&lt;&gt;"",IF(LOWER('Capacity summary'!AL182)="x",$BI63*AL63,VALUE('Capacity summary'!AL182)),0),AL63*$BI63),AL63*$BI63),0)</f>
        <v>0</v>
      </c>
      <c r="CP63" s="311">
        <f>IF($BI63&lt;&gt;"",IF('Capacity summary'!$D$14="Yes",IF(COUNTBLANK('Capacity summary'!$H182:$BG182)&lt;52,IF('Capacity summary'!AM182&lt;&gt;"",IF(LOWER('Capacity summary'!AM182)="x",$BI63*AM63,VALUE('Capacity summary'!AM182)),0),AM63*$BI63),AM63*$BI63),0)</f>
        <v>0</v>
      </c>
      <c r="CQ63" s="311">
        <f>IF($BI63&lt;&gt;"",IF('Capacity summary'!$D$14="Yes",IF(COUNTBLANK('Capacity summary'!$H182:$BG182)&lt;52,IF('Capacity summary'!AN182&lt;&gt;"",IF(LOWER('Capacity summary'!AN182)="x",$BI63*AN63,VALUE('Capacity summary'!AN182)),0),AN63*$BI63),AN63*$BI63),0)</f>
        <v>0</v>
      </c>
      <c r="CR63" s="311">
        <f>IF($BI63&lt;&gt;"",IF('Capacity summary'!$D$14="Yes",IF(COUNTBLANK('Capacity summary'!$H182:$BG182)&lt;52,IF('Capacity summary'!AO182&lt;&gt;"",IF(LOWER('Capacity summary'!AO182)="x",$BI63*AO63,VALUE('Capacity summary'!AO182)),0),AO63*$BI63),AO63*$BI63),0)</f>
        <v>0</v>
      </c>
      <c r="CS63" s="311">
        <f>IF($BI63&lt;&gt;"",IF('Capacity summary'!$D$14="Yes",IF(COUNTBLANK('Capacity summary'!$H182:$BG182)&lt;52,IF('Capacity summary'!AP182&lt;&gt;"",IF(LOWER('Capacity summary'!AP182)="x",$BI63*AP63,VALUE('Capacity summary'!AP182)),0),AP63*$BI63),AP63*$BI63),0)</f>
        <v>0</v>
      </c>
      <c r="CT63" s="311">
        <f>IF($BI63&lt;&gt;"",IF('Capacity summary'!$D$14="Yes",IF(COUNTBLANK('Capacity summary'!$H182:$BG182)&lt;52,IF('Capacity summary'!AQ182&lt;&gt;"",IF(LOWER('Capacity summary'!AQ182)="x",$BI63*AQ63,VALUE('Capacity summary'!AQ182)),0),AQ63*$BI63),AQ63*$BI63),0)</f>
        <v>0</v>
      </c>
      <c r="CU63" s="311">
        <f>IF($BI63&lt;&gt;"",IF('Capacity summary'!$D$14="Yes",IF(COUNTBLANK('Capacity summary'!$H182:$BG182)&lt;52,IF('Capacity summary'!AR182&lt;&gt;"",IF(LOWER('Capacity summary'!AR182)="x",$BI63*AR63,VALUE('Capacity summary'!AR182)),0),AR63*$BI63),AR63*$BI63),0)</f>
        <v>0</v>
      </c>
      <c r="CV63" s="311">
        <f>IF($BI63&lt;&gt;"",IF('Capacity summary'!$D$14="Yes",IF(COUNTBLANK('Capacity summary'!$H182:$BG182)&lt;52,IF('Capacity summary'!AS182&lt;&gt;"",IF(LOWER('Capacity summary'!AS182)="x",$BI63*AS63,VALUE('Capacity summary'!AS182)),0),AS63*$BI63),AS63*$BI63),0)</f>
        <v>0</v>
      </c>
      <c r="CW63" s="311">
        <f>IF($BI63&lt;&gt;"",IF('Capacity summary'!$D$14="Yes",IF(COUNTBLANK('Capacity summary'!$H182:$BG182)&lt;52,IF('Capacity summary'!AT182&lt;&gt;"",IF(LOWER('Capacity summary'!AT182)="x",$BI63*AT63,VALUE('Capacity summary'!AT182)),0),AT63*$BI63),AT63*$BI63),0)</f>
        <v>0</v>
      </c>
      <c r="CX63" s="311">
        <f>IF($BI63&lt;&gt;"",IF('Capacity summary'!$D$14="Yes",IF(COUNTBLANK('Capacity summary'!$H182:$BG182)&lt;52,IF('Capacity summary'!AU182&lt;&gt;"",IF(LOWER('Capacity summary'!AU182)="x",$BI63*AU63,VALUE('Capacity summary'!AU182)),0),AU63*$BI63),AU63*$BI63),0)</f>
        <v>0</v>
      </c>
      <c r="CY63" s="311">
        <f>IF($BI63&lt;&gt;"",IF('Capacity summary'!$D$14="Yes",IF(COUNTBLANK('Capacity summary'!$H182:$BG182)&lt;52,IF('Capacity summary'!AV182&lt;&gt;"",IF(LOWER('Capacity summary'!AV182)="x",$BI63*AV63,VALUE('Capacity summary'!AV182)),0),AV63*$BI63),AV63*$BI63),0)</f>
        <v>0</v>
      </c>
      <c r="CZ63" s="311">
        <f>IF($BI63&lt;&gt;"",IF('Capacity summary'!$D$14="Yes",IF(COUNTBLANK('Capacity summary'!$H182:$BG182)&lt;52,IF('Capacity summary'!AW182&lt;&gt;"",IF(LOWER('Capacity summary'!AW182)="x",$BI63*AW63,VALUE('Capacity summary'!AW182)),0),AW63*$BI63),AW63*$BI63),0)</f>
        <v>0</v>
      </c>
      <c r="DA63" s="311">
        <f>IF($BI63&lt;&gt;"",IF('Capacity summary'!$D$14="Yes",IF(COUNTBLANK('Capacity summary'!$H182:$BG182)&lt;52,IF('Capacity summary'!AX182&lt;&gt;"",IF(LOWER('Capacity summary'!AX182)="x",$BI63*AX63,VALUE('Capacity summary'!AX182)),0),AX63*$BI63),AX63*$BI63),0)</f>
        <v>0</v>
      </c>
      <c r="DB63" s="311">
        <f>IF($BI63&lt;&gt;"",IF('Capacity summary'!$D$14="Yes",IF(COUNTBLANK('Capacity summary'!$H182:$BG182)&lt;52,IF('Capacity summary'!AY182&lt;&gt;"",IF(LOWER('Capacity summary'!AY182)="x",$BI63*AY63,VALUE('Capacity summary'!AY182)),0),AY63*$BI63),AY63*$BI63),0)</f>
        <v>0</v>
      </c>
      <c r="DC63" s="311">
        <f>IF($BI63&lt;&gt;"",IF('Capacity summary'!$D$14="Yes",IF(COUNTBLANK('Capacity summary'!$H182:$BG182)&lt;52,IF('Capacity summary'!AZ182&lt;&gt;"",IF(LOWER('Capacity summary'!AZ182)="x",$BI63*AZ63,VALUE('Capacity summary'!AZ182)),0),AZ63*$BI63),AZ63*$BI63),0)</f>
        <v>0</v>
      </c>
      <c r="DD63" s="311">
        <f>IF($BI63&lt;&gt;"",IF('Capacity summary'!$D$14="Yes",IF(COUNTBLANK('Capacity summary'!$H182:$BG182)&lt;52,IF('Capacity summary'!BA182&lt;&gt;"",IF(LOWER('Capacity summary'!BA182)="x",$BI63*BA63,VALUE('Capacity summary'!BA182)),0),BA63*$BI63),BA63*$BI63),0)</f>
        <v>0</v>
      </c>
      <c r="DE63" s="311">
        <f>IF($BI63&lt;&gt;"",IF('Capacity summary'!$D$14="Yes",IF(COUNTBLANK('Capacity summary'!$H182:$BG182)&lt;52,IF('Capacity summary'!BB182&lt;&gt;"",IF(LOWER('Capacity summary'!BB182)="x",$BI63*BB63,VALUE('Capacity summary'!BB182)),0),BB63*$BI63),BB63*$BI63),0)</f>
        <v>0</v>
      </c>
      <c r="DF63" s="311">
        <f>IF($BI63&lt;&gt;"",IF('Capacity summary'!$D$14="Yes",IF(COUNTBLANK('Capacity summary'!$H182:$BG182)&lt;52,IF('Capacity summary'!BC182&lt;&gt;"",IF(LOWER('Capacity summary'!BC182)="x",$BI63*BC63,VALUE('Capacity summary'!BC182)),0),BC63*$BI63),BC63*$BI63),0)</f>
        <v>0</v>
      </c>
      <c r="DG63" s="311">
        <f>IF($BI63&lt;&gt;"",IF('Capacity summary'!$D$14="Yes",IF(COUNTBLANK('Capacity summary'!$H182:$BG182)&lt;52,IF('Capacity summary'!BD182&lt;&gt;"",IF(LOWER('Capacity summary'!BD182)="x",$BI63*BD63,VALUE('Capacity summary'!BD182)),0),BD63*$BI63),BD63*$BI63),0)</f>
        <v>0</v>
      </c>
      <c r="DH63" s="311">
        <f>IF($BI63&lt;&gt;"",IF('Capacity summary'!$D$14="Yes",IF(COUNTBLANK('Capacity summary'!$H182:$BG182)&lt;52,IF('Capacity summary'!BE182&lt;&gt;"",IF(LOWER('Capacity summary'!BE182)="x",$BI63*BE63,VALUE('Capacity summary'!BE182)),0),BE63*$BI63),BE63*$BI63),0)</f>
        <v>0</v>
      </c>
      <c r="DI63" s="311">
        <f>IF($BI63&lt;&gt;"",IF('Capacity summary'!$D$14="Yes",IF(COUNTBLANK('Capacity summary'!$H182:$BG182)&lt;52,IF('Capacity summary'!BF182&lt;&gt;"",IF(LOWER('Capacity summary'!BF182)="x",$BI63*BF63,VALUE('Capacity summary'!BF182)),0),BF63*$BI63),BF63*$BI63),0)</f>
        <v>0</v>
      </c>
      <c r="DJ63" s="311">
        <f>IF($BI63&lt;&gt;"",IF('Capacity summary'!$D$14="Yes",IF(COUNTBLANK('Capacity summary'!$H182:$BG182)&lt;52,IF('Capacity summary'!BG182&lt;&gt;"",IF(LOWER('Capacity summary'!BG182)="x",$BI63*BG63,VALUE('Capacity summary'!BG182)),0),BG63*$BI63),BG63*$BI63),0)</f>
        <v>0</v>
      </c>
      <c r="DK63" s="391">
        <f t="shared" si="2"/>
        <v>0</v>
      </c>
      <c r="DL63" s="136">
        <f t="shared" si="3"/>
        <v>0</v>
      </c>
      <c r="DM63" s="311" t="str">
        <f>Capacity!H75</f>
        <v/>
      </c>
    </row>
    <row r="64" spans="1:121" x14ac:dyDescent="0.2">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1">
        <f>IF($BI64&lt;&gt;"",IF('Capacity summary'!$D$14="Yes",IF(COUNTBLANK('Capacity summary'!$H183:$BG183)&lt;52,IF('Capacity summary'!H183&lt;&gt;"",IF(LOWER('Capacity summary'!H183)="x",$BI64*H64,VALUE('Capacity summary'!H183)),0),H64*$BI64),H64*$BI64),0)</f>
        <v>0</v>
      </c>
      <c r="BL64" s="311">
        <f>IF($BI64&lt;&gt;"",IF('Capacity summary'!$D$14="Yes",IF(COUNTBLANK('Capacity summary'!$H183:$BG183)&lt;52,IF('Capacity summary'!I183&lt;&gt;"",IF(LOWER('Capacity summary'!I183)="x",$BI64*I64,VALUE('Capacity summary'!I183)),0),I64*$BI64),I64*$BI64),0)</f>
        <v>0</v>
      </c>
      <c r="BM64" s="311">
        <f>IF($BI64&lt;&gt;"",IF('Capacity summary'!$D$14="Yes",IF(COUNTBLANK('Capacity summary'!$H183:$BG183)&lt;52,IF('Capacity summary'!J183&lt;&gt;"",IF(LOWER('Capacity summary'!J183)="x",$BI64*J64,VALUE('Capacity summary'!J183)),0),J64*$BI64),J64*$BI64),0)</f>
        <v>0</v>
      </c>
      <c r="BN64" s="311">
        <f>IF($BI64&lt;&gt;"",IF('Capacity summary'!$D$14="Yes",IF(COUNTBLANK('Capacity summary'!$H183:$BG183)&lt;52,IF('Capacity summary'!K183&lt;&gt;"",IF(LOWER('Capacity summary'!K183)="x",$BI64*K64,VALUE('Capacity summary'!K183)),0),K64*$BI64),K64*$BI64),0)</f>
        <v>0</v>
      </c>
      <c r="BO64" s="311">
        <f>IF($BI64&lt;&gt;"",IF('Capacity summary'!$D$14="Yes",IF(COUNTBLANK('Capacity summary'!$H183:$BG183)&lt;52,IF('Capacity summary'!L183&lt;&gt;"",IF(LOWER('Capacity summary'!L183)="x",$BI64*L64,VALUE('Capacity summary'!L183)),0),L64*$BI64),L64*$BI64),0)</f>
        <v>0</v>
      </c>
      <c r="BP64" s="311">
        <f>IF($BI64&lt;&gt;"",IF('Capacity summary'!$D$14="Yes",IF(COUNTBLANK('Capacity summary'!$H183:$BG183)&lt;52,IF('Capacity summary'!M183&lt;&gt;"",IF(LOWER('Capacity summary'!M183)="x",$BI64*M64,VALUE('Capacity summary'!M183)),0),M64*$BI64),M64*$BI64),0)</f>
        <v>0</v>
      </c>
      <c r="BQ64" s="311">
        <f>IF($BI64&lt;&gt;"",IF('Capacity summary'!$D$14="Yes",IF(COUNTBLANK('Capacity summary'!$H183:$BG183)&lt;52,IF('Capacity summary'!N183&lt;&gt;"",IF(LOWER('Capacity summary'!N183)="x",$BI64*N64,VALUE('Capacity summary'!N183)),0),N64*$BI64),N64*$BI64),0)</f>
        <v>0</v>
      </c>
      <c r="BR64" s="311">
        <f>IF($BI64&lt;&gt;"",IF('Capacity summary'!$D$14="Yes",IF(COUNTBLANK('Capacity summary'!$H183:$BG183)&lt;52,IF('Capacity summary'!O183&lt;&gt;"",IF(LOWER('Capacity summary'!O183)="x",$BI64*O64,VALUE('Capacity summary'!O183)),0),O64*$BI64),O64*$BI64),0)</f>
        <v>0</v>
      </c>
      <c r="BS64" s="311">
        <f>IF($BI64&lt;&gt;"",IF('Capacity summary'!$D$14="Yes",IF(COUNTBLANK('Capacity summary'!$H183:$BG183)&lt;52,IF('Capacity summary'!P183&lt;&gt;"",IF(LOWER('Capacity summary'!P183)="x",$BI64*P64,VALUE('Capacity summary'!P183)),0),P64*$BI64),P64*$BI64),0)</f>
        <v>0</v>
      </c>
      <c r="BT64" s="311">
        <f>IF($BI64&lt;&gt;"",IF('Capacity summary'!$D$14="Yes",IF(COUNTBLANK('Capacity summary'!$H183:$BG183)&lt;52,IF('Capacity summary'!Q183&lt;&gt;"",IF(LOWER('Capacity summary'!Q183)="x",$BI64*Q64,VALUE('Capacity summary'!Q183)),0),Q64*$BI64),Q64*$BI64),0)</f>
        <v>0</v>
      </c>
      <c r="BU64" s="311">
        <f>IF($BI64&lt;&gt;"",IF('Capacity summary'!$D$14="Yes",IF(COUNTBLANK('Capacity summary'!$H183:$BG183)&lt;52,IF('Capacity summary'!R183&lt;&gt;"",IF(LOWER('Capacity summary'!R183)="x",$BI64*R64,VALUE('Capacity summary'!R183)),0),R64*$BI64),R64*$BI64),0)</f>
        <v>0</v>
      </c>
      <c r="BV64" s="311">
        <f>IF($BI64&lt;&gt;"",IF('Capacity summary'!$D$14="Yes",IF(COUNTBLANK('Capacity summary'!$H183:$BG183)&lt;52,IF('Capacity summary'!S183&lt;&gt;"",IF(LOWER('Capacity summary'!S183)="x",$BI64*S64,VALUE('Capacity summary'!S183)),0),S64*$BI64),S64*$BI64),0)</f>
        <v>0</v>
      </c>
      <c r="BW64" s="311">
        <f>IF($BI64&lt;&gt;"",IF('Capacity summary'!$D$14="Yes",IF(COUNTBLANK('Capacity summary'!$H183:$BG183)&lt;52,IF('Capacity summary'!T183&lt;&gt;"",IF(LOWER('Capacity summary'!T183)="x",$BI64*T64,VALUE('Capacity summary'!T183)),0),T64*$BI64),T64*$BI64),0)</f>
        <v>0</v>
      </c>
      <c r="BX64" s="311">
        <f>IF($BI64&lt;&gt;"",IF('Capacity summary'!$D$14="Yes",IF(COUNTBLANK('Capacity summary'!$H183:$BG183)&lt;52,IF('Capacity summary'!U183&lt;&gt;"",IF(LOWER('Capacity summary'!U183)="x",$BI64*U64,VALUE('Capacity summary'!U183)),0),U64*$BI64),U64*$BI64),0)</f>
        <v>0</v>
      </c>
      <c r="BY64" s="311">
        <f>IF($BI64&lt;&gt;"",IF('Capacity summary'!$D$14="Yes",IF(COUNTBLANK('Capacity summary'!$H183:$BG183)&lt;52,IF('Capacity summary'!V183&lt;&gt;"",IF(LOWER('Capacity summary'!V183)="x",$BI64*V64,VALUE('Capacity summary'!V183)),0),V64*$BI64),V64*$BI64),0)</f>
        <v>0</v>
      </c>
      <c r="BZ64" s="311">
        <f>IF($BI64&lt;&gt;"",IF('Capacity summary'!$D$14="Yes",IF(COUNTBLANK('Capacity summary'!$H183:$BG183)&lt;52,IF('Capacity summary'!W183&lt;&gt;"",IF(LOWER('Capacity summary'!W183)="x",$BI64*W64,VALUE('Capacity summary'!W183)),0),W64*$BI64),W64*$BI64),0)</f>
        <v>0</v>
      </c>
      <c r="CA64" s="311">
        <f>IF($BI64&lt;&gt;"",IF('Capacity summary'!$D$14="Yes",IF(COUNTBLANK('Capacity summary'!$H183:$BG183)&lt;52,IF('Capacity summary'!X183&lt;&gt;"",IF(LOWER('Capacity summary'!X183)="x",$BI64*X64,VALUE('Capacity summary'!X183)),0),X64*$BI64),X64*$BI64),0)</f>
        <v>0</v>
      </c>
      <c r="CB64" s="311">
        <f>IF($BI64&lt;&gt;"",IF('Capacity summary'!$D$14="Yes",IF(COUNTBLANK('Capacity summary'!$H183:$BG183)&lt;52,IF('Capacity summary'!Y183&lt;&gt;"",IF(LOWER('Capacity summary'!Y183)="x",$BI64*Y64,VALUE('Capacity summary'!Y183)),0),Y64*$BI64),Y64*$BI64),0)</f>
        <v>0</v>
      </c>
      <c r="CC64" s="311">
        <f>IF($BI64&lt;&gt;"",IF('Capacity summary'!$D$14="Yes",IF(COUNTBLANK('Capacity summary'!$H183:$BG183)&lt;52,IF('Capacity summary'!Z183&lt;&gt;"",IF(LOWER('Capacity summary'!Z183)="x",$BI64*Z64,VALUE('Capacity summary'!Z183)),0),Z64*$BI64),Z64*$BI64),0)</f>
        <v>0</v>
      </c>
      <c r="CD64" s="311">
        <f>IF($BI64&lt;&gt;"",IF('Capacity summary'!$D$14="Yes",IF(COUNTBLANK('Capacity summary'!$H183:$BG183)&lt;52,IF('Capacity summary'!AA183&lt;&gt;"",IF(LOWER('Capacity summary'!AA183)="x",$BI64*AA64,VALUE('Capacity summary'!AA183)),0),AA64*$BI64),AA64*$BI64),0)</f>
        <v>0</v>
      </c>
      <c r="CE64" s="311">
        <f>IF($BI64&lt;&gt;"",IF('Capacity summary'!$D$14="Yes",IF(COUNTBLANK('Capacity summary'!$H183:$BG183)&lt;52,IF('Capacity summary'!AB183&lt;&gt;"",IF(LOWER('Capacity summary'!AB183)="x",$BI64*AB64,VALUE('Capacity summary'!AB183)),0),AB64*$BI64),AB64*$BI64),0)</f>
        <v>0</v>
      </c>
      <c r="CF64" s="311">
        <f>IF($BI64&lt;&gt;"",IF('Capacity summary'!$D$14="Yes",IF(COUNTBLANK('Capacity summary'!$H183:$BG183)&lt;52,IF('Capacity summary'!AC183&lt;&gt;"",IF(LOWER('Capacity summary'!AC183)="x",$BI64*AC64,VALUE('Capacity summary'!AC183)),0),AC64*$BI64),AC64*$BI64),0)</f>
        <v>0</v>
      </c>
      <c r="CG64" s="311">
        <f>IF($BI64&lt;&gt;"",IF('Capacity summary'!$D$14="Yes",IF(COUNTBLANK('Capacity summary'!$H183:$BG183)&lt;52,IF('Capacity summary'!AD183&lt;&gt;"",IF(LOWER('Capacity summary'!AD183)="x",$BI64*AD64,VALUE('Capacity summary'!AD183)),0),AD64*$BI64),AD64*$BI64),0)</f>
        <v>0</v>
      </c>
      <c r="CH64" s="311">
        <f>IF($BI64&lt;&gt;"",IF('Capacity summary'!$D$14="Yes",IF(COUNTBLANK('Capacity summary'!$H183:$BG183)&lt;52,IF('Capacity summary'!AE183&lt;&gt;"",IF(LOWER('Capacity summary'!AE183)="x",$BI64*AE64,VALUE('Capacity summary'!AE183)),0),AE64*$BI64),AE64*$BI64),0)</f>
        <v>0</v>
      </c>
      <c r="CI64" s="311">
        <f>IF($BI64&lt;&gt;"",IF('Capacity summary'!$D$14="Yes",IF(COUNTBLANK('Capacity summary'!$H183:$BG183)&lt;52,IF('Capacity summary'!AF183&lt;&gt;"",IF(LOWER('Capacity summary'!AF183)="x",$BI64*AF64,VALUE('Capacity summary'!AF183)),0),AF64*$BI64),AF64*$BI64),0)</f>
        <v>0</v>
      </c>
      <c r="CJ64" s="311">
        <f>IF($BI64&lt;&gt;"",IF('Capacity summary'!$D$14="Yes",IF(COUNTBLANK('Capacity summary'!$H183:$BG183)&lt;52,IF('Capacity summary'!AG183&lt;&gt;"",IF(LOWER('Capacity summary'!AG183)="x",$BI64*AG64,VALUE('Capacity summary'!AG183)),0),AG64*$BI64),AG64*$BI64),0)</f>
        <v>0</v>
      </c>
      <c r="CK64" s="311">
        <f>IF($BI64&lt;&gt;"",IF('Capacity summary'!$D$14="Yes",IF(COUNTBLANK('Capacity summary'!$H183:$BG183)&lt;52,IF('Capacity summary'!AH183&lt;&gt;"",IF(LOWER('Capacity summary'!AH183)="x",$BI64*AH64,VALUE('Capacity summary'!AH183)),0),AH64*$BI64),AH64*$BI64),0)</f>
        <v>0</v>
      </c>
      <c r="CL64" s="311">
        <f>IF($BI64&lt;&gt;"",IF('Capacity summary'!$D$14="Yes",IF(COUNTBLANK('Capacity summary'!$H183:$BG183)&lt;52,IF('Capacity summary'!AI183&lt;&gt;"",IF(LOWER('Capacity summary'!AI183)="x",$BI64*AI64,VALUE('Capacity summary'!AI183)),0),AI64*$BI64),AI64*$BI64),0)</f>
        <v>0</v>
      </c>
      <c r="CM64" s="311">
        <f>IF($BI64&lt;&gt;"",IF('Capacity summary'!$D$14="Yes",IF(COUNTBLANK('Capacity summary'!$H183:$BG183)&lt;52,IF('Capacity summary'!AJ183&lt;&gt;"",IF(LOWER('Capacity summary'!AJ183)="x",$BI64*AJ64,VALUE('Capacity summary'!AJ183)),0),AJ64*$BI64),AJ64*$BI64),0)</f>
        <v>0</v>
      </c>
      <c r="CN64" s="311">
        <f>IF($BI64&lt;&gt;"",IF('Capacity summary'!$D$14="Yes",IF(COUNTBLANK('Capacity summary'!$H183:$BG183)&lt;52,IF('Capacity summary'!AK183&lt;&gt;"",IF(LOWER('Capacity summary'!AK183)="x",$BI64*AK64,VALUE('Capacity summary'!AK183)),0),AK64*$BI64),AK64*$BI64),0)</f>
        <v>0</v>
      </c>
      <c r="CO64" s="311">
        <f>IF($BI64&lt;&gt;"",IF('Capacity summary'!$D$14="Yes",IF(COUNTBLANK('Capacity summary'!$H183:$BG183)&lt;52,IF('Capacity summary'!AL183&lt;&gt;"",IF(LOWER('Capacity summary'!AL183)="x",$BI64*AL64,VALUE('Capacity summary'!AL183)),0),AL64*$BI64),AL64*$BI64),0)</f>
        <v>0</v>
      </c>
      <c r="CP64" s="311">
        <f>IF($BI64&lt;&gt;"",IF('Capacity summary'!$D$14="Yes",IF(COUNTBLANK('Capacity summary'!$H183:$BG183)&lt;52,IF('Capacity summary'!AM183&lt;&gt;"",IF(LOWER('Capacity summary'!AM183)="x",$BI64*AM64,VALUE('Capacity summary'!AM183)),0),AM64*$BI64),AM64*$BI64),0)</f>
        <v>0</v>
      </c>
      <c r="CQ64" s="311">
        <f>IF($BI64&lt;&gt;"",IF('Capacity summary'!$D$14="Yes",IF(COUNTBLANK('Capacity summary'!$H183:$BG183)&lt;52,IF('Capacity summary'!AN183&lt;&gt;"",IF(LOWER('Capacity summary'!AN183)="x",$BI64*AN64,VALUE('Capacity summary'!AN183)),0),AN64*$BI64),AN64*$BI64),0)</f>
        <v>0</v>
      </c>
      <c r="CR64" s="311">
        <f>IF($BI64&lt;&gt;"",IF('Capacity summary'!$D$14="Yes",IF(COUNTBLANK('Capacity summary'!$H183:$BG183)&lt;52,IF('Capacity summary'!AO183&lt;&gt;"",IF(LOWER('Capacity summary'!AO183)="x",$BI64*AO64,VALUE('Capacity summary'!AO183)),0),AO64*$BI64),AO64*$BI64),0)</f>
        <v>0</v>
      </c>
      <c r="CS64" s="311">
        <f>IF($BI64&lt;&gt;"",IF('Capacity summary'!$D$14="Yes",IF(COUNTBLANK('Capacity summary'!$H183:$BG183)&lt;52,IF('Capacity summary'!AP183&lt;&gt;"",IF(LOWER('Capacity summary'!AP183)="x",$BI64*AP64,VALUE('Capacity summary'!AP183)),0),AP64*$BI64),AP64*$BI64),0)</f>
        <v>0</v>
      </c>
      <c r="CT64" s="311">
        <f>IF($BI64&lt;&gt;"",IF('Capacity summary'!$D$14="Yes",IF(COUNTBLANK('Capacity summary'!$H183:$BG183)&lt;52,IF('Capacity summary'!AQ183&lt;&gt;"",IF(LOWER('Capacity summary'!AQ183)="x",$BI64*AQ64,VALUE('Capacity summary'!AQ183)),0),AQ64*$BI64),AQ64*$BI64),0)</f>
        <v>0</v>
      </c>
      <c r="CU64" s="311">
        <f>IF($BI64&lt;&gt;"",IF('Capacity summary'!$D$14="Yes",IF(COUNTBLANK('Capacity summary'!$H183:$BG183)&lt;52,IF('Capacity summary'!AR183&lt;&gt;"",IF(LOWER('Capacity summary'!AR183)="x",$BI64*AR64,VALUE('Capacity summary'!AR183)),0),AR64*$BI64),AR64*$BI64),0)</f>
        <v>0</v>
      </c>
      <c r="CV64" s="311">
        <f>IF($BI64&lt;&gt;"",IF('Capacity summary'!$D$14="Yes",IF(COUNTBLANK('Capacity summary'!$H183:$BG183)&lt;52,IF('Capacity summary'!AS183&lt;&gt;"",IF(LOWER('Capacity summary'!AS183)="x",$BI64*AS64,VALUE('Capacity summary'!AS183)),0),AS64*$BI64),AS64*$BI64),0)</f>
        <v>0</v>
      </c>
      <c r="CW64" s="311">
        <f>IF($BI64&lt;&gt;"",IF('Capacity summary'!$D$14="Yes",IF(COUNTBLANK('Capacity summary'!$H183:$BG183)&lt;52,IF('Capacity summary'!AT183&lt;&gt;"",IF(LOWER('Capacity summary'!AT183)="x",$BI64*AT64,VALUE('Capacity summary'!AT183)),0),AT64*$BI64),AT64*$BI64),0)</f>
        <v>0</v>
      </c>
      <c r="CX64" s="311">
        <f>IF($BI64&lt;&gt;"",IF('Capacity summary'!$D$14="Yes",IF(COUNTBLANK('Capacity summary'!$H183:$BG183)&lt;52,IF('Capacity summary'!AU183&lt;&gt;"",IF(LOWER('Capacity summary'!AU183)="x",$BI64*AU64,VALUE('Capacity summary'!AU183)),0),AU64*$BI64),AU64*$BI64),0)</f>
        <v>0</v>
      </c>
      <c r="CY64" s="311">
        <f>IF($BI64&lt;&gt;"",IF('Capacity summary'!$D$14="Yes",IF(COUNTBLANK('Capacity summary'!$H183:$BG183)&lt;52,IF('Capacity summary'!AV183&lt;&gt;"",IF(LOWER('Capacity summary'!AV183)="x",$BI64*AV64,VALUE('Capacity summary'!AV183)),0),AV64*$BI64),AV64*$BI64),0)</f>
        <v>0</v>
      </c>
      <c r="CZ64" s="311">
        <f>IF($BI64&lt;&gt;"",IF('Capacity summary'!$D$14="Yes",IF(COUNTBLANK('Capacity summary'!$H183:$BG183)&lt;52,IF('Capacity summary'!AW183&lt;&gt;"",IF(LOWER('Capacity summary'!AW183)="x",$BI64*AW64,VALUE('Capacity summary'!AW183)),0),AW64*$BI64),AW64*$BI64),0)</f>
        <v>0</v>
      </c>
      <c r="DA64" s="311">
        <f>IF($BI64&lt;&gt;"",IF('Capacity summary'!$D$14="Yes",IF(COUNTBLANK('Capacity summary'!$H183:$BG183)&lt;52,IF('Capacity summary'!AX183&lt;&gt;"",IF(LOWER('Capacity summary'!AX183)="x",$BI64*AX64,VALUE('Capacity summary'!AX183)),0),AX64*$BI64),AX64*$BI64),0)</f>
        <v>0</v>
      </c>
      <c r="DB64" s="311">
        <f>IF($BI64&lt;&gt;"",IF('Capacity summary'!$D$14="Yes",IF(COUNTBLANK('Capacity summary'!$H183:$BG183)&lt;52,IF('Capacity summary'!AY183&lt;&gt;"",IF(LOWER('Capacity summary'!AY183)="x",$BI64*AY64,VALUE('Capacity summary'!AY183)),0),AY64*$BI64),AY64*$BI64),0)</f>
        <v>0</v>
      </c>
      <c r="DC64" s="311">
        <f>IF($BI64&lt;&gt;"",IF('Capacity summary'!$D$14="Yes",IF(COUNTBLANK('Capacity summary'!$H183:$BG183)&lt;52,IF('Capacity summary'!AZ183&lt;&gt;"",IF(LOWER('Capacity summary'!AZ183)="x",$BI64*AZ64,VALUE('Capacity summary'!AZ183)),0),AZ64*$BI64),AZ64*$BI64),0)</f>
        <v>0</v>
      </c>
      <c r="DD64" s="311">
        <f>IF($BI64&lt;&gt;"",IF('Capacity summary'!$D$14="Yes",IF(COUNTBLANK('Capacity summary'!$H183:$BG183)&lt;52,IF('Capacity summary'!BA183&lt;&gt;"",IF(LOWER('Capacity summary'!BA183)="x",$BI64*BA64,VALUE('Capacity summary'!BA183)),0),BA64*$BI64),BA64*$BI64),0)</f>
        <v>0</v>
      </c>
      <c r="DE64" s="311">
        <f>IF($BI64&lt;&gt;"",IF('Capacity summary'!$D$14="Yes",IF(COUNTBLANK('Capacity summary'!$H183:$BG183)&lt;52,IF('Capacity summary'!BB183&lt;&gt;"",IF(LOWER('Capacity summary'!BB183)="x",$BI64*BB64,VALUE('Capacity summary'!BB183)),0),BB64*$BI64),BB64*$BI64),0)</f>
        <v>0</v>
      </c>
      <c r="DF64" s="311">
        <f>IF($BI64&lt;&gt;"",IF('Capacity summary'!$D$14="Yes",IF(COUNTBLANK('Capacity summary'!$H183:$BG183)&lt;52,IF('Capacity summary'!BC183&lt;&gt;"",IF(LOWER('Capacity summary'!BC183)="x",$BI64*BC64,VALUE('Capacity summary'!BC183)),0),BC64*$BI64),BC64*$BI64),0)</f>
        <v>0</v>
      </c>
      <c r="DG64" s="311">
        <f>IF($BI64&lt;&gt;"",IF('Capacity summary'!$D$14="Yes",IF(COUNTBLANK('Capacity summary'!$H183:$BG183)&lt;52,IF('Capacity summary'!BD183&lt;&gt;"",IF(LOWER('Capacity summary'!BD183)="x",$BI64*BD64,VALUE('Capacity summary'!BD183)),0),BD64*$BI64),BD64*$BI64),0)</f>
        <v>0</v>
      </c>
      <c r="DH64" s="311">
        <f>IF($BI64&lt;&gt;"",IF('Capacity summary'!$D$14="Yes",IF(COUNTBLANK('Capacity summary'!$H183:$BG183)&lt;52,IF('Capacity summary'!BE183&lt;&gt;"",IF(LOWER('Capacity summary'!BE183)="x",$BI64*BE64,VALUE('Capacity summary'!BE183)),0),BE64*$BI64),BE64*$BI64),0)</f>
        <v>0</v>
      </c>
      <c r="DI64" s="311">
        <f>IF($BI64&lt;&gt;"",IF('Capacity summary'!$D$14="Yes",IF(COUNTBLANK('Capacity summary'!$H183:$BG183)&lt;52,IF('Capacity summary'!BF183&lt;&gt;"",IF(LOWER('Capacity summary'!BF183)="x",$BI64*BF64,VALUE('Capacity summary'!BF183)),0),BF64*$BI64),BF64*$BI64),0)</f>
        <v>0</v>
      </c>
      <c r="DJ64" s="311">
        <f>IF($BI64&lt;&gt;"",IF('Capacity summary'!$D$14="Yes",IF(COUNTBLANK('Capacity summary'!$H183:$BG183)&lt;52,IF('Capacity summary'!BG183&lt;&gt;"",IF(LOWER('Capacity summary'!BG183)="x",$BI64*BG64,VALUE('Capacity summary'!BG183)),0),BG64*$BI64),BG64*$BI64),0)</f>
        <v>0</v>
      </c>
      <c r="DK64" s="391">
        <f t="shared" si="2"/>
        <v>0</v>
      </c>
      <c r="DL64" s="136">
        <f t="shared" si="3"/>
        <v>0</v>
      </c>
      <c r="DM64" s="311" t="str">
        <f>Capacity!H76</f>
        <v/>
      </c>
    </row>
    <row r="65" spans="1:117" x14ac:dyDescent="0.2">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1">
        <f>IF($BI65&lt;&gt;"",IF('Capacity summary'!$D$14="Yes",IF(COUNTBLANK('Capacity summary'!$H184:$BG184)&lt;52,IF('Capacity summary'!H184&lt;&gt;"",IF(LOWER('Capacity summary'!H184)="x",$BI65*H65,VALUE('Capacity summary'!H184)),0),H65*$BI65),H65*$BI65),0)</f>
        <v>0</v>
      </c>
      <c r="BL65" s="311">
        <f>IF($BI65&lt;&gt;"",IF('Capacity summary'!$D$14="Yes",IF(COUNTBLANK('Capacity summary'!$H184:$BG184)&lt;52,IF('Capacity summary'!I184&lt;&gt;"",IF(LOWER('Capacity summary'!I184)="x",$BI65*I65,VALUE('Capacity summary'!I184)),0),I65*$BI65),I65*$BI65),0)</f>
        <v>0</v>
      </c>
      <c r="BM65" s="311">
        <f>IF($BI65&lt;&gt;"",IF('Capacity summary'!$D$14="Yes",IF(COUNTBLANK('Capacity summary'!$H184:$BG184)&lt;52,IF('Capacity summary'!J184&lt;&gt;"",IF(LOWER('Capacity summary'!J184)="x",$BI65*J65,VALUE('Capacity summary'!J184)),0),J65*$BI65),J65*$BI65),0)</f>
        <v>0</v>
      </c>
      <c r="BN65" s="311">
        <f>IF($BI65&lt;&gt;"",IF('Capacity summary'!$D$14="Yes",IF(COUNTBLANK('Capacity summary'!$H184:$BG184)&lt;52,IF('Capacity summary'!K184&lt;&gt;"",IF(LOWER('Capacity summary'!K184)="x",$BI65*K65,VALUE('Capacity summary'!K184)),0),K65*$BI65),K65*$BI65),0)</f>
        <v>0</v>
      </c>
      <c r="BO65" s="311">
        <f>IF($BI65&lt;&gt;"",IF('Capacity summary'!$D$14="Yes",IF(COUNTBLANK('Capacity summary'!$H184:$BG184)&lt;52,IF('Capacity summary'!L184&lt;&gt;"",IF(LOWER('Capacity summary'!L184)="x",$BI65*L65,VALUE('Capacity summary'!L184)),0),L65*$BI65),L65*$BI65),0)</f>
        <v>0</v>
      </c>
      <c r="BP65" s="311">
        <f>IF($BI65&lt;&gt;"",IF('Capacity summary'!$D$14="Yes",IF(COUNTBLANK('Capacity summary'!$H184:$BG184)&lt;52,IF('Capacity summary'!M184&lt;&gt;"",IF(LOWER('Capacity summary'!M184)="x",$BI65*M65,VALUE('Capacity summary'!M184)),0),M65*$BI65),M65*$BI65),0)</f>
        <v>0</v>
      </c>
      <c r="BQ65" s="311">
        <f>IF($BI65&lt;&gt;"",IF('Capacity summary'!$D$14="Yes",IF(COUNTBLANK('Capacity summary'!$H184:$BG184)&lt;52,IF('Capacity summary'!N184&lt;&gt;"",IF(LOWER('Capacity summary'!N184)="x",$BI65*N65,VALUE('Capacity summary'!N184)),0),N65*$BI65),N65*$BI65),0)</f>
        <v>0</v>
      </c>
      <c r="BR65" s="311">
        <f>IF($BI65&lt;&gt;"",IF('Capacity summary'!$D$14="Yes",IF(COUNTBLANK('Capacity summary'!$H184:$BG184)&lt;52,IF('Capacity summary'!O184&lt;&gt;"",IF(LOWER('Capacity summary'!O184)="x",$BI65*O65,VALUE('Capacity summary'!O184)),0),O65*$BI65),O65*$BI65),0)</f>
        <v>0</v>
      </c>
      <c r="BS65" s="311">
        <f>IF($BI65&lt;&gt;"",IF('Capacity summary'!$D$14="Yes",IF(COUNTBLANK('Capacity summary'!$H184:$BG184)&lt;52,IF('Capacity summary'!P184&lt;&gt;"",IF(LOWER('Capacity summary'!P184)="x",$BI65*P65,VALUE('Capacity summary'!P184)),0),P65*$BI65),P65*$BI65),0)</f>
        <v>0</v>
      </c>
      <c r="BT65" s="311">
        <f>IF($BI65&lt;&gt;"",IF('Capacity summary'!$D$14="Yes",IF(COUNTBLANK('Capacity summary'!$H184:$BG184)&lt;52,IF('Capacity summary'!Q184&lt;&gt;"",IF(LOWER('Capacity summary'!Q184)="x",$BI65*Q65,VALUE('Capacity summary'!Q184)),0),Q65*$BI65),Q65*$BI65),0)</f>
        <v>0</v>
      </c>
      <c r="BU65" s="311">
        <f>IF($BI65&lt;&gt;"",IF('Capacity summary'!$D$14="Yes",IF(COUNTBLANK('Capacity summary'!$H184:$BG184)&lt;52,IF('Capacity summary'!R184&lt;&gt;"",IF(LOWER('Capacity summary'!R184)="x",$BI65*R65,VALUE('Capacity summary'!R184)),0),R65*$BI65),R65*$BI65),0)</f>
        <v>0</v>
      </c>
      <c r="BV65" s="311">
        <f>IF($BI65&lt;&gt;"",IF('Capacity summary'!$D$14="Yes",IF(COUNTBLANK('Capacity summary'!$H184:$BG184)&lt;52,IF('Capacity summary'!S184&lt;&gt;"",IF(LOWER('Capacity summary'!S184)="x",$BI65*S65,VALUE('Capacity summary'!S184)),0),S65*$BI65),S65*$BI65),0)</f>
        <v>0</v>
      </c>
      <c r="BW65" s="311">
        <f>IF($BI65&lt;&gt;"",IF('Capacity summary'!$D$14="Yes",IF(COUNTBLANK('Capacity summary'!$H184:$BG184)&lt;52,IF('Capacity summary'!T184&lt;&gt;"",IF(LOWER('Capacity summary'!T184)="x",$BI65*T65,VALUE('Capacity summary'!T184)),0),T65*$BI65),T65*$BI65),0)</f>
        <v>0</v>
      </c>
      <c r="BX65" s="311">
        <f>IF($BI65&lt;&gt;"",IF('Capacity summary'!$D$14="Yes",IF(COUNTBLANK('Capacity summary'!$H184:$BG184)&lt;52,IF('Capacity summary'!U184&lt;&gt;"",IF(LOWER('Capacity summary'!U184)="x",$BI65*U65,VALUE('Capacity summary'!U184)),0),U65*$BI65),U65*$BI65),0)</f>
        <v>0</v>
      </c>
      <c r="BY65" s="311">
        <f>IF($BI65&lt;&gt;"",IF('Capacity summary'!$D$14="Yes",IF(COUNTBLANK('Capacity summary'!$H184:$BG184)&lt;52,IF('Capacity summary'!V184&lt;&gt;"",IF(LOWER('Capacity summary'!V184)="x",$BI65*V65,VALUE('Capacity summary'!V184)),0),V65*$BI65),V65*$BI65),0)</f>
        <v>0</v>
      </c>
      <c r="BZ65" s="311">
        <f>IF($BI65&lt;&gt;"",IF('Capacity summary'!$D$14="Yes",IF(COUNTBLANK('Capacity summary'!$H184:$BG184)&lt;52,IF('Capacity summary'!W184&lt;&gt;"",IF(LOWER('Capacity summary'!W184)="x",$BI65*W65,VALUE('Capacity summary'!W184)),0),W65*$BI65),W65*$BI65),0)</f>
        <v>0</v>
      </c>
      <c r="CA65" s="311">
        <f>IF($BI65&lt;&gt;"",IF('Capacity summary'!$D$14="Yes",IF(COUNTBLANK('Capacity summary'!$H184:$BG184)&lt;52,IF('Capacity summary'!X184&lt;&gt;"",IF(LOWER('Capacity summary'!X184)="x",$BI65*X65,VALUE('Capacity summary'!X184)),0),X65*$BI65),X65*$BI65),0)</f>
        <v>0</v>
      </c>
      <c r="CB65" s="311">
        <f>IF($BI65&lt;&gt;"",IF('Capacity summary'!$D$14="Yes",IF(COUNTBLANK('Capacity summary'!$H184:$BG184)&lt;52,IF('Capacity summary'!Y184&lt;&gt;"",IF(LOWER('Capacity summary'!Y184)="x",$BI65*Y65,VALUE('Capacity summary'!Y184)),0),Y65*$BI65),Y65*$BI65),0)</f>
        <v>0</v>
      </c>
      <c r="CC65" s="311">
        <f>IF($BI65&lt;&gt;"",IF('Capacity summary'!$D$14="Yes",IF(COUNTBLANK('Capacity summary'!$H184:$BG184)&lt;52,IF('Capacity summary'!Z184&lt;&gt;"",IF(LOWER('Capacity summary'!Z184)="x",$BI65*Z65,VALUE('Capacity summary'!Z184)),0),Z65*$BI65),Z65*$BI65),0)</f>
        <v>0</v>
      </c>
      <c r="CD65" s="311">
        <f>IF($BI65&lt;&gt;"",IF('Capacity summary'!$D$14="Yes",IF(COUNTBLANK('Capacity summary'!$H184:$BG184)&lt;52,IF('Capacity summary'!AA184&lt;&gt;"",IF(LOWER('Capacity summary'!AA184)="x",$BI65*AA65,VALUE('Capacity summary'!AA184)),0),AA65*$BI65),AA65*$BI65),0)</f>
        <v>0</v>
      </c>
      <c r="CE65" s="311">
        <f>IF($BI65&lt;&gt;"",IF('Capacity summary'!$D$14="Yes",IF(COUNTBLANK('Capacity summary'!$H184:$BG184)&lt;52,IF('Capacity summary'!AB184&lt;&gt;"",IF(LOWER('Capacity summary'!AB184)="x",$BI65*AB65,VALUE('Capacity summary'!AB184)),0),AB65*$BI65),AB65*$BI65),0)</f>
        <v>0</v>
      </c>
      <c r="CF65" s="311">
        <f>IF($BI65&lt;&gt;"",IF('Capacity summary'!$D$14="Yes",IF(COUNTBLANK('Capacity summary'!$H184:$BG184)&lt;52,IF('Capacity summary'!AC184&lt;&gt;"",IF(LOWER('Capacity summary'!AC184)="x",$BI65*AC65,VALUE('Capacity summary'!AC184)),0),AC65*$BI65),AC65*$BI65),0)</f>
        <v>0</v>
      </c>
      <c r="CG65" s="311">
        <f>IF($BI65&lt;&gt;"",IF('Capacity summary'!$D$14="Yes",IF(COUNTBLANK('Capacity summary'!$H184:$BG184)&lt;52,IF('Capacity summary'!AD184&lt;&gt;"",IF(LOWER('Capacity summary'!AD184)="x",$BI65*AD65,VALUE('Capacity summary'!AD184)),0),AD65*$BI65),AD65*$BI65),0)</f>
        <v>0</v>
      </c>
      <c r="CH65" s="311">
        <f>IF($BI65&lt;&gt;"",IF('Capacity summary'!$D$14="Yes",IF(COUNTBLANK('Capacity summary'!$H184:$BG184)&lt;52,IF('Capacity summary'!AE184&lt;&gt;"",IF(LOWER('Capacity summary'!AE184)="x",$BI65*AE65,VALUE('Capacity summary'!AE184)),0),AE65*$BI65),AE65*$BI65),0)</f>
        <v>0</v>
      </c>
      <c r="CI65" s="311">
        <f>IF($BI65&lt;&gt;"",IF('Capacity summary'!$D$14="Yes",IF(COUNTBLANK('Capacity summary'!$H184:$BG184)&lt;52,IF('Capacity summary'!AF184&lt;&gt;"",IF(LOWER('Capacity summary'!AF184)="x",$BI65*AF65,VALUE('Capacity summary'!AF184)),0),AF65*$BI65),AF65*$BI65),0)</f>
        <v>0</v>
      </c>
      <c r="CJ65" s="311">
        <f>IF($BI65&lt;&gt;"",IF('Capacity summary'!$D$14="Yes",IF(COUNTBLANK('Capacity summary'!$H184:$BG184)&lt;52,IF('Capacity summary'!AG184&lt;&gt;"",IF(LOWER('Capacity summary'!AG184)="x",$BI65*AG65,VALUE('Capacity summary'!AG184)),0),AG65*$BI65),AG65*$BI65),0)</f>
        <v>0</v>
      </c>
      <c r="CK65" s="311">
        <f>IF($BI65&lt;&gt;"",IF('Capacity summary'!$D$14="Yes",IF(COUNTBLANK('Capacity summary'!$H184:$BG184)&lt;52,IF('Capacity summary'!AH184&lt;&gt;"",IF(LOWER('Capacity summary'!AH184)="x",$BI65*AH65,VALUE('Capacity summary'!AH184)),0),AH65*$BI65),AH65*$BI65),0)</f>
        <v>0</v>
      </c>
      <c r="CL65" s="311">
        <f>IF($BI65&lt;&gt;"",IF('Capacity summary'!$D$14="Yes",IF(COUNTBLANK('Capacity summary'!$H184:$BG184)&lt;52,IF('Capacity summary'!AI184&lt;&gt;"",IF(LOWER('Capacity summary'!AI184)="x",$BI65*AI65,VALUE('Capacity summary'!AI184)),0),AI65*$BI65),AI65*$BI65),0)</f>
        <v>0</v>
      </c>
      <c r="CM65" s="311">
        <f>IF($BI65&lt;&gt;"",IF('Capacity summary'!$D$14="Yes",IF(COUNTBLANK('Capacity summary'!$H184:$BG184)&lt;52,IF('Capacity summary'!AJ184&lt;&gt;"",IF(LOWER('Capacity summary'!AJ184)="x",$BI65*AJ65,VALUE('Capacity summary'!AJ184)),0),AJ65*$BI65),AJ65*$BI65),0)</f>
        <v>0</v>
      </c>
      <c r="CN65" s="311">
        <f>IF($BI65&lt;&gt;"",IF('Capacity summary'!$D$14="Yes",IF(COUNTBLANK('Capacity summary'!$H184:$BG184)&lt;52,IF('Capacity summary'!AK184&lt;&gt;"",IF(LOWER('Capacity summary'!AK184)="x",$BI65*AK65,VALUE('Capacity summary'!AK184)),0),AK65*$BI65),AK65*$BI65),0)</f>
        <v>0</v>
      </c>
      <c r="CO65" s="311">
        <f>IF($BI65&lt;&gt;"",IF('Capacity summary'!$D$14="Yes",IF(COUNTBLANK('Capacity summary'!$H184:$BG184)&lt;52,IF('Capacity summary'!AL184&lt;&gt;"",IF(LOWER('Capacity summary'!AL184)="x",$BI65*AL65,VALUE('Capacity summary'!AL184)),0),AL65*$BI65),AL65*$BI65),0)</f>
        <v>0</v>
      </c>
      <c r="CP65" s="311">
        <f>IF($BI65&lt;&gt;"",IF('Capacity summary'!$D$14="Yes",IF(COUNTBLANK('Capacity summary'!$H184:$BG184)&lt;52,IF('Capacity summary'!AM184&lt;&gt;"",IF(LOWER('Capacity summary'!AM184)="x",$BI65*AM65,VALUE('Capacity summary'!AM184)),0),AM65*$BI65),AM65*$BI65),0)</f>
        <v>0</v>
      </c>
      <c r="CQ65" s="311">
        <f>IF($BI65&lt;&gt;"",IF('Capacity summary'!$D$14="Yes",IF(COUNTBLANK('Capacity summary'!$H184:$BG184)&lt;52,IF('Capacity summary'!AN184&lt;&gt;"",IF(LOWER('Capacity summary'!AN184)="x",$BI65*AN65,VALUE('Capacity summary'!AN184)),0),AN65*$BI65),AN65*$BI65),0)</f>
        <v>0</v>
      </c>
      <c r="CR65" s="311">
        <f>IF($BI65&lt;&gt;"",IF('Capacity summary'!$D$14="Yes",IF(COUNTBLANK('Capacity summary'!$H184:$BG184)&lt;52,IF('Capacity summary'!AO184&lt;&gt;"",IF(LOWER('Capacity summary'!AO184)="x",$BI65*AO65,VALUE('Capacity summary'!AO184)),0),AO65*$BI65),AO65*$BI65),0)</f>
        <v>0</v>
      </c>
      <c r="CS65" s="311">
        <f>IF($BI65&lt;&gt;"",IF('Capacity summary'!$D$14="Yes",IF(COUNTBLANK('Capacity summary'!$H184:$BG184)&lt;52,IF('Capacity summary'!AP184&lt;&gt;"",IF(LOWER('Capacity summary'!AP184)="x",$BI65*AP65,VALUE('Capacity summary'!AP184)),0),AP65*$BI65),AP65*$BI65),0)</f>
        <v>0</v>
      </c>
      <c r="CT65" s="311">
        <f>IF($BI65&lt;&gt;"",IF('Capacity summary'!$D$14="Yes",IF(COUNTBLANK('Capacity summary'!$H184:$BG184)&lt;52,IF('Capacity summary'!AQ184&lt;&gt;"",IF(LOWER('Capacity summary'!AQ184)="x",$BI65*AQ65,VALUE('Capacity summary'!AQ184)),0),AQ65*$BI65),AQ65*$BI65),0)</f>
        <v>0</v>
      </c>
      <c r="CU65" s="311">
        <f>IF($BI65&lt;&gt;"",IF('Capacity summary'!$D$14="Yes",IF(COUNTBLANK('Capacity summary'!$H184:$BG184)&lt;52,IF('Capacity summary'!AR184&lt;&gt;"",IF(LOWER('Capacity summary'!AR184)="x",$BI65*AR65,VALUE('Capacity summary'!AR184)),0),AR65*$BI65),AR65*$BI65),0)</f>
        <v>0</v>
      </c>
      <c r="CV65" s="311">
        <f>IF($BI65&lt;&gt;"",IF('Capacity summary'!$D$14="Yes",IF(COUNTBLANK('Capacity summary'!$H184:$BG184)&lt;52,IF('Capacity summary'!AS184&lt;&gt;"",IF(LOWER('Capacity summary'!AS184)="x",$BI65*AS65,VALUE('Capacity summary'!AS184)),0),AS65*$BI65),AS65*$BI65),0)</f>
        <v>0</v>
      </c>
      <c r="CW65" s="311">
        <f>IF($BI65&lt;&gt;"",IF('Capacity summary'!$D$14="Yes",IF(COUNTBLANK('Capacity summary'!$H184:$BG184)&lt;52,IF('Capacity summary'!AT184&lt;&gt;"",IF(LOWER('Capacity summary'!AT184)="x",$BI65*AT65,VALUE('Capacity summary'!AT184)),0),AT65*$BI65),AT65*$BI65),0)</f>
        <v>0</v>
      </c>
      <c r="CX65" s="311">
        <f>IF($BI65&lt;&gt;"",IF('Capacity summary'!$D$14="Yes",IF(COUNTBLANK('Capacity summary'!$H184:$BG184)&lt;52,IF('Capacity summary'!AU184&lt;&gt;"",IF(LOWER('Capacity summary'!AU184)="x",$BI65*AU65,VALUE('Capacity summary'!AU184)),0),AU65*$BI65),AU65*$BI65),0)</f>
        <v>0</v>
      </c>
      <c r="CY65" s="311">
        <f>IF($BI65&lt;&gt;"",IF('Capacity summary'!$D$14="Yes",IF(COUNTBLANK('Capacity summary'!$H184:$BG184)&lt;52,IF('Capacity summary'!AV184&lt;&gt;"",IF(LOWER('Capacity summary'!AV184)="x",$BI65*AV65,VALUE('Capacity summary'!AV184)),0),AV65*$BI65),AV65*$BI65),0)</f>
        <v>0</v>
      </c>
      <c r="CZ65" s="311">
        <f>IF($BI65&lt;&gt;"",IF('Capacity summary'!$D$14="Yes",IF(COUNTBLANK('Capacity summary'!$H184:$BG184)&lt;52,IF('Capacity summary'!AW184&lt;&gt;"",IF(LOWER('Capacity summary'!AW184)="x",$BI65*AW65,VALUE('Capacity summary'!AW184)),0),AW65*$BI65),AW65*$BI65),0)</f>
        <v>0</v>
      </c>
      <c r="DA65" s="311">
        <f>IF($BI65&lt;&gt;"",IF('Capacity summary'!$D$14="Yes",IF(COUNTBLANK('Capacity summary'!$H184:$BG184)&lt;52,IF('Capacity summary'!AX184&lt;&gt;"",IF(LOWER('Capacity summary'!AX184)="x",$BI65*AX65,VALUE('Capacity summary'!AX184)),0),AX65*$BI65),AX65*$BI65),0)</f>
        <v>0</v>
      </c>
      <c r="DB65" s="311">
        <f>IF($BI65&lt;&gt;"",IF('Capacity summary'!$D$14="Yes",IF(COUNTBLANK('Capacity summary'!$H184:$BG184)&lt;52,IF('Capacity summary'!AY184&lt;&gt;"",IF(LOWER('Capacity summary'!AY184)="x",$BI65*AY65,VALUE('Capacity summary'!AY184)),0),AY65*$BI65),AY65*$BI65),0)</f>
        <v>0</v>
      </c>
      <c r="DC65" s="311">
        <f>IF($BI65&lt;&gt;"",IF('Capacity summary'!$D$14="Yes",IF(COUNTBLANK('Capacity summary'!$H184:$BG184)&lt;52,IF('Capacity summary'!AZ184&lt;&gt;"",IF(LOWER('Capacity summary'!AZ184)="x",$BI65*AZ65,VALUE('Capacity summary'!AZ184)),0),AZ65*$BI65),AZ65*$BI65),0)</f>
        <v>0</v>
      </c>
      <c r="DD65" s="311">
        <f>IF($BI65&lt;&gt;"",IF('Capacity summary'!$D$14="Yes",IF(COUNTBLANK('Capacity summary'!$H184:$BG184)&lt;52,IF('Capacity summary'!BA184&lt;&gt;"",IF(LOWER('Capacity summary'!BA184)="x",$BI65*BA65,VALUE('Capacity summary'!BA184)),0),BA65*$BI65),BA65*$BI65),0)</f>
        <v>0</v>
      </c>
      <c r="DE65" s="311">
        <f>IF($BI65&lt;&gt;"",IF('Capacity summary'!$D$14="Yes",IF(COUNTBLANK('Capacity summary'!$H184:$BG184)&lt;52,IF('Capacity summary'!BB184&lt;&gt;"",IF(LOWER('Capacity summary'!BB184)="x",$BI65*BB65,VALUE('Capacity summary'!BB184)),0),BB65*$BI65),BB65*$BI65),0)</f>
        <v>0</v>
      </c>
      <c r="DF65" s="311">
        <f>IF($BI65&lt;&gt;"",IF('Capacity summary'!$D$14="Yes",IF(COUNTBLANK('Capacity summary'!$H184:$BG184)&lt;52,IF('Capacity summary'!BC184&lt;&gt;"",IF(LOWER('Capacity summary'!BC184)="x",$BI65*BC65,VALUE('Capacity summary'!BC184)),0),BC65*$BI65),BC65*$BI65),0)</f>
        <v>0</v>
      </c>
      <c r="DG65" s="311">
        <f>IF($BI65&lt;&gt;"",IF('Capacity summary'!$D$14="Yes",IF(COUNTBLANK('Capacity summary'!$H184:$BG184)&lt;52,IF('Capacity summary'!BD184&lt;&gt;"",IF(LOWER('Capacity summary'!BD184)="x",$BI65*BD65,VALUE('Capacity summary'!BD184)),0),BD65*$BI65),BD65*$BI65),0)</f>
        <v>0</v>
      </c>
      <c r="DH65" s="311">
        <f>IF($BI65&lt;&gt;"",IF('Capacity summary'!$D$14="Yes",IF(COUNTBLANK('Capacity summary'!$H184:$BG184)&lt;52,IF('Capacity summary'!BE184&lt;&gt;"",IF(LOWER('Capacity summary'!BE184)="x",$BI65*BE65,VALUE('Capacity summary'!BE184)),0),BE65*$BI65),BE65*$BI65),0)</f>
        <v>0</v>
      </c>
      <c r="DI65" s="311">
        <f>IF($BI65&lt;&gt;"",IF('Capacity summary'!$D$14="Yes",IF(COUNTBLANK('Capacity summary'!$H184:$BG184)&lt;52,IF('Capacity summary'!BF184&lt;&gt;"",IF(LOWER('Capacity summary'!BF184)="x",$BI65*BF65,VALUE('Capacity summary'!BF184)),0),BF65*$BI65),BF65*$BI65),0)</f>
        <v>0</v>
      </c>
      <c r="DJ65" s="311">
        <f>IF($BI65&lt;&gt;"",IF('Capacity summary'!$D$14="Yes",IF(COUNTBLANK('Capacity summary'!$H184:$BG184)&lt;52,IF('Capacity summary'!BG184&lt;&gt;"",IF(LOWER('Capacity summary'!BG184)="x",$BI65*BG65,VALUE('Capacity summary'!BG184)),0),BG65*$BI65),BG65*$BI65),0)</f>
        <v>0</v>
      </c>
      <c r="DK65" s="391">
        <f t="shared" si="2"/>
        <v>0</v>
      </c>
      <c r="DL65" s="136">
        <f t="shared" si="3"/>
        <v>0</v>
      </c>
      <c r="DM65" s="311" t="str">
        <f>Capacity!H77</f>
        <v/>
      </c>
    </row>
    <row r="66" spans="1:117" x14ac:dyDescent="0.2">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1">
        <f>IF($BI66&lt;&gt;"",IF('Capacity summary'!$D$14="Yes",IF(COUNTBLANK('Capacity summary'!$H185:$BG185)&lt;52,IF('Capacity summary'!H185&lt;&gt;"",IF(LOWER('Capacity summary'!H185)="x",$BI66*H66,VALUE('Capacity summary'!H185)),0),H66*$BI66),H66*$BI66),0)</f>
        <v>0</v>
      </c>
      <c r="BL66" s="311">
        <f>IF($BI66&lt;&gt;"",IF('Capacity summary'!$D$14="Yes",IF(COUNTBLANK('Capacity summary'!$H185:$BG185)&lt;52,IF('Capacity summary'!I185&lt;&gt;"",IF(LOWER('Capacity summary'!I185)="x",$BI66*I66,VALUE('Capacity summary'!I185)),0),I66*$BI66),I66*$BI66),0)</f>
        <v>0</v>
      </c>
      <c r="BM66" s="311">
        <f>IF($BI66&lt;&gt;"",IF('Capacity summary'!$D$14="Yes",IF(COUNTBLANK('Capacity summary'!$H185:$BG185)&lt;52,IF('Capacity summary'!J185&lt;&gt;"",IF(LOWER('Capacity summary'!J185)="x",$BI66*J66,VALUE('Capacity summary'!J185)),0),J66*$BI66),J66*$BI66),0)</f>
        <v>0</v>
      </c>
      <c r="BN66" s="311">
        <f>IF($BI66&lt;&gt;"",IF('Capacity summary'!$D$14="Yes",IF(COUNTBLANK('Capacity summary'!$H185:$BG185)&lt;52,IF('Capacity summary'!K185&lt;&gt;"",IF(LOWER('Capacity summary'!K185)="x",$BI66*K66,VALUE('Capacity summary'!K185)),0),K66*$BI66),K66*$BI66),0)</f>
        <v>0</v>
      </c>
      <c r="BO66" s="311">
        <f>IF($BI66&lt;&gt;"",IF('Capacity summary'!$D$14="Yes",IF(COUNTBLANK('Capacity summary'!$H185:$BG185)&lt;52,IF('Capacity summary'!L185&lt;&gt;"",IF(LOWER('Capacity summary'!L185)="x",$BI66*L66,VALUE('Capacity summary'!L185)),0),L66*$BI66),L66*$BI66),0)</f>
        <v>0</v>
      </c>
      <c r="BP66" s="311">
        <f>IF($BI66&lt;&gt;"",IF('Capacity summary'!$D$14="Yes",IF(COUNTBLANK('Capacity summary'!$H185:$BG185)&lt;52,IF('Capacity summary'!M185&lt;&gt;"",IF(LOWER('Capacity summary'!M185)="x",$BI66*M66,VALUE('Capacity summary'!M185)),0),M66*$BI66),M66*$BI66),0)</f>
        <v>0</v>
      </c>
      <c r="BQ66" s="311">
        <f>IF($BI66&lt;&gt;"",IF('Capacity summary'!$D$14="Yes",IF(COUNTBLANK('Capacity summary'!$H185:$BG185)&lt;52,IF('Capacity summary'!N185&lt;&gt;"",IF(LOWER('Capacity summary'!N185)="x",$BI66*N66,VALUE('Capacity summary'!N185)),0),N66*$BI66),N66*$BI66),0)</f>
        <v>0</v>
      </c>
      <c r="BR66" s="311">
        <f>IF($BI66&lt;&gt;"",IF('Capacity summary'!$D$14="Yes",IF(COUNTBLANK('Capacity summary'!$H185:$BG185)&lt;52,IF('Capacity summary'!O185&lt;&gt;"",IF(LOWER('Capacity summary'!O185)="x",$BI66*O66,VALUE('Capacity summary'!O185)),0),O66*$BI66),O66*$BI66),0)</f>
        <v>0</v>
      </c>
      <c r="BS66" s="311">
        <f>IF($BI66&lt;&gt;"",IF('Capacity summary'!$D$14="Yes",IF(COUNTBLANK('Capacity summary'!$H185:$BG185)&lt;52,IF('Capacity summary'!P185&lt;&gt;"",IF(LOWER('Capacity summary'!P185)="x",$BI66*P66,VALUE('Capacity summary'!P185)),0),P66*$BI66),P66*$BI66),0)</f>
        <v>0</v>
      </c>
      <c r="BT66" s="311">
        <f>IF($BI66&lt;&gt;"",IF('Capacity summary'!$D$14="Yes",IF(COUNTBLANK('Capacity summary'!$H185:$BG185)&lt;52,IF('Capacity summary'!Q185&lt;&gt;"",IF(LOWER('Capacity summary'!Q185)="x",$BI66*Q66,VALUE('Capacity summary'!Q185)),0),Q66*$BI66),Q66*$BI66),0)</f>
        <v>0</v>
      </c>
      <c r="BU66" s="311">
        <f>IF($BI66&lt;&gt;"",IF('Capacity summary'!$D$14="Yes",IF(COUNTBLANK('Capacity summary'!$H185:$BG185)&lt;52,IF('Capacity summary'!R185&lt;&gt;"",IF(LOWER('Capacity summary'!R185)="x",$BI66*R66,VALUE('Capacity summary'!R185)),0),R66*$BI66),R66*$BI66),0)</f>
        <v>0</v>
      </c>
      <c r="BV66" s="311">
        <f>IF($BI66&lt;&gt;"",IF('Capacity summary'!$D$14="Yes",IF(COUNTBLANK('Capacity summary'!$H185:$BG185)&lt;52,IF('Capacity summary'!S185&lt;&gt;"",IF(LOWER('Capacity summary'!S185)="x",$BI66*S66,VALUE('Capacity summary'!S185)),0),S66*$BI66),S66*$BI66),0)</f>
        <v>0</v>
      </c>
      <c r="BW66" s="311">
        <f>IF($BI66&lt;&gt;"",IF('Capacity summary'!$D$14="Yes",IF(COUNTBLANK('Capacity summary'!$H185:$BG185)&lt;52,IF('Capacity summary'!T185&lt;&gt;"",IF(LOWER('Capacity summary'!T185)="x",$BI66*T66,VALUE('Capacity summary'!T185)),0),T66*$BI66),T66*$BI66),0)</f>
        <v>0</v>
      </c>
      <c r="BX66" s="311">
        <f>IF($BI66&lt;&gt;"",IF('Capacity summary'!$D$14="Yes",IF(COUNTBLANK('Capacity summary'!$H185:$BG185)&lt;52,IF('Capacity summary'!U185&lt;&gt;"",IF(LOWER('Capacity summary'!U185)="x",$BI66*U66,VALUE('Capacity summary'!U185)),0),U66*$BI66),U66*$BI66),0)</f>
        <v>0</v>
      </c>
      <c r="BY66" s="311">
        <f>IF($BI66&lt;&gt;"",IF('Capacity summary'!$D$14="Yes",IF(COUNTBLANK('Capacity summary'!$H185:$BG185)&lt;52,IF('Capacity summary'!V185&lt;&gt;"",IF(LOWER('Capacity summary'!V185)="x",$BI66*V66,VALUE('Capacity summary'!V185)),0),V66*$BI66),V66*$BI66),0)</f>
        <v>0</v>
      </c>
      <c r="BZ66" s="311">
        <f>IF($BI66&lt;&gt;"",IF('Capacity summary'!$D$14="Yes",IF(COUNTBLANK('Capacity summary'!$H185:$BG185)&lt;52,IF('Capacity summary'!W185&lt;&gt;"",IF(LOWER('Capacity summary'!W185)="x",$BI66*W66,VALUE('Capacity summary'!W185)),0),W66*$BI66),W66*$BI66),0)</f>
        <v>0</v>
      </c>
      <c r="CA66" s="311">
        <f>IF($BI66&lt;&gt;"",IF('Capacity summary'!$D$14="Yes",IF(COUNTBLANK('Capacity summary'!$H185:$BG185)&lt;52,IF('Capacity summary'!X185&lt;&gt;"",IF(LOWER('Capacity summary'!X185)="x",$BI66*X66,VALUE('Capacity summary'!X185)),0),X66*$BI66),X66*$BI66),0)</f>
        <v>0</v>
      </c>
      <c r="CB66" s="311">
        <f>IF($BI66&lt;&gt;"",IF('Capacity summary'!$D$14="Yes",IF(COUNTBLANK('Capacity summary'!$H185:$BG185)&lt;52,IF('Capacity summary'!Y185&lt;&gt;"",IF(LOWER('Capacity summary'!Y185)="x",$BI66*Y66,VALUE('Capacity summary'!Y185)),0),Y66*$BI66),Y66*$BI66),0)</f>
        <v>0</v>
      </c>
      <c r="CC66" s="311">
        <f>IF($BI66&lt;&gt;"",IF('Capacity summary'!$D$14="Yes",IF(COUNTBLANK('Capacity summary'!$H185:$BG185)&lt;52,IF('Capacity summary'!Z185&lt;&gt;"",IF(LOWER('Capacity summary'!Z185)="x",$BI66*Z66,VALUE('Capacity summary'!Z185)),0),Z66*$BI66),Z66*$BI66),0)</f>
        <v>0</v>
      </c>
      <c r="CD66" s="311">
        <f>IF($BI66&lt;&gt;"",IF('Capacity summary'!$D$14="Yes",IF(COUNTBLANK('Capacity summary'!$H185:$BG185)&lt;52,IF('Capacity summary'!AA185&lt;&gt;"",IF(LOWER('Capacity summary'!AA185)="x",$BI66*AA66,VALUE('Capacity summary'!AA185)),0),AA66*$BI66),AA66*$BI66),0)</f>
        <v>0</v>
      </c>
      <c r="CE66" s="311">
        <f>IF($BI66&lt;&gt;"",IF('Capacity summary'!$D$14="Yes",IF(COUNTBLANK('Capacity summary'!$H185:$BG185)&lt;52,IF('Capacity summary'!AB185&lt;&gt;"",IF(LOWER('Capacity summary'!AB185)="x",$BI66*AB66,VALUE('Capacity summary'!AB185)),0),AB66*$BI66),AB66*$BI66),0)</f>
        <v>0</v>
      </c>
      <c r="CF66" s="311">
        <f>IF($BI66&lt;&gt;"",IF('Capacity summary'!$D$14="Yes",IF(COUNTBLANK('Capacity summary'!$H185:$BG185)&lt;52,IF('Capacity summary'!AC185&lt;&gt;"",IF(LOWER('Capacity summary'!AC185)="x",$BI66*AC66,VALUE('Capacity summary'!AC185)),0),AC66*$BI66),AC66*$BI66),0)</f>
        <v>0</v>
      </c>
      <c r="CG66" s="311">
        <f>IF($BI66&lt;&gt;"",IF('Capacity summary'!$D$14="Yes",IF(COUNTBLANK('Capacity summary'!$H185:$BG185)&lt;52,IF('Capacity summary'!AD185&lt;&gt;"",IF(LOWER('Capacity summary'!AD185)="x",$BI66*AD66,VALUE('Capacity summary'!AD185)),0),AD66*$BI66),AD66*$BI66),0)</f>
        <v>0</v>
      </c>
      <c r="CH66" s="311">
        <f>IF($BI66&lt;&gt;"",IF('Capacity summary'!$D$14="Yes",IF(COUNTBLANK('Capacity summary'!$H185:$BG185)&lt;52,IF('Capacity summary'!AE185&lt;&gt;"",IF(LOWER('Capacity summary'!AE185)="x",$BI66*AE66,VALUE('Capacity summary'!AE185)),0),AE66*$BI66),AE66*$BI66),0)</f>
        <v>0</v>
      </c>
      <c r="CI66" s="311">
        <f>IF($BI66&lt;&gt;"",IF('Capacity summary'!$D$14="Yes",IF(COUNTBLANK('Capacity summary'!$H185:$BG185)&lt;52,IF('Capacity summary'!AF185&lt;&gt;"",IF(LOWER('Capacity summary'!AF185)="x",$BI66*AF66,VALUE('Capacity summary'!AF185)),0),AF66*$BI66),AF66*$BI66),0)</f>
        <v>0</v>
      </c>
      <c r="CJ66" s="311">
        <f>IF($BI66&lt;&gt;"",IF('Capacity summary'!$D$14="Yes",IF(COUNTBLANK('Capacity summary'!$H185:$BG185)&lt;52,IF('Capacity summary'!AG185&lt;&gt;"",IF(LOWER('Capacity summary'!AG185)="x",$BI66*AG66,VALUE('Capacity summary'!AG185)),0),AG66*$BI66),AG66*$BI66),0)</f>
        <v>0</v>
      </c>
      <c r="CK66" s="311">
        <f>IF($BI66&lt;&gt;"",IF('Capacity summary'!$D$14="Yes",IF(COUNTBLANK('Capacity summary'!$H185:$BG185)&lt;52,IF('Capacity summary'!AH185&lt;&gt;"",IF(LOWER('Capacity summary'!AH185)="x",$BI66*AH66,VALUE('Capacity summary'!AH185)),0),AH66*$BI66),AH66*$BI66),0)</f>
        <v>0</v>
      </c>
      <c r="CL66" s="311">
        <f>IF($BI66&lt;&gt;"",IF('Capacity summary'!$D$14="Yes",IF(COUNTBLANK('Capacity summary'!$H185:$BG185)&lt;52,IF('Capacity summary'!AI185&lt;&gt;"",IF(LOWER('Capacity summary'!AI185)="x",$BI66*AI66,VALUE('Capacity summary'!AI185)),0),AI66*$BI66),AI66*$BI66),0)</f>
        <v>0</v>
      </c>
      <c r="CM66" s="311">
        <f>IF($BI66&lt;&gt;"",IF('Capacity summary'!$D$14="Yes",IF(COUNTBLANK('Capacity summary'!$H185:$BG185)&lt;52,IF('Capacity summary'!AJ185&lt;&gt;"",IF(LOWER('Capacity summary'!AJ185)="x",$BI66*AJ66,VALUE('Capacity summary'!AJ185)),0),AJ66*$BI66),AJ66*$BI66),0)</f>
        <v>0</v>
      </c>
      <c r="CN66" s="311">
        <f>IF($BI66&lt;&gt;"",IF('Capacity summary'!$D$14="Yes",IF(COUNTBLANK('Capacity summary'!$H185:$BG185)&lt;52,IF('Capacity summary'!AK185&lt;&gt;"",IF(LOWER('Capacity summary'!AK185)="x",$BI66*AK66,VALUE('Capacity summary'!AK185)),0),AK66*$BI66),AK66*$BI66),0)</f>
        <v>0</v>
      </c>
      <c r="CO66" s="311">
        <f>IF($BI66&lt;&gt;"",IF('Capacity summary'!$D$14="Yes",IF(COUNTBLANK('Capacity summary'!$H185:$BG185)&lt;52,IF('Capacity summary'!AL185&lt;&gt;"",IF(LOWER('Capacity summary'!AL185)="x",$BI66*AL66,VALUE('Capacity summary'!AL185)),0),AL66*$BI66),AL66*$BI66),0)</f>
        <v>0</v>
      </c>
      <c r="CP66" s="311">
        <f>IF($BI66&lt;&gt;"",IF('Capacity summary'!$D$14="Yes",IF(COUNTBLANK('Capacity summary'!$H185:$BG185)&lt;52,IF('Capacity summary'!AM185&lt;&gt;"",IF(LOWER('Capacity summary'!AM185)="x",$BI66*AM66,VALUE('Capacity summary'!AM185)),0),AM66*$BI66),AM66*$BI66),0)</f>
        <v>0</v>
      </c>
      <c r="CQ66" s="311">
        <f>IF($BI66&lt;&gt;"",IF('Capacity summary'!$D$14="Yes",IF(COUNTBLANK('Capacity summary'!$H185:$BG185)&lt;52,IF('Capacity summary'!AN185&lt;&gt;"",IF(LOWER('Capacity summary'!AN185)="x",$BI66*AN66,VALUE('Capacity summary'!AN185)),0),AN66*$BI66),AN66*$BI66),0)</f>
        <v>0</v>
      </c>
      <c r="CR66" s="311">
        <f>IF($BI66&lt;&gt;"",IF('Capacity summary'!$D$14="Yes",IF(COUNTBLANK('Capacity summary'!$H185:$BG185)&lt;52,IF('Capacity summary'!AO185&lt;&gt;"",IF(LOWER('Capacity summary'!AO185)="x",$BI66*AO66,VALUE('Capacity summary'!AO185)),0),AO66*$BI66),AO66*$BI66),0)</f>
        <v>0</v>
      </c>
      <c r="CS66" s="311">
        <f>IF($BI66&lt;&gt;"",IF('Capacity summary'!$D$14="Yes",IF(COUNTBLANK('Capacity summary'!$H185:$BG185)&lt;52,IF('Capacity summary'!AP185&lt;&gt;"",IF(LOWER('Capacity summary'!AP185)="x",$BI66*AP66,VALUE('Capacity summary'!AP185)),0),AP66*$BI66),AP66*$BI66),0)</f>
        <v>0</v>
      </c>
      <c r="CT66" s="311">
        <f>IF($BI66&lt;&gt;"",IF('Capacity summary'!$D$14="Yes",IF(COUNTBLANK('Capacity summary'!$H185:$BG185)&lt;52,IF('Capacity summary'!AQ185&lt;&gt;"",IF(LOWER('Capacity summary'!AQ185)="x",$BI66*AQ66,VALUE('Capacity summary'!AQ185)),0),AQ66*$BI66),AQ66*$BI66),0)</f>
        <v>0</v>
      </c>
      <c r="CU66" s="311">
        <f>IF($BI66&lt;&gt;"",IF('Capacity summary'!$D$14="Yes",IF(COUNTBLANK('Capacity summary'!$H185:$BG185)&lt;52,IF('Capacity summary'!AR185&lt;&gt;"",IF(LOWER('Capacity summary'!AR185)="x",$BI66*AR66,VALUE('Capacity summary'!AR185)),0),AR66*$BI66),AR66*$BI66),0)</f>
        <v>0</v>
      </c>
      <c r="CV66" s="311">
        <f>IF($BI66&lt;&gt;"",IF('Capacity summary'!$D$14="Yes",IF(COUNTBLANK('Capacity summary'!$H185:$BG185)&lt;52,IF('Capacity summary'!AS185&lt;&gt;"",IF(LOWER('Capacity summary'!AS185)="x",$BI66*AS66,VALUE('Capacity summary'!AS185)),0),AS66*$BI66),AS66*$BI66),0)</f>
        <v>0</v>
      </c>
      <c r="CW66" s="311">
        <f>IF($BI66&lt;&gt;"",IF('Capacity summary'!$D$14="Yes",IF(COUNTBLANK('Capacity summary'!$H185:$BG185)&lt;52,IF('Capacity summary'!AT185&lt;&gt;"",IF(LOWER('Capacity summary'!AT185)="x",$BI66*AT66,VALUE('Capacity summary'!AT185)),0),AT66*$BI66),AT66*$BI66),0)</f>
        <v>0</v>
      </c>
      <c r="CX66" s="311">
        <f>IF($BI66&lt;&gt;"",IF('Capacity summary'!$D$14="Yes",IF(COUNTBLANK('Capacity summary'!$H185:$BG185)&lt;52,IF('Capacity summary'!AU185&lt;&gt;"",IF(LOWER('Capacity summary'!AU185)="x",$BI66*AU66,VALUE('Capacity summary'!AU185)),0),AU66*$BI66),AU66*$BI66),0)</f>
        <v>0</v>
      </c>
      <c r="CY66" s="311">
        <f>IF($BI66&lt;&gt;"",IF('Capacity summary'!$D$14="Yes",IF(COUNTBLANK('Capacity summary'!$H185:$BG185)&lt;52,IF('Capacity summary'!AV185&lt;&gt;"",IF(LOWER('Capacity summary'!AV185)="x",$BI66*AV66,VALUE('Capacity summary'!AV185)),0),AV66*$BI66),AV66*$BI66),0)</f>
        <v>0</v>
      </c>
      <c r="CZ66" s="311">
        <f>IF($BI66&lt;&gt;"",IF('Capacity summary'!$D$14="Yes",IF(COUNTBLANK('Capacity summary'!$H185:$BG185)&lt;52,IF('Capacity summary'!AW185&lt;&gt;"",IF(LOWER('Capacity summary'!AW185)="x",$BI66*AW66,VALUE('Capacity summary'!AW185)),0),AW66*$BI66),AW66*$BI66),0)</f>
        <v>0</v>
      </c>
      <c r="DA66" s="311">
        <f>IF($BI66&lt;&gt;"",IF('Capacity summary'!$D$14="Yes",IF(COUNTBLANK('Capacity summary'!$H185:$BG185)&lt;52,IF('Capacity summary'!AX185&lt;&gt;"",IF(LOWER('Capacity summary'!AX185)="x",$BI66*AX66,VALUE('Capacity summary'!AX185)),0),AX66*$BI66),AX66*$BI66),0)</f>
        <v>0</v>
      </c>
      <c r="DB66" s="311">
        <f>IF($BI66&lt;&gt;"",IF('Capacity summary'!$D$14="Yes",IF(COUNTBLANK('Capacity summary'!$H185:$BG185)&lt;52,IF('Capacity summary'!AY185&lt;&gt;"",IF(LOWER('Capacity summary'!AY185)="x",$BI66*AY66,VALUE('Capacity summary'!AY185)),0),AY66*$BI66),AY66*$BI66),0)</f>
        <v>0</v>
      </c>
      <c r="DC66" s="311">
        <f>IF($BI66&lt;&gt;"",IF('Capacity summary'!$D$14="Yes",IF(COUNTBLANK('Capacity summary'!$H185:$BG185)&lt;52,IF('Capacity summary'!AZ185&lt;&gt;"",IF(LOWER('Capacity summary'!AZ185)="x",$BI66*AZ66,VALUE('Capacity summary'!AZ185)),0),AZ66*$BI66),AZ66*$BI66),0)</f>
        <v>0</v>
      </c>
      <c r="DD66" s="311">
        <f>IF($BI66&lt;&gt;"",IF('Capacity summary'!$D$14="Yes",IF(COUNTBLANK('Capacity summary'!$H185:$BG185)&lt;52,IF('Capacity summary'!BA185&lt;&gt;"",IF(LOWER('Capacity summary'!BA185)="x",$BI66*BA66,VALUE('Capacity summary'!BA185)),0),BA66*$BI66),BA66*$BI66),0)</f>
        <v>0</v>
      </c>
      <c r="DE66" s="311">
        <f>IF($BI66&lt;&gt;"",IF('Capacity summary'!$D$14="Yes",IF(COUNTBLANK('Capacity summary'!$H185:$BG185)&lt;52,IF('Capacity summary'!BB185&lt;&gt;"",IF(LOWER('Capacity summary'!BB185)="x",$BI66*BB66,VALUE('Capacity summary'!BB185)),0),BB66*$BI66),BB66*$BI66),0)</f>
        <v>0</v>
      </c>
      <c r="DF66" s="311">
        <f>IF($BI66&lt;&gt;"",IF('Capacity summary'!$D$14="Yes",IF(COUNTBLANK('Capacity summary'!$H185:$BG185)&lt;52,IF('Capacity summary'!BC185&lt;&gt;"",IF(LOWER('Capacity summary'!BC185)="x",$BI66*BC66,VALUE('Capacity summary'!BC185)),0),BC66*$BI66),BC66*$BI66),0)</f>
        <v>0</v>
      </c>
      <c r="DG66" s="311">
        <f>IF($BI66&lt;&gt;"",IF('Capacity summary'!$D$14="Yes",IF(COUNTBLANK('Capacity summary'!$H185:$BG185)&lt;52,IF('Capacity summary'!BD185&lt;&gt;"",IF(LOWER('Capacity summary'!BD185)="x",$BI66*BD66,VALUE('Capacity summary'!BD185)),0),BD66*$BI66),BD66*$BI66),0)</f>
        <v>0</v>
      </c>
      <c r="DH66" s="311">
        <f>IF($BI66&lt;&gt;"",IF('Capacity summary'!$D$14="Yes",IF(COUNTBLANK('Capacity summary'!$H185:$BG185)&lt;52,IF('Capacity summary'!BE185&lt;&gt;"",IF(LOWER('Capacity summary'!BE185)="x",$BI66*BE66,VALUE('Capacity summary'!BE185)),0),BE66*$BI66),BE66*$BI66),0)</f>
        <v>0</v>
      </c>
      <c r="DI66" s="311">
        <f>IF($BI66&lt;&gt;"",IF('Capacity summary'!$D$14="Yes",IF(COUNTBLANK('Capacity summary'!$H185:$BG185)&lt;52,IF('Capacity summary'!BF185&lt;&gt;"",IF(LOWER('Capacity summary'!BF185)="x",$BI66*BF66,VALUE('Capacity summary'!BF185)),0),BF66*$BI66),BF66*$BI66),0)</f>
        <v>0</v>
      </c>
      <c r="DJ66" s="311">
        <f>IF($BI66&lt;&gt;"",IF('Capacity summary'!$D$14="Yes",IF(COUNTBLANK('Capacity summary'!$H185:$BG185)&lt;52,IF('Capacity summary'!BG185&lt;&gt;"",IF(LOWER('Capacity summary'!BG185)="x",$BI66*BG66,VALUE('Capacity summary'!BG185)),0),BG66*$BI66),BG66*$BI66),0)</f>
        <v>0</v>
      </c>
      <c r="DK66" s="391">
        <f t="shared" si="2"/>
        <v>0</v>
      </c>
      <c r="DL66" s="136">
        <f t="shared" si="3"/>
        <v>0</v>
      </c>
      <c r="DM66" s="311" t="str">
        <f>Capacity!H78</f>
        <v/>
      </c>
    </row>
    <row r="67" spans="1:117" x14ac:dyDescent="0.2">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1">
        <f>IF($BI67&lt;&gt;"",IF('Capacity summary'!$D$14="Yes",IF(COUNTBLANK('Capacity summary'!$H186:$BG186)&lt;52,IF('Capacity summary'!H186&lt;&gt;"",IF(LOWER('Capacity summary'!H186)="x",$BI67*H67,VALUE('Capacity summary'!H186)),0),H67*$BI67),H67*$BI67),0)</f>
        <v>0</v>
      </c>
      <c r="BL67" s="311">
        <f>IF($BI67&lt;&gt;"",IF('Capacity summary'!$D$14="Yes",IF(COUNTBLANK('Capacity summary'!$H186:$BG186)&lt;52,IF('Capacity summary'!I186&lt;&gt;"",IF(LOWER('Capacity summary'!I186)="x",$BI67*I67,VALUE('Capacity summary'!I186)),0),I67*$BI67),I67*$BI67),0)</f>
        <v>0</v>
      </c>
      <c r="BM67" s="311">
        <f>IF($BI67&lt;&gt;"",IF('Capacity summary'!$D$14="Yes",IF(COUNTBLANK('Capacity summary'!$H186:$BG186)&lt;52,IF('Capacity summary'!J186&lt;&gt;"",IF(LOWER('Capacity summary'!J186)="x",$BI67*J67,VALUE('Capacity summary'!J186)),0),J67*$BI67),J67*$BI67),0)</f>
        <v>0</v>
      </c>
      <c r="BN67" s="311">
        <f>IF($BI67&lt;&gt;"",IF('Capacity summary'!$D$14="Yes",IF(COUNTBLANK('Capacity summary'!$H186:$BG186)&lt;52,IF('Capacity summary'!K186&lt;&gt;"",IF(LOWER('Capacity summary'!K186)="x",$BI67*K67,VALUE('Capacity summary'!K186)),0),K67*$BI67),K67*$BI67),0)</f>
        <v>0</v>
      </c>
      <c r="BO67" s="311">
        <f>IF($BI67&lt;&gt;"",IF('Capacity summary'!$D$14="Yes",IF(COUNTBLANK('Capacity summary'!$H186:$BG186)&lt;52,IF('Capacity summary'!L186&lt;&gt;"",IF(LOWER('Capacity summary'!L186)="x",$BI67*L67,VALUE('Capacity summary'!L186)),0),L67*$BI67),L67*$BI67),0)</f>
        <v>0</v>
      </c>
      <c r="BP67" s="311">
        <f>IF($BI67&lt;&gt;"",IF('Capacity summary'!$D$14="Yes",IF(COUNTBLANK('Capacity summary'!$H186:$BG186)&lt;52,IF('Capacity summary'!M186&lt;&gt;"",IF(LOWER('Capacity summary'!M186)="x",$BI67*M67,VALUE('Capacity summary'!M186)),0),M67*$BI67),M67*$BI67),0)</f>
        <v>0</v>
      </c>
      <c r="BQ67" s="311">
        <f>IF($BI67&lt;&gt;"",IF('Capacity summary'!$D$14="Yes",IF(COUNTBLANK('Capacity summary'!$H186:$BG186)&lt;52,IF('Capacity summary'!N186&lt;&gt;"",IF(LOWER('Capacity summary'!N186)="x",$BI67*N67,VALUE('Capacity summary'!N186)),0),N67*$BI67),N67*$BI67),0)</f>
        <v>0</v>
      </c>
      <c r="BR67" s="311">
        <f>IF($BI67&lt;&gt;"",IF('Capacity summary'!$D$14="Yes",IF(COUNTBLANK('Capacity summary'!$H186:$BG186)&lt;52,IF('Capacity summary'!O186&lt;&gt;"",IF(LOWER('Capacity summary'!O186)="x",$BI67*O67,VALUE('Capacity summary'!O186)),0),O67*$BI67),O67*$BI67),0)</f>
        <v>0</v>
      </c>
      <c r="BS67" s="311">
        <f>IF($BI67&lt;&gt;"",IF('Capacity summary'!$D$14="Yes",IF(COUNTBLANK('Capacity summary'!$H186:$BG186)&lt;52,IF('Capacity summary'!P186&lt;&gt;"",IF(LOWER('Capacity summary'!P186)="x",$BI67*P67,VALUE('Capacity summary'!P186)),0),P67*$BI67),P67*$BI67),0)</f>
        <v>0</v>
      </c>
      <c r="BT67" s="311">
        <f>IF($BI67&lt;&gt;"",IF('Capacity summary'!$D$14="Yes",IF(COUNTBLANK('Capacity summary'!$H186:$BG186)&lt;52,IF('Capacity summary'!Q186&lt;&gt;"",IF(LOWER('Capacity summary'!Q186)="x",$BI67*Q67,VALUE('Capacity summary'!Q186)),0),Q67*$BI67),Q67*$BI67),0)</f>
        <v>0</v>
      </c>
      <c r="BU67" s="311">
        <f>IF($BI67&lt;&gt;"",IF('Capacity summary'!$D$14="Yes",IF(COUNTBLANK('Capacity summary'!$H186:$BG186)&lt;52,IF('Capacity summary'!R186&lt;&gt;"",IF(LOWER('Capacity summary'!R186)="x",$BI67*R67,VALUE('Capacity summary'!R186)),0),R67*$BI67),R67*$BI67),0)</f>
        <v>0</v>
      </c>
      <c r="BV67" s="311">
        <f>IF($BI67&lt;&gt;"",IF('Capacity summary'!$D$14="Yes",IF(COUNTBLANK('Capacity summary'!$H186:$BG186)&lt;52,IF('Capacity summary'!S186&lt;&gt;"",IF(LOWER('Capacity summary'!S186)="x",$BI67*S67,VALUE('Capacity summary'!S186)),0),S67*$BI67),S67*$BI67),0)</f>
        <v>0</v>
      </c>
      <c r="BW67" s="311">
        <f>IF($BI67&lt;&gt;"",IF('Capacity summary'!$D$14="Yes",IF(COUNTBLANK('Capacity summary'!$H186:$BG186)&lt;52,IF('Capacity summary'!T186&lt;&gt;"",IF(LOWER('Capacity summary'!T186)="x",$BI67*T67,VALUE('Capacity summary'!T186)),0),T67*$BI67),T67*$BI67),0)</f>
        <v>0</v>
      </c>
      <c r="BX67" s="311">
        <f>IF($BI67&lt;&gt;"",IF('Capacity summary'!$D$14="Yes",IF(COUNTBLANK('Capacity summary'!$H186:$BG186)&lt;52,IF('Capacity summary'!U186&lt;&gt;"",IF(LOWER('Capacity summary'!U186)="x",$BI67*U67,VALUE('Capacity summary'!U186)),0),U67*$BI67),U67*$BI67),0)</f>
        <v>0</v>
      </c>
      <c r="BY67" s="311">
        <f>IF($BI67&lt;&gt;"",IF('Capacity summary'!$D$14="Yes",IF(COUNTBLANK('Capacity summary'!$H186:$BG186)&lt;52,IF('Capacity summary'!V186&lt;&gt;"",IF(LOWER('Capacity summary'!V186)="x",$BI67*V67,VALUE('Capacity summary'!V186)),0),V67*$BI67),V67*$BI67),0)</f>
        <v>0</v>
      </c>
      <c r="BZ67" s="311">
        <f>IF($BI67&lt;&gt;"",IF('Capacity summary'!$D$14="Yes",IF(COUNTBLANK('Capacity summary'!$H186:$BG186)&lt;52,IF('Capacity summary'!W186&lt;&gt;"",IF(LOWER('Capacity summary'!W186)="x",$BI67*W67,VALUE('Capacity summary'!W186)),0),W67*$BI67),W67*$BI67),0)</f>
        <v>0</v>
      </c>
      <c r="CA67" s="311">
        <f>IF($BI67&lt;&gt;"",IF('Capacity summary'!$D$14="Yes",IF(COUNTBLANK('Capacity summary'!$H186:$BG186)&lt;52,IF('Capacity summary'!X186&lt;&gt;"",IF(LOWER('Capacity summary'!X186)="x",$BI67*X67,VALUE('Capacity summary'!X186)),0),X67*$BI67),X67*$BI67),0)</f>
        <v>0</v>
      </c>
      <c r="CB67" s="311">
        <f>IF($BI67&lt;&gt;"",IF('Capacity summary'!$D$14="Yes",IF(COUNTBLANK('Capacity summary'!$H186:$BG186)&lt;52,IF('Capacity summary'!Y186&lt;&gt;"",IF(LOWER('Capacity summary'!Y186)="x",$BI67*Y67,VALUE('Capacity summary'!Y186)),0),Y67*$BI67),Y67*$BI67),0)</f>
        <v>0</v>
      </c>
      <c r="CC67" s="311">
        <f>IF($BI67&lt;&gt;"",IF('Capacity summary'!$D$14="Yes",IF(COUNTBLANK('Capacity summary'!$H186:$BG186)&lt;52,IF('Capacity summary'!Z186&lt;&gt;"",IF(LOWER('Capacity summary'!Z186)="x",$BI67*Z67,VALUE('Capacity summary'!Z186)),0),Z67*$BI67),Z67*$BI67),0)</f>
        <v>0</v>
      </c>
      <c r="CD67" s="311">
        <f>IF($BI67&lt;&gt;"",IF('Capacity summary'!$D$14="Yes",IF(COUNTBLANK('Capacity summary'!$H186:$BG186)&lt;52,IF('Capacity summary'!AA186&lt;&gt;"",IF(LOWER('Capacity summary'!AA186)="x",$BI67*AA67,VALUE('Capacity summary'!AA186)),0),AA67*$BI67),AA67*$BI67),0)</f>
        <v>0</v>
      </c>
      <c r="CE67" s="311">
        <f>IF($BI67&lt;&gt;"",IF('Capacity summary'!$D$14="Yes",IF(COUNTBLANK('Capacity summary'!$H186:$BG186)&lt;52,IF('Capacity summary'!AB186&lt;&gt;"",IF(LOWER('Capacity summary'!AB186)="x",$BI67*AB67,VALUE('Capacity summary'!AB186)),0),AB67*$BI67),AB67*$BI67),0)</f>
        <v>0</v>
      </c>
      <c r="CF67" s="311">
        <f>IF($BI67&lt;&gt;"",IF('Capacity summary'!$D$14="Yes",IF(COUNTBLANK('Capacity summary'!$H186:$BG186)&lt;52,IF('Capacity summary'!AC186&lt;&gt;"",IF(LOWER('Capacity summary'!AC186)="x",$BI67*AC67,VALUE('Capacity summary'!AC186)),0),AC67*$BI67),AC67*$BI67),0)</f>
        <v>0</v>
      </c>
      <c r="CG67" s="311">
        <f>IF($BI67&lt;&gt;"",IF('Capacity summary'!$D$14="Yes",IF(COUNTBLANK('Capacity summary'!$H186:$BG186)&lt;52,IF('Capacity summary'!AD186&lt;&gt;"",IF(LOWER('Capacity summary'!AD186)="x",$BI67*AD67,VALUE('Capacity summary'!AD186)),0),AD67*$BI67),AD67*$BI67),0)</f>
        <v>0</v>
      </c>
      <c r="CH67" s="311">
        <f>IF($BI67&lt;&gt;"",IF('Capacity summary'!$D$14="Yes",IF(COUNTBLANK('Capacity summary'!$H186:$BG186)&lt;52,IF('Capacity summary'!AE186&lt;&gt;"",IF(LOWER('Capacity summary'!AE186)="x",$BI67*AE67,VALUE('Capacity summary'!AE186)),0),AE67*$BI67),AE67*$BI67),0)</f>
        <v>0</v>
      </c>
      <c r="CI67" s="311">
        <f>IF($BI67&lt;&gt;"",IF('Capacity summary'!$D$14="Yes",IF(COUNTBLANK('Capacity summary'!$H186:$BG186)&lt;52,IF('Capacity summary'!AF186&lt;&gt;"",IF(LOWER('Capacity summary'!AF186)="x",$BI67*AF67,VALUE('Capacity summary'!AF186)),0),AF67*$BI67),AF67*$BI67),0)</f>
        <v>0</v>
      </c>
      <c r="CJ67" s="311">
        <f>IF($BI67&lt;&gt;"",IF('Capacity summary'!$D$14="Yes",IF(COUNTBLANK('Capacity summary'!$H186:$BG186)&lt;52,IF('Capacity summary'!AG186&lt;&gt;"",IF(LOWER('Capacity summary'!AG186)="x",$BI67*AG67,VALUE('Capacity summary'!AG186)),0),AG67*$BI67),AG67*$BI67),0)</f>
        <v>0</v>
      </c>
      <c r="CK67" s="311">
        <f>IF($BI67&lt;&gt;"",IF('Capacity summary'!$D$14="Yes",IF(COUNTBLANK('Capacity summary'!$H186:$BG186)&lt;52,IF('Capacity summary'!AH186&lt;&gt;"",IF(LOWER('Capacity summary'!AH186)="x",$BI67*AH67,VALUE('Capacity summary'!AH186)),0),AH67*$BI67),AH67*$BI67),0)</f>
        <v>0</v>
      </c>
      <c r="CL67" s="311">
        <f>IF($BI67&lt;&gt;"",IF('Capacity summary'!$D$14="Yes",IF(COUNTBLANK('Capacity summary'!$H186:$BG186)&lt;52,IF('Capacity summary'!AI186&lt;&gt;"",IF(LOWER('Capacity summary'!AI186)="x",$BI67*AI67,VALUE('Capacity summary'!AI186)),0),AI67*$BI67),AI67*$BI67),0)</f>
        <v>0</v>
      </c>
      <c r="CM67" s="311">
        <f>IF($BI67&lt;&gt;"",IF('Capacity summary'!$D$14="Yes",IF(COUNTBLANK('Capacity summary'!$H186:$BG186)&lt;52,IF('Capacity summary'!AJ186&lt;&gt;"",IF(LOWER('Capacity summary'!AJ186)="x",$BI67*AJ67,VALUE('Capacity summary'!AJ186)),0),AJ67*$BI67),AJ67*$BI67),0)</f>
        <v>0</v>
      </c>
      <c r="CN67" s="311">
        <f>IF($BI67&lt;&gt;"",IF('Capacity summary'!$D$14="Yes",IF(COUNTBLANK('Capacity summary'!$H186:$BG186)&lt;52,IF('Capacity summary'!AK186&lt;&gt;"",IF(LOWER('Capacity summary'!AK186)="x",$BI67*AK67,VALUE('Capacity summary'!AK186)),0),AK67*$BI67),AK67*$BI67),0)</f>
        <v>0</v>
      </c>
      <c r="CO67" s="311">
        <f>IF($BI67&lt;&gt;"",IF('Capacity summary'!$D$14="Yes",IF(COUNTBLANK('Capacity summary'!$H186:$BG186)&lt;52,IF('Capacity summary'!AL186&lt;&gt;"",IF(LOWER('Capacity summary'!AL186)="x",$BI67*AL67,VALUE('Capacity summary'!AL186)),0),AL67*$BI67),AL67*$BI67),0)</f>
        <v>0</v>
      </c>
      <c r="CP67" s="311">
        <f>IF($BI67&lt;&gt;"",IF('Capacity summary'!$D$14="Yes",IF(COUNTBLANK('Capacity summary'!$H186:$BG186)&lt;52,IF('Capacity summary'!AM186&lt;&gt;"",IF(LOWER('Capacity summary'!AM186)="x",$BI67*AM67,VALUE('Capacity summary'!AM186)),0),AM67*$BI67),AM67*$BI67),0)</f>
        <v>0</v>
      </c>
      <c r="CQ67" s="311">
        <f>IF($BI67&lt;&gt;"",IF('Capacity summary'!$D$14="Yes",IF(COUNTBLANK('Capacity summary'!$H186:$BG186)&lt;52,IF('Capacity summary'!AN186&lt;&gt;"",IF(LOWER('Capacity summary'!AN186)="x",$BI67*AN67,VALUE('Capacity summary'!AN186)),0),AN67*$BI67),AN67*$BI67),0)</f>
        <v>0</v>
      </c>
      <c r="CR67" s="311">
        <f>IF($BI67&lt;&gt;"",IF('Capacity summary'!$D$14="Yes",IF(COUNTBLANK('Capacity summary'!$H186:$BG186)&lt;52,IF('Capacity summary'!AO186&lt;&gt;"",IF(LOWER('Capacity summary'!AO186)="x",$BI67*AO67,VALUE('Capacity summary'!AO186)),0),AO67*$BI67),AO67*$BI67),0)</f>
        <v>0</v>
      </c>
      <c r="CS67" s="311">
        <f>IF($BI67&lt;&gt;"",IF('Capacity summary'!$D$14="Yes",IF(COUNTBLANK('Capacity summary'!$H186:$BG186)&lt;52,IF('Capacity summary'!AP186&lt;&gt;"",IF(LOWER('Capacity summary'!AP186)="x",$BI67*AP67,VALUE('Capacity summary'!AP186)),0),AP67*$BI67),AP67*$BI67),0)</f>
        <v>0</v>
      </c>
      <c r="CT67" s="311">
        <f>IF($BI67&lt;&gt;"",IF('Capacity summary'!$D$14="Yes",IF(COUNTBLANK('Capacity summary'!$H186:$BG186)&lt;52,IF('Capacity summary'!AQ186&lt;&gt;"",IF(LOWER('Capacity summary'!AQ186)="x",$BI67*AQ67,VALUE('Capacity summary'!AQ186)),0),AQ67*$BI67),AQ67*$BI67),0)</f>
        <v>0</v>
      </c>
      <c r="CU67" s="311">
        <f>IF($BI67&lt;&gt;"",IF('Capacity summary'!$D$14="Yes",IF(COUNTBLANK('Capacity summary'!$H186:$BG186)&lt;52,IF('Capacity summary'!AR186&lt;&gt;"",IF(LOWER('Capacity summary'!AR186)="x",$BI67*AR67,VALUE('Capacity summary'!AR186)),0),AR67*$BI67),AR67*$BI67),0)</f>
        <v>0</v>
      </c>
      <c r="CV67" s="311">
        <f>IF($BI67&lt;&gt;"",IF('Capacity summary'!$D$14="Yes",IF(COUNTBLANK('Capacity summary'!$H186:$BG186)&lt;52,IF('Capacity summary'!AS186&lt;&gt;"",IF(LOWER('Capacity summary'!AS186)="x",$BI67*AS67,VALUE('Capacity summary'!AS186)),0),AS67*$BI67),AS67*$BI67),0)</f>
        <v>0</v>
      </c>
      <c r="CW67" s="311">
        <f>IF($BI67&lt;&gt;"",IF('Capacity summary'!$D$14="Yes",IF(COUNTBLANK('Capacity summary'!$H186:$BG186)&lt;52,IF('Capacity summary'!AT186&lt;&gt;"",IF(LOWER('Capacity summary'!AT186)="x",$BI67*AT67,VALUE('Capacity summary'!AT186)),0),AT67*$BI67),AT67*$BI67),0)</f>
        <v>0</v>
      </c>
      <c r="CX67" s="311">
        <f>IF($BI67&lt;&gt;"",IF('Capacity summary'!$D$14="Yes",IF(COUNTBLANK('Capacity summary'!$H186:$BG186)&lt;52,IF('Capacity summary'!AU186&lt;&gt;"",IF(LOWER('Capacity summary'!AU186)="x",$BI67*AU67,VALUE('Capacity summary'!AU186)),0),AU67*$BI67),AU67*$BI67),0)</f>
        <v>0</v>
      </c>
      <c r="CY67" s="311">
        <f>IF($BI67&lt;&gt;"",IF('Capacity summary'!$D$14="Yes",IF(COUNTBLANK('Capacity summary'!$H186:$BG186)&lt;52,IF('Capacity summary'!AV186&lt;&gt;"",IF(LOWER('Capacity summary'!AV186)="x",$BI67*AV67,VALUE('Capacity summary'!AV186)),0),AV67*$BI67),AV67*$BI67),0)</f>
        <v>0</v>
      </c>
      <c r="CZ67" s="311">
        <f>IF($BI67&lt;&gt;"",IF('Capacity summary'!$D$14="Yes",IF(COUNTBLANK('Capacity summary'!$H186:$BG186)&lt;52,IF('Capacity summary'!AW186&lt;&gt;"",IF(LOWER('Capacity summary'!AW186)="x",$BI67*AW67,VALUE('Capacity summary'!AW186)),0),AW67*$BI67),AW67*$BI67),0)</f>
        <v>0</v>
      </c>
      <c r="DA67" s="311">
        <f>IF($BI67&lt;&gt;"",IF('Capacity summary'!$D$14="Yes",IF(COUNTBLANK('Capacity summary'!$H186:$BG186)&lt;52,IF('Capacity summary'!AX186&lt;&gt;"",IF(LOWER('Capacity summary'!AX186)="x",$BI67*AX67,VALUE('Capacity summary'!AX186)),0),AX67*$BI67),AX67*$BI67),0)</f>
        <v>0</v>
      </c>
      <c r="DB67" s="311">
        <f>IF($BI67&lt;&gt;"",IF('Capacity summary'!$D$14="Yes",IF(COUNTBLANK('Capacity summary'!$H186:$BG186)&lt;52,IF('Capacity summary'!AY186&lt;&gt;"",IF(LOWER('Capacity summary'!AY186)="x",$BI67*AY67,VALUE('Capacity summary'!AY186)),0),AY67*$BI67),AY67*$BI67),0)</f>
        <v>0</v>
      </c>
      <c r="DC67" s="311">
        <f>IF($BI67&lt;&gt;"",IF('Capacity summary'!$D$14="Yes",IF(COUNTBLANK('Capacity summary'!$H186:$BG186)&lt;52,IF('Capacity summary'!AZ186&lt;&gt;"",IF(LOWER('Capacity summary'!AZ186)="x",$BI67*AZ67,VALUE('Capacity summary'!AZ186)),0),AZ67*$BI67),AZ67*$BI67),0)</f>
        <v>0</v>
      </c>
      <c r="DD67" s="311">
        <f>IF($BI67&lt;&gt;"",IF('Capacity summary'!$D$14="Yes",IF(COUNTBLANK('Capacity summary'!$H186:$BG186)&lt;52,IF('Capacity summary'!BA186&lt;&gt;"",IF(LOWER('Capacity summary'!BA186)="x",$BI67*BA67,VALUE('Capacity summary'!BA186)),0),BA67*$BI67),BA67*$BI67),0)</f>
        <v>0</v>
      </c>
      <c r="DE67" s="311">
        <f>IF($BI67&lt;&gt;"",IF('Capacity summary'!$D$14="Yes",IF(COUNTBLANK('Capacity summary'!$H186:$BG186)&lt;52,IF('Capacity summary'!BB186&lt;&gt;"",IF(LOWER('Capacity summary'!BB186)="x",$BI67*BB67,VALUE('Capacity summary'!BB186)),0),BB67*$BI67),BB67*$BI67),0)</f>
        <v>0</v>
      </c>
      <c r="DF67" s="311">
        <f>IF($BI67&lt;&gt;"",IF('Capacity summary'!$D$14="Yes",IF(COUNTBLANK('Capacity summary'!$H186:$BG186)&lt;52,IF('Capacity summary'!BC186&lt;&gt;"",IF(LOWER('Capacity summary'!BC186)="x",$BI67*BC67,VALUE('Capacity summary'!BC186)),0),BC67*$BI67),BC67*$BI67),0)</f>
        <v>0</v>
      </c>
      <c r="DG67" s="311">
        <f>IF($BI67&lt;&gt;"",IF('Capacity summary'!$D$14="Yes",IF(COUNTBLANK('Capacity summary'!$H186:$BG186)&lt;52,IF('Capacity summary'!BD186&lt;&gt;"",IF(LOWER('Capacity summary'!BD186)="x",$BI67*BD67,VALUE('Capacity summary'!BD186)),0),BD67*$BI67),BD67*$BI67),0)</f>
        <v>0</v>
      </c>
      <c r="DH67" s="311">
        <f>IF($BI67&lt;&gt;"",IF('Capacity summary'!$D$14="Yes",IF(COUNTBLANK('Capacity summary'!$H186:$BG186)&lt;52,IF('Capacity summary'!BE186&lt;&gt;"",IF(LOWER('Capacity summary'!BE186)="x",$BI67*BE67,VALUE('Capacity summary'!BE186)),0),BE67*$BI67),BE67*$BI67),0)</f>
        <v>0</v>
      </c>
      <c r="DI67" s="311">
        <f>IF($BI67&lt;&gt;"",IF('Capacity summary'!$D$14="Yes",IF(COUNTBLANK('Capacity summary'!$H186:$BG186)&lt;52,IF('Capacity summary'!BF186&lt;&gt;"",IF(LOWER('Capacity summary'!BF186)="x",$BI67*BF67,VALUE('Capacity summary'!BF186)),0),BF67*$BI67),BF67*$BI67),0)</f>
        <v>0</v>
      </c>
      <c r="DJ67" s="311">
        <f>IF($BI67&lt;&gt;"",IF('Capacity summary'!$D$14="Yes",IF(COUNTBLANK('Capacity summary'!$H186:$BG186)&lt;52,IF('Capacity summary'!BG186&lt;&gt;"",IF(LOWER('Capacity summary'!BG186)="x",$BI67*BG67,VALUE('Capacity summary'!BG186)),0),BG67*$BI67),BG67*$BI67),0)</f>
        <v>0</v>
      </c>
      <c r="DK67" s="391">
        <f t="shared" si="2"/>
        <v>0</v>
      </c>
      <c r="DL67" s="136">
        <f t="shared" si="3"/>
        <v>0</v>
      </c>
      <c r="DM67" s="311" t="str">
        <f>Capacity!H79</f>
        <v/>
      </c>
    </row>
    <row r="68" spans="1:117" x14ac:dyDescent="0.2">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1">
        <f>IF($BI68&lt;&gt;"",IF('Capacity summary'!$D$14="Yes",IF(COUNTBLANK('Capacity summary'!$H187:$BG187)&lt;52,IF('Capacity summary'!H187&lt;&gt;"",IF(LOWER('Capacity summary'!H187)="x",$BI68*H68,VALUE('Capacity summary'!H187)),0),H68*$BI68),H68*$BI68),0)</f>
        <v>0</v>
      </c>
      <c r="BL68" s="311">
        <f>IF($BI68&lt;&gt;"",IF('Capacity summary'!$D$14="Yes",IF(COUNTBLANK('Capacity summary'!$H187:$BG187)&lt;52,IF('Capacity summary'!I187&lt;&gt;"",IF(LOWER('Capacity summary'!I187)="x",$BI68*I68,VALUE('Capacity summary'!I187)),0),I68*$BI68),I68*$BI68),0)</f>
        <v>0</v>
      </c>
      <c r="BM68" s="311">
        <f>IF($BI68&lt;&gt;"",IF('Capacity summary'!$D$14="Yes",IF(COUNTBLANK('Capacity summary'!$H187:$BG187)&lt;52,IF('Capacity summary'!J187&lt;&gt;"",IF(LOWER('Capacity summary'!J187)="x",$BI68*J68,VALUE('Capacity summary'!J187)),0),J68*$BI68),J68*$BI68),0)</f>
        <v>0</v>
      </c>
      <c r="BN68" s="311">
        <f>IF($BI68&lt;&gt;"",IF('Capacity summary'!$D$14="Yes",IF(COUNTBLANK('Capacity summary'!$H187:$BG187)&lt;52,IF('Capacity summary'!K187&lt;&gt;"",IF(LOWER('Capacity summary'!K187)="x",$BI68*K68,VALUE('Capacity summary'!K187)),0),K68*$BI68),K68*$BI68),0)</f>
        <v>0</v>
      </c>
      <c r="BO68" s="311">
        <f>IF($BI68&lt;&gt;"",IF('Capacity summary'!$D$14="Yes",IF(COUNTBLANK('Capacity summary'!$H187:$BG187)&lt;52,IF('Capacity summary'!L187&lt;&gt;"",IF(LOWER('Capacity summary'!L187)="x",$BI68*L68,VALUE('Capacity summary'!L187)),0),L68*$BI68),L68*$BI68),0)</f>
        <v>0</v>
      </c>
      <c r="BP68" s="311">
        <f>IF($BI68&lt;&gt;"",IF('Capacity summary'!$D$14="Yes",IF(COUNTBLANK('Capacity summary'!$H187:$BG187)&lt;52,IF('Capacity summary'!M187&lt;&gt;"",IF(LOWER('Capacity summary'!M187)="x",$BI68*M68,VALUE('Capacity summary'!M187)),0),M68*$BI68),M68*$BI68),0)</f>
        <v>0</v>
      </c>
      <c r="BQ68" s="311">
        <f>IF($BI68&lt;&gt;"",IF('Capacity summary'!$D$14="Yes",IF(COUNTBLANK('Capacity summary'!$H187:$BG187)&lt;52,IF('Capacity summary'!N187&lt;&gt;"",IF(LOWER('Capacity summary'!N187)="x",$BI68*N68,VALUE('Capacity summary'!N187)),0),N68*$BI68),N68*$BI68),0)</f>
        <v>0</v>
      </c>
      <c r="BR68" s="311">
        <f>IF($BI68&lt;&gt;"",IF('Capacity summary'!$D$14="Yes",IF(COUNTBLANK('Capacity summary'!$H187:$BG187)&lt;52,IF('Capacity summary'!O187&lt;&gt;"",IF(LOWER('Capacity summary'!O187)="x",$BI68*O68,VALUE('Capacity summary'!O187)),0),O68*$BI68),O68*$BI68),0)</f>
        <v>0</v>
      </c>
      <c r="BS68" s="311">
        <f>IF($BI68&lt;&gt;"",IF('Capacity summary'!$D$14="Yes",IF(COUNTBLANK('Capacity summary'!$H187:$BG187)&lt;52,IF('Capacity summary'!P187&lt;&gt;"",IF(LOWER('Capacity summary'!P187)="x",$BI68*P68,VALUE('Capacity summary'!P187)),0),P68*$BI68),P68*$BI68),0)</f>
        <v>0</v>
      </c>
      <c r="BT68" s="311">
        <f>IF($BI68&lt;&gt;"",IF('Capacity summary'!$D$14="Yes",IF(COUNTBLANK('Capacity summary'!$H187:$BG187)&lt;52,IF('Capacity summary'!Q187&lt;&gt;"",IF(LOWER('Capacity summary'!Q187)="x",$BI68*Q68,VALUE('Capacity summary'!Q187)),0),Q68*$BI68),Q68*$BI68),0)</f>
        <v>0</v>
      </c>
      <c r="BU68" s="311">
        <f>IF($BI68&lt;&gt;"",IF('Capacity summary'!$D$14="Yes",IF(COUNTBLANK('Capacity summary'!$H187:$BG187)&lt;52,IF('Capacity summary'!R187&lt;&gt;"",IF(LOWER('Capacity summary'!R187)="x",$BI68*R68,VALUE('Capacity summary'!R187)),0),R68*$BI68),R68*$BI68),0)</f>
        <v>0</v>
      </c>
      <c r="BV68" s="311">
        <f>IF($BI68&lt;&gt;"",IF('Capacity summary'!$D$14="Yes",IF(COUNTBLANK('Capacity summary'!$H187:$BG187)&lt;52,IF('Capacity summary'!S187&lt;&gt;"",IF(LOWER('Capacity summary'!S187)="x",$BI68*S68,VALUE('Capacity summary'!S187)),0),S68*$BI68),S68*$BI68),0)</f>
        <v>0</v>
      </c>
      <c r="BW68" s="311">
        <f>IF($BI68&lt;&gt;"",IF('Capacity summary'!$D$14="Yes",IF(COUNTBLANK('Capacity summary'!$H187:$BG187)&lt;52,IF('Capacity summary'!T187&lt;&gt;"",IF(LOWER('Capacity summary'!T187)="x",$BI68*T68,VALUE('Capacity summary'!T187)),0),T68*$BI68),T68*$BI68),0)</f>
        <v>0</v>
      </c>
      <c r="BX68" s="311">
        <f>IF($BI68&lt;&gt;"",IF('Capacity summary'!$D$14="Yes",IF(COUNTBLANK('Capacity summary'!$H187:$BG187)&lt;52,IF('Capacity summary'!U187&lt;&gt;"",IF(LOWER('Capacity summary'!U187)="x",$BI68*U68,VALUE('Capacity summary'!U187)),0),U68*$BI68),U68*$BI68),0)</f>
        <v>0</v>
      </c>
      <c r="BY68" s="311">
        <f>IF($BI68&lt;&gt;"",IF('Capacity summary'!$D$14="Yes",IF(COUNTBLANK('Capacity summary'!$H187:$BG187)&lt;52,IF('Capacity summary'!V187&lt;&gt;"",IF(LOWER('Capacity summary'!V187)="x",$BI68*V68,VALUE('Capacity summary'!V187)),0),V68*$BI68),V68*$BI68),0)</f>
        <v>0</v>
      </c>
      <c r="BZ68" s="311">
        <f>IF($BI68&lt;&gt;"",IF('Capacity summary'!$D$14="Yes",IF(COUNTBLANK('Capacity summary'!$H187:$BG187)&lt;52,IF('Capacity summary'!W187&lt;&gt;"",IF(LOWER('Capacity summary'!W187)="x",$BI68*W68,VALUE('Capacity summary'!W187)),0),W68*$BI68),W68*$BI68),0)</f>
        <v>0</v>
      </c>
      <c r="CA68" s="311">
        <f>IF($BI68&lt;&gt;"",IF('Capacity summary'!$D$14="Yes",IF(COUNTBLANK('Capacity summary'!$H187:$BG187)&lt;52,IF('Capacity summary'!X187&lt;&gt;"",IF(LOWER('Capacity summary'!X187)="x",$BI68*X68,VALUE('Capacity summary'!X187)),0),X68*$BI68),X68*$BI68),0)</f>
        <v>0</v>
      </c>
      <c r="CB68" s="311">
        <f>IF($BI68&lt;&gt;"",IF('Capacity summary'!$D$14="Yes",IF(COUNTBLANK('Capacity summary'!$H187:$BG187)&lt;52,IF('Capacity summary'!Y187&lt;&gt;"",IF(LOWER('Capacity summary'!Y187)="x",$BI68*Y68,VALUE('Capacity summary'!Y187)),0),Y68*$BI68),Y68*$BI68),0)</f>
        <v>0</v>
      </c>
      <c r="CC68" s="311">
        <f>IF($BI68&lt;&gt;"",IF('Capacity summary'!$D$14="Yes",IF(COUNTBLANK('Capacity summary'!$H187:$BG187)&lt;52,IF('Capacity summary'!Z187&lt;&gt;"",IF(LOWER('Capacity summary'!Z187)="x",$BI68*Z68,VALUE('Capacity summary'!Z187)),0),Z68*$BI68),Z68*$BI68),0)</f>
        <v>0</v>
      </c>
      <c r="CD68" s="311">
        <f>IF($BI68&lt;&gt;"",IF('Capacity summary'!$D$14="Yes",IF(COUNTBLANK('Capacity summary'!$H187:$BG187)&lt;52,IF('Capacity summary'!AA187&lt;&gt;"",IF(LOWER('Capacity summary'!AA187)="x",$BI68*AA68,VALUE('Capacity summary'!AA187)),0),AA68*$BI68),AA68*$BI68),0)</f>
        <v>0</v>
      </c>
      <c r="CE68" s="311">
        <f>IF($BI68&lt;&gt;"",IF('Capacity summary'!$D$14="Yes",IF(COUNTBLANK('Capacity summary'!$H187:$BG187)&lt;52,IF('Capacity summary'!AB187&lt;&gt;"",IF(LOWER('Capacity summary'!AB187)="x",$BI68*AB68,VALUE('Capacity summary'!AB187)),0),AB68*$BI68),AB68*$BI68),0)</f>
        <v>0</v>
      </c>
      <c r="CF68" s="311">
        <f>IF($BI68&lt;&gt;"",IF('Capacity summary'!$D$14="Yes",IF(COUNTBLANK('Capacity summary'!$H187:$BG187)&lt;52,IF('Capacity summary'!AC187&lt;&gt;"",IF(LOWER('Capacity summary'!AC187)="x",$BI68*AC68,VALUE('Capacity summary'!AC187)),0),AC68*$BI68),AC68*$BI68),0)</f>
        <v>0</v>
      </c>
      <c r="CG68" s="311">
        <f>IF($BI68&lt;&gt;"",IF('Capacity summary'!$D$14="Yes",IF(COUNTBLANK('Capacity summary'!$H187:$BG187)&lt;52,IF('Capacity summary'!AD187&lt;&gt;"",IF(LOWER('Capacity summary'!AD187)="x",$BI68*AD68,VALUE('Capacity summary'!AD187)),0),AD68*$BI68),AD68*$BI68),0)</f>
        <v>0</v>
      </c>
      <c r="CH68" s="311">
        <f>IF($BI68&lt;&gt;"",IF('Capacity summary'!$D$14="Yes",IF(COUNTBLANK('Capacity summary'!$H187:$BG187)&lt;52,IF('Capacity summary'!AE187&lt;&gt;"",IF(LOWER('Capacity summary'!AE187)="x",$BI68*AE68,VALUE('Capacity summary'!AE187)),0),AE68*$BI68),AE68*$BI68),0)</f>
        <v>0</v>
      </c>
      <c r="CI68" s="311">
        <f>IF($BI68&lt;&gt;"",IF('Capacity summary'!$D$14="Yes",IF(COUNTBLANK('Capacity summary'!$H187:$BG187)&lt;52,IF('Capacity summary'!AF187&lt;&gt;"",IF(LOWER('Capacity summary'!AF187)="x",$BI68*AF68,VALUE('Capacity summary'!AF187)),0),AF68*$BI68),AF68*$BI68),0)</f>
        <v>0</v>
      </c>
      <c r="CJ68" s="311">
        <f>IF($BI68&lt;&gt;"",IF('Capacity summary'!$D$14="Yes",IF(COUNTBLANK('Capacity summary'!$H187:$BG187)&lt;52,IF('Capacity summary'!AG187&lt;&gt;"",IF(LOWER('Capacity summary'!AG187)="x",$BI68*AG68,VALUE('Capacity summary'!AG187)),0),AG68*$BI68),AG68*$BI68),0)</f>
        <v>0</v>
      </c>
      <c r="CK68" s="311">
        <f>IF($BI68&lt;&gt;"",IF('Capacity summary'!$D$14="Yes",IF(COUNTBLANK('Capacity summary'!$H187:$BG187)&lt;52,IF('Capacity summary'!AH187&lt;&gt;"",IF(LOWER('Capacity summary'!AH187)="x",$BI68*AH68,VALUE('Capacity summary'!AH187)),0),AH68*$BI68),AH68*$BI68),0)</f>
        <v>0</v>
      </c>
      <c r="CL68" s="311">
        <f>IF($BI68&lt;&gt;"",IF('Capacity summary'!$D$14="Yes",IF(COUNTBLANK('Capacity summary'!$H187:$BG187)&lt;52,IF('Capacity summary'!AI187&lt;&gt;"",IF(LOWER('Capacity summary'!AI187)="x",$BI68*AI68,VALUE('Capacity summary'!AI187)),0),AI68*$BI68),AI68*$BI68),0)</f>
        <v>0</v>
      </c>
      <c r="CM68" s="311">
        <f>IF($BI68&lt;&gt;"",IF('Capacity summary'!$D$14="Yes",IF(COUNTBLANK('Capacity summary'!$H187:$BG187)&lt;52,IF('Capacity summary'!AJ187&lt;&gt;"",IF(LOWER('Capacity summary'!AJ187)="x",$BI68*AJ68,VALUE('Capacity summary'!AJ187)),0),AJ68*$BI68),AJ68*$BI68),0)</f>
        <v>0</v>
      </c>
      <c r="CN68" s="311">
        <f>IF($BI68&lt;&gt;"",IF('Capacity summary'!$D$14="Yes",IF(COUNTBLANK('Capacity summary'!$H187:$BG187)&lt;52,IF('Capacity summary'!AK187&lt;&gt;"",IF(LOWER('Capacity summary'!AK187)="x",$BI68*AK68,VALUE('Capacity summary'!AK187)),0),AK68*$BI68),AK68*$BI68),0)</f>
        <v>0</v>
      </c>
      <c r="CO68" s="311">
        <f>IF($BI68&lt;&gt;"",IF('Capacity summary'!$D$14="Yes",IF(COUNTBLANK('Capacity summary'!$H187:$BG187)&lt;52,IF('Capacity summary'!AL187&lt;&gt;"",IF(LOWER('Capacity summary'!AL187)="x",$BI68*AL68,VALUE('Capacity summary'!AL187)),0),AL68*$BI68),AL68*$BI68),0)</f>
        <v>0</v>
      </c>
      <c r="CP68" s="311">
        <f>IF($BI68&lt;&gt;"",IF('Capacity summary'!$D$14="Yes",IF(COUNTBLANK('Capacity summary'!$H187:$BG187)&lt;52,IF('Capacity summary'!AM187&lt;&gt;"",IF(LOWER('Capacity summary'!AM187)="x",$BI68*AM68,VALUE('Capacity summary'!AM187)),0),AM68*$BI68),AM68*$BI68),0)</f>
        <v>0</v>
      </c>
      <c r="CQ68" s="311">
        <f>IF($BI68&lt;&gt;"",IF('Capacity summary'!$D$14="Yes",IF(COUNTBLANK('Capacity summary'!$H187:$BG187)&lt;52,IF('Capacity summary'!AN187&lt;&gt;"",IF(LOWER('Capacity summary'!AN187)="x",$BI68*AN68,VALUE('Capacity summary'!AN187)),0),AN68*$BI68),AN68*$BI68),0)</f>
        <v>0</v>
      </c>
      <c r="CR68" s="311">
        <f>IF($BI68&lt;&gt;"",IF('Capacity summary'!$D$14="Yes",IF(COUNTBLANK('Capacity summary'!$H187:$BG187)&lt;52,IF('Capacity summary'!AO187&lt;&gt;"",IF(LOWER('Capacity summary'!AO187)="x",$BI68*AO68,VALUE('Capacity summary'!AO187)),0),AO68*$BI68),AO68*$BI68),0)</f>
        <v>0</v>
      </c>
      <c r="CS68" s="311">
        <f>IF($BI68&lt;&gt;"",IF('Capacity summary'!$D$14="Yes",IF(COUNTBLANK('Capacity summary'!$H187:$BG187)&lt;52,IF('Capacity summary'!AP187&lt;&gt;"",IF(LOWER('Capacity summary'!AP187)="x",$BI68*AP68,VALUE('Capacity summary'!AP187)),0),AP68*$BI68),AP68*$BI68),0)</f>
        <v>0</v>
      </c>
      <c r="CT68" s="311">
        <f>IF($BI68&lt;&gt;"",IF('Capacity summary'!$D$14="Yes",IF(COUNTBLANK('Capacity summary'!$H187:$BG187)&lt;52,IF('Capacity summary'!AQ187&lt;&gt;"",IF(LOWER('Capacity summary'!AQ187)="x",$BI68*AQ68,VALUE('Capacity summary'!AQ187)),0),AQ68*$BI68),AQ68*$BI68),0)</f>
        <v>0</v>
      </c>
      <c r="CU68" s="311">
        <f>IF($BI68&lt;&gt;"",IF('Capacity summary'!$D$14="Yes",IF(COUNTBLANK('Capacity summary'!$H187:$BG187)&lt;52,IF('Capacity summary'!AR187&lt;&gt;"",IF(LOWER('Capacity summary'!AR187)="x",$BI68*AR68,VALUE('Capacity summary'!AR187)),0),AR68*$BI68),AR68*$BI68),0)</f>
        <v>0</v>
      </c>
      <c r="CV68" s="311">
        <f>IF($BI68&lt;&gt;"",IF('Capacity summary'!$D$14="Yes",IF(COUNTBLANK('Capacity summary'!$H187:$BG187)&lt;52,IF('Capacity summary'!AS187&lt;&gt;"",IF(LOWER('Capacity summary'!AS187)="x",$BI68*AS68,VALUE('Capacity summary'!AS187)),0),AS68*$BI68),AS68*$BI68),0)</f>
        <v>0</v>
      </c>
      <c r="CW68" s="311">
        <f>IF($BI68&lt;&gt;"",IF('Capacity summary'!$D$14="Yes",IF(COUNTBLANK('Capacity summary'!$H187:$BG187)&lt;52,IF('Capacity summary'!AT187&lt;&gt;"",IF(LOWER('Capacity summary'!AT187)="x",$BI68*AT68,VALUE('Capacity summary'!AT187)),0),AT68*$BI68),AT68*$BI68),0)</f>
        <v>0</v>
      </c>
      <c r="CX68" s="311">
        <f>IF($BI68&lt;&gt;"",IF('Capacity summary'!$D$14="Yes",IF(COUNTBLANK('Capacity summary'!$H187:$BG187)&lt;52,IF('Capacity summary'!AU187&lt;&gt;"",IF(LOWER('Capacity summary'!AU187)="x",$BI68*AU68,VALUE('Capacity summary'!AU187)),0),AU68*$BI68),AU68*$BI68),0)</f>
        <v>0</v>
      </c>
      <c r="CY68" s="311">
        <f>IF($BI68&lt;&gt;"",IF('Capacity summary'!$D$14="Yes",IF(COUNTBLANK('Capacity summary'!$H187:$BG187)&lt;52,IF('Capacity summary'!AV187&lt;&gt;"",IF(LOWER('Capacity summary'!AV187)="x",$BI68*AV68,VALUE('Capacity summary'!AV187)),0),AV68*$BI68),AV68*$BI68),0)</f>
        <v>0</v>
      </c>
      <c r="CZ68" s="311">
        <f>IF($BI68&lt;&gt;"",IF('Capacity summary'!$D$14="Yes",IF(COUNTBLANK('Capacity summary'!$H187:$BG187)&lt;52,IF('Capacity summary'!AW187&lt;&gt;"",IF(LOWER('Capacity summary'!AW187)="x",$BI68*AW68,VALUE('Capacity summary'!AW187)),0),AW68*$BI68),AW68*$BI68),0)</f>
        <v>0</v>
      </c>
      <c r="DA68" s="311">
        <f>IF($BI68&lt;&gt;"",IF('Capacity summary'!$D$14="Yes",IF(COUNTBLANK('Capacity summary'!$H187:$BG187)&lt;52,IF('Capacity summary'!AX187&lt;&gt;"",IF(LOWER('Capacity summary'!AX187)="x",$BI68*AX68,VALUE('Capacity summary'!AX187)),0),AX68*$BI68),AX68*$BI68),0)</f>
        <v>0</v>
      </c>
      <c r="DB68" s="311">
        <f>IF($BI68&lt;&gt;"",IF('Capacity summary'!$D$14="Yes",IF(COUNTBLANK('Capacity summary'!$H187:$BG187)&lt;52,IF('Capacity summary'!AY187&lt;&gt;"",IF(LOWER('Capacity summary'!AY187)="x",$BI68*AY68,VALUE('Capacity summary'!AY187)),0),AY68*$BI68),AY68*$BI68),0)</f>
        <v>0</v>
      </c>
      <c r="DC68" s="311">
        <f>IF($BI68&lt;&gt;"",IF('Capacity summary'!$D$14="Yes",IF(COUNTBLANK('Capacity summary'!$H187:$BG187)&lt;52,IF('Capacity summary'!AZ187&lt;&gt;"",IF(LOWER('Capacity summary'!AZ187)="x",$BI68*AZ68,VALUE('Capacity summary'!AZ187)),0),AZ68*$BI68),AZ68*$BI68),0)</f>
        <v>0</v>
      </c>
      <c r="DD68" s="311">
        <f>IF($BI68&lt;&gt;"",IF('Capacity summary'!$D$14="Yes",IF(COUNTBLANK('Capacity summary'!$H187:$BG187)&lt;52,IF('Capacity summary'!BA187&lt;&gt;"",IF(LOWER('Capacity summary'!BA187)="x",$BI68*BA68,VALUE('Capacity summary'!BA187)),0),BA68*$BI68),BA68*$BI68),0)</f>
        <v>0</v>
      </c>
      <c r="DE68" s="311">
        <f>IF($BI68&lt;&gt;"",IF('Capacity summary'!$D$14="Yes",IF(COUNTBLANK('Capacity summary'!$H187:$BG187)&lt;52,IF('Capacity summary'!BB187&lt;&gt;"",IF(LOWER('Capacity summary'!BB187)="x",$BI68*BB68,VALUE('Capacity summary'!BB187)),0),BB68*$BI68),BB68*$BI68),0)</f>
        <v>0</v>
      </c>
      <c r="DF68" s="311">
        <f>IF($BI68&lt;&gt;"",IF('Capacity summary'!$D$14="Yes",IF(COUNTBLANK('Capacity summary'!$H187:$BG187)&lt;52,IF('Capacity summary'!BC187&lt;&gt;"",IF(LOWER('Capacity summary'!BC187)="x",$BI68*BC68,VALUE('Capacity summary'!BC187)),0),BC68*$BI68),BC68*$BI68),0)</f>
        <v>0</v>
      </c>
      <c r="DG68" s="311">
        <f>IF($BI68&lt;&gt;"",IF('Capacity summary'!$D$14="Yes",IF(COUNTBLANK('Capacity summary'!$H187:$BG187)&lt;52,IF('Capacity summary'!BD187&lt;&gt;"",IF(LOWER('Capacity summary'!BD187)="x",$BI68*BD68,VALUE('Capacity summary'!BD187)),0),BD68*$BI68),BD68*$BI68),0)</f>
        <v>0</v>
      </c>
      <c r="DH68" s="311">
        <f>IF($BI68&lt;&gt;"",IF('Capacity summary'!$D$14="Yes",IF(COUNTBLANK('Capacity summary'!$H187:$BG187)&lt;52,IF('Capacity summary'!BE187&lt;&gt;"",IF(LOWER('Capacity summary'!BE187)="x",$BI68*BE68,VALUE('Capacity summary'!BE187)),0),BE68*$BI68),BE68*$BI68),0)</f>
        <v>0</v>
      </c>
      <c r="DI68" s="311">
        <f>IF($BI68&lt;&gt;"",IF('Capacity summary'!$D$14="Yes",IF(COUNTBLANK('Capacity summary'!$H187:$BG187)&lt;52,IF('Capacity summary'!BF187&lt;&gt;"",IF(LOWER('Capacity summary'!BF187)="x",$BI68*BF68,VALUE('Capacity summary'!BF187)),0),BF68*$BI68),BF68*$BI68),0)</f>
        <v>0</v>
      </c>
      <c r="DJ68" s="311">
        <f>IF($BI68&lt;&gt;"",IF('Capacity summary'!$D$14="Yes",IF(COUNTBLANK('Capacity summary'!$H187:$BG187)&lt;52,IF('Capacity summary'!BG187&lt;&gt;"",IF(LOWER('Capacity summary'!BG187)="x",$BI68*BG68,VALUE('Capacity summary'!BG187)),0),BG68*$BI68),BG68*$BI68),0)</f>
        <v>0</v>
      </c>
      <c r="DK68" s="391">
        <f t="shared" si="2"/>
        <v>0</v>
      </c>
      <c r="DL68" s="136">
        <f t="shared" si="3"/>
        <v>0</v>
      </c>
      <c r="DM68" s="311" t="str">
        <f>Capacity!H80</f>
        <v/>
      </c>
    </row>
    <row r="69" spans="1:117" x14ac:dyDescent="0.2">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1">
        <f>IF($BI69&lt;&gt;"",IF('Capacity summary'!$D$14="Yes",IF(COUNTBLANK('Capacity summary'!$H188:$BG188)&lt;52,IF('Capacity summary'!H188&lt;&gt;"",IF(LOWER('Capacity summary'!H188)="x",$BI69*H69,VALUE('Capacity summary'!H188)),0),H69*$BI69),H69*$BI69),0)</f>
        <v>0</v>
      </c>
      <c r="BL69" s="311">
        <f>IF($BI69&lt;&gt;"",IF('Capacity summary'!$D$14="Yes",IF(COUNTBLANK('Capacity summary'!$H188:$BG188)&lt;52,IF('Capacity summary'!I188&lt;&gt;"",IF(LOWER('Capacity summary'!I188)="x",$BI69*I69,VALUE('Capacity summary'!I188)),0),I69*$BI69),I69*$BI69),0)</f>
        <v>0</v>
      </c>
      <c r="BM69" s="311">
        <f>IF($BI69&lt;&gt;"",IF('Capacity summary'!$D$14="Yes",IF(COUNTBLANK('Capacity summary'!$H188:$BG188)&lt;52,IF('Capacity summary'!J188&lt;&gt;"",IF(LOWER('Capacity summary'!J188)="x",$BI69*J69,VALUE('Capacity summary'!J188)),0),J69*$BI69),J69*$BI69),0)</f>
        <v>0</v>
      </c>
      <c r="BN69" s="311">
        <f>IF($BI69&lt;&gt;"",IF('Capacity summary'!$D$14="Yes",IF(COUNTBLANK('Capacity summary'!$H188:$BG188)&lt;52,IF('Capacity summary'!K188&lt;&gt;"",IF(LOWER('Capacity summary'!K188)="x",$BI69*K69,VALUE('Capacity summary'!K188)),0),K69*$BI69),K69*$BI69),0)</f>
        <v>0</v>
      </c>
      <c r="BO69" s="311">
        <f>IF($BI69&lt;&gt;"",IF('Capacity summary'!$D$14="Yes",IF(COUNTBLANK('Capacity summary'!$H188:$BG188)&lt;52,IF('Capacity summary'!L188&lt;&gt;"",IF(LOWER('Capacity summary'!L188)="x",$BI69*L69,VALUE('Capacity summary'!L188)),0),L69*$BI69),L69*$BI69),0)</f>
        <v>0</v>
      </c>
      <c r="BP69" s="311">
        <f>IF($BI69&lt;&gt;"",IF('Capacity summary'!$D$14="Yes",IF(COUNTBLANK('Capacity summary'!$H188:$BG188)&lt;52,IF('Capacity summary'!M188&lt;&gt;"",IF(LOWER('Capacity summary'!M188)="x",$BI69*M69,VALUE('Capacity summary'!M188)),0),M69*$BI69),M69*$BI69),0)</f>
        <v>0</v>
      </c>
      <c r="BQ69" s="311">
        <f>IF($BI69&lt;&gt;"",IF('Capacity summary'!$D$14="Yes",IF(COUNTBLANK('Capacity summary'!$H188:$BG188)&lt;52,IF('Capacity summary'!N188&lt;&gt;"",IF(LOWER('Capacity summary'!N188)="x",$BI69*N69,VALUE('Capacity summary'!N188)),0),N69*$BI69),N69*$BI69),0)</f>
        <v>0</v>
      </c>
      <c r="BR69" s="311">
        <f>IF($BI69&lt;&gt;"",IF('Capacity summary'!$D$14="Yes",IF(COUNTBLANK('Capacity summary'!$H188:$BG188)&lt;52,IF('Capacity summary'!O188&lt;&gt;"",IF(LOWER('Capacity summary'!O188)="x",$BI69*O69,VALUE('Capacity summary'!O188)),0),O69*$BI69),O69*$BI69),0)</f>
        <v>0</v>
      </c>
      <c r="BS69" s="311">
        <f>IF($BI69&lt;&gt;"",IF('Capacity summary'!$D$14="Yes",IF(COUNTBLANK('Capacity summary'!$H188:$BG188)&lt;52,IF('Capacity summary'!P188&lt;&gt;"",IF(LOWER('Capacity summary'!P188)="x",$BI69*P69,VALUE('Capacity summary'!P188)),0),P69*$BI69),P69*$BI69),0)</f>
        <v>0</v>
      </c>
      <c r="BT69" s="311">
        <f>IF($BI69&lt;&gt;"",IF('Capacity summary'!$D$14="Yes",IF(COUNTBLANK('Capacity summary'!$H188:$BG188)&lt;52,IF('Capacity summary'!Q188&lt;&gt;"",IF(LOWER('Capacity summary'!Q188)="x",$BI69*Q69,VALUE('Capacity summary'!Q188)),0),Q69*$BI69),Q69*$BI69),0)</f>
        <v>0</v>
      </c>
      <c r="BU69" s="311">
        <f>IF($BI69&lt;&gt;"",IF('Capacity summary'!$D$14="Yes",IF(COUNTBLANK('Capacity summary'!$H188:$BG188)&lt;52,IF('Capacity summary'!R188&lt;&gt;"",IF(LOWER('Capacity summary'!R188)="x",$BI69*R69,VALUE('Capacity summary'!R188)),0),R69*$BI69),R69*$BI69),0)</f>
        <v>0</v>
      </c>
      <c r="BV69" s="311">
        <f>IF($BI69&lt;&gt;"",IF('Capacity summary'!$D$14="Yes",IF(COUNTBLANK('Capacity summary'!$H188:$BG188)&lt;52,IF('Capacity summary'!S188&lt;&gt;"",IF(LOWER('Capacity summary'!S188)="x",$BI69*S69,VALUE('Capacity summary'!S188)),0),S69*$BI69),S69*$BI69),0)</f>
        <v>0</v>
      </c>
      <c r="BW69" s="311">
        <f>IF($BI69&lt;&gt;"",IF('Capacity summary'!$D$14="Yes",IF(COUNTBLANK('Capacity summary'!$H188:$BG188)&lt;52,IF('Capacity summary'!T188&lt;&gt;"",IF(LOWER('Capacity summary'!T188)="x",$BI69*T69,VALUE('Capacity summary'!T188)),0),T69*$BI69),T69*$BI69),0)</f>
        <v>0</v>
      </c>
      <c r="BX69" s="311">
        <f>IF($BI69&lt;&gt;"",IF('Capacity summary'!$D$14="Yes",IF(COUNTBLANK('Capacity summary'!$H188:$BG188)&lt;52,IF('Capacity summary'!U188&lt;&gt;"",IF(LOWER('Capacity summary'!U188)="x",$BI69*U69,VALUE('Capacity summary'!U188)),0),U69*$BI69),U69*$BI69),0)</f>
        <v>0</v>
      </c>
      <c r="BY69" s="311">
        <f>IF($BI69&lt;&gt;"",IF('Capacity summary'!$D$14="Yes",IF(COUNTBLANK('Capacity summary'!$H188:$BG188)&lt;52,IF('Capacity summary'!V188&lt;&gt;"",IF(LOWER('Capacity summary'!V188)="x",$BI69*V69,VALUE('Capacity summary'!V188)),0),V69*$BI69),V69*$BI69),0)</f>
        <v>0</v>
      </c>
      <c r="BZ69" s="311">
        <f>IF($BI69&lt;&gt;"",IF('Capacity summary'!$D$14="Yes",IF(COUNTBLANK('Capacity summary'!$H188:$BG188)&lt;52,IF('Capacity summary'!W188&lt;&gt;"",IF(LOWER('Capacity summary'!W188)="x",$BI69*W69,VALUE('Capacity summary'!W188)),0),W69*$BI69),W69*$BI69),0)</f>
        <v>0</v>
      </c>
      <c r="CA69" s="311">
        <f>IF($BI69&lt;&gt;"",IF('Capacity summary'!$D$14="Yes",IF(COUNTBLANK('Capacity summary'!$H188:$BG188)&lt;52,IF('Capacity summary'!X188&lt;&gt;"",IF(LOWER('Capacity summary'!X188)="x",$BI69*X69,VALUE('Capacity summary'!X188)),0),X69*$BI69),X69*$BI69),0)</f>
        <v>0</v>
      </c>
      <c r="CB69" s="311">
        <f>IF($BI69&lt;&gt;"",IF('Capacity summary'!$D$14="Yes",IF(COUNTBLANK('Capacity summary'!$H188:$BG188)&lt;52,IF('Capacity summary'!Y188&lt;&gt;"",IF(LOWER('Capacity summary'!Y188)="x",$BI69*Y69,VALUE('Capacity summary'!Y188)),0),Y69*$BI69),Y69*$BI69),0)</f>
        <v>0</v>
      </c>
      <c r="CC69" s="311">
        <f>IF($BI69&lt;&gt;"",IF('Capacity summary'!$D$14="Yes",IF(COUNTBLANK('Capacity summary'!$H188:$BG188)&lt;52,IF('Capacity summary'!Z188&lt;&gt;"",IF(LOWER('Capacity summary'!Z188)="x",$BI69*Z69,VALUE('Capacity summary'!Z188)),0),Z69*$BI69),Z69*$BI69),0)</f>
        <v>0</v>
      </c>
      <c r="CD69" s="311">
        <f>IF($BI69&lt;&gt;"",IF('Capacity summary'!$D$14="Yes",IF(COUNTBLANK('Capacity summary'!$H188:$BG188)&lt;52,IF('Capacity summary'!AA188&lt;&gt;"",IF(LOWER('Capacity summary'!AA188)="x",$BI69*AA69,VALUE('Capacity summary'!AA188)),0),AA69*$BI69),AA69*$BI69),0)</f>
        <v>0</v>
      </c>
      <c r="CE69" s="311">
        <f>IF($BI69&lt;&gt;"",IF('Capacity summary'!$D$14="Yes",IF(COUNTBLANK('Capacity summary'!$H188:$BG188)&lt;52,IF('Capacity summary'!AB188&lt;&gt;"",IF(LOWER('Capacity summary'!AB188)="x",$BI69*AB69,VALUE('Capacity summary'!AB188)),0),AB69*$BI69),AB69*$BI69),0)</f>
        <v>0</v>
      </c>
      <c r="CF69" s="311">
        <f>IF($BI69&lt;&gt;"",IF('Capacity summary'!$D$14="Yes",IF(COUNTBLANK('Capacity summary'!$H188:$BG188)&lt;52,IF('Capacity summary'!AC188&lt;&gt;"",IF(LOWER('Capacity summary'!AC188)="x",$BI69*AC69,VALUE('Capacity summary'!AC188)),0),AC69*$BI69),AC69*$BI69),0)</f>
        <v>0</v>
      </c>
      <c r="CG69" s="311">
        <f>IF($BI69&lt;&gt;"",IF('Capacity summary'!$D$14="Yes",IF(COUNTBLANK('Capacity summary'!$H188:$BG188)&lt;52,IF('Capacity summary'!AD188&lt;&gt;"",IF(LOWER('Capacity summary'!AD188)="x",$BI69*AD69,VALUE('Capacity summary'!AD188)),0),AD69*$BI69),AD69*$BI69),0)</f>
        <v>0</v>
      </c>
      <c r="CH69" s="311">
        <f>IF($BI69&lt;&gt;"",IF('Capacity summary'!$D$14="Yes",IF(COUNTBLANK('Capacity summary'!$H188:$BG188)&lt;52,IF('Capacity summary'!AE188&lt;&gt;"",IF(LOWER('Capacity summary'!AE188)="x",$BI69*AE69,VALUE('Capacity summary'!AE188)),0),AE69*$BI69),AE69*$BI69),0)</f>
        <v>0</v>
      </c>
      <c r="CI69" s="311">
        <f>IF($BI69&lt;&gt;"",IF('Capacity summary'!$D$14="Yes",IF(COUNTBLANK('Capacity summary'!$H188:$BG188)&lt;52,IF('Capacity summary'!AF188&lt;&gt;"",IF(LOWER('Capacity summary'!AF188)="x",$BI69*AF69,VALUE('Capacity summary'!AF188)),0),AF69*$BI69),AF69*$BI69),0)</f>
        <v>0</v>
      </c>
      <c r="CJ69" s="311">
        <f>IF($BI69&lt;&gt;"",IF('Capacity summary'!$D$14="Yes",IF(COUNTBLANK('Capacity summary'!$H188:$BG188)&lt;52,IF('Capacity summary'!AG188&lt;&gt;"",IF(LOWER('Capacity summary'!AG188)="x",$BI69*AG69,VALUE('Capacity summary'!AG188)),0),AG69*$BI69),AG69*$BI69),0)</f>
        <v>0</v>
      </c>
      <c r="CK69" s="311">
        <f>IF($BI69&lt;&gt;"",IF('Capacity summary'!$D$14="Yes",IF(COUNTBLANK('Capacity summary'!$H188:$BG188)&lt;52,IF('Capacity summary'!AH188&lt;&gt;"",IF(LOWER('Capacity summary'!AH188)="x",$BI69*AH69,VALUE('Capacity summary'!AH188)),0),AH69*$BI69),AH69*$BI69),0)</f>
        <v>0</v>
      </c>
      <c r="CL69" s="311">
        <f>IF($BI69&lt;&gt;"",IF('Capacity summary'!$D$14="Yes",IF(COUNTBLANK('Capacity summary'!$H188:$BG188)&lt;52,IF('Capacity summary'!AI188&lt;&gt;"",IF(LOWER('Capacity summary'!AI188)="x",$BI69*AI69,VALUE('Capacity summary'!AI188)),0),AI69*$BI69),AI69*$BI69),0)</f>
        <v>0</v>
      </c>
      <c r="CM69" s="311">
        <f>IF($BI69&lt;&gt;"",IF('Capacity summary'!$D$14="Yes",IF(COUNTBLANK('Capacity summary'!$H188:$BG188)&lt;52,IF('Capacity summary'!AJ188&lt;&gt;"",IF(LOWER('Capacity summary'!AJ188)="x",$BI69*AJ69,VALUE('Capacity summary'!AJ188)),0),AJ69*$BI69),AJ69*$BI69),0)</f>
        <v>0</v>
      </c>
      <c r="CN69" s="311">
        <f>IF($BI69&lt;&gt;"",IF('Capacity summary'!$D$14="Yes",IF(COUNTBLANK('Capacity summary'!$H188:$BG188)&lt;52,IF('Capacity summary'!AK188&lt;&gt;"",IF(LOWER('Capacity summary'!AK188)="x",$BI69*AK69,VALUE('Capacity summary'!AK188)),0),AK69*$BI69),AK69*$BI69),0)</f>
        <v>0</v>
      </c>
      <c r="CO69" s="311">
        <f>IF($BI69&lt;&gt;"",IF('Capacity summary'!$D$14="Yes",IF(COUNTBLANK('Capacity summary'!$H188:$BG188)&lt;52,IF('Capacity summary'!AL188&lt;&gt;"",IF(LOWER('Capacity summary'!AL188)="x",$BI69*AL69,VALUE('Capacity summary'!AL188)),0),AL69*$BI69),AL69*$BI69),0)</f>
        <v>0</v>
      </c>
      <c r="CP69" s="311">
        <f>IF($BI69&lt;&gt;"",IF('Capacity summary'!$D$14="Yes",IF(COUNTBLANK('Capacity summary'!$H188:$BG188)&lt;52,IF('Capacity summary'!AM188&lt;&gt;"",IF(LOWER('Capacity summary'!AM188)="x",$BI69*AM69,VALUE('Capacity summary'!AM188)),0),AM69*$BI69),AM69*$BI69),0)</f>
        <v>0</v>
      </c>
      <c r="CQ69" s="311">
        <f>IF($BI69&lt;&gt;"",IF('Capacity summary'!$D$14="Yes",IF(COUNTBLANK('Capacity summary'!$H188:$BG188)&lt;52,IF('Capacity summary'!AN188&lt;&gt;"",IF(LOWER('Capacity summary'!AN188)="x",$BI69*AN69,VALUE('Capacity summary'!AN188)),0),AN69*$BI69),AN69*$BI69),0)</f>
        <v>0</v>
      </c>
      <c r="CR69" s="311">
        <f>IF($BI69&lt;&gt;"",IF('Capacity summary'!$D$14="Yes",IF(COUNTBLANK('Capacity summary'!$H188:$BG188)&lt;52,IF('Capacity summary'!AO188&lt;&gt;"",IF(LOWER('Capacity summary'!AO188)="x",$BI69*AO69,VALUE('Capacity summary'!AO188)),0),AO69*$BI69),AO69*$BI69),0)</f>
        <v>0</v>
      </c>
      <c r="CS69" s="311">
        <f>IF($BI69&lt;&gt;"",IF('Capacity summary'!$D$14="Yes",IF(COUNTBLANK('Capacity summary'!$H188:$BG188)&lt;52,IF('Capacity summary'!AP188&lt;&gt;"",IF(LOWER('Capacity summary'!AP188)="x",$BI69*AP69,VALUE('Capacity summary'!AP188)),0),AP69*$BI69),AP69*$BI69),0)</f>
        <v>0</v>
      </c>
      <c r="CT69" s="311">
        <f>IF($BI69&lt;&gt;"",IF('Capacity summary'!$D$14="Yes",IF(COUNTBLANK('Capacity summary'!$H188:$BG188)&lt;52,IF('Capacity summary'!AQ188&lt;&gt;"",IF(LOWER('Capacity summary'!AQ188)="x",$BI69*AQ69,VALUE('Capacity summary'!AQ188)),0),AQ69*$BI69),AQ69*$BI69),0)</f>
        <v>0</v>
      </c>
      <c r="CU69" s="311">
        <f>IF($BI69&lt;&gt;"",IF('Capacity summary'!$D$14="Yes",IF(COUNTBLANK('Capacity summary'!$H188:$BG188)&lt;52,IF('Capacity summary'!AR188&lt;&gt;"",IF(LOWER('Capacity summary'!AR188)="x",$BI69*AR69,VALUE('Capacity summary'!AR188)),0),AR69*$BI69),AR69*$BI69),0)</f>
        <v>0</v>
      </c>
      <c r="CV69" s="311">
        <f>IF($BI69&lt;&gt;"",IF('Capacity summary'!$D$14="Yes",IF(COUNTBLANK('Capacity summary'!$H188:$BG188)&lt;52,IF('Capacity summary'!AS188&lt;&gt;"",IF(LOWER('Capacity summary'!AS188)="x",$BI69*AS69,VALUE('Capacity summary'!AS188)),0),AS69*$BI69),AS69*$BI69),0)</f>
        <v>0</v>
      </c>
      <c r="CW69" s="311">
        <f>IF($BI69&lt;&gt;"",IF('Capacity summary'!$D$14="Yes",IF(COUNTBLANK('Capacity summary'!$H188:$BG188)&lt;52,IF('Capacity summary'!AT188&lt;&gt;"",IF(LOWER('Capacity summary'!AT188)="x",$BI69*AT69,VALUE('Capacity summary'!AT188)),0),AT69*$BI69),AT69*$BI69),0)</f>
        <v>0</v>
      </c>
      <c r="CX69" s="311">
        <f>IF($BI69&lt;&gt;"",IF('Capacity summary'!$D$14="Yes",IF(COUNTBLANK('Capacity summary'!$H188:$BG188)&lt;52,IF('Capacity summary'!AU188&lt;&gt;"",IF(LOWER('Capacity summary'!AU188)="x",$BI69*AU69,VALUE('Capacity summary'!AU188)),0),AU69*$BI69),AU69*$BI69),0)</f>
        <v>0</v>
      </c>
      <c r="CY69" s="311">
        <f>IF($BI69&lt;&gt;"",IF('Capacity summary'!$D$14="Yes",IF(COUNTBLANK('Capacity summary'!$H188:$BG188)&lt;52,IF('Capacity summary'!AV188&lt;&gt;"",IF(LOWER('Capacity summary'!AV188)="x",$BI69*AV69,VALUE('Capacity summary'!AV188)),0),AV69*$BI69),AV69*$BI69),0)</f>
        <v>0</v>
      </c>
      <c r="CZ69" s="311">
        <f>IF($BI69&lt;&gt;"",IF('Capacity summary'!$D$14="Yes",IF(COUNTBLANK('Capacity summary'!$H188:$BG188)&lt;52,IF('Capacity summary'!AW188&lt;&gt;"",IF(LOWER('Capacity summary'!AW188)="x",$BI69*AW69,VALUE('Capacity summary'!AW188)),0),AW69*$BI69),AW69*$BI69),0)</f>
        <v>0</v>
      </c>
      <c r="DA69" s="311">
        <f>IF($BI69&lt;&gt;"",IF('Capacity summary'!$D$14="Yes",IF(COUNTBLANK('Capacity summary'!$H188:$BG188)&lt;52,IF('Capacity summary'!AX188&lt;&gt;"",IF(LOWER('Capacity summary'!AX188)="x",$BI69*AX69,VALUE('Capacity summary'!AX188)),0),AX69*$BI69),AX69*$BI69),0)</f>
        <v>0</v>
      </c>
      <c r="DB69" s="311">
        <f>IF($BI69&lt;&gt;"",IF('Capacity summary'!$D$14="Yes",IF(COUNTBLANK('Capacity summary'!$H188:$BG188)&lt;52,IF('Capacity summary'!AY188&lt;&gt;"",IF(LOWER('Capacity summary'!AY188)="x",$BI69*AY69,VALUE('Capacity summary'!AY188)),0),AY69*$BI69),AY69*$BI69),0)</f>
        <v>0</v>
      </c>
      <c r="DC69" s="311">
        <f>IF($BI69&lt;&gt;"",IF('Capacity summary'!$D$14="Yes",IF(COUNTBLANK('Capacity summary'!$H188:$BG188)&lt;52,IF('Capacity summary'!AZ188&lt;&gt;"",IF(LOWER('Capacity summary'!AZ188)="x",$BI69*AZ69,VALUE('Capacity summary'!AZ188)),0),AZ69*$BI69),AZ69*$BI69),0)</f>
        <v>0</v>
      </c>
      <c r="DD69" s="311">
        <f>IF($BI69&lt;&gt;"",IF('Capacity summary'!$D$14="Yes",IF(COUNTBLANK('Capacity summary'!$H188:$BG188)&lt;52,IF('Capacity summary'!BA188&lt;&gt;"",IF(LOWER('Capacity summary'!BA188)="x",$BI69*BA69,VALUE('Capacity summary'!BA188)),0),BA69*$BI69),BA69*$BI69),0)</f>
        <v>0</v>
      </c>
      <c r="DE69" s="311">
        <f>IF($BI69&lt;&gt;"",IF('Capacity summary'!$D$14="Yes",IF(COUNTBLANK('Capacity summary'!$H188:$BG188)&lt;52,IF('Capacity summary'!BB188&lt;&gt;"",IF(LOWER('Capacity summary'!BB188)="x",$BI69*BB69,VALUE('Capacity summary'!BB188)),0),BB69*$BI69),BB69*$BI69),0)</f>
        <v>0</v>
      </c>
      <c r="DF69" s="311">
        <f>IF($BI69&lt;&gt;"",IF('Capacity summary'!$D$14="Yes",IF(COUNTBLANK('Capacity summary'!$H188:$BG188)&lt;52,IF('Capacity summary'!BC188&lt;&gt;"",IF(LOWER('Capacity summary'!BC188)="x",$BI69*BC69,VALUE('Capacity summary'!BC188)),0),BC69*$BI69),BC69*$BI69),0)</f>
        <v>0</v>
      </c>
      <c r="DG69" s="311">
        <f>IF($BI69&lt;&gt;"",IF('Capacity summary'!$D$14="Yes",IF(COUNTBLANK('Capacity summary'!$H188:$BG188)&lt;52,IF('Capacity summary'!BD188&lt;&gt;"",IF(LOWER('Capacity summary'!BD188)="x",$BI69*BD69,VALUE('Capacity summary'!BD188)),0),BD69*$BI69),BD69*$BI69),0)</f>
        <v>0</v>
      </c>
      <c r="DH69" s="311">
        <f>IF($BI69&lt;&gt;"",IF('Capacity summary'!$D$14="Yes",IF(COUNTBLANK('Capacity summary'!$H188:$BG188)&lt;52,IF('Capacity summary'!BE188&lt;&gt;"",IF(LOWER('Capacity summary'!BE188)="x",$BI69*BE69,VALUE('Capacity summary'!BE188)),0),BE69*$BI69),BE69*$BI69),0)</f>
        <v>0</v>
      </c>
      <c r="DI69" s="311">
        <f>IF($BI69&lt;&gt;"",IF('Capacity summary'!$D$14="Yes",IF(COUNTBLANK('Capacity summary'!$H188:$BG188)&lt;52,IF('Capacity summary'!BF188&lt;&gt;"",IF(LOWER('Capacity summary'!BF188)="x",$BI69*BF69,VALUE('Capacity summary'!BF188)),0),BF69*$BI69),BF69*$BI69),0)</f>
        <v>0</v>
      </c>
      <c r="DJ69" s="311">
        <f>IF($BI69&lt;&gt;"",IF('Capacity summary'!$D$14="Yes",IF(COUNTBLANK('Capacity summary'!$H188:$BG188)&lt;52,IF('Capacity summary'!BG188&lt;&gt;"",IF(LOWER('Capacity summary'!BG188)="x",$BI69*BG69,VALUE('Capacity summary'!BG188)),0),BG69*$BI69),BG69*$BI69),0)</f>
        <v>0</v>
      </c>
      <c r="DK69" s="391">
        <f t="shared" ref="DK69:DK104" si="4">DJ69</f>
        <v>0</v>
      </c>
      <c r="DL69" s="136">
        <f t="shared" ref="DL69:DL104" si="5">SUM(BK69:DJ69)</f>
        <v>0</v>
      </c>
      <c r="DM69" s="311" t="str">
        <f>Capacity!H81</f>
        <v/>
      </c>
    </row>
    <row r="70" spans="1:117" x14ac:dyDescent="0.2">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1">
        <f>IF($BI70&lt;&gt;"",IF('Capacity summary'!$D$14="Yes",IF(COUNTBLANK('Capacity summary'!$H189:$BG189)&lt;52,IF('Capacity summary'!H189&lt;&gt;"",IF(LOWER('Capacity summary'!H189)="x",$BI70*H70,VALUE('Capacity summary'!H189)),0),H70*$BI70),H70*$BI70),0)</f>
        <v>0</v>
      </c>
      <c r="BL70" s="311">
        <f>IF($BI70&lt;&gt;"",IF('Capacity summary'!$D$14="Yes",IF(COUNTBLANK('Capacity summary'!$H189:$BG189)&lt;52,IF('Capacity summary'!I189&lt;&gt;"",IF(LOWER('Capacity summary'!I189)="x",$BI70*I70,VALUE('Capacity summary'!I189)),0),I70*$BI70),I70*$BI70),0)</f>
        <v>0</v>
      </c>
      <c r="BM70" s="311">
        <f>IF($BI70&lt;&gt;"",IF('Capacity summary'!$D$14="Yes",IF(COUNTBLANK('Capacity summary'!$H189:$BG189)&lt;52,IF('Capacity summary'!J189&lt;&gt;"",IF(LOWER('Capacity summary'!J189)="x",$BI70*J70,VALUE('Capacity summary'!J189)),0),J70*$BI70),J70*$BI70),0)</f>
        <v>0</v>
      </c>
      <c r="BN70" s="311">
        <f>IF($BI70&lt;&gt;"",IF('Capacity summary'!$D$14="Yes",IF(COUNTBLANK('Capacity summary'!$H189:$BG189)&lt;52,IF('Capacity summary'!K189&lt;&gt;"",IF(LOWER('Capacity summary'!K189)="x",$BI70*K70,VALUE('Capacity summary'!K189)),0),K70*$BI70),K70*$BI70),0)</f>
        <v>0</v>
      </c>
      <c r="BO70" s="311">
        <f>IF($BI70&lt;&gt;"",IF('Capacity summary'!$D$14="Yes",IF(COUNTBLANK('Capacity summary'!$H189:$BG189)&lt;52,IF('Capacity summary'!L189&lt;&gt;"",IF(LOWER('Capacity summary'!L189)="x",$BI70*L70,VALUE('Capacity summary'!L189)),0),L70*$BI70),L70*$BI70),0)</f>
        <v>0</v>
      </c>
      <c r="BP70" s="311">
        <f>IF($BI70&lt;&gt;"",IF('Capacity summary'!$D$14="Yes",IF(COUNTBLANK('Capacity summary'!$H189:$BG189)&lt;52,IF('Capacity summary'!M189&lt;&gt;"",IF(LOWER('Capacity summary'!M189)="x",$BI70*M70,VALUE('Capacity summary'!M189)),0),M70*$BI70),M70*$BI70),0)</f>
        <v>0</v>
      </c>
      <c r="BQ70" s="311">
        <f>IF($BI70&lt;&gt;"",IF('Capacity summary'!$D$14="Yes",IF(COUNTBLANK('Capacity summary'!$H189:$BG189)&lt;52,IF('Capacity summary'!N189&lt;&gt;"",IF(LOWER('Capacity summary'!N189)="x",$BI70*N70,VALUE('Capacity summary'!N189)),0),N70*$BI70),N70*$BI70),0)</f>
        <v>0</v>
      </c>
      <c r="BR70" s="311">
        <f>IF($BI70&lt;&gt;"",IF('Capacity summary'!$D$14="Yes",IF(COUNTBLANK('Capacity summary'!$H189:$BG189)&lt;52,IF('Capacity summary'!O189&lt;&gt;"",IF(LOWER('Capacity summary'!O189)="x",$BI70*O70,VALUE('Capacity summary'!O189)),0),O70*$BI70),O70*$BI70),0)</f>
        <v>0</v>
      </c>
      <c r="BS70" s="311">
        <f>IF($BI70&lt;&gt;"",IF('Capacity summary'!$D$14="Yes",IF(COUNTBLANK('Capacity summary'!$H189:$BG189)&lt;52,IF('Capacity summary'!P189&lt;&gt;"",IF(LOWER('Capacity summary'!P189)="x",$BI70*P70,VALUE('Capacity summary'!P189)),0),P70*$BI70),P70*$BI70),0)</f>
        <v>0</v>
      </c>
      <c r="BT70" s="311">
        <f>IF($BI70&lt;&gt;"",IF('Capacity summary'!$D$14="Yes",IF(COUNTBLANK('Capacity summary'!$H189:$BG189)&lt;52,IF('Capacity summary'!Q189&lt;&gt;"",IF(LOWER('Capacity summary'!Q189)="x",$BI70*Q70,VALUE('Capacity summary'!Q189)),0),Q70*$BI70),Q70*$BI70),0)</f>
        <v>0</v>
      </c>
      <c r="BU70" s="311">
        <f>IF($BI70&lt;&gt;"",IF('Capacity summary'!$D$14="Yes",IF(COUNTBLANK('Capacity summary'!$H189:$BG189)&lt;52,IF('Capacity summary'!R189&lt;&gt;"",IF(LOWER('Capacity summary'!R189)="x",$BI70*R70,VALUE('Capacity summary'!R189)),0),R70*$BI70),R70*$BI70),0)</f>
        <v>0</v>
      </c>
      <c r="BV70" s="311">
        <f>IF($BI70&lt;&gt;"",IF('Capacity summary'!$D$14="Yes",IF(COUNTBLANK('Capacity summary'!$H189:$BG189)&lt;52,IF('Capacity summary'!S189&lt;&gt;"",IF(LOWER('Capacity summary'!S189)="x",$BI70*S70,VALUE('Capacity summary'!S189)),0),S70*$BI70),S70*$BI70),0)</f>
        <v>0</v>
      </c>
      <c r="BW70" s="311">
        <f>IF($BI70&lt;&gt;"",IF('Capacity summary'!$D$14="Yes",IF(COUNTBLANK('Capacity summary'!$H189:$BG189)&lt;52,IF('Capacity summary'!T189&lt;&gt;"",IF(LOWER('Capacity summary'!T189)="x",$BI70*T70,VALUE('Capacity summary'!T189)),0),T70*$BI70),T70*$BI70),0)</f>
        <v>0</v>
      </c>
      <c r="BX70" s="311">
        <f>IF($BI70&lt;&gt;"",IF('Capacity summary'!$D$14="Yes",IF(COUNTBLANK('Capacity summary'!$H189:$BG189)&lt;52,IF('Capacity summary'!U189&lt;&gt;"",IF(LOWER('Capacity summary'!U189)="x",$BI70*U70,VALUE('Capacity summary'!U189)),0),U70*$BI70),U70*$BI70),0)</f>
        <v>0</v>
      </c>
      <c r="BY70" s="311">
        <f>IF($BI70&lt;&gt;"",IF('Capacity summary'!$D$14="Yes",IF(COUNTBLANK('Capacity summary'!$H189:$BG189)&lt;52,IF('Capacity summary'!V189&lt;&gt;"",IF(LOWER('Capacity summary'!V189)="x",$BI70*V70,VALUE('Capacity summary'!V189)),0),V70*$BI70),V70*$BI70),0)</f>
        <v>0</v>
      </c>
      <c r="BZ70" s="311">
        <f>IF($BI70&lt;&gt;"",IF('Capacity summary'!$D$14="Yes",IF(COUNTBLANK('Capacity summary'!$H189:$BG189)&lt;52,IF('Capacity summary'!W189&lt;&gt;"",IF(LOWER('Capacity summary'!W189)="x",$BI70*W70,VALUE('Capacity summary'!W189)),0),W70*$BI70),W70*$BI70),0)</f>
        <v>0</v>
      </c>
      <c r="CA70" s="311">
        <f>IF($BI70&lt;&gt;"",IF('Capacity summary'!$D$14="Yes",IF(COUNTBLANK('Capacity summary'!$H189:$BG189)&lt;52,IF('Capacity summary'!X189&lt;&gt;"",IF(LOWER('Capacity summary'!X189)="x",$BI70*X70,VALUE('Capacity summary'!X189)),0),X70*$BI70),X70*$BI70),0)</f>
        <v>0</v>
      </c>
      <c r="CB70" s="311">
        <f>IF($BI70&lt;&gt;"",IF('Capacity summary'!$D$14="Yes",IF(COUNTBLANK('Capacity summary'!$H189:$BG189)&lt;52,IF('Capacity summary'!Y189&lt;&gt;"",IF(LOWER('Capacity summary'!Y189)="x",$BI70*Y70,VALUE('Capacity summary'!Y189)),0),Y70*$BI70),Y70*$BI70),0)</f>
        <v>0</v>
      </c>
      <c r="CC70" s="311">
        <f>IF($BI70&lt;&gt;"",IF('Capacity summary'!$D$14="Yes",IF(COUNTBLANK('Capacity summary'!$H189:$BG189)&lt;52,IF('Capacity summary'!Z189&lt;&gt;"",IF(LOWER('Capacity summary'!Z189)="x",$BI70*Z70,VALUE('Capacity summary'!Z189)),0),Z70*$BI70),Z70*$BI70),0)</f>
        <v>0</v>
      </c>
      <c r="CD70" s="311">
        <f>IF($BI70&lt;&gt;"",IF('Capacity summary'!$D$14="Yes",IF(COUNTBLANK('Capacity summary'!$H189:$BG189)&lt;52,IF('Capacity summary'!AA189&lt;&gt;"",IF(LOWER('Capacity summary'!AA189)="x",$BI70*AA70,VALUE('Capacity summary'!AA189)),0),AA70*$BI70),AA70*$BI70),0)</f>
        <v>0</v>
      </c>
      <c r="CE70" s="311">
        <f>IF($BI70&lt;&gt;"",IF('Capacity summary'!$D$14="Yes",IF(COUNTBLANK('Capacity summary'!$H189:$BG189)&lt;52,IF('Capacity summary'!AB189&lt;&gt;"",IF(LOWER('Capacity summary'!AB189)="x",$BI70*AB70,VALUE('Capacity summary'!AB189)),0),AB70*$BI70),AB70*$BI70),0)</f>
        <v>0</v>
      </c>
      <c r="CF70" s="311">
        <f>IF($BI70&lt;&gt;"",IF('Capacity summary'!$D$14="Yes",IF(COUNTBLANK('Capacity summary'!$H189:$BG189)&lt;52,IF('Capacity summary'!AC189&lt;&gt;"",IF(LOWER('Capacity summary'!AC189)="x",$BI70*AC70,VALUE('Capacity summary'!AC189)),0),AC70*$BI70),AC70*$BI70),0)</f>
        <v>0</v>
      </c>
      <c r="CG70" s="311">
        <f>IF($BI70&lt;&gt;"",IF('Capacity summary'!$D$14="Yes",IF(COUNTBLANK('Capacity summary'!$H189:$BG189)&lt;52,IF('Capacity summary'!AD189&lt;&gt;"",IF(LOWER('Capacity summary'!AD189)="x",$BI70*AD70,VALUE('Capacity summary'!AD189)),0),AD70*$BI70),AD70*$BI70),0)</f>
        <v>0</v>
      </c>
      <c r="CH70" s="311">
        <f>IF($BI70&lt;&gt;"",IF('Capacity summary'!$D$14="Yes",IF(COUNTBLANK('Capacity summary'!$H189:$BG189)&lt;52,IF('Capacity summary'!AE189&lt;&gt;"",IF(LOWER('Capacity summary'!AE189)="x",$BI70*AE70,VALUE('Capacity summary'!AE189)),0),AE70*$BI70),AE70*$BI70),0)</f>
        <v>0</v>
      </c>
      <c r="CI70" s="311">
        <f>IF($BI70&lt;&gt;"",IF('Capacity summary'!$D$14="Yes",IF(COUNTBLANK('Capacity summary'!$H189:$BG189)&lt;52,IF('Capacity summary'!AF189&lt;&gt;"",IF(LOWER('Capacity summary'!AF189)="x",$BI70*AF70,VALUE('Capacity summary'!AF189)),0),AF70*$BI70),AF70*$BI70),0)</f>
        <v>0</v>
      </c>
      <c r="CJ70" s="311">
        <f>IF($BI70&lt;&gt;"",IF('Capacity summary'!$D$14="Yes",IF(COUNTBLANK('Capacity summary'!$H189:$BG189)&lt;52,IF('Capacity summary'!AG189&lt;&gt;"",IF(LOWER('Capacity summary'!AG189)="x",$BI70*AG70,VALUE('Capacity summary'!AG189)),0),AG70*$BI70),AG70*$BI70),0)</f>
        <v>0</v>
      </c>
      <c r="CK70" s="311">
        <f>IF($BI70&lt;&gt;"",IF('Capacity summary'!$D$14="Yes",IF(COUNTBLANK('Capacity summary'!$H189:$BG189)&lt;52,IF('Capacity summary'!AH189&lt;&gt;"",IF(LOWER('Capacity summary'!AH189)="x",$BI70*AH70,VALUE('Capacity summary'!AH189)),0),AH70*$BI70),AH70*$BI70),0)</f>
        <v>0</v>
      </c>
      <c r="CL70" s="311">
        <f>IF($BI70&lt;&gt;"",IF('Capacity summary'!$D$14="Yes",IF(COUNTBLANK('Capacity summary'!$H189:$BG189)&lt;52,IF('Capacity summary'!AI189&lt;&gt;"",IF(LOWER('Capacity summary'!AI189)="x",$BI70*AI70,VALUE('Capacity summary'!AI189)),0),AI70*$BI70),AI70*$BI70),0)</f>
        <v>0</v>
      </c>
      <c r="CM70" s="311">
        <f>IF($BI70&lt;&gt;"",IF('Capacity summary'!$D$14="Yes",IF(COUNTBLANK('Capacity summary'!$H189:$BG189)&lt;52,IF('Capacity summary'!AJ189&lt;&gt;"",IF(LOWER('Capacity summary'!AJ189)="x",$BI70*AJ70,VALUE('Capacity summary'!AJ189)),0),AJ70*$BI70),AJ70*$BI70),0)</f>
        <v>0</v>
      </c>
      <c r="CN70" s="311">
        <f>IF($BI70&lt;&gt;"",IF('Capacity summary'!$D$14="Yes",IF(COUNTBLANK('Capacity summary'!$H189:$BG189)&lt;52,IF('Capacity summary'!AK189&lt;&gt;"",IF(LOWER('Capacity summary'!AK189)="x",$BI70*AK70,VALUE('Capacity summary'!AK189)),0),AK70*$BI70),AK70*$BI70),0)</f>
        <v>0</v>
      </c>
      <c r="CO70" s="311">
        <f>IF($BI70&lt;&gt;"",IF('Capacity summary'!$D$14="Yes",IF(COUNTBLANK('Capacity summary'!$H189:$BG189)&lt;52,IF('Capacity summary'!AL189&lt;&gt;"",IF(LOWER('Capacity summary'!AL189)="x",$BI70*AL70,VALUE('Capacity summary'!AL189)),0),AL70*$BI70),AL70*$BI70),0)</f>
        <v>0</v>
      </c>
      <c r="CP70" s="311">
        <f>IF($BI70&lt;&gt;"",IF('Capacity summary'!$D$14="Yes",IF(COUNTBLANK('Capacity summary'!$H189:$BG189)&lt;52,IF('Capacity summary'!AM189&lt;&gt;"",IF(LOWER('Capacity summary'!AM189)="x",$BI70*AM70,VALUE('Capacity summary'!AM189)),0),AM70*$BI70),AM70*$BI70),0)</f>
        <v>0</v>
      </c>
      <c r="CQ70" s="311">
        <f>IF($BI70&lt;&gt;"",IF('Capacity summary'!$D$14="Yes",IF(COUNTBLANK('Capacity summary'!$H189:$BG189)&lt;52,IF('Capacity summary'!AN189&lt;&gt;"",IF(LOWER('Capacity summary'!AN189)="x",$BI70*AN70,VALUE('Capacity summary'!AN189)),0),AN70*$BI70),AN70*$BI70),0)</f>
        <v>0</v>
      </c>
      <c r="CR70" s="311">
        <f>IF($BI70&lt;&gt;"",IF('Capacity summary'!$D$14="Yes",IF(COUNTBLANK('Capacity summary'!$H189:$BG189)&lt;52,IF('Capacity summary'!AO189&lt;&gt;"",IF(LOWER('Capacity summary'!AO189)="x",$BI70*AO70,VALUE('Capacity summary'!AO189)),0),AO70*$BI70),AO70*$BI70),0)</f>
        <v>0</v>
      </c>
      <c r="CS70" s="311">
        <f>IF($BI70&lt;&gt;"",IF('Capacity summary'!$D$14="Yes",IF(COUNTBLANK('Capacity summary'!$H189:$BG189)&lt;52,IF('Capacity summary'!AP189&lt;&gt;"",IF(LOWER('Capacity summary'!AP189)="x",$BI70*AP70,VALUE('Capacity summary'!AP189)),0),AP70*$BI70),AP70*$BI70),0)</f>
        <v>0</v>
      </c>
      <c r="CT70" s="311">
        <f>IF($BI70&lt;&gt;"",IF('Capacity summary'!$D$14="Yes",IF(COUNTBLANK('Capacity summary'!$H189:$BG189)&lt;52,IF('Capacity summary'!AQ189&lt;&gt;"",IF(LOWER('Capacity summary'!AQ189)="x",$BI70*AQ70,VALUE('Capacity summary'!AQ189)),0),AQ70*$BI70),AQ70*$BI70),0)</f>
        <v>0</v>
      </c>
      <c r="CU70" s="311">
        <f>IF($BI70&lt;&gt;"",IF('Capacity summary'!$D$14="Yes",IF(COUNTBLANK('Capacity summary'!$H189:$BG189)&lt;52,IF('Capacity summary'!AR189&lt;&gt;"",IF(LOWER('Capacity summary'!AR189)="x",$BI70*AR70,VALUE('Capacity summary'!AR189)),0),AR70*$BI70),AR70*$BI70),0)</f>
        <v>0</v>
      </c>
      <c r="CV70" s="311">
        <f>IF($BI70&lt;&gt;"",IF('Capacity summary'!$D$14="Yes",IF(COUNTBLANK('Capacity summary'!$H189:$BG189)&lt;52,IF('Capacity summary'!AS189&lt;&gt;"",IF(LOWER('Capacity summary'!AS189)="x",$BI70*AS70,VALUE('Capacity summary'!AS189)),0),AS70*$BI70),AS70*$BI70),0)</f>
        <v>0</v>
      </c>
      <c r="CW70" s="311">
        <f>IF($BI70&lt;&gt;"",IF('Capacity summary'!$D$14="Yes",IF(COUNTBLANK('Capacity summary'!$H189:$BG189)&lt;52,IF('Capacity summary'!AT189&lt;&gt;"",IF(LOWER('Capacity summary'!AT189)="x",$BI70*AT70,VALUE('Capacity summary'!AT189)),0),AT70*$BI70),AT70*$BI70),0)</f>
        <v>0</v>
      </c>
      <c r="CX70" s="311">
        <f>IF($BI70&lt;&gt;"",IF('Capacity summary'!$D$14="Yes",IF(COUNTBLANK('Capacity summary'!$H189:$BG189)&lt;52,IF('Capacity summary'!AU189&lt;&gt;"",IF(LOWER('Capacity summary'!AU189)="x",$BI70*AU70,VALUE('Capacity summary'!AU189)),0),AU70*$BI70),AU70*$BI70),0)</f>
        <v>0</v>
      </c>
      <c r="CY70" s="311">
        <f>IF($BI70&lt;&gt;"",IF('Capacity summary'!$D$14="Yes",IF(COUNTBLANK('Capacity summary'!$H189:$BG189)&lt;52,IF('Capacity summary'!AV189&lt;&gt;"",IF(LOWER('Capacity summary'!AV189)="x",$BI70*AV70,VALUE('Capacity summary'!AV189)),0),AV70*$BI70),AV70*$BI70),0)</f>
        <v>0</v>
      </c>
      <c r="CZ70" s="311">
        <f>IF($BI70&lt;&gt;"",IF('Capacity summary'!$D$14="Yes",IF(COUNTBLANK('Capacity summary'!$H189:$BG189)&lt;52,IF('Capacity summary'!AW189&lt;&gt;"",IF(LOWER('Capacity summary'!AW189)="x",$BI70*AW70,VALUE('Capacity summary'!AW189)),0),AW70*$BI70),AW70*$BI70),0)</f>
        <v>0</v>
      </c>
      <c r="DA70" s="311">
        <f>IF($BI70&lt;&gt;"",IF('Capacity summary'!$D$14="Yes",IF(COUNTBLANK('Capacity summary'!$H189:$BG189)&lt;52,IF('Capacity summary'!AX189&lt;&gt;"",IF(LOWER('Capacity summary'!AX189)="x",$BI70*AX70,VALUE('Capacity summary'!AX189)),0),AX70*$BI70),AX70*$BI70),0)</f>
        <v>0</v>
      </c>
      <c r="DB70" s="311">
        <f>IF($BI70&lt;&gt;"",IF('Capacity summary'!$D$14="Yes",IF(COUNTBLANK('Capacity summary'!$H189:$BG189)&lt;52,IF('Capacity summary'!AY189&lt;&gt;"",IF(LOWER('Capacity summary'!AY189)="x",$BI70*AY70,VALUE('Capacity summary'!AY189)),0),AY70*$BI70),AY70*$BI70),0)</f>
        <v>0</v>
      </c>
      <c r="DC70" s="311">
        <f>IF($BI70&lt;&gt;"",IF('Capacity summary'!$D$14="Yes",IF(COUNTBLANK('Capacity summary'!$H189:$BG189)&lt;52,IF('Capacity summary'!AZ189&lt;&gt;"",IF(LOWER('Capacity summary'!AZ189)="x",$BI70*AZ70,VALUE('Capacity summary'!AZ189)),0),AZ70*$BI70),AZ70*$BI70),0)</f>
        <v>0</v>
      </c>
      <c r="DD70" s="311">
        <f>IF($BI70&lt;&gt;"",IF('Capacity summary'!$D$14="Yes",IF(COUNTBLANK('Capacity summary'!$H189:$BG189)&lt;52,IF('Capacity summary'!BA189&lt;&gt;"",IF(LOWER('Capacity summary'!BA189)="x",$BI70*BA70,VALUE('Capacity summary'!BA189)),0),BA70*$BI70),BA70*$BI70),0)</f>
        <v>0</v>
      </c>
      <c r="DE70" s="311">
        <f>IF($BI70&lt;&gt;"",IF('Capacity summary'!$D$14="Yes",IF(COUNTBLANK('Capacity summary'!$H189:$BG189)&lt;52,IF('Capacity summary'!BB189&lt;&gt;"",IF(LOWER('Capacity summary'!BB189)="x",$BI70*BB70,VALUE('Capacity summary'!BB189)),0),BB70*$BI70),BB70*$BI70),0)</f>
        <v>0</v>
      </c>
      <c r="DF70" s="311">
        <f>IF($BI70&lt;&gt;"",IF('Capacity summary'!$D$14="Yes",IF(COUNTBLANK('Capacity summary'!$H189:$BG189)&lt;52,IF('Capacity summary'!BC189&lt;&gt;"",IF(LOWER('Capacity summary'!BC189)="x",$BI70*BC70,VALUE('Capacity summary'!BC189)),0),BC70*$BI70),BC70*$BI70),0)</f>
        <v>0</v>
      </c>
      <c r="DG70" s="311">
        <f>IF($BI70&lt;&gt;"",IF('Capacity summary'!$D$14="Yes",IF(COUNTBLANK('Capacity summary'!$H189:$BG189)&lt;52,IF('Capacity summary'!BD189&lt;&gt;"",IF(LOWER('Capacity summary'!BD189)="x",$BI70*BD70,VALUE('Capacity summary'!BD189)),0),BD70*$BI70),BD70*$BI70),0)</f>
        <v>0</v>
      </c>
      <c r="DH70" s="311">
        <f>IF($BI70&lt;&gt;"",IF('Capacity summary'!$D$14="Yes",IF(COUNTBLANK('Capacity summary'!$H189:$BG189)&lt;52,IF('Capacity summary'!BE189&lt;&gt;"",IF(LOWER('Capacity summary'!BE189)="x",$BI70*BE70,VALUE('Capacity summary'!BE189)),0),BE70*$BI70),BE70*$BI70),0)</f>
        <v>0</v>
      </c>
      <c r="DI70" s="311">
        <f>IF($BI70&lt;&gt;"",IF('Capacity summary'!$D$14="Yes",IF(COUNTBLANK('Capacity summary'!$H189:$BG189)&lt;52,IF('Capacity summary'!BF189&lt;&gt;"",IF(LOWER('Capacity summary'!BF189)="x",$BI70*BF70,VALUE('Capacity summary'!BF189)),0),BF70*$BI70),BF70*$BI70),0)</f>
        <v>0</v>
      </c>
      <c r="DJ70" s="311">
        <f>IF($BI70&lt;&gt;"",IF('Capacity summary'!$D$14="Yes",IF(COUNTBLANK('Capacity summary'!$H189:$BG189)&lt;52,IF('Capacity summary'!BG189&lt;&gt;"",IF(LOWER('Capacity summary'!BG189)="x",$BI70*BG70,VALUE('Capacity summary'!BG189)),0),BG70*$BI70),BG70*$BI70),0)</f>
        <v>0</v>
      </c>
      <c r="DK70" s="391">
        <f t="shared" si="4"/>
        <v>0</v>
      </c>
      <c r="DL70" s="136">
        <f t="shared" si="5"/>
        <v>0</v>
      </c>
      <c r="DM70" s="311" t="str">
        <f>Capacity!H82</f>
        <v/>
      </c>
    </row>
    <row r="71" spans="1:117" x14ac:dyDescent="0.2">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1">
        <f>IF($BI71&lt;&gt;"",IF('Capacity summary'!$D$14="Yes",IF(COUNTBLANK('Capacity summary'!$H190:$BG190)&lt;52,IF('Capacity summary'!H190&lt;&gt;"",IF(LOWER('Capacity summary'!H190)="x",$BI71*H71,VALUE('Capacity summary'!H190)),0),H71*$BI71),H71*$BI71),0)</f>
        <v>0</v>
      </c>
      <c r="BL71" s="311">
        <f>IF($BI71&lt;&gt;"",IF('Capacity summary'!$D$14="Yes",IF(COUNTBLANK('Capacity summary'!$H190:$BG190)&lt;52,IF('Capacity summary'!I190&lt;&gt;"",IF(LOWER('Capacity summary'!I190)="x",$BI71*I71,VALUE('Capacity summary'!I190)),0),I71*$BI71),I71*$BI71),0)</f>
        <v>0</v>
      </c>
      <c r="BM71" s="311">
        <f>IF($BI71&lt;&gt;"",IF('Capacity summary'!$D$14="Yes",IF(COUNTBLANK('Capacity summary'!$H190:$BG190)&lt;52,IF('Capacity summary'!J190&lt;&gt;"",IF(LOWER('Capacity summary'!J190)="x",$BI71*J71,VALUE('Capacity summary'!J190)),0),J71*$BI71),J71*$BI71),0)</f>
        <v>0</v>
      </c>
      <c r="BN71" s="311">
        <f>IF($BI71&lt;&gt;"",IF('Capacity summary'!$D$14="Yes",IF(COUNTBLANK('Capacity summary'!$H190:$BG190)&lt;52,IF('Capacity summary'!K190&lt;&gt;"",IF(LOWER('Capacity summary'!K190)="x",$BI71*K71,VALUE('Capacity summary'!K190)),0),K71*$BI71),K71*$BI71),0)</f>
        <v>0</v>
      </c>
      <c r="BO71" s="311">
        <f>IF($BI71&lt;&gt;"",IF('Capacity summary'!$D$14="Yes",IF(COUNTBLANK('Capacity summary'!$H190:$BG190)&lt;52,IF('Capacity summary'!L190&lt;&gt;"",IF(LOWER('Capacity summary'!L190)="x",$BI71*L71,VALUE('Capacity summary'!L190)),0),L71*$BI71),L71*$BI71),0)</f>
        <v>0</v>
      </c>
      <c r="BP71" s="311">
        <f>IF($BI71&lt;&gt;"",IF('Capacity summary'!$D$14="Yes",IF(COUNTBLANK('Capacity summary'!$H190:$BG190)&lt;52,IF('Capacity summary'!M190&lt;&gt;"",IF(LOWER('Capacity summary'!M190)="x",$BI71*M71,VALUE('Capacity summary'!M190)),0),M71*$BI71),M71*$BI71),0)</f>
        <v>0</v>
      </c>
      <c r="BQ71" s="311">
        <f>IF($BI71&lt;&gt;"",IF('Capacity summary'!$D$14="Yes",IF(COUNTBLANK('Capacity summary'!$H190:$BG190)&lt;52,IF('Capacity summary'!N190&lt;&gt;"",IF(LOWER('Capacity summary'!N190)="x",$BI71*N71,VALUE('Capacity summary'!N190)),0),N71*$BI71),N71*$BI71),0)</f>
        <v>0</v>
      </c>
      <c r="BR71" s="311">
        <f>IF($BI71&lt;&gt;"",IF('Capacity summary'!$D$14="Yes",IF(COUNTBLANK('Capacity summary'!$H190:$BG190)&lt;52,IF('Capacity summary'!O190&lt;&gt;"",IF(LOWER('Capacity summary'!O190)="x",$BI71*O71,VALUE('Capacity summary'!O190)),0),O71*$BI71),O71*$BI71),0)</f>
        <v>0</v>
      </c>
      <c r="BS71" s="311">
        <f>IF($BI71&lt;&gt;"",IF('Capacity summary'!$D$14="Yes",IF(COUNTBLANK('Capacity summary'!$H190:$BG190)&lt;52,IF('Capacity summary'!P190&lt;&gt;"",IF(LOWER('Capacity summary'!P190)="x",$BI71*P71,VALUE('Capacity summary'!P190)),0),P71*$BI71),P71*$BI71),0)</f>
        <v>0</v>
      </c>
      <c r="BT71" s="311">
        <f>IF($BI71&lt;&gt;"",IF('Capacity summary'!$D$14="Yes",IF(COUNTBLANK('Capacity summary'!$H190:$BG190)&lt;52,IF('Capacity summary'!Q190&lt;&gt;"",IF(LOWER('Capacity summary'!Q190)="x",$BI71*Q71,VALUE('Capacity summary'!Q190)),0),Q71*$BI71),Q71*$BI71),0)</f>
        <v>0</v>
      </c>
      <c r="BU71" s="311">
        <f>IF($BI71&lt;&gt;"",IF('Capacity summary'!$D$14="Yes",IF(COUNTBLANK('Capacity summary'!$H190:$BG190)&lt;52,IF('Capacity summary'!R190&lt;&gt;"",IF(LOWER('Capacity summary'!R190)="x",$BI71*R71,VALUE('Capacity summary'!R190)),0),R71*$BI71),R71*$BI71),0)</f>
        <v>0</v>
      </c>
      <c r="BV71" s="311">
        <f>IF($BI71&lt;&gt;"",IF('Capacity summary'!$D$14="Yes",IF(COUNTBLANK('Capacity summary'!$H190:$BG190)&lt;52,IF('Capacity summary'!S190&lt;&gt;"",IF(LOWER('Capacity summary'!S190)="x",$BI71*S71,VALUE('Capacity summary'!S190)),0),S71*$BI71),S71*$BI71),0)</f>
        <v>0</v>
      </c>
      <c r="BW71" s="311">
        <f>IF($BI71&lt;&gt;"",IF('Capacity summary'!$D$14="Yes",IF(COUNTBLANK('Capacity summary'!$H190:$BG190)&lt;52,IF('Capacity summary'!T190&lt;&gt;"",IF(LOWER('Capacity summary'!T190)="x",$BI71*T71,VALUE('Capacity summary'!T190)),0),T71*$BI71),T71*$BI71),0)</f>
        <v>0</v>
      </c>
      <c r="BX71" s="311">
        <f>IF($BI71&lt;&gt;"",IF('Capacity summary'!$D$14="Yes",IF(COUNTBLANK('Capacity summary'!$H190:$BG190)&lt;52,IF('Capacity summary'!U190&lt;&gt;"",IF(LOWER('Capacity summary'!U190)="x",$BI71*U71,VALUE('Capacity summary'!U190)),0),U71*$BI71),U71*$BI71),0)</f>
        <v>0</v>
      </c>
      <c r="BY71" s="311">
        <f>IF($BI71&lt;&gt;"",IF('Capacity summary'!$D$14="Yes",IF(COUNTBLANK('Capacity summary'!$H190:$BG190)&lt;52,IF('Capacity summary'!V190&lt;&gt;"",IF(LOWER('Capacity summary'!V190)="x",$BI71*V71,VALUE('Capacity summary'!V190)),0),V71*$BI71),V71*$BI71),0)</f>
        <v>0</v>
      </c>
      <c r="BZ71" s="311">
        <f>IF($BI71&lt;&gt;"",IF('Capacity summary'!$D$14="Yes",IF(COUNTBLANK('Capacity summary'!$H190:$BG190)&lt;52,IF('Capacity summary'!W190&lt;&gt;"",IF(LOWER('Capacity summary'!W190)="x",$BI71*W71,VALUE('Capacity summary'!W190)),0),W71*$BI71),W71*$BI71),0)</f>
        <v>0</v>
      </c>
      <c r="CA71" s="311">
        <f>IF($BI71&lt;&gt;"",IF('Capacity summary'!$D$14="Yes",IF(COUNTBLANK('Capacity summary'!$H190:$BG190)&lt;52,IF('Capacity summary'!X190&lt;&gt;"",IF(LOWER('Capacity summary'!X190)="x",$BI71*X71,VALUE('Capacity summary'!X190)),0),X71*$BI71),X71*$BI71),0)</f>
        <v>0</v>
      </c>
      <c r="CB71" s="311">
        <f>IF($BI71&lt;&gt;"",IF('Capacity summary'!$D$14="Yes",IF(COUNTBLANK('Capacity summary'!$H190:$BG190)&lt;52,IF('Capacity summary'!Y190&lt;&gt;"",IF(LOWER('Capacity summary'!Y190)="x",$BI71*Y71,VALUE('Capacity summary'!Y190)),0),Y71*$BI71),Y71*$BI71),0)</f>
        <v>0</v>
      </c>
      <c r="CC71" s="311">
        <f>IF($BI71&lt;&gt;"",IF('Capacity summary'!$D$14="Yes",IF(COUNTBLANK('Capacity summary'!$H190:$BG190)&lt;52,IF('Capacity summary'!Z190&lt;&gt;"",IF(LOWER('Capacity summary'!Z190)="x",$BI71*Z71,VALUE('Capacity summary'!Z190)),0),Z71*$BI71),Z71*$BI71),0)</f>
        <v>0</v>
      </c>
      <c r="CD71" s="311">
        <f>IF($BI71&lt;&gt;"",IF('Capacity summary'!$D$14="Yes",IF(COUNTBLANK('Capacity summary'!$H190:$BG190)&lt;52,IF('Capacity summary'!AA190&lt;&gt;"",IF(LOWER('Capacity summary'!AA190)="x",$BI71*AA71,VALUE('Capacity summary'!AA190)),0),AA71*$BI71),AA71*$BI71),0)</f>
        <v>0</v>
      </c>
      <c r="CE71" s="311">
        <f>IF($BI71&lt;&gt;"",IF('Capacity summary'!$D$14="Yes",IF(COUNTBLANK('Capacity summary'!$H190:$BG190)&lt;52,IF('Capacity summary'!AB190&lt;&gt;"",IF(LOWER('Capacity summary'!AB190)="x",$BI71*AB71,VALUE('Capacity summary'!AB190)),0),AB71*$BI71),AB71*$BI71),0)</f>
        <v>0</v>
      </c>
      <c r="CF71" s="311">
        <f>IF($BI71&lt;&gt;"",IF('Capacity summary'!$D$14="Yes",IF(COUNTBLANK('Capacity summary'!$H190:$BG190)&lt;52,IF('Capacity summary'!AC190&lt;&gt;"",IF(LOWER('Capacity summary'!AC190)="x",$BI71*AC71,VALUE('Capacity summary'!AC190)),0),AC71*$BI71),AC71*$BI71),0)</f>
        <v>0</v>
      </c>
      <c r="CG71" s="311">
        <f>IF($BI71&lt;&gt;"",IF('Capacity summary'!$D$14="Yes",IF(COUNTBLANK('Capacity summary'!$H190:$BG190)&lt;52,IF('Capacity summary'!AD190&lt;&gt;"",IF(LOWER('Capacity summary'!AD190)="x",$BI71*AD71,VALUE('Capacity summary'!AD190)),0),AD71*$BI71),AD71*$BI71),0)</f>
        <v>0</v>
      </c>
      <c r="CH71" s="311">
        <f>IF($BI71&lt;&gt;"",IF('Capacity summary'!$D$14="Yes",IF(COUNTBLANK('Capacity summary'!$H190:$BG190)&lt;52,IF('Capacity summary'!AE190&lt;&gt;"",IF(LOWER('Capacity summary'!AE190)="x",$BI71*AE71,VALUE('Capacity summary'!AE190)),0),AE71*$BI71),AE71*$BI71),0)</f>
        <v>0</v>
      </c>
      <c r="CI71" s="311">
        <f>IF($BI71&lt;&gt;"",IF('Capacity summary'!$D$14="Yes",IF(COUNTBLANK('Capacity summary'!$H190:$BG190)&lt;52,IF('Capacity summary'!AF190&lt;&gt;"",IF(LOWER('Capacity summary'!AF190)="x",$BI71*AF71,VALUE('Capacity summary'!AF190)),0),AF71*$BI71),AF71*$BI71),0)</f>
        <v>0</v>
      </c>
      <c r="CJ71" s="311">
        <f>IF($BI71&lt;&gt;"",IF('Capacity summary'!$D$14="Yes",IF(COUNTBLANK('Capacity summary'!$H190:$BG190)&lt;52,IF('Capacity summary'!AG190&lt;&gt;"",IF(LOWER('Capacity summary'!AG190)="x",$BI71*AG71,VALUE('Capacity summary'!AG190)),0),AG71*$BI71),AG71*$BI71),0)</f>
        <v>0</v>
      </c>
      <c r="CK71" s="311">
        <f>IF($BI71&lt;&gt;"",IF('Capacity summary'!$D$14="Yes",IF(COUNTBLANK('Capacity summary'!$H190:$BG190)&lt;52,IF('Capacity summary'!AH190&lt;&gt;"",IF(LOWER('Capacity summary'!AH190)="x",$BI71*AH71,VALUE('Capacity summary'!AH190)),0),AH71*$BI71),AH71*$BI71),0)</f>
        <v>0</v>
      </c>
      <c r="CL71" s="311">
        <f>IF($BI71&lt;&gt;"",IF('Capacity summary'!$D$14="Yes",IF(COUNTBLANK('Capacity summary'!$H190:$BG190)&lt;52,IF('Capacity summary'!AI190&lt;&gt;"",IF(LOWER('Capacity summary'!AI190)="x",$BI71*AI71,VALUE('Capacity summary'!AI190)),0),AI71*$BI71),AI71*$BI71),0)</f>
        <v>0</v>
      </c>
      <c r="CM71" s="311">
        <f>IF($BI71&lt;&gt;"",IF('Capacity summary'!$D$14="Yes",IF(COUNTBLANK('Capacity summary'!$H190:$BG190)&lt;52,IF('Capacity summary'!AJ190&lt;&gt;"",IF(LOWER('Capacity summary'!AJ190)="x",$BI71*AJ71,VALUE('Capacity summary'!AJ190)),0),AJ71*$BI71),AJ71*$BI71),0)</f>
        <v>0</v>
      </c>
      <c r="CN71" s="311">
        <f>IF($BI71&lt;&gt;"",IF('Capacity summary'!$D$14="Yes",IF(COUNTBLANK('Capacity summary'!$H190:$BG190)&lt;52,IF('Capacity summary'!AK190&lt;&gt;"",IF(LOWER('Capacity summary'!AK190)="x",$BI71*AK71,VALUE('Capacity summary'!AK190)),0),AK71*$BI71),AK71*$BI71),0)</f>
        <v>0</v>
      </c>
      <c r="CO71" s="311">
        <f>IF($BI71&lt;&gt;"",IF('Capacity summary'!$D$14="Yes",IF(COUNTBLANK('Capacity summary'!$H190:$BG190)&lt;52,IF('Capacity summary'!AL190&lt;&gt;"",IF(LOWER('Capacity summary'!AL190)="x",$BI71*AL71,VALUE('Capacity summary'!AL190)),0),AL71*$BI71),AL71*$BI71),0)</f>
        <v>0</v>
      </c>
      <c r="CP71" s="311">
        <f>IF($BI71&lt;&gt;"",IF('Capacity summary'!$D$14="Yes",IF(COUNTBLANK('Capacity summary'!$H190:$BG190)&lt;52,IF('Capacity summary'!AM190&lt;&gt;"",IF(LOWER('Capacity summary'!AM190)="x",$BI71*AM71,VALUE('Capacity summary'!AM190)),0),AM71*$BI71),AM71*$BI71),0)</f>
        <v>0</v>
      </c>
      <c r="CQ71" s="311">
        <f>IF($BI71&lt;&gt;"",IF('Capacity summary'!$D$14="Yes",IF(COUNTBLANK('Capacity summary'!$H190:$BG190)&lt;52,IF('Capacity summary'!AN190&lt;&gt;"",IF(LOWER('Capacity summary'!AN190)="x",$BI71*AN71,VALUE('Capacity summary'!AN190)),0),AN71*$BI71),AN71*$BI71),0)</f>
        <v>0</v>
      </c>
      <c r="CR71" s="311">
        <f>IF($BI71&lt;&gt;"",IF('Capacity summary'!$D$14="Yes",IF(COUNTBLANK('Capacity summary'!$H190:$BG190)&lt;52,IF('Capacity summary'!AO190&lt;&gt;"",IF(LOWER('Capacity summary'!AO190)="x",$BI71*AO71,VALUE('Capacity summary'!AO190)),0),AO71*$BI71),AO71*$BI71),0)</f>
        <v>0</v>
      </c>
      <c r="CS71" s="311">
        <f>IF($BI71&lt;&gt;"",IF('Capacity summary'!$D$14="Yes",IF(COUNTBLANK('Capacity summary'!$H190:$BG190)&lt;52,IF('Capacity summary'!AP190&lt;&gt;"",IF(LOWER('Capacity summary'!AP190)="x",$BI71*AP71,VALUE('Capacity summary'!AP190)),0),AP71*$BI71),AP71*$BI71),0)</f>
        <v>0</v>
      </c>
      <c r="CT71" s="311">
        <f>IF($BI71&lt;&gt;"",IF('Capacity summary'!$D$14="Yes",IF(COUNTBLANK('Capacity summary'!$H190:$BG190)&lt;52,IF('Capacity summary'!AQ190&lt;&gt;"",IF(LOWER('Capacity summary'!AQ190)="x",$BI71*AQ71,VALUE('Capacity summary'!AQ190)),0),AQ71*$BI71),AQ71*$BI71),0)</f>
        <v>0</v>
      </c>
      <c r="CU71" s="311">
        <f>IF($BI71&lt;&gt;"",IF('Capacity summary'!$D$14="Yes",IF(COUNTBLANK('Capacity summary'!$H190:$BG190)&lt;52,IF('Capacity summary'!AR190&lt;&gt;"",IF(LOWER('Capacity summary'!AR190)="x",$BI71*AR71,VALUE('Capacity summary'!AR190)),0),AR71*$BI71),AR71*$BI71),0)</f>
        <v>0</v>
      </c>
      <c r="CV71" s="311">
        <f>IF($BI71&lt;&gt;"",IF('Capacity summary'!$D$14="Yes",IF(COUNTBLANK('Capacity summary'!$H190:$BG190)&lt;52,IF('Capacity summary'!AS190&lt;&gt;"",IF(LOWER('Capacity summary'!AS190)="x",$BI71*AS71,VALUE('Capacity summary'!AS190)),0),AS71*$BI71),AS71*$BI71),0)</f>
        <v>0</v>
      </c>
      <c r="CW71" s="311">
        <f>IF($BI71&lt;&gt;"",IF('Capacity summary'!$D$14="Yes",IF(COUNTBLANK('Capacity summary'!$H190:$BG190)&lt;52,IF('Capacity summary'!AT190&lt;&gt;"",IF(LOWER('Capacity summary'!AT190)="x",$BI71*AT71,VALUE('Capacity summary'!AT190)),0),AT71*$BI71),AT71*$BI71),0)</f>
        <v>0</v>
      </c>
      <c r="CX71" s="311">
        <f>IF($BI71&lt;&gt;"",IF('Capacity summary'!$D$14="Yes",IF(COUNTBLANK('Capacity summary'!$H190:$BG190)&lt;52,IF('Capacity summary'!AU190&lt;&gt;"",IF(LOWER('Capacity summary'!AU190)="x",$BI71*AU71,VALUE('Capacity summary'!AU190)),0),AU71*$BI71),AU71*$BI71),0)</f>
        <v>0</v>
      </c>
      <c r="CY71" s="311">
        <f>IF($BI71&lt;&gt;"",IF('Capacity summary'!$D$14="Yes",IF(COUNTBLANK('Capacity summary'!$H190:$BG190)&lt;52,IF('Capacity summary'!AV190&lt;&gt;"",IF(LOWER('Capacity summary'!AV190)="x",$BI71*AV71,VALUE('Capacity summary'!AV190)),0),AV71*$BI71),AV71*$BI71),0)</f>
        <v>0</v>
      </c>
      <c r="CZ71" s="311">
        <f>IF($BI71&lt;&gt;"",IF('Capacity summary'!$D$14="Yes",IF(COUNTBLANK('Capacity summary'!$H190:$BG190)&lt;52,IF('Capacity summary'!AW190&lt;&gt;"",IF(LOWER('Capacity summary'!AW190)="x",$BI71*AW71,VALUE('Capacity summary'!AW190)),0),AW71*$BI71),AW71*$BI71),0)</f>
        <v>0</v>
      </c>
      <c r="DA71" s="311">
        <f>IF($BI71&lt;&gt;"",IF('Capacity summary'!$D$14="Yes",IF(COUNTBLANK('Capacity summary'!$H190:$BG190)&lt;52,IF('Capacity summary'!AX190&lt;&gt;"",IF(LOWER('Capacity summary'!AX190)="x",$BI71*AX71,VALUE('Capacity summary'!AX190)),0),AX71*$BI71),AX71*$BI71),0)</f>
        <v>0</v>
      </c>
      <c r="DB71" s="311">
        <f>IF($BI71&lt;&gt;"",IF('Capacity summary'!$D$14="Yes",IF(COUNTBLANK('Capacity summary'!$H190:$BG190)&lt;52,IF('Capacity summary'!AY190&lt;&gt;"",IF(LOWER('Capacity summary'!AY190)="x",$BI71*AY71,VALUE('Capacity summary'!AY190)),0),AY71*$BI71),AY71*$BI71),0)</f>
        <v>0</v>
      </c>
      <c r="DC71" s="311">
        <f>IF($BI71&lt;&gt;"",IF('Capacity summary'!$D$14="Yes",IF(COUNTBLANK('Capacity summary'!$H190:$BG190)&lt;52,IF('Capacity summary'!AZ190&lt;&gt;"",IF(LOWER('Capacity summary'!AZ190)="x",$BI71*AZ71,VALUE('Capacity summary'!AZ190)),0),AZ71*$BI71),AZ71*$BI71),0)</f>
        <v>0</v>
      </c>
      <c r="DD71" s="311">
        <f>IF($BI71&lt;&gt;"",IF('Capacity summary'!$D$14="Yes",IF(COUNTBLANK('Capacity summary'!$H190:$BG190)&lt;52,IF('Capacity summary'!BA190&lt;&gt;"",IF(LOWER('Capacity summary'!BA190)="x",$BI71*BA71,VALUE('Capacity summary'!BA190)),0),BA71*$BI71),BA71*$BI71),0)</f>
        <v>0</v>
      </c>
      <c r="DE71" s="311">
        <f>IF($BI71&lt;&gt;"",IF('Capacity summary'!$D$14="Yes",IF(COUNTBLANK('Capacity summary'!$H190:$BG190)&lt;52,IF('Capacity summary'!BB190&lt;&gt;"",IF(LOWER('Capacity summary'!BB190)="x",$BI71*BB71,VALUE('Capacity summary'!BB190)),0),BB71*$BI71),BB71*$BI71),0)</f>
        <v>0</v>
      </c>
      <c r="DF71" s="311">
        <f>IF($BI71&lt;&gt;"",IF('Capacity summary'!$D$14="Yes",IF(COUNTBLANK('Capacity summary'!$H190:$BG190)&lt;52,IF('Capacity summary'!BC190&lt;&gt;"",IF(LOWER('Capacity summary'!BC190)="x",$BI71*BC71,VALUE('Capacity summary'!BC190)),0),BC71*$BI71),BC71*$BI71),0)</f>
        <v>0</v>
      </c>
      <c r="DG71" s="311">
        <f>IF($BI71&lt;&gt;"",IF('Capacity summary'!$D$14="Yes",IF(COUNTBLANK('Capacity summary'!$H190:$BG190)&lt;52,IF('Capacity summary'!BD190&lt;&gt;"",IF(LOWER('Capacity summary'!BD190)="x",$BI71*BD71,VALUE('Capacity summary'!BD190)),0),BD71*$BI71),BD71*$BI71),0)</f>
        <v>0</v>
      </c>
      <c r="DH71" s="311">
        <f>IF($BI71&lt;&gt;"",IF('Capacity summary'!$D$14="Yes",IF(COUNTBLANK('Capacity summary'!$H190:$BG190)&lt;52,IF('Capacity summary'!BE190&lt;&gt;"",IF(LOWER('Capacity summary'!BE190)="x",$BI71*BE71,VALUE('Capacity summary'!BE190)),0),BE71*$BI71),BE71*$BI71),0)</f>
        <v>0</v>
      </c>
      <c r="DI71" s="311">
        <f>IF($BI71&lt;&gt;"",IF('Capacity summary'!$D$14="Yes",IF(COUNTBLANK('Capacity summary'!$H190:$BG190)&lt;52,IF('Capacity summary'!BF190&lt;&gt;"",IF(LOWER('Capacity summary'!BF190)="x",$BI71*BF71,VALUE('Capacity summary'!BF190)),0),BF71*$BI71),BF71*$BI71),0)</f>
        <v>0</v>
      </c>
      <c r="DJ71" s="311">
        <f>IF($BI71&lt;&gt;"",IF('Capacity summary'!$D$14="Yes",IF(COUNTBLANK('Capacity summary'!$H190:$BG190)&lt;52,IF('Capacity summary'!BG190&lt;&gt;"",IF(LOWER('Capacity summary'!BG190)="x",$BI71*BG71,VALUE('Capacity summary'!BG190)),0),BG71*$BI71),BG71*$BI71),0)</f>
        <v>0</v>
      </c>
      <c r="DK71" s="391">
        <f t="shared" si="4"/>
        <v>0</v>
      </c>
      <c r="DL71" s="136">
        <f t="shared" si="5"/>
        <v>0</v>
      </c>
      <c r="DM71" s="311" t="str">
        <f>Capacity!H83</f>
        <v/>
      </c>
    </row>
    <row r="72" spans="1:117" x14ac:dyDescent="0.2">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1">
        <f>IF($BI72&lt;&gt;"",IF('Capacity summary'!$D$14="Yes",IF(COUNTBLANK('Capacity summary'!$H191:$BG191)&lt;52,IF('Capacity summary'!H191&lt;&gt;"",IF(LOWER('Capacity summary'!H191)="x",$BI72*H72,VALUE('Capacity summary'!H191)),0),H72*$BI72),H72*$BI72),0)</f>
        <v>0</v>
      </c>
      <c r="BL72" s="311">
        <f>IF($BI72&lt;&gt;"",IF('Capacity summary'!$D$14="Yes",IF(COUNTBLANK('Capacity summary'!$H191:$BG191)&lt;52,IF('Capacity summary'!I191&lt;&gt;"",IF(LOWER('Capacity summary'!I191)="x",$BI72*I72,VALUE('Capacity summary'!I191)),0),I72*$BI72),I72*$BI72),0)</f>
        <v>0</v>
      </c>
      <c r="BM72" s="311">
        <f>IF($BI72&lt;&gt;"",IF('Capacity summary'!$D$14="Yes",IF(COUNTBLANK('Capacity summary'!$H191:$BG191)&lt;52,IF('Capacity summary'!J191&lt;&gt;"",IF(LOWER('Capacity summary'!J191)="x",$BI72*J72,VALUE('Capacity summary'!J191)),0),J72*$BI72),J72*$BI72),0)</f>
        <v>0</v>
      </c>
      <c r="BN72" s="311">
        <f>IF($BI72&lt;&gt;"",IF('Capacity summary'!$D$14="Yes",IF(COUNTBLANK('Capacity summary'!$H191:$BG191)&lt;52,IF('Capacity summary'!K191&lt;&gt;"",IF(LOWER('Capacity summary'!K191)="x",$BI72*K72,VALUE('Capacity summary'!K191)),0),K72*$BI72),K72*$BI72),0)</f>
        <v>0</v>
      </c>
      <c r="BO72" s="311">
        <f>IF($BI72&lt;&gt;"",IF('Capacity summary'!$D$14="Yes",IF(COUNTBLANK('Capacity summary'!$H191:$BG191)&lt;52,IF('Capacity summary'!L191&lt;&gt;"",IF(LOWER('Capacity summary'!L191)="x",$BI72*L72,VALUE('Capacity summary'!L191)),0),L72*$BI72),L72*$BI72),0)</f>
        <v>0</v>
      </c>
      <c r="BP72" s="311">
        <f>IF($BI72&lt;&gt;"",IF('Capacity summary'!$D$14="Yes",IF(COUNTBLANK('Capacity summary'!$H191:$BG191)&lt;52,IF('Capacity summary'!M191&lt;&gt;"",IF(LOWER('Capacity summary'!M191)="x",$BI72*M72,VALUE('Capacity summary'!M191)),0),M72*$BI72),M72*$BI72),0)</f>
        <v>0</v>
      </c>
      <c r="BQ72" s="311">
        <f>IF($BI72&lt;&gt;"",IF('Capacity summary'!$D$14="Yes",IF(COUNTBLANK('Capacity summary'!$H191:$BG191)&lt;52,IF('Capacity summary'!N191&lt;&gt;"",IF(LOWER('Capacity summary'!N191)="x",$BI72*N72,VALUE('Capacity summary'!N191)),0),N72*$BI72),N72*$BI72),0)</f>
        <v>0</v>
      </c>
      <c r="BR72" s="311">
        <f>IF($BI72&lt;&gt;"",IF('Capacity summary'!$D$14="Yes",IF(COUNTBLANK('Capacity summary'!$H191:$BG191)&lt;52,IF('Capacity summary'!O191&lt;&gt;"",IF(LOWER('Capacity summary'!O191)="x",$BI72*O72,VALUE('Capacity summary'!O191)),0),O72*$BI72),O72*$BI72),0)</f>
        <v>0</v>
      </c>
      <c r="BS72" s="311">
        <f>IF($BI72&lt;&gt;"",IF('Capacity summary'!$D$14="Yes",IF(COUNTBLANK('Capacity summary'!$H191:$BG191)&lt;52,IF('Capacity summary'!P191&lt;&gt;"",IF(LOWER('Capacity summary'!P191)="x",$BI72*P72,VALUE('Capacity summary'!P191)),0),P72*$BI72),P72*$BI72),0)</f>
        <v>0</v>
      </c>
      <c r="BT72" s="311">
        <f>IF($BI72&lt;&gt;"",IF('Capacity summary'!$D$14="Yes",IF(COUNTBLANK('Capacity summary'!$H191:$BG191)&lt;52,IF('Capacity summary'!Q191&lt;&gt;"",IF(LOWER('Capacity summary'!Q191)="x",$BI72*Q72,VALUE('Capacity summary'!Q191)),0),Q72*$BI72),Q72*$BI72),0)</f>
        <v>0</v>
      </c>
      <c r="BU72" s="311">
        <f>IF($BI72&lt;&gt;"",IF('Capacity summary'!$D$14="Yes",IF(COUNTBLANK('Capacity summary'!$H191:$BG191)&lt;52,IF('Capacity summary'!R191&lt;&gt;"",IF(LOWER('Capacity summary'!R191)="x",$BI72*R72,VALUE('Capacity summary'!R191)),0),R72*$BI72),R72*$BI72),0)</f>
        <v>0</v>
      </c>
      <c r="BV72" s="311">
        <f>IF($BI72&lt;&gt;"",IF('Capacity summary'!$D$14="Yes",IF(COUNTBLANK('Capacity summary'!$H191:$BG191)&lt;52,IF('Capacity summary'!S191&lt;&gt;"",IF(LOWER('Capacity summary'!S191)="x",$BI72*S72,VALUE('Capacity summary'!S191)),0),S72*$BI72),S72*$BI72),0)</f>
        <v>0</v>
      </c>
      <c r="BW72" s="311">
        <f>IF($BI72&lt;&gt;"",IF('Capacity summary'!$D$14="Yes",IF(COUNTBLANK('Capacity summary'!$H191:$BG191)&lt;52,IF('Capacity summary'!T191&lt;&gt;"",IF(LOWER('Capacity summary'!T191)="x",$BI72*T72,VALUE('Capacity summary'!T191)),0),T72*$BI72),T72*$BI72),0)</f>
        <v>0</v>
      </c>
      <c r="BX72" s="311">
        <f>IF($BI72&lt;&gt;"",IF('Capacity summary'!$D$14="Yes",IF(COUNTBLANK('Capacity summary'!$H191:$BG191)&lt;52,IF('Capacity summary'!U191&lt;&gt;"",IF(LOWER('Capacity summary'!U191)="x",$BI72*U72,VALUE('Capacity summary'!U191)),0),U72*$BI72),U72*$BI72),0)</f>
        <v>0</v>
      </c>
      <c r="BY72" s="311">
        <f>IF($BI72&lt;&gt;"",IF('Capacity summary'!$D$14="Yes",IF(COUNTBLANK('Capacity summary'!$H191:$BG191)&lt;52,IF('Capacity summary'!V191&lt;&gt;"",IF(LOWER('Capacity summary'!V191)="x",$BI72*V72,VALUE('Capacity summary'!V191)),0),V72*$BI72),V72*$BI72),0)</f>
        <v>0</v>
      </c>
      <c r="BZ72" s="311">
        <f>IF($BI72&lt;&gt;"",IF('Capacity summary'!$D$14="Yes",IF(COUNTBLANK('Capacity summary'!$H191:$BG191)&lt;52,IF('Capacity summary'!W191&lt;&gt;"",IF(LOWER('Capacity summary'!W191)="x",$BI72*W72,VALUE('Capacity summary'!W191)),0),W72*$BI72),W72*$BI72),0)</f>
        <v>0</v>
      </c>
      <c r="CA72" s="311">
        <f>IF($BI72&lt;&gt;"",IF('Capacity summary'!$D$14="Yes",IF(COUNTBLANK('Capacity summary'!$H191:$BG191)&lt;52,IF('Capacity summary'!X191&lt;&gt;"",IF(LOWER('Capacity summary'!X191)="x",$BI72*X72,VALUE('Capacity summary'!X191)),0),X72*$BI72),X72*$BI72),0)</f>
        <v>0</v>
      </c>
      <c r="CB72" s="311">
        <f>IF($BI72&lt;&gt;"",IF('Capacity summary'!$D$14="Yes",IF(COUNTBLANK('Capacity summary'!$H191:$BG191)&lt;52,IF('Capacity summary'!Y191&lt;&gt;"",IF(LOWER('Capacity summary'!Y191)="x",$BI72*Y72,VALUE('Capacity summary'!Y191)),0),Y72*$BI72),Y72*$BI72),0)</f>
        <v>0</v>
      </c>
      <c r="CC72" s="311">
        <f>IF($BI72&lt;&gt;"",IF('Capacity summary'!$D$14="Yes",IF(COUNTBLANK('Capacity summary'!$H191:$BG191)&lt;52,IF('Capacity summary'!Z191&lt;&gt;"",IF(LOWER('Capacity summary'!Z191)="x",$BI72*Z72,VALUE('Capacity summary'!Z191)),0),Z72*$BI72),Z72*$BI72),0)</f>
        <v>0</v>
      </c>
      <c r="CD72" s="311">
        <f>IF($BI72&lt;&gt;"",IF('Capacity summary'!$D$14="Yes",IF(COUNTBLANK('Capacity summary'!$H191:$BG191)&lt;52,IF('Capacity summary'!AA191&lt;&gt;"",IF(LOWER('Capacity summary'!AA191)="x",$BI72*AA72,VALUE('Capacity summary'!AA191)),0),AA72*$BI72),AA72*$BI72),0)</f>
        <v>0</v>
      </c>
      <c r="CE72" s="311">
        <f>IF($BI72&lt;&gt;"",IF('Capacity summary'!$D$14="Yes",IF(COUNTBLANK('Capacity summary'!$H191:$BG191)&lt;52,IF('Capacity summary'!AB191&lt;&gt;"",IF(LOWER('Capacity summary'!AB191)="x",$BI72*AB72,VALUE('Capacity summary'!AB191)),0),AB72*$BI72),AB72*$BI72),0)</f>
        <v>0</v>
      </c>
      <c r="CF72" s="311">
        <f>IF($BI72&lt;&gt;"",IF('Capacity summary'!$D$14="Yes",IF(COUNTBLANK('Capacity summary'!$H191:$BG191)&lt;52,IF('Capacity summary'!AC191&lt;&gt;"",IF(LOWER('Capacity summary'!AC191)="x",$BI72*AC72,VALUE('Capacity summary'!AC191)),0),AC72*$BI72),AC72*$BI72),0)</f>
        <v>0</v>
      </c>
      <c r="CG72" s="311">
        <f>IF($BI72&lt;&gt;"",IF('Capacity summary'!$D$14="Yes",IF(COUNTBLANK('Capacity summary'!$H191:$BG191)&lt;52,IF('Capacity summary'!AD191&lt;&gt;"",IF(LOWER('Capacity summary'!AD191)="x",$BI72*AD72,VALUE('Capacity summary'!AD191)),0),AD72*$BI72),AD72*$BI72),0)</f>
        <v>0</v>
      </c>
      <c r="CH72" s="311">
        <f>IF($BI72&lt;&gt;"",IF('Capacity summary'!$D$14="Yes",IF(COUNTBLANK('Capacity summary'!$H191:$BG191)&lt;52,IF('Capacity summary'!AE191&lt;&gt;"",IF(LOWER('Capacity summary'!AE191)="x",$BI72*AE72,VALUE('Capacity summary'!AE191)),0),AE72*$BI72),AE72*$BI72),0)</f>
        <v>0</v>
      </c>
      <c r="CI72" s="311">
        <f>IF($BI72&lt;&gt;"",IF('Capacity summary'!$D$14="Yes",IF(COUNTBLANK('Capacity summary'!$H191:$BG191)&lt;52,IF('Capacity summary'!AF191&lt;&gt;"",IF(LOWER('Capacity summary'!AF191)="x",$BI72*AF72,VALUE('Capacity summary'!AF191)),0),AF72*$BI72),AF72*$BI72),0)</f>
        <v>0</v>
      </c>
      <c r="CJ72" s="311">
        <f>IF($BI72&lt;&gt;"",IF('Capacity summary'!$D$14="Yes",IF(COUNTBLANK('Capacity summary'!$H191:$BG191)&lt;52,IF('Capacity summary'!AG191&lt;&gt;"",IF(LOWER('Capacity summary'!AG191)="x",$BI72*AG72,VALUE('Capacity summary'!AG191)),0),AG72*$BI72),AG72*$BI72),0)</f>
        <v>0</v>
      </c>
      <c r="CK72" s="311">
        <f>IF($BI72&lt;&gt;"",IF('Capacity summary'!$D$14="Yes",IF(COUNTBLANK('Capacity summary'!$H191:$BG191)&lt;52,IF('Capacity summary'!AH191&lt;&gt;"",IF(LOWER('Capacity summary'!AH191)="x",$BI72*AH72,VALUE('Capacity summary'!AH191)),0),AH72*$BI72),AH72*$BI72),0)</f>
        <v>0</v>
      </c>
      <c r="CL72" s="311">
        <f>IF($BI72&lt;&gt;"",IF('Capacity summary'!$D$14="Yes",IF(COUNTBLANK('Capacity summary'!$H191:$BG191)&lt;52,IF('Capacity summary'!AI191&lt;&gt;"",IF(LOWER('Capacity summary'!AI191)="x",$BI72*AI72,VALUE('Capacity summary'!AI191)),0),AI72*$BI72),AI72*$BI72),0)</f>
        <v>0</v>
      </c>
      <c r="CM72" s="311">
        <f>IF($BI72&lt;&gt;"",IF('Capacity summary'!$D$14="Yes",IF(COUNTBLANK('Capacity summary'!$H191:$BG191)&lt;52,IF('Capacity summary'!AJ191&lt;&gt;"",IF(LOWER('Capacity summary'!AJ191)="x",$BI72*AJ72,VALUE('Capacity summary'!AJ191)),0),AJ72*$BI72),AJ72*$BI72),0)</f>
        <v>0</v>
      </c>
      <c r="CN72" s="311">
        <f>IF($BI72&lt;&gt;"",IF('Capacity summary'!$D$14="Yes",IF(COUNTBLANK('Capacity summary'!$H191:$BG191)&lt;52,IF('Capacity summary'!AK191&lt;&gt;"",IF(LOWER('Capacity summary'!AK191)="x",$BI72*AK72,VALUE('Capacity summary'!AK191)),0),AK72*$BI72),AK72*$BI72),0)</f>
        <v>0</v>
      </c>
      <c r="CO72" s="311">
        <f>IF($BI72&lt;&gt;"",IF('Capacity summary'!$D$14="Yes",IF(COUNTBLANK('Capacity summary'!$H191:$BG191)&lt;52,IF('Capacity summary'!AL191&lt;&gt;"",IF(LOWER('Capacity summary'!AL191)="x",$BI72*AL72,VALUE('Capacity summary'!AL191)),0),AL72*$BI72),AL72*$BI72),0)</f>
        <v>0</v>
      </c>
      <c r="CP72" s="311">
        <f>IF($BI72&lt;&gt;"",IF('Capacity summary'!$D$14="Yes",IF(COUNTBLANK('Capacity summary'!$H191:$BG191)&lt;52,IF('Capacity summary'!AM191&lt;&gt;"",IF(LOWER('Capacity summary'!AM191)="x",$BI72*AM72,VALUE('Capacity summary'!AM191)),0),AM72*$BI72),AM72*$BI72),0)</f>
        <v>0</v>
      </c>
      <c r="CQ72" s="311">
        <f>IF($BI72&lt;&gt;"",IF('Capacity summary'!$D$14="Yes",IF(COUNTBLANK('Capacity summary'!$H191:$BG191)&lt;52,IF('Capacity summary'!AN191&lt;&gt;"",IF(LOWER('Capacity summary'!AN191)="x",$BI72*AN72,VALUE('Capacity summary'!AN191)),0),AN72*$BI72),AN72*$BI72),0)</f>
        <v>0</v>
      </c>
      <c r="CR72" s="311">
        <f>IF($BI72&lt;&gt;"",IF('Capacity summary'!$D$14="Yes",IF(COUNTBLANK('Capacity summary'!$H191:$BG191)&lt;52,IF('Capacity summary'!AO191&lt;&gt;"",IF(LOWER('Capacity summary'!AO191)="x",$BI72*AO72,VALUE('Capacity summary'!AO191)),0),AO72*$BI72),AO72*$BI72),0)</f>
        <v>0</v>
      </c>
      <c r="CS72" s="311">
        <f>IF($BI72&lt;&gt;"",IF('Capacity summary'!$D$14="Yes",IF(COUNTBLANK('Capacity summary'!$H191:$BG191)&lt;52,IF('Capacity summary'!AP191&lt;&gt;"",IF(LOWER('Capacity summary'!AP191)="x",$BI72*AP72,VALUE('Capacity summary'!AP191)),0),AP72*$BI72),AP72*$BI72),0)</f>
        <v>0</v>
      </c>
      <c r="CT72" s="311">
        <f>IF($BI72&lt;&gt;"",IF('Capacity summary'!$D$14="Yes",IF(COUNTBLANK('Capacity summary'!$H191:$BG191)&lt;52,IF('Capacity summary'!AQ191&lt;&gt;"",IF(LOWER('Capacity summary'!AQ191)="x",$BI72*AQ72,VALUE('Capacity summary'!AQ191)),0),AQ72*$BI72),AQ72*$BI72),0)</f>
        <v>0</v>
      </c>
      <c r="CU72" s="311">
        <f>IF($BI72&lt;&gt;"",IF('Capacity summary'!$D$14="Yes",IF(COUNTBLANK('Capacity summary'!$H191:$BG191)&lt;52,IF('Capacity summary'!AR191&lt;&gt;"",IF(LOWER('Capacity summary'!AR191)="x",$BI72*AR72,VALUE('Capacity summary'!AR191)),0),AR72*$BI72),AR72*$BI72),0)</f>
        <v>0</v>
      </c>
      <c r="CV72" s="311">
        <f>IF($BI72&lt;&gt;"",IF('Capacity summary'!$D$14="Yes",IF(COUNTBLANK('Capacity summary'!$H191:$BG191)&lt;52,IF('Capacity summary'!AS191&lt;&gt;"",IF(LOWER('Capacity summary'!AS191)="x",$BI72*AS72,VALUE('Capacity summary'!AS191)),0),AS72*$BI72),AS72*$BI72),0)</f>
        <v>0</v>
      </c>
      <c r="CW72" s="311">
        <f>IF($BI72&lt;&gt;"",IF('Capacity summary'!$D$14="Yes",IF(COUNTBLANK('Capacity summary'!$H191:$BG191)&lt;52,IF('Capacity summary'!AT191&lt;&gt;"",IF(LOWER('Capacity summary'!AT191)="x",$BI72*AT72,VALUE('Capacity summary'!AT191)),0),AT72*$BI72),AT72*$BI72),0)</f>
        <v>0</v>
      </c>
      <c r="CX72" s="311">
        <f>IF($BI72&lt;&gt;"",IF('Capacity summary'!$D$14="Yes",IF(COUNTBLANK('Capacity summary'!$H191:$BG191)&lt;52,IF('Capacity summary'!AU191&lt;&gt;"",IF(LOWER('Capacity summary'!AU191)="x",$BI72*AU72,VALUE('Capacity summary'!AU191)),0),AU72*$BI72),AU72*$BI72),0)</f>
        <v>0</v>
      </c>
      <c r="CY72" s="311">
        <f>IF($BI72&lt;&gt;"",IF('Capacity summary'!$D$14="Yes",IF(COUNTBLANK('Capacity summary'!$H191:$BG191)&lt;52,IF('Capacity summary'!AV191&lt;&gt;"",IF(LOWER('Capacity summary'!AV191)="x",$BI72*AV72,VALUE('Capacity summary'!AV191)),0),AV72*$BI72),AV72*$BI72),0)</f>
        <v>0</v>
      </c>
      <c r="CZ72" s="311">
        <f>IF($BI72&lt;&gt;"",IF('Capacity summary'!$D$14="Yes",IF(COUNTBLANK('Capacity summary'!$H191:$BG191)&lt;52,IF('Capacity summary'!AW191&lt;&gt;"",IF(LOWER('Capacity summary'!AW191)="x",$BI72*AW72,VALUE('Capacity summary'!AW191)),0),AW72*$BI72),AW72*$BI72),0)</f>
        <v>0</v>
      </c>
      <c r="DA72" s="311">
        <f>IF($BI72&lt;&gt;"",IF('Capacity summary'!$D$14="Yes",IF(COUNTBLANK('Capacity summary'!$H191:$BG191)&lt;52,IF('Capacity summary'!AX191&lt;&gt;"",IF(LOWER('Capacity summary'!AX191)="x",$BI72*AX72,VALUE('Capacity summary'!AX191)),0),AX72*$BI72),AX72*$BI72),0)</f>
        <v>0</v>
      </c>
      <c r="DB72" s="311">
        <f>IF($BI72&lt;&gt;"",IF('Capacity summary'!$D$14="Yes",IF(COUNTBLANK('Capacity summary'!$H191:$BG191)&lt;52,IF('Capacity summary'!AY191&lt;&gt;"",IF(LOWER('Capacity summary'!AY191)="x",$BI72*AY72,VALUE('Capacity summary'!AY191)),0),AY72*$BI72),AY72*$BI72),0)</f>
        <v>0</v>
      </c>
      <c r="DC72" s="311">
        <f>IF($BI72&lt;&gt;"",IF('Capacity summary'!$D$14="Yes",IF(COUNTBLANK('Capacity summary'!$H191:$BG191)&lt;52,IF('Capacity summary'!AZ191&lt;&gt;"",IF(LOWER('Capacity summary'!AZ191)="x",$BI72*AZ72,VALUE('Capacity summary'!AZ191)),0),AZ72*$BI72),AZ72*$BI72),0)</f>
        <v>0</v>
      </c>
      <c r="DD72" s="311">
        <f>IF($BI72&lt;&gt;"",IF('Capacity summary'!$D$14="Yes",IF(COUNTBLANK('Capacity summary'!$H191:$BG191)&lt;52,IF('Capacity summary'!BA191&lt;&gt;"",IF(LOWER('Capacity summary'!BA191)="x",$BI72*BA72,VALUE('Capacity summary'!BA191)),0),BA72*$BI72),BA72*$BI72),0)</f>
        <v>0</v>
      </c>
      <c r="DE72" s="311">
        <f>IF($BI72&lt;&gt;"",IF('Capacity summary'!$D$14="Yes",IF(COUNTBLANK('Capacity summary'!$H191:$BG191)&lt;52,IF('Capacity summary'!BB191&lt;&gt;"",IF(LOWER('Capacity summary'!BB191)="x",$BI72*BB72,VALUE('Capacity summary'!BB191)),0),BB72*$BI72),BB72*$BI72),0)</f>
        <v>0</v>
      </c>
      <c r="DF72" s="311">
        <f>IF($BI72&lt;&gt;"",IF('Capacity summary'!$D$14="Yes",IF(COUNTBLANK('Capacity summary'!$H191:$BG191)&lt;52,IF('Capacity summary'!BC191&lt;&gt;"",IF(LOWER('Capacity summary'!BC191)="x",$BI72*BC72,VALUE('Capacity summary'!BC191)),0),BC72*$BI72),BC72*$BI72),0)</f>
        <v>0</v>
      </c>
      <c r="DG72" s="311">
        <f>IF($BI72&lt;&gt;"",IF('Capacity summary'!$D$14="Yes",IF(COUNTBLANK('Capacity summary'!$H191:$BG191)&lt;52,IF('Capacity summary'!BD191&lt;&gt;"",IF(LOWER('Capacity summary'!BD191)="x",$BI72*BD72,VALUE('Capacity summary'!BD191)),0),BD72*$BI72),BD72*$BI72),0)</f>
        <v>0</v>
      </c>
      <c r="DH72" s="311">
        <f>IF($BI72&lt;&gt;"",IF('Capacity summary'!$D$14="Yes",IF(COUNTBLANK('Capacity summary'!$H191:$BG191)&lt;52,IF('Capacity summary'!BE191&lt;&gt;"",IF(LOWER('Capacity summary'!BE191)="x",$BI72*BE72,VALUE('Capacity summary'!BE191)),0),BE72*$BI72),BE72*$BI72),0)</f>
        <v>0</v>
      </c>
      <c r="DI72" s="311">
        <f>IF($BI72&lt;&gt;"",IF('Capacity summary'!$D$14="Yes",IF(COUNTBLANK('Capacity summary'!$H191:$BG191)&lt;52,IF('Capacity summary'!BF191&lt;&gt;"",IF(LOWER('Capacity summary'!BF191)="x",$BI72*BF72,VALUE('Capacity summary'!BF191)),0),BF72*$BI72),BF72*$BI72),0)</f>
        <v>0</v>
      </c>
      <c r="DJ72" s="311">
        <f>IF($BI72&lt;&gt;"",IF('Capacity summary'!$D$14="Yes",IF(COUNTBLANK('Capacity summary'!$H191:$BG191)&lt;52,IF('Capacity summary'!BG191&lt;&gt;"",IF(LOWER('Capacity summary'!BG191)="x",$BI72*BG72,VALUE('Capacity summary'!BG191)),0),BG72*$BI72),BG72*$BI72),0)</f>
        <v>0</v>
      </c>
      <c r="DK72" s="391">
        <f t="shared" si="4"/>
        <v>0</v>
      </c>
      <c r="DL72" s="136">
        <f t="shared" si="5"/>
        <v>0</v>
      </c>
      <c r="DM72" s="311" t="str">
        <f>Capacity!H84</f>
        <v/>
      </c>
    </row>
    <row r="73" spans="1:117" x14ac:dyDescent="0.2">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1">
        <f>IF($BI73&lt;&gt;"",IF('Capacity summary'!$D$14="Yes",IF(COUNTBLANK('Capacity summary'!$H192:$BG192)&lt;52,IF('Capacity summary'!H192&lt;&gt;"",IF(LOWER('Capacity summary'!H192)="x",$BI73*H73,VALUE('Capacity summary'!H192)),0),H73*$BI73),H73*$BI73),0)</f>
        <v>0</v>
      </c>
      <c r="BL73" s="311">
        <f>IF($BI73&lt;&gt;"",IF('Capacity summary'!$D$14="Yes",IF(COUNTBLANK('Capacity summary'!$H192:$BG192)&lt;52,IF('Capacity summary'!I192&lt;&gt;"",IF(LOWER('Capacity summary'!I192)="x",$BI73*I73,VALUE('Capacity summary'!I192)),0),I73*$BI73),I73*$BI73),0)</f>
        <v>0</v>
      </c>
      <c r="BM73" s="311">
        <f>IF($BI73&lt;&gt;"",IF('Capacity summary'!$D$14="Yes",IF(COUNTBLANK('Capacity summary'!$H192:$BG192)&lt;52,IF('Capacity summary'!J192&lt;&gt;"",IF(LOWER('Capacity summary'!J192)="x",$BI73*J73,VALUE('Capacity summary'!J192)),0),J73*$BI73),J73*$BI73),0)</f>
        <v>0</v>
      </c>
      <c r="BN73" s="311">
        <f>IF($BI73&lt;&gt;"",IF('Capacity summary'!$D$14="Yes",IF(COUNTBLANK('Capacity summary'!$H192:$BG192)&lt;52,IF('Capacity summary'!K192&lt;&gt;"",IF(LOWER('Capacity summary'!K192)="x",$BI73*K73,VALUE('Capacity summary'!K192)),0),K73*$BI73),K73*$BI73),0)</f>
        <v>0</v>
      </c>
      <c r="BO73" s="311">
        <f>IF($BI73&lt;&gt;"",IF('Capacity summary'!$D$14="Yes",IF(COUNTBLANK('Capacity summary'!$H192:$BG192)&lt;52,IF('Capacity summary'!L192&lt;&gt;"",IF(LOWER('Capacity summary'!L192)="x",$BI73*L73,VALUE('Capacity summary'!L192)),0),L73*$BI73),L73*$BI73),0)</f>
        <v>0</v>
      </c>
      <c r="BP73" s="311">
        <f>IF($BI73&lt;&gt;"",IF('Capacity summary'!$D$14="Yes",IF(COUNTBLANK('Capacity summary'!$H192:$BG192)&lt;52,IF('Capacity summary'!M192&lt;&gt;"",IF(LOWER('Capacity summary'!M192)="x",$BI73*M73,VALUE('Capacity summary'!M192)),0),M73*$BI73),M73*$BI73),0)</f>
        <v>0</v>
      </c>
      <c r="BQ73" s="311">
        <f>IF($BI73&lt;&gt;"",IF('Capacity summary'!$D$14="Yes",IF(COUNTBLANK('Capacity summary'!$H192:$BG192)&lt;52,IF('Capacity summary'!N192&lt;&gt;"",IF(LOWER('Capacity summary'!N192)="x",$BI73*N73,VALUE('Capacity summary'!N192)),0),N73*$BI73),N73*$BI73),0)</f>
        <v>0</v>
      </c>
      <c r="BR73" s="311">
        <f>IF($BI73&lt;&gt;"",IF('Capacity summary'!$D$14="Yes",IF(COUNTBLANK('Capacity summary'!$H192:$BG192)&lt;52,IF('Capacity summary'!O192&lt;&gt;"",IF(LOWER('Capacity summary'!O192)="x",$BI73*O73,VALUE('Capacity summary'!O192)),0),O73*$BI73),O73*$BI73),0)</f>
        <v>0</v>
      </c>
      <c r="BS73" s="311">
        <f>IF($BI73&lt;&gt;"",IF('Capacity summary'!$D$14="Yes",IF(COUNTBLANK('Capacity summary'!$H192:$BG192)&lt;52,IF('Capacity summary'!P192&lt;&gt;"",IF(LOWER('Capacity summary'!P192)="x",$BI73*P73,VALUE('Capacity summary'!P192)),0),P73*$BI73),P73*$BI73),0)</f>
        <v>0</v>
      </c>
      <c r="BT73" s="311">
        <f>IF($BI73&lt;&gt;"",IF('Capacity summary'!$D$14="Yes",IF(COUNTBLANK('Capacity summary'!$H192:$BG192)&lt;52,IF('Capacity summary'!Q192&lt;&gt;"",IF(LOWER('Capacity summary'!Q192)="x",$BI73*Q73,VALUE('Capacity summary'!Q192)),0),Q73*$BI73),Q73*$BI73),0)</f>
        <v>0</v>
      </c>
      <c r="BU73" s="311">
        <f>IF($BI73&lt;&gt;"",IF('Capacity summary'!$D$14="Yes",IF(COUNTBLANK('Capacity summary'!$H192:$BG192)&lt;52,IF('Capacity summary'!R192&lt;&gt;"",IF(LOWER('Capacity summary'!R192)="x",$BI73*R73,VALUE('Capacity summary'!R192)),0),R73*$BI73),R73*$BI73),0)</f>
        <v>0</v>
      </c>
      <c r="BV73" s="311">
        <f>IF($BI73&lt;&gt;"",IF('Capacity summary'!$D$14="Yes",IF(COUNTBLANK('Capacity summary'!$H192:$BG192)&lt;52,IF('Capacity summary'!S192&lt;&gt;"",IF(LOWER('Capacity summary'!S192)="x",$BI73*S73,VALUE('Capacity summary'!S192)),0),S73*$BI73),S73*$BI73),0)</f>
        <v>0</v>
      </c>
      <c r="BW73" s="311">
        <f>IF($BI73&lt;&gt;"",IF('Capacity summary'!$D$14="Yes",IF(COUNTBLANK('Capacity summary'!$H192:$BG192)&lt;52,IF('Capacity summary'!T192&lt;&gt;"",IF(LOWER('Capacity summary'!T192)="x",$BI73*T73,VALUE('Capacity summary'!T192)),0),T73*$BI73),T73*$BI73),0)</f>
        <v>0</v>
      </c>
      <c r="BX73" s="311">
        <f>IF($BI73&lt;&gt;"",IF('Capacity summary'!$D$14="Yes",IF(COUNTBLANK('Capacity summary'!$H192:$BG192)&lt;52,IF('Capacity summary'!U192&lt;&gt;"",IF(LOWER('Capacity summary'!U192)="x",$BI73*U73,VALUE('Capacity summary'!U192)),0),U73*$BI73),U73*$BI73),0)</f>
        <v>0</v>
      </c>
      <c r="BY73" s="311">
        <f>IF($BI73&lt;&gt;"",IF('Capacity summary'!$D$14="Yes",IF(COUNTBLANK('Capacity summary'!$H192:$BG192)&lt;52,IF('Capacity summary'!V192&lt;&gt;"",IF(LOWER('Capacity summary'!V192)="x",$BI73*V73,VALUE('Capacity summary'!V192)),0),V73*$BI73),V73*$BI73),0)</f>
        <v>0</v>
      </c>
      <c r="BZ73" s="311">
        <f>IF($BI73&lt;&gt;"",IF('Capacity summary'!$D$14="Yes",IF(COUNTBLANK('Capacity summary'!$H192:$BG192)&lt;52,IF('Capacity summary'!W192&lt;&gt;"",IF(LOWER('Capacity summary'!W192)="x",$BI73*W73,VALUE('Capacity summary'!W192)),0),W73*$BI73),W73*$BI73),0)</f>
        <v>0</v>
      </c>
      <c r="CA73" s="311">
        <f>IF($BI73&lt;&gt;"",IF('Capacity summary'!$D$14="Yes",IF(COUNTBLANK('Capacity summary'!$H192:$BG192)&lt;52,IF('Capacity summary'!X192&lt;&gt;"",IF(LOWER('Capacity summary'!X192)="x",$BI73*X73,VALUE('Capacity summary'!X192)),0),X73*$BI73),X73*$BI73),0)</f>
        <v>0</v>
      </c>
      <c r="CB73" s="311">
        <f>IF($BI73&lt;&gt;"",IF('Capacity summary'!$D$14="Yes",IF(COUNTBLANK('Capacity summary'!$H192:$BG192)&lt;52,IF('Capacity summary'!Y192&lt;&gt;"",IF(LOWER('Capacity summary'!Y192)="x",$BI73*Y73,VALUE('Capacity summary'!Y192)),0),Y73*$BI73),Y73*$BI73),0)</f>
        <v>0</v>
      </c>
      <c r="CC73" s="311">
        <f>IF($BI73&lt;&gt;"",IF('Capacity summary'!$D$14="Yes",IF(COUNTBLANK('Capacity summary'!$H192:$BG192)&lt;52,IF('Capacity summary'!Z192&lt;&gt;"",IF(LOWER('Capacity summary'!Z192)="x",$BI73*Z73,VALUE('Capacity summary'!Z192)),0),Z73*$BI73),Z73*$BI73),0)</f>
        <v>0</v>
      </c>
      <c r="CD73" s="311">
        <f>IF($BI73&lt;&gt;"",IF('Capacity summary'!$D$14="Yes",IF(COUNTBLANK('Capacity summary'!$H192:$BG192)&lt;52,IF('Capacity summary'!AA192&lt;&gt;"",IF(LOWER('Capacity summary'!AA192)="x",$BI73*AA73,VALUE('Capacity summary'!AA192)),0),AA73*$BI73),AA73*$BI73),0)</f>
        <v>0</v>
      </c>
      <c r="CE73" s="311">
        <f>IF($BI73&lt;&gt;"",IF('Capacity summary'!$D$14="Yes",IF(COUNTBLANK('Capacity summary'!$H192:$BG192)&lt;52,IF('Capacity summary'!AB192&lt;&gt;"",IF(LOWER('Capacity summary'!AB192)="x",$BI73*AB73,VALUE('Capacity summary'!AB192)),0),AB73*$BI73),AB73*$BI73),0)</f>
        <v>0</v>
      </c>
      <c r="CF73" s="311">
        <f>IF($BI73&lt;&gt;"",IF('Capacity summary'!$D$14="Yes",IF(COUNTBLANK('Capacity summary'!$H192:$BG192)&lt;52,IF('Capacity summary'!AC192&lt;&gt;"",IF(LOWER('Capacity summary'!AC192)="x",$BI73*AC73,VALUE('Capacity summary'!AC192)),0),AC73*$BI73),AC73*$BI73),0)</f>
        <v>0</v>
      </c>
      <c r="CG73" s="311">
        <f>IF($BI73&lt;&gt;"",IF('Capacity summary'!$D$14="Yes",IF(COUNTBLANK('Capacity summary'!$H192:$BG192)&lt;52,IF('Capacity summary'!AD192&lt;&gt;"",IF(LOWER('Capacity summary'!AD192)="x",$BI73*AD73,VALUE('Capacity summary'!AD192)),0),AD73*$BI73),AD73*$BI73),0)</f>
        <v>0</v>
      </c>
      <c r="CH73" s="311">
        <f>IF($BI73&lt;&gt;"",IF('Capacity summary'!$D$14="Yes",IF(COUNTBLANK('Capacity summary'!$H192:$BG192)&lt;52,IF('Capacity summary'!AE192&lt;&gt;"",IF(LOWER('Capacity summary'!AE192)="x",$BI73*AE73,VALUE('Capacity summary'!AE192)),0),AE73*$BI73),AE73*$BI73),0)</f>
        <v>0</v>
      </c>
      <c r="CI73" s="311">
        <f>IF($BI73&lt;&gt;"",IF('Capacity summary'!$D$14="Yes",IF(COUNTBLANK('Capacity summary'!$H192:$BG192)&lt;52,IF('Capacity summary'!AF192&lt;&gt;"",IF(LOWER('Capacity summary'!AF192)="x",$BI73*AF73,VALUE('Capacity summary'!AF192)),0),AF73*$BI73),AF73*$BI73),0)</f>
        <v>0</v>
      </c>
      <c r="CJ73" s="311">
        <f>IF($BI73&lt;&gt;"",IF('Capacity summary'!$D$14="Yes",IF(COUNTBLANK('Capacity summary'!$H192:$BG192)&lt;52,IF('Capacity summary'!AG192&lt;&gt;"",IF(LOWER('Capacity summary'!AG192)="x",$BI73*AG73,VALUE('Capacity summary'!AG192)),0),AG73*$BI73),AG73*$BI73),0)</f>
        <v>0</v>
      </c>
      <c r="CK73" s="311">
        <f>IF($BI73&lt;&gt;"",IF('Capacity summary'!$D$14="Yes",IF(COUNTBLANK('Capacity summary'!$H192:$BG192)&lt;52,IF('Capacity summary'!AH192&lt;&gt;"",IF(LOWER('Capacity summary'!AH192)="x",$BI73*AH73,VALUE('Capacity summary'!AH192)),0),AH73*$BI73),AH73*$BI73),0)</f>
        <v>0</v>
      </c>
      <c r="CL73" s="311">
        <f>IF($BI73&lt;&gt;"",IF('Capacity summary'!$D$14="Yes",IF(COUNTBLANK('Capacity summary'!$H192:$BG192)&lt;52,IF('Capacity summary'!AI192&lt;&gt;"",IF(LOWER('Capacity summary'!AI192)="x",$BI73*AI73,VALUE('Capacity summary'!AI192)),0),AI73*$BI73),AI73*$BI73),0)</f>
        <v>0</v>
      </c>
      <c r="CM73" s="311">
        <f>IF($BI73&lt;&gt;"",IF('Capacity summary'!$D$14="Yes",IF(COUNTBLANK('Capacity summary'!$H192:$BG192)&lt;52,IF('Capacity summary'!AJ192&lt;&gt;"",IF(LOWER('Capacity summary'!AJ192)="x",$BI73*AJ73,VALUE('Capacity summary'!AJ192)),0),AJ73*$BI73),AJ73*$BI73),0)</f>
        <v>0</v>
      </c>
      <c r="CN73" s="311">
        <f>IF($BI73&lt;&gt;"",IF('Capacity summary'!$D$14="Yes",IF(COUNTBLANK('Capacity summary'!$H192:$BG192)&lt;52,IF('Capacity summary'!AK192&lt;&gt;"",IF(LOWER('Capacity summary'!AK192)="x",$BI73*AK73,VALUE('Capacity summary'!AK192)),0),AK73*$BI73),AK73*$BI73),0)</f>
        <v>0</v>
      </c>
      <c r="CO73" s="311">
        <f>IF($BI73&lt;&gt;"",IF('Capacity summary'!$D$14="Yes",IF(COUNTBLANK('Capacity summary'!$H192:$BG192)&lt;52,IF('Capacity summary'!AL192&lt;&gt;"",IF(LOWER('Capacity summary'!AL192)="x",$BI73*AL73,VALUE('Capacity summary'!AL192)),0),AL73*$BI73),AL73*$BI73),0)</f>
        <v>0</v>
      </c>
      <c r="CP73" s="311">
        <f>IF($BI73&lt;&gt;"",IF('Capacity summary'!$D$14="Yes",IF(COUNTBLANK('Capacity summary'!$H192:$BG192)&lt;52,IF('Capacity summary'!AM192&lt;&gt;"",IF(LOWER('Capacity summary'!AM192)="x",$BI73*AM73,VALUE('Capacity summary'!AM192)),0),AM73*$BI73),AM73*$BI73),0)</f>
        <v>0</v>
      </c>
      <c r="CQ73" s="311">
        <f>IF($BI73&lt;&gt;"",IF('Capacity summary'!$D$14="Yes",IF(COUNTBLANK('Capacity summary'!$H192:$BG192)&lt;52,IF('Capacity summary'!AN192&lt;&gt;"",IF(LOWER('Capacity summary'!AN192)="x",$BI73*AN73,VALUE('Capacity summary'!AN192)),0),AN73*$BI73),AN73*$BI73),0)</f>
        <v>0</v>
      </c>
      <c r="CR73" s="311">
        <f>IF($BI73&lt;&gt;"",IF('Capacity summary'!$D$14="Yes",IF(COUNTBLANK('Capacity summary'!$H192:$BG192)&lt;52,IF('Capacity summary'!AO192&lt;&gt;"",IF(LOWER('Capacity summary'!AO192)="x",$BI73*AO73,VALUE('Capacity summary'!AO192)),0),AO73*$BI73),AO73*$BI73),0)</f>
        <v>0</v>
      </c>
      <c r="CS73" s="311">
        <f>IF($BI73&lt;&gt;"",IF('Capacity summary'!$D$14="Yes",IF(COUNTBLANK('Capacity summary'!$H192:$BG192)&lt;52,IF('Capacity summary'!AP192&lt;&gt;"",IF(LOWER('Capacity summary'!AP192)="x",$BI73*AP73,VALUE('Capacity summary'!AP192)),0),AP73*$BI73),AP73*$BI73),0)</f>
        <v>0</v>
      </c>
      <c r="CT73" s="311">
        <f>IF($BI73&lt;&gt;"",IF('Capacity summary'!$D$14="Yes",IF(COUNTBLANK('Capacity summary'!$H192:$BG192)&lt;52,IF('Capacity summary'!AQ192&lt;&gt;"",IF(LOWER('Capacity summary'!AQ192)="x",$BI73*AQ73,VALUE('Capacity summary'!AQ192)),0),AQ73*$BI73),AQ73*$BI73),0)</f>
        <v>0</v>
      </c>
      <c r="CU73" s="311">
        <f>IF($BI73&lt;&gt;"",IF('Capacity summary'!$D$14="Yes",IF(COUNTBLANK('Capacity summary'!$H192:$BG192)&lt;52,IF('Capacity summary'!AR192&lt;&gt;"",IF(LOWER('Capacity summary'!AR192)="x",$BI73*AR73,VALUE('Capacity summary'!AR192)),0),AR73*$BI73),AR73*$BI73),0)</f>
        <v>0</v>
      </c>
      <c r="CV73" s="311">
        <f>IF($BI73&lt;&gt;"",IF('Capacity summary'!$D$14="Yes",IF(COUNTBLANK('Capacity summary'!$H192:$BG192)&lt;52,IF('Capacity summary'!AS192&lt;&gt;"",IF(LOWER('Capacity summary'!AS192)="x",$BI73*AS73,VALUE('Capacity summary'!AS192)),0),AS73*$BI73),AS73*$BI73),0)</f>
        <v>0</v>
      </c>
      <c r="CW73" s="311">
        <f>IF($BI73&lt;&gt;"",IF('Capacity summary'!$D$14="Yes",IF(COUNTBLANK('Capacity summary'!$H192:$BG192)&lt;52,IF('Capacity summary'!AT192&lt;&gt;"",IF(LOWER('Capacity summary'!AT192)="x",$BI73*AT73,VALUE('Capacity summary'!AT192)),0),AT73*$BI73),AT73*$BI73),0)</f>
        <v>0</v>
      </c>
      <c r="CX73" s="311">
        <f>IF($BI73&lt;&gt;"",IF('Capacity summary'!$D$14="Yes",IF(COUNTBLANK('Capacity summary'!$H192:$BG192)&lt;52,IF('Capacity summary'!AU192&lt;&gt;"",IF(LOWER('Capacity summary'!AU192)="x",$BI73*AU73,VALUE('Capacity summary'!AU192)),0),AU73*$BI73),AU73*$BI73),0)</f>
        <v>0</v>
      </c>
      <c r="CY73" s="311">
        <f>IF($BI73&lt;&gt;"",IF('Capacity summary'!$D$14="Yes",IF(COUNTBLANK('Capacity summary'!$H192:$BG192)&lt;52,IF('Capacity summary'!AV192&lt;&gt;"",IF(LOWER('Capacity summary'!AV192)="x",$BI73*AV73,VALUE('Capacity summary'!AV192)),0),AV73*$BI73),AV73*$BI73),0)</f>
        <v>0</v>
      </c>
      <c r="CZ73" s="311">
        <f>IF($BI73&lt;&gt;"",IF('Capacity summary'!$D$14="Yes",IF(COUNTBLANK('Capacity summary'!$H192:$BG192)&lt;52,IF('Capacity summary'!AW192&lt;&gt;"",IF(LOWER('Capacity summary'!AW192)="x",$BI73*AW73,VALUE('Capacity summary'!AW192)),0),AW73*$BI73),AW73*$BI73),0)</f>
        <v>0</v>
      </c>
      <c r="DA73" s="311">
        <f>IF($BI73&lt;&gt;"",IF('Capacity summary'!$D$14="Yes",IF(COUNTBLANK('Capacity summary'!$H192:$BG192)&lt;52,IF('Capacity summary'!AX192&lt;&gt;"",IF(LOWER('Capacity summary'!AX192)="x",$BI73*AX73,VALUE('Capacity summary'!AX192)),0),AX73*$BI73),AX73*$BI73),0)</f>
        <v>0</v>
      </c>
      <c r="DB73" s="311">
        <f>IF($BI73&lt;&gt;"",IF('Capacity summary'!$D$14="Yes",IF(COUNTBLANK('Capacity summary'!$H192:$BG192)&lt;52,IF('Capacity summary'!AY192&lt;&gt;"",IF(LOWER('Capacity summary'!AY192)="x",$BI73*AY73,VALUE('Capacity summary'!AY192)),0),AY73*$BI73),AY73*$BI73),0)</f>
        <v>0</v>
      </c>
      <c r="DC73" s="311">
        <f>IF($BI73&lt;&gt;"",IF('Capacity summary'!$D$14="Yes",IF(COUNTBLANK('Capacity summary'!$H192:$BG192)&lt;52,IF('Capacity summary'!AZ192&lt;&gt;"",IF(LOWER('Capacity summary'!AZ192)="x",$BI73*AZ73,VALUE('Capacity summary'!AZ192)),0),AZ73*$BI73),AZ73*$BI73),0)</f>
        <v>0</v>
      </c>
      <c r="DD73" s="311">
        <f>IF($BI73&lt;&gt;"",IF('Capacity summary'!$D$14="Yes",IF(COUNTBLANK('Capacity summary'!$H192:$BG192)&lt;52,IF('Capacity summary'!BA192&lt;&gt;"",IF(LOWER('Capacity summary'!BA192)="x",$BI73*BA73,VALUE('Capacity summary'!BA192)),0),BA73*$BI73),BA73*$BI73),0)</f>
        <v>0</v>
      </c>
      <c r="DE73" s="311">
        <f>IF($BI73&lt;&gt;"",IF('Capacity summary'!$D$14="Yes",IF(COUNTBLANK('Capacity summary'!$H192:$BG192)&lt;52,IF('Capacity summary'!BB192&lt;&gt;"",IF(LOWER('Capacity summary'!BB192)="x",$BI73*BB73,VALUE('Capacity summary'!BB192)),0),BB73*$BI73),BB73*$BI73),0)</f>
        <v>0</v>
      </c>
      <c r="DF73" s="311">
        <f>IF($BI73&lt;&gt;"",IF('Capacity summary'!$D$14="Yes",IF(COUNTBLANK('Capacity summary'!$H192:$BG192)&lt;52,IF('Capacity summary'!BC192&lt;&gt;"",IF(LOWER('Capacity summary'!BC192)="x",$BI73*BC73,VALUE('Capacity summary'!BC192)),0),BC73*$BI73),BC73*$BI73),0)</f>
        <v>0</v>
      </c>
      <c r="DG73" s="311">
        <f>IF($BI73&lt;&gt;"",IF('Capacity summary'!$D$14="Yes",IF(COUNTBLANK('Capacity summary'!$H192:$BG192)&lt;52,IF('Capacity summary'!BD192&lt;&gt;"",IF(LOWER('Capacity summary'!BD192)="x",$BI73*BD73,VALUE('Capacity summary'!BD192)),0),BD73*$BI73),BD73*$BI73),0)</f>
        <v>0</v>
      </c>
      <c r="DH73" s="311">
        <f>IF($BI73&lt;&gt;"",IF('Capacity summary'!$D$14="Yes",IF(COUNTBLANK('Capacity summary'!$H192:$BG192)&lt;52,IF('Capacity summary'!BE192&lt;&gt;"",IF(LOWER('Capacity summary'!BE192)="x",$BI73*BE73,VALUE('Capacity summary'!BE192)),0),BE73*$BI73),BE73*$BI73),0)</f>
        <v>0</v>
      </c>
      <c r="DI73" s="311">
        <f>IF($BI73&lt;&gt;"",IF('Capacity summary'!$D$14="Yes",IF(COUNTBLANK('Capacity summary'!$H192:$BG192)&lt;52,IF('Capacity summary'!BF192&lt;&gt;"",IF(LOWER('Capacity summary'!BF192)="x",$BI73*BF73,VALUE('Capacity summary'!BF192)),0),BF73*$BI73),BF73*$BI73),0)</f>
        <v>0</v>
      </c>
      <c r="DJ73" s="311">
        <f>IF($BI73&lt;&gt;"",IF('Capacity summary'!$D$14="Yes",IF(COUNTBLANK('Capacity summary'!$H192:$BG192)&lt;52,IF('Capacity summary'!BG192&lt;&gt;"",IF(LOWER('Capacity summary'!BG192)="x",$BI73*BG73,VALUE('Capacity summary'!BG192)),0),BG73*$BI73),BG73*$BI73),0)</f>
        <v>0</v>
      </c>
      <c r="DK73" s="391">
        <f t="shared" si="4"/>
        <v>0</v>
      </c>
      <c r="DL73" s="136">
        <f t="shared" si="5"/>
        <v>0</v>
      </c>
      <c r="DM73" s="311" t="str">
        <f>Capacity!H85</f>
        <v/>
      </c>
    </row>
    <row r="74" spans="1:117" x14ac:dyDescent="0.2">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1">
        <f>IF($BI74&lt;&gt;"",IF('Capacity summary'!$D$14="Yes",IF(COUNTBLANK('Capacity summary'!$H193:$BG193)&lt;52,IF('Capacity summary'!H193&lt;&gt;"",IF(LOWER('Capacity summary'!H193)="x",$BI74*H74,VALUE('Capacity summary'!H193)),0),H74*$BI74),H74*$BI74),0)</f>
        <v>0</v>
      </c>
      <c r="BL74" s="311">
        <f>IF($BI74&lt;&gt;"",IF('Capacity summary'!$D$14="Yes",IF(COUNTBLANK('Capacity summary'!$H193:$BG193)&lt;52,IF('Capacity summary'!I193&lt;&gt;"",IF(LOWER('Capacity summary'!I193)="x",$BI74*I74,VALUE('Capacity summary'!I193)),0),I74*$BI74),I74*$BI74),0)</f>
        <v>0</v>
      </c>
      <c r="BM74" s="311">
        <f>IF($BI74&lt;&gt;"",IF('Capacity summary'!$D$14="Yes",IF(COUNTBLANK('Capacity summary'!$H193:$BG193)&lt;52,IF('Capacity summary'!J193&lt;&gt;"",IF(LOWER('Capacity summary'!J193)="x",$BI74*J74,VALUE('Capacity summary'!J193)),0),J74*$BI74),J74*$BI74),0)</f>
        <v>0</v>
      </c>
      <c r="BN74" s="311">
        <f>IF($BI74&lt;&gt;"",IF('Capacity summary'!$D$14="Yes",IF(COUNTBLANK('Capacity summary'!$H193:$BG193)&lt;52,IF('Capacity summary'!K193&lt;&gt;"",IF(LOWER('Capacity summary'!K193)="x",$BI74*K74,VALUE('Capacity summary'!K193)),0),K74*$BI74),K74*$BI74),0)</f>
        <v>0</v>
      </c>
      <c r="BO74" s="311">
        <f>IF($BI74&lt;&gt;"",IF('Capacity summary'!$D$14="Yes",IF(COUNTBLANK('Capacity summary'!$H193:$BG193)&lt;52,IF('Capacity summary'!L193&lt;&gt;"",IF(LOWER('Capacity summary'!L193)="x",$BI74*L74,VALUE('Capacity summary'!L193)),0),L74*$BI74),L74*$BI74),0)</f>
        <v>0</v>
      </c>
      <c r="BP74" s="311">
        <f>IF($BI74&lt;&gt;"",IF('Capacity summary'!$D$14="Yes",IF(COUNTBLANK('Capacity summary'!$H193:$BG193)&lt;52,IF('Capacity summary'!M193&lt;&gt;"",IF(LOWER('Capacity summary'!M193)="x",$BI74*M74,VALUE('Capacity summary'!M193)),0),M74*$BI74),M74*$BI74),0)</f>
        <v>0</v>
      </c>
      <c r="BQ74" s="311">
        <f>IF($BI74&lt;&gt;"",IF('Capacity summary'!$D$14="Yes",IF(COUNTBLANK('Capacity summary'!$H193:$BG193)&lt;52,IF('Capacity summary'!N193&lt;&gt;"",IF(LOWER('Capacity summary'!N193)="x",$BI74*N74,VALUE('Capacity summary'!N193)),0),N74*$BI74),N74*$BI74),0)</f>
        <v>0</v>
      </c>
      <c r="BR74" s="311">
        <f>IF($BI74&lt;&gt;"",IF('Capacity summary'!$D$14="Yes",IF(COUNTBLANK('Capacity summary'!$H193:$BG193)&lt;52,IF('Capacity summary'!O193&lt;&gt;"",IF(LOWER('Capacity summary'!O193)="x",$BI74*O74,VALUE('Capacity summary'!O193)),0),O74*$BI74),O74*$BI74),0)</f>
        <v>0</v>
      </c>
      <c r="BS74" s="311">
        <f>IF($BI74&lt;&gt;"",IF('Capacity summary'!$D$14="Yes",IF(COUNTBLANK('Capacity summary'!$H193:$BG193)&lt;52,IF('Capacity summary'!P193&lt;&gt;"",IF(LOWER('Capacity summary'!P193)="x",$BI74*P74,VALUE('Capacity summary'!P193)),0),P74*$BI74),P74*$BI74),0)</f>
        <v>0</v>
      </c>
      <c r="BT74" s="311">
        <f>IF($BI74&lt;&gt;"",IF('Capacity summary'!$D$14="Yes",IF(COUNTBLANK('Capacity summary'!$H193:$BG193)&lt;52,IF('Capacity summary'!Q193&lt;&gt;"",IF(LOWER('Capacity summary'!Q193)="x",$BI74*Q74,VALUE('Capacity summary'!Q193)),0),Q74*$BI74),Q74*$BI74),0)</f>
        <v>0</v>
      </c>
      <c r="BU74" s="311">
        <f>IF($BI74&lt;&gt;"",IF('Capacity summary'!$D$14="Yes",IF(COUNTBLANK('Capacity summary'!$H193:$BG193)&lt;52,IF('Capacity summary'!R193&lt;&gt;"",IF(LOWER('Capacity summary'!R193)="x",$BI74*R74,VALUE('Capacity summary'!R193)),0),R74*$BI74),R74*$BI74),0)</f>
        <v>0</v>
      </c>
      <c r="BV74" s="311">
        <f>IF($BI74&lt;&gt;"",IF('Capacity summary'!$D$14="Yes",IF(COUNTBLANK('Capacity summary'!$H193:$BG193)&lt;52,IF('Capacity summary'!S193&lt;&gt;"",IF(LOWER('Capacity summary'!S193)="x",$BI74*S74,VALUE('Capacity summary'!S193)),0),S74*$BI74),S74*$BI74),0)</f>
        <v>0</v>
      </c>
      <c r="BW74" s="311">
        <f>IF($BI74&lt;&gt;"",IF('Capacity summary'!$D$14="Yes",IF(COUNTBLANK('Capacity summary'!$H193:$BG193)&lt;52,IF('Capacity summary'!T193&lt;&gt;"",IF(LOWER('Capacity summary'!T193)="x",$BI74*T74,VALUE('Capacity summary'!T193)),0),T74*$BI74),T74*$BI74),0)</f>
        <v>0</v>
      </c>
      <c r="BX74" s="311">
        <f>IF($BI74&lt;&gt;"",IF('Capacity summary'!$D$14="Yes",IF(COUNTBLANK('Capacity summary'!$H193:$BG193)&lt;52,IF('Capacity summary'!U193&lt;&gt;"",IF(LOWER('Capacity summary'!U193)="x",$BI74*U74,VALUE('Capacity summary'!U193)),0),U74*$BI74),U74*$BI74),0)</f>
        <v>0</v>
      </c>
      <c r="BY74" s="311">
        <f>IF($BI74&lt;&gt;"",IF('Capacity summary'!$D$14="Yes",IF(COUNTBLANK('Capacity summary'!$H193:$BG193)&lt;52,IF('Capacity summary'!V193&lt;&gt;"",IF(LOWER('Capacity summary'!V193)="x",$BI74*V74,VALUE('Capacity summary'!V193)),0),V74*$BI74),V74*$BI74),0)</f>
        <v>0</v>
      </c>
      <c r="BZ74" s="311">
        <f>IF($BI74&lt;&gt;"",IF('Capacity summary'!$D$14="Yes",IF(COUNTBLANK('Capacity summary'!$H193:$BG193)&lt;52,IF('Capacity summary'!W193&lt;&gt;"",IF(LOWER('Capacity summary'!W193)="x",$BI74*W74,VALUE('Capacity summary'!W193)),0),W74*$BI74),W74*$BI74),0)</f>
        <v>0</v>
      </c>
      <c r="CA74" s="311">
        <f>IF($BI74&lt;&gt;"",IF('Capacity summary'!$D$14="Yes",IF(COUNTBLANK('Capacity summary'!$H193:$BG193)&lt;52,IF('Capacity summary'!X193&lt;&gt;"",IF(LOWER('Capacity summary'!X193)="x",$BI74*X74,VALUE('Capacity summary'!X193)),0),X74*$BI74),X74*$BI74),0)</f>
        <v>0</v>
      </c>
      <c r="CB74" s="311">
        <f>IF($BI74&lt;&gt;"",IF('Capacity summary'!$D$14="Yes",IF(COUNTBLANK('Capacity summary'!$H193:$BG193)&lt;52,IF('Capacity summary'!Y193&lt;&gt;"",IF(LOWER('Capacity summary'!Y193)="x",$BI74*Y74,VALUE('Capacity summary'!Y193)),0),Y74*$BI74),Y74*$BI74),0)</f>
        <v>0</v>
      </c>
      <c r="CC74" s="311">
        <f>IF($BI74&lt;&gt;"",IF('Capacity summary'!$D$14="Yes",IF(COUNTBLANK('Capacity summary'!$H193:$BG193)&lt;52,IF('Capacity summary'!Z193&lt;&gt;"",IF(LOWER('Capacity summary'!Z193)="x",$BI74*Z74,VALUE('Capacity summary'!Z193)),0),Z74*$BI74),Z74*$BI74),0)</f>
        <v>0</v>
      </c>
      <c r="CD74" s="311">
        <f>IF($BI74&lt;&gt;"",IF('Capacity summary'!$D$14="Yes",IF(COUNTBLANK('Capacity summary'!$H193:$BG193)&lt;52,IF('Capacity summary'!AA193&lt;&gt;"",IF(LOWER('Capacity summary'!AA193)="x",$BI74*AA74,VALUE('Capacity summary'!AA193)),0),AA74*$BI74),AA74*$BI74),0)</f>
        <v>0</v>
      </c>
      <c r="CE74" s="311">
        <f>IF($BI74&lt;&gt;"",IF('Capacity summary'!$D$14="Yes",IF(COUNTBLANK('Capacity summary'!$H193:$BG193)&lt;52,IF('Capacity summary'!AB193&lt;&gt;"",IF(LOWER('Capacity summary'!AB193)="x",$BI74*AB74,VALUE('Capacity summary'!AB193)),0),AB74*$BI74),AB74*$BI74),0)</f>
        <v>0</v>
      </c>
      <c r="CF74" s="311">
        <f>IF($BI74&lt;&gt;"",IF('Capacity summary'!$D$14="Yes",IF(COUNTBLANK('Capacity summary'!$H193:$BG193)&lt;52,IF('Capacity summary'!AC193&lt;&gt;"",IF(LOWER('Capacity summary'!AC193)="x",$BI74*AC74,VALUE('Capacity summary'!AC193)),0),AC74*$BI74),AC74*$BI74),0)</f>
        <v>0</v>
      </c>
      <c r="CG74" s="311">
        <f>IF($BI74&lt;&gt;"",IF('Capacity summary'!$D$14="Yes",IF(COUNTBLANK('Capacity summary'!$H193:$BG193)&lt;52,IF('Capacity summary'!AD193&lt;&gt;"",IF(LOWER('Capacity summary'!AD193)="x",$BI74*AD74,VALUE('Capacity summary'!AD193)),0),AD74*$BI74),AD74*$BI74),0)</f>
        <v>0</v>
      </c>
      <c r="CH74" s="311">
        <f>IF($BI74&lt;&gt;"",IF('Capacity summary'!$D$14="Yes",IF(COUNTBLANK('Capacity summary'!$H193:$BG193)&lt;52,IF('Capacity summary'!AE193&lt;&gt;"",IF(LOWER('Capacity summary'!AE193)="x",$BI74*AE74,VALUE('Capacity summary'!AE193)),0),AE74*$BI74),AE74*$BI74),0)</f>
        <v>0</v>
      </c>
      <c r="CI74" s="311">
        <f>IF($BI74&lt;&gt;"",IF('Capacity summary'!$D$14="Yes",IF(COUNTBLANK('Capacity summary'!$H193:$BG193)&lt;52,IF('Capacity summary'!AF193&lt;&gt;"",IF(LOWER('Capacity summary'!AF193)="x",$BI74*AF74,VALUE('Capacity summary'!AF193)),0),AF74*$BI74),AF74*$BI74),0)</f>
        <v>0</v>
      </c>
      <c r="CJ74" s="311">
        <f>IF($BI74&lt;&gt;"",IF('Capacity summary'!$D$14="Yes",IF(COUNTBLANK('Capacity summary'!$H193:$BG193)&lt;52,IF('Capacity summary'!AG193&lt;&gt;"",IF(LOWER('Capacity summary'!AG193)="x",$BI74*AG74,VALUE('Capacity summary'!AG193)),0),AG74*$BI74),AG74*$BI74),0)</f>
        <v>0</v>
      </c>
      <c r="CK74" s="311">
        <f>IF($BI74&lt;&gt;"",IF('Capacity summary'!$D$14="Yes",IF(COUNTBLANK('Capacity summary'!$H193:$BG193)&lt;52,IF('Capacity summary'!AH193&lt;&gt;"",IF(LOWER('Capacity summary'!AH193)="x",$BI74*AH74,VALUE('Capacity summary'!AH193)),0),AH74*$BI74),AH74*$BI74),0)</f>
        <v>0</v>
      </c>
      <c r="CL74" s="311">
        <f>IF($BI74&lt;&gt;"",IF('Capacity summary'!$D$14="Yes",IF(COUNTBLANK('Capacity summary'!$H193:$BG193)&lt;52,IF('Capacity summary'!AI193&lt;&gt;"",IF(LOWER('Capacity summary'!AI193)="x",$BI74*AI74,VALUE('Capacity summary'!AI193)),0),AI74*$BI74),AI74*$BI74),0)</f>
        <v>0</v>
      </c>
      <c r="CM74" s="311">
        <f>IF($BI74&lt;&gt;"",IF('Capacity summary'!$D$14="Yes",IF(COUNTBLANK('Capacity summary'!$H193:$BG193)&lt;52,IF('Capacity summary'!AJ193&lt;&gt;"",IF(LOWER('Capacity summary'!AJ193)="x",$BI74*AJ74,VALUE('Capacity summary'!AJ193)),0),AJ74*$BI74),AJ74*$BI74),0)</f>
        <v>0</v>
      </c>
      <c r="CN74" s="311">
        <f>IF($BI74&lt;&gt;"",IF('Capacity summary'!$D$14="Yes",IF(COUNTBLANK('Capacity summary'!$H193:$BG193)&lt;52,IF('Capacity summary'!AK193&lt;&gt;"",IF(LOWER('Capacity summary'!AK193)="x",$BI74*AK74,VALUE('Capacity summary'!AK193)),0),AK74*$BI74),AK74*$BI74),0)</f>
        <v>0</v>
      </c>
      <c r="CO74" s="311">
        <f>IF($BI74&lt;&gt;"",IF('Capacity summary'!$D$14="Yes",IF(COUNTBLANK('Capacity summary'!$H193:$BG193)&lt;52,IF('Capacity summary'!AL193&lt;&gt;"",IF(LOWER('Capacity summary'!AL193)="x",$BI74*AL74,VALUE('Capacity summary'!AL193)),0),AL74*$BI74),AL74*$BI74),0)</f>
        <v>0</v>
      </c>
      <c r="CP74" s="311">
        <f>IF($BI74&lt;&gt;"",IF('Capacity summary'!$D$14="Yes",IF(COUNTBLANK('Capacity summary'!$H193:$BG193)&lt;52,IF('Capacity summary'!AM193&lt;&gt;"",IF(LOWER('Capacity summary'!AM193)="x",$BI74*AM74,VALUE('Capacity summary'!AM193)),0),AM74*$BI74),AM74*$BI74),0)</f>
        <v>0</v>
      </c>
      <c r="CQ74" s="311">
        <f>IF($BI74&lt;&gt;"",IF('Capacity summary'!$D$14="Yes",IF(COUNTBLANK('Capacity summary'!$H193:$BG193)&lt;52,IF('Capacity summary'!AN193&lt;&gt;"",IF(LOWER('Capacity summary'!AN193)="x",$BI74*AN74,VALUE('Capacity summary'!AN193)),0),AN74*$BI74),AN74*$BI74),0)</f>
        <v>0</v>
      </c>
      <c r="CR74" s="311">
        <f>IF($BI74&lt;&gt;"",IF('Capacity summary'!$D$14="Yes",IF(COUNTBLANK('Capacity summary'!$H193:$BG193)&lt;52,IF('Capacity summary'!AO193&lt;&gt;"",IF(LOWER('Capacity summary'!AO193)="x",$BI74*AO74,VALUE('Capacity summary'!AO193)),0),AO74*$BI74),AO74*$BI74),0)</f>
        <v>0</v>
      </c>
      <c r="CS74" s="311">
        <f>IF($BI74&lt;&gt;"",IF('Capacity summary'!$D$14="Yes",IF(COUNTBLANK('Capacity summary'!$H193:$BG193)&lt;52,IF('Capacity summary'!AP193&lt;&gt;"",IF(LOWER('Capacity summary'!AP193)="x",$BI74*AP74,VALUE('Capacity summary'!AP193)),0),AP74*$BI74),AP74*$BI74),0)</f>
        <v>0</v>
      </c>
      <c r="CT74" s="311">
        <f>IF($BI74&lt;&gt;"",IF('Capacity summary'!$D$14="Yes",IF(COUNTBLANK('Capacity summary'!$H193:$BG193)&lt;52,IF('Capacity summary'!AQ193&lt;&gt;"",IF(LOWER('Capacity summary'!AQ193)="x",$BI74*AQ74,VALUE('Capacity summary'!AQ193)),0),AQ74*$BI74),AQ74*$BI74),0)</f>
        <v>0</v>
      </c>
      <c r="CU74" s="311">
        <f>IF($BI74&lt;&gt;"",IF('Capacity summary'!$D$14="Yes",IF(COUNTBLANK('Capacity summary'!$H193:$BG193)&lt;52,IF('Capacity summary'!AR193&lt;&gt;"",IF(LOWER('Capacity summary'!AR193)="x",$BI74*AR74,VALUE('Capacity summary'!AR193)),0),AR74*$BI74),AR74*$BI74),0)</f>
        <v>0</v>
      </c>
      <c r="CV74" s="311">
        <f>IF($BI74&lt;&gt;"",IF('Capacity summary'!$D$14="Yes",IF(COUNTBLANK('Capacity summary'!$H193:$BG193)&lt;52,IF('Capacity summary'!AS193&lt;&gt;"",IF(LOWER('Capacity summary'!AS193)="x",$BI74*AS74,VALUE('Capacity summary'!AS193)),0),AS74*$BI74),AS74*$BI74),0)</f>
        <v>0</v>
      </c>
      <c r="CW74" s="311">
        <f>IF($BI74&lt;&gt;"",IF('Capacity summary'!$D$14="Yes",IF(COUNTBLANK('Capacity summary'!$H193:$BG193)&lt;52,IF('Capacity summary'!AT193&lt;&gt;"",IF(LOWER('Capacity summary'!AT193)="x",$BI74*AT74,VALUE('Capacity summary'!AT193)),0),AT74*$BI74),AT74*$BI74),0)</f>
        <v>0</v>
      </c>
      <c r="CX74" s="311">
        <f>IF($BI74&lt;&gt;"",IF('Capacity summary'!$D$14="Yes",IF(COUNTBLANK('Capacity summary'!$H193:$BG193)&lt;52,IF('Capacity summary'!AU193&lt;&gt;"",IF(LOWER('Capacity summary'!AU193)="x",$BI74*AU74,VALUE('Capacity summary'!AU193)),0),AU74*$BI74),AU74*$BI74),0)</f>
        <v>0</v>
      </c>
      <c r="CY74" s="311">
        <f>IF($BI74&lt;&gt;"",IF('Capacity summary'!$D$14="Yes",IF(COUNTBLANK('Capacity summary'!$H193:$BG193)&lt;52,IF('Capacity summary'!AV193&lt;&gt;"",IF(LOWER('Capacity summary'!AV193)="x",$BI74*AV74,VALUE('Capacity summary'!AV193)),0),AV74*$BI74),AV74*$BI74),0)</f>
        <v>0</v>
      </c>
      <c r="CZ74" s="311">
        <f>IF($BI74&lt;&gt;"",IF('Capacity summary'!$D$14="Yes",IF(COUNTBLANK('Capacity summary'!$H193:$BG193)&lt;52,IF('Capacity summary'!AW193&lt;&gt;"",IF(LOWER('Capacity summary'!AW193)="x",$BI74*AW74,VALUE('Capacity summary'!AW193)),0),AW74*$BI74),AW74*$BI74),0)</f>
        <v>0</v>
      </c>
      <c r="DA74" s="311">
        <f>IF($BI74&lt;&gt;"",IF('Capacity summary'!$D$14="Yes",IF(COUNTBLANK('Capacity summary'!$H193:$BG193)&lt;52,IF('Capacity summary'!AX193&lt;&gt;"",IF(LOWER('Capacity summary'!AX193)="x",$BI74*AX74,VALUE('Capacity summary'!AX193)),0),AX74*$BI74),AX74*$BI74),0)</f>
        <v>0</v>
      </c>
      <c r="DB74" s="311">
        <f>IF($BI74&lt;&gt;"",IF('Capacity summary'!$D$14="Yes",IF(COUNTBLANK('Capacity summary'!$H193:$BG193)&lt;52,IF('Capacity summary'!AY193&lt;&gt;"",IF(LOWER('Capacity summary'!AY193)="x",$BI74*AY74,VALUE('Capacity summary'!AY193)),0),AY74*$BI74),AY74*$BI74),0)</f>
        <v>0</v>
      </c>
      <c r="DC74" s="311">
        <f>IF($BI74&lt;&gt;"",IF('Capacity summary'!$D$14="Yes",IF(COUNTBLANK('Capacity summary'!$H193:$BG193)&lt;52,IF('Capacity summary'!AZ193&lt;&gt;"",IF(LOWER('Capacity summary'!AZ193)="x",$BI74*AZ74,VALUE('Capacity summary'!AZ193)),0),AZ74*$BI74),AZ74*$BI74),0)</f>
        <v>0</v>
      </c>
      <c r="DD74" s="311">
        <f>IF($BI74&lt;&gt;"",IF('Capacity summary'!$D$14="Yes",IF(COUNTBLANK('Capacity summary'!$H193:$BG193)&lt;52,IF('Capacity summary'!BA193&lt;&gt;"",IF(LOWER('Capacity summary'!BA193)="x",$BI74*BA74,VALUE('Capacity summary'!BA193)),0),BA74*$BI74),BA74*$BI74),0)</f>
        <v>0</v>
      </c>
      <c r="DE74" s="311">
        <f>IF($BI74&lt;&gt;"",IF('Capacity summary'!$D$14="Yes",IF(COUNTBLANK('Capacity summary'!$H193:$BG193)&lt;52,IF('Capacity summary'!BB193&lt;&gt;"",IF(LOWER('Capacity summary'!BB193)="x",$BI74*BB74,VALUE('Capacity summary'!BB193)),0),BB74*$BI74),BB74*$BI74),0)</f>
        <v>0</v>
      </c>
      <c r="DF74" s="311">
        <f>IF($BI74&lt;&gt;"",IF('Capacity summary'!$D$14="Yes",IF(COUNTBLANK('Capacity summary'!$H193:$BG193)&lt;52,IF('Capacity summary'!BC193&lt;&gt;"",IF(LOWER('Capacity summary'!BC193)="x",$BI74*BC74,VALUE('Capacity summary'!BC193)),0),BC74*$BI74),BC74*$BI74),0)</f>
        <v>0</v>
      </c>
      <c r="DG74" s="311">
        <f>IF($BI74&lt;&gt;"",IF('Capacity summary'!$D$14="Yes",IF(COUNTBLANK('Capacity summary'!$H193:$BG193)&lt;52,IF('Capacity summary'!BD193&lt;&gt;"",IF(LOWER('Capacity summary'!BD193)="x",$BI74*BD74,VALUE('Capacity summary'!BD193)),0),BD74*$BI74),BD74*$BI74),0)</f>
        <v>0</v>
      </c>
      <c r="DH74" s="311">
        <f>IF($BI74&lt;&gt;"",IF('Capacity summary'!$D$14="Yes",IF(COUNTBLANK('Capacity summary'!$H193:$BG193)&lt;52,IF('Capacity summary'!BE193&lt;&gt;"",IF(LOWER('Capacity summary'!BE193)="x",$BI74*BE74,VALUE('Capacity summary'!BE193)),0),BE74*$BI74),BE74*$BI74),0)</f>
        <v>0</v>
      </c>
      <c r="DI74" s="311">
        <f>IF($BI74&lt;&gt;"",IF('Capacity summary'!$D$14="Yes",IF(COUNTBLANK('Capacity summary'!$H193:$BG193)&lt;52,IF('Capacity summary'!BF193&lt;&gt;"",IF(LOWER('Capacity summary'!BF193)="x",$BI74*BF74,VALUE('Capacity summary'!BF193)),0),BF74*$BI74),BF74*$BI74),0)</f>
        <v>0</v>
      </c>
      <c r="DJ74" s="311">
        <f>IF($BI74&lt;&gt;"",IF('Capacity summary'!$D$14="Yes",IF(COUNTBLANK('Capacity summary'!$H193:$BG193)&lt;52,IF('Capacity summary'!BG193&lt;&gt;"",IF(LOWER('Capacity summary'!BG193)="x",$BI74*BG74,VALUE('Capacity summary'!BG193)),0),BG74*$BI74),BG74*$BI74),0)</f>
        <v>0</v>
      </c>
      <c r="DK74" s="391">
        <f t="shared" si="4"/>
        <v>0</v>
      </c>
      <c r="DL74" s="136">
        <f t="shared" si="5"/>
        <v>0</v>
      </c>
      <c r="DM74" s="311" t="str">
        <f>Capacity!H86</f>
        <v/>
      </c>
    </row>
    <row r="75" spans="1:117" x14ac:dyDescent="0.2">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1">
        <f>IF($BI75&lt;&gt;"",IF('Capacity summary'!$D$14="Yes",IF(COUNTBLANK('Capacity summary'!$H194:$BG194)&lt;52,IF('Capacity summary'!H194&lt;&gt;"",IF(LOWER('Capacity summary'!H194)="x",$BI75*H75,VALUE('Capacity summary'!H194)),0),H75*$BI75),H75*$BI75),0)</f>
        <v>0</v>
      </c>
      <c r="BL75" s="311">
        <f>IF($BI75&lt;&gt;"",IF('Capacity summary'!$D$14="Yes",IF(COUNTBLANK('Capacity summary'!$H194:$BG194)&lt;52,IF('Capacity summary'!I194&lt;&gt;"",IF(LOWER('Capacity summary'!I194)="x",$BI75*I75,VALUE('Capacity summary'!I194)),0),I75*$BI75),I75*$BI75),0)</f>
        <v>0</v>
      </c>
      <c r="BM75" s="311">
        <f>IF($BI75&lt;&gt;"",IF('Capacity summary'!$D$14="Yes",IF(COUNTBLANK('Capacity summary'!$H194:$BG194)&lt;52,IF('Capacity summary'!J194&lt;&gt;"",IF(LOWER('Capacity summary'!J194)="x",$BI75*J75,VALUE('Capacity summary'!J194)),0),J75*$BI75),J75*$BI75),0)</f>
        <v>0</v>
      </c>
      <c r="BN75" s="311">
        <f>IF($BI75&lt;&gt;"",IF('Capacity summary'!$D$14="Yes",IF(COUNTBLANK('Capacity summary'!$H194:$BG194)&lt;52,IF('Capacity summary'!K194&lt;&gt;"",IF(LOWER('Capacity summary'!K194)="x",$BI75*K75,VALUE('Capacity summary'!K194)),0),K75*$BI75),K75*$BI75),0)</f>
        <v>0</v>
      </c>
      <c r="BO75" s="311">
        <f>IF($BI75&lt;&gt;"",IF('Capacity summary'!$D$14="Yes",IF(COUNTBLANK('Capacity summary'!$H194:$BG194)&lt;52,IF('Capacity summary'!L194&lt;&gt;"",IF(LOWER('Capacity summary'!L194)="x",$BI75*L75,VALUE('Capacity summary'!L194)),0),L75*$BI75),L75*$BI75),0)</f>
        <v>0</v>
      </c>
      <c r="BP75" s="311">
        <f>IF($BI75&lt;&gt;"",IF('Capacity summary'!$D$14="Yes",IF(COUNTBLANK('Capacity summary'!$H194:$BG194)&lt;52,IF('Capacity summary'!M194&lt;&gt;"",IF(LOWER('Capacity summary'!M194)="x",$BI75*M75,VALUE('Capacity summary'!M194)),0),M75*$BI75),M75*$BI75),0)</f>
        <v>0</v>
      </c>
      <c r="BQ75" s="311">
        <f>IF($BI75&lt;&gt;"",IF('Capacity summary'!$D$14="Yes",IF(COUNTBLANK('Capacity summary'!$H194:$BG194)&lt;52,IF('Capacity summary'!N194&lt;&gt;"",IF(LOWER('Capacity summary'!N194)="x",$BI75*N75,VALUE('Capacity summary'!N194)),0),N75*$BI75),N75*$BI75),0)</f>
        <v>0</v>
      </c>
      <c r="BR75" s="311">
        <f>IF($BI75&lt;&gt;"",IF('Capacity summary'!$D$14="Yes",IF(COUNTBLANK('Capacity summary'!$H194:$BG194)&lt;52,IF('Capacity summary'!O194&lt;&gt;"",IF(LOWER('Capacity summary'!O194)="x",$BI75*O75,VALUE('Capacity summary'!O194)),0),O75*$BI75),O75*$BI75),0)</f>
        <v>0</v>
      </c>
      <c r="BS75" s="311">
        <f>IF($BI75&lt;&gt;"",IF('Capacity summary'!$D$14="Yes",IF(COUNTBLANK('Capacity summary'!$H194:$BG194)&lt;52,IF('Capacity summary'!P194&lt;&gt;"",IF(LOWER('Capacity summary'!P194)="x",$BI75*P75,VALUE('Capacity summary'!P194)),0),P75*$BI75),P75*$BI75),0)</f>
        <v>0</v>
      </c>
      <c r="BT75" s="311">
        <f>IF($BI75&lt;&gt;"",IF('Capacity summary'!$D$14="Yes",IF(COUNTBLANK('Capacity summary'!$H194:$BG194)&lt;52,IF('Capacity summary'!Q194&lt;&gt;"",IF(LOWER('Capacity summary'!Q194)="x",$BI75*Q75,VALUE('Capacity summary'!Q194)),0),Q75*$BI75),Q75*$BI75),0)</f>
        <v>0</v>
      </c>
      <c r="BU75" s="311">
        <f>IF($BI75&lt;&gt;"",IF('Capacity summary'!$D$14="Yes",IF(COUNTBLANK('Capacity summary'!$H194:$BG194)&lt;52,IF('Capacity summary'!R194&lt;&gt;"",IF(LOWER('Capacity summary'!R194)="x",$BI75*R75,VALUE('Capacity summary'!R194)),0),R75*$BI75),R75*$BI75),0)</f>
        <v>0</v>
      </c>
      <c r="BV75" s="311">
        <f>IF($BI75&lt;&gt;"",IF('Capacity summary'!$D$14="Yes",IF(COUNTBLANK('Capacity summary'!$H194:$BG194)&lt;52,IF('Capacity summary'!S194&lt;&gt;"",IF(LOWER('Capacity summary'!S194)="x",$BI75*S75,VALUE('Capacity summary'!S194)),0),S75*$BI75),S75*$BI75),0)</f>
        <v>0</v>
      </c>
      <c r="BW75" s="311">
        <f>IF($BI75&lt;&gt;"",IF('Capacity summary'!$D$14="Yes",IF(COUNTBLANK('Capacity summary'!$H194:$BG194)&lt;52,IF('Capacity summary'!T194&lt;&gt;"",IF(LOWER('Capacity summary'!T194)="x",$BI75*T75,VALUE('Capacity summary'!T194)),0),T75*$BI75),T75*$BI75),0)</f>
        <v>0</v>
      </c>
      <c r="BX75" s="311">
        <f>IF($BI75&lt;&gt;"",IF('Capacity summary'!$D$14="Yes",IF(COUNTBLANK('Capacity summary'!$H194:$BG194)&lt;52,IF('Capacity summary'!U194&lt;&gt;"",IF(LOWER('Capacity summary'!U194)="x",$BI75*U75,VALUE('Capacity summary'!U194)),0),U75*$BI75),U75*$BI75),0)</f>
        <v>0</v>
      </c>
      <c r="BY75" s="311">
        <f>IF($BI75&lt;&gt;"",IF('Capacity summary'!$D$14="Yes",IF(COUNTBLANK('Capacity summary'!$H194:$BG194)&lt;52,IF('Capacity summary'!V194&lt;&gt;"",IF(LOWER('Capacity summary'!V194)="x",$BI75*V75,VALUE('Capacity summary'!V194)),0),V75*$BI75),V75*$BI75),0)</f>
        <v>0</v>
      </c>
      <c r="BZ75" s="311">
        <f>IF($BI75&lt;&gt;"",IF('Capacity summary'!$D$14="Yes",IF(COUNTBLANK('Capacity summary'!$H194:$BG194)&lt;52,IF('Capacity summary'!W194&lt;&gt;"",IF(LOWER('Capacity summary'!W194)="x",$BI75*W75,VALUE('Capacity summary'!W194)),0),W75*$BI75),W75*$BI75),0)</f>
        <v>0</v>
      </c>
      <c r="CA75" s="311">
        <f>IF($BI75&lt;&gt;"",IF('Capacity summary'!$D$14="Yes",IF(COUNTBLANK('Capacity summary'!$H194:$BG194)&lt;52,IF('Capacity summary'!X194&lt;&gt;"",IF(LOWER('Capacity summary'!X194)="x",$BI75*X75,VALUE('Capacity summary'!X194)),0),X75*$BI75),X75*$BI75),0)</f>
        <v>0</v>
      </c>
      <c r="CB75" s="311">
        <f>IF($BI75&lt;&gt;"",IF('Capacity summary'!$D$14="Yes",IF(COUNTBLANK('Capacity summary'!$H194:$BG194)&lt;52,IF('Capacity summary'!Y194&lt;&gt;"",IF(LOWER('Capacity summary'!Y194)="x",$BI75*Y75,VALUE('Capacity summary'!Y194)),0),Y75*$BI75),Y75*$BI75),0)</f>
        <v>0</v>
      </c>
      <c r="CC75" s="311">
        <f>IF($BI75&lt;&gt;"",IF('Capacity summary'!$D$14="Yes",IF(COUNTBLANK('Capacity summary'!$H194:$BG194)&lt;52,IF('Capacity summary'!Z194&lt;&gt;"",IF(LOWER('Capacity summary'!Z194)="x",$BI75*Z75,VALUE('Capacity summary'!Z194)),0),Z75*$BI75),Z75*$BI75),0)</f>
        <v>0</v>
      </c>
      <c r="CD75" s="311">
        <f>IF($BI75&lt;&gt;"",IF('Capacity summary'!$D$14="Yes",IF(COUNTBLANK('Capacity summary'!$H194:$BG194)&lt;52,IF('Capacity summary'!AA194&lt;&gt;"",IF(LOWER('Capacity summary'!AA194)="x",$BI75*AA75,VALUE('Capacity summary'!AA194)),0),AA75*$BI75),AA75*$BI75),0)</f>
        <v>0</v>
      </c>
      <c r="CE75" s="311">
        <f>IF($BI75&lt;&gt;"",IF('Capacity summary'!$D$14="Yes",IF(COUNTBLANK('Capacity summary'!$H194:$BG194)&lt;52,IF('Capacity summary'!AB194&lt;&gt;"",IF(LOWER('Capacity summary'!AB194)="x",$BI75*AB75,VALUE('Capacity summary'!AB194)),0),AB75*$BI75),AB75*$BI75),0)</f>
        <v>0</v>
      </c>
      <c r="CF75" s="311">
        <f>IF($BI75&lt;&gt;"",IF('Capacity summary'!$D$14="Yes",IF(COUNTBLANK('Capacity summary'!$H194:$BG194)&lt;52,IF('Capacity summary'!AC194&lt;&gt;"",IF(LOWER('Capacity summary'!AC194)="x",$BI75*AC75,VALUE('Capacity summary'!AC194)),0),AC75*$BI75),AC75*$BI75),0)</f>
        <v>0</v>
      </c>
      <c r="CG75" s="311">
        <f>IF($BI75&lt;&gt;"",IF('Capacity summary'!$D$14="Yes",IF(COUNTBLANK('Capacity summary'!$H194:$BG194)&lt;52,IF('Capacity summary'!AD194&lt;&gt;"",IF(LOWER('Capacity summary'!AD194)="x",$BI75*AD75,VALUE('Capacity summary'!AD194)),0),AD75*$BI75),AD75*$BI75),0)</f>
        <v>0</v>
      </c>
      <c r="CH75" s="311">
        <f>IF($BI75&lt;&gt;"",IF('Capacity summary'!$D$14="Yes",IF(COUNTBLANK('Capacity summary'!$H194:$BG194)&lt;52,IF('Capacity summary'!AE194&lt;&gt;"",IF(LOWER('Capacity summary'!AE194)="x",$BI75*AE75,VALUE('Capacity summary'!AE194)),0),AE75*$BI75),AE75*$BI75),0)</f>
        <v>0</v>
      </c>
      <c r="CI75" s="311">
        <f>IF($BI75&lt;&gt;"",IF('Capacity summary'!$D$14="Yes",IF(COUNTBLANK('Capacity summary'!$H194:$BG194)&lt;52,IF('Capacity summary'!AF194&lt;&gt;"",IF(LOWER('Capacity summary'!AF194)="x",$BI75*AF75,VALUE('Capacity summary'!AF194)),0),AF75*$BI75),AF75*$BI75),0)</f>
        <v>0</v>
      </c>
      <c r="CJ75" s="311">
        <f>IF($BI75&lt;&gt;"",IF('Capacity summary'!$D$14="Yes",IF(COUNTBLANK('Capacity summary'!$H194:$BG194)&lt;52,IF('Capacity summary'!AG194&lt;&gt;"",IF(LOWER('Capacity summary'!AG194)="x",$BI75*AG75,VALUE('Capacity summary'!AG194)),0),AG75*$BI75),AG75*$BI75),0)</f>
        <v>0</v>
      </c>
      <c r="CK75" s="311">
        <f>IF($BI75&lt;&gt;"",IF('Capacity summary'!$D$14="Yes",IF(COUNTBLANK('Capacity summary'!$H194:$BG194)&lt;52,IF('Capacity summary'!AH194&lt;&gt;"",IF(LOWER('Capacity summary'!AH194)="x",$BI75*AH75,VALUE('Capacity summary'!AH194)),0),AH75*$BI75),AH75*$BI75),0)</f>
        <v>0</v>
      </c>
      <c r="CL75" s="311">
        <f>IF($BI75&lt;&gt;"",IF('Capacity summary'!$D$14="Yes",IF(COUNTBLANK('Capacity summary'!$H194:$BG194)&lt;52,IF('Capacity summary'!AI194&lt;&gt;"",IF(LOWER('Capacity summary'!AI194)="x",$BI75*AI75,VALUE('Capacity summary'!AI194)),0),AI75*$BI75),AI75*$BI75),0)</f>
        <v>0</v>
      </c>
      <c r="CM75" s="311">
        <f>IF($BI75&lt;&gt;"",IF('Capacity summary'!$D$14="Yes",IF(COUNTBLANK('Capacity summary'!$H194:$BG194)&lt;52,IF('Capacity summary'!AJ194&lt;&gt;"",IF(LOWER('Capacity summary'!AJ194)="x",$BI75*AJ75,VALUE('Capacity summary'!AJ194)),0),AJ75*$BI75),AJ75*$BI75),0)</f>
        <v>0</v>
      </c>
      <c r="CN75" s="311">
        <f>IF($BI75&lt;&gt;"",IF('Capacity summary'!$D$14="Yes",IF(COUNTBLANK('Capacity summary'!$H194:$BG194)&lt;52,IF('Capacity summary'!AK194&lt;&gt;"",IF(LOWER('Capacity summary'!AK194)="x",$BI75*AK75,VALUE('Capacity summary'!AK194)),0),AK75*$BI75),AK75*$BI75),0)</f>
        <v>0</v>
      </c>
      <c r="CO75" s="311">
        <f>IF($BI75&lt;&gt;"",IF('Capacity summary'!$D$14="Yes",IF(COUNTBLANK('Capacity summary'!$H194:$BG194)&lt;52,IF('Capacity summary'!AL194&lt;&gt;"",IF(LOWER('Capacity summary'!AL194)="x",$BI75*AL75,VALUE('Capacity summary'!AL194)),0),AL75*$BI75),AL75*$BI75),0)</f>
        <v>0</v>
      </c>
      <c r="CP75" s="311">
        <f>IF($BI75&lt;&gt;"",IF('Capacity summary'!$D$14="Yes",IF(COUNTBLANK('Capacity summary'!$H194:$BG194)&lt;52,IF('Capacity summary'!AM194&lt;&gt;"",IF(LOWER('Capacity summary'!AM194)="x",$BI75*AM75,VALUE('Capacity summary'!AM194)),0),AM75*$BI75),AM75*$BI75),0)</f>
        <v>0</v>
      </c>
      <c r="CQ75" s="311">
        <f>IF($BI75&lt;&gt;"",IF('Capacity summary'!$D$14="Yes",IF(COUNTBLANK('Capacity summary'!$H194:$BG194)&lt;52,IF('Capacity summary'!AN194&lt;&gt;"",IF(LOWER('Capacity summary'!AN194)="x",$BI75*AN75,VALUE('Capacity summary'!AN194)),0),AN75*$BI75),AN75*$BI75),0)</f>
        <v>0</v>
      </c>
      <c r="CR75" s="311">
        <f>IF($BI75&lt;&gt;"",IF('Capacity summary'!$D$14="Yes",IF(COUNTBLANK('Capacity summary'!$H194:$BG194)&lt;52,IF('Capacity summary'!AO194&lt;&gt;"",IF(LOWER('Capacity summary'!AO194)="x",$BI75*AO75,VALUE('Capacity summary'!AO194)),0),AO75*$BI75),AO75*$BI75),0)</f>
        <v>0</v>
      </c>
      <c r="CS75" s="311">
        <f>IF($BI75&lt;&gt;"",IF('Capacity summary'!$D$14="Yes",IF(COUNTBLANK('Capacity summary'!$H194:$BG194)&lt;52,IF('Capacity summary'!AP194&lt;&gt;"",IF(LOWER('Capacity summary'!AP194)="x",$BI75*AP75,VALUE('Capacity summary'!AP194)),0),AP75*$BI75),AP75*$BI75),0)</f>
        <v>0</v>
      </c>
      <c r="CT75" s="311">
        <f>IF($BI75&lt;&gt;"",IF('Capacity summary'!$D$14="Yes",IF(COUNTBLANK('Capacity summary'!$H194:$BG194)&lt;52,IF('Capacity summary'!AQ194&lt;&gt;"",IF(LOWER('Capacity summary'!AQ194)="x",$BI75*AQ75,VALUE('Capacity summary'!AQ194)),0),AQ75*$BI75),AQ75*$BI75),0)</f>
        <v>0</v>
      </c>
      <c r="CU75" s="311">
        <f>IF($BI75&lt;&gt;"",IF('Capacity summary'!$D$14="Yes",IF(COUNTBLANK('Capacity summary'!$H194:$BG194)&lt;52,IF('Capacity summary'!AR194&lt;&gt;"",IF(LOWER('Capacity summary'!AR194)="x",$BI75*AR75,VALUE('Capacity summary'!AR194)),0),AR75*$BI75),AR75*$BI75),0)</f>
        <v>0</v>
      </c>
      <c r="CV75" s="311">
        <f>IF($BI75&lt;&gt;"",IF('Capacity summary'!$D$14="Yes",IF(COUNTBLANK('Capacity summary'!$H194:$BG194)&lt;52,IF('Capacity summary'!AS194&lt;&gt;"",IF(LOWER('Capacity summary'!AS194)="x",$BI75*AS75,VALUE('Capacity summary'!AS194)),0),AS75*$BI75),AS75*$BI75),0)</f>
        <v>0</v>
      </c>
      <c r="CW75" s="311">
        <f>IF($BI75&lt;&gt;"",IF('Capacity summary'!$D$14="Yes",IF(COUNTBLANK('Capacity summary'!$H194:$BG194)&lt;52,IF('Capacity summary'!AT194&lt;&gt;"",IF(LOWER('Capacity summary'!AT194)="x",$BI75*AT75,VALUE('Capacity summary'!AT194)),0),AT75*$BI75),AT75*$BI75),0)</f>
        <v>0</v>
      </c>
      <c r="CX75" s="311">
        <f>IF($BI75&lt;&gt;"",IF('Capacity summary'!$D$14="Yes",IF(COUNTBLANK('Capacity summary'!$H194:$BG194)&lt;52,IF('Capacity summary'!AU194&lt;&gt;"",IF(LOWER('Capacity summary'!AU194)="x",$BI75*AU75,VALUE('Capacity summary'!AU194)),0),AU75*$BI75),AU75*$BI75),0)</f>
        <v>0</v>
      </c>
      <c r="CY75" s="311">
        <f>IF($BI75&lt;&gt;"",IF('Capacity summary'!$D$14="Yes",IF(COUNTBLANK('Capacity summary'!$H194:$BG194)&lt;52,IF('Capacity summary'!AV194&lt;&gt;"",IF(LOWER('Capacity summary'!AV194)="x",$BI75*AV75,VALUE('Capacity summary'!AV194)),0),AV75*$BI75),AV75*$BI75),0)</f>
        <v>0</v>
      </c>
      <c r="CZ75" s="311">
        <f>IF($BI75&lt;&gt;"",IF('Capacity summary'!$D$14="Yes",IF(COUNTBLANK('Capacity summary'!$H194:$BG194)&lt;52,IF('Capacity summary'!AW194&lt;&gt;"",IF(LOWER('Capacity summary'!AW194)="x",$BI75*AW75,VALUE('Capacity summary'!AW194)),0),AW75*$BI75),AW75*$BI75),0)</f>
        <v>0</v>
      </c>
      <c r="DA75" s="311">
        <f>IF($BI75&lt;&gt;"",IF('Capacity summary'!$D$14="Yes",IF(COUNTBLANK('Capacity summary'!$H194:$BG194)&lt;52,IF('Capacity summary'!AX194&lt;&gt;"",IF(LOWER('Capacity summary'!AX194)="x",$BI75*AX75,VALUE('Capacity summary'!AX194)),0),AX75*$BI75),AX75*$BI75),0)</f>
        <v>0</v>
      </c>
      <c r="DB75" s="311">
        <f>IF($BI75&lt;&gt;"",IF('Capacity summary'!$D$14="Yes",IF(COUNTBLANK('Capacity summary'!$H194:$BG194)&lt;52,IF('Capacity summary'!AY194&lt;&gt;"",IF(LOWER('Capacity summary'!AY194)="x",$BI75*AY75,VALUE('Capacity summary'!AY194)),0),AY75*$BI75),AY75*$BI75),0)</f>
        <v>0</v>
      </c>
      <c r="DC75" s="311">
        <f>IF($BI75&lt;&gt;"",IF('Capacity summary'!$D$14="Yes",IF(COUNTBLANK('Capacity summary'!$H194:$BG194)&lt;52,IF('Capacity summary'!AZ194&lt;&gt;"",IF(LOWER('Capacity summary'!AZ194)="x",$BI75*AZ75,VALUE('Capacity summary'!AZ194)),0),AZ75*$BI75),AZ75*$BI75),0)</f>
        <v>0</v>
      </c>
      <c r="DD75" s="311">
        <f>IF($BI75&lt;&gt;"",IF('Capacity summary'!$D$14="Yes",IF(COUNTBLANK('Capacity summary'!$H194:$BG194)&lt;52,IF('Capacity summary'!BA194&lt;&gt;"",IF(LOWER('Capacity summary'!BA194)="x",$BI75*BA75,VALUE('Capacity summary'!BA194)),0),BA75*$BI75),BA75*$BI75),0)</f>
        <v>0</v>
      </c>
      <c r="DE75" s="311">
        <f>IF($BI75&lt;&gt;"",IF('Capacity summary'!$D$14="Yes",IF(COUNTBLANK('Capacity summary'!$H194:$BG194)&lt;52,IF('Capacity summary'!BB194&lt;&gt;"",IF(LOWER('Capacity summary'!BB194)="x",$BI75*BB75,VALUE('Capacity summary'!BB194)),0),BB75*$BI75),BB75*$BI75),0)</f>
        <v>0</v>
      </c>
      <c r="DF75" s="311">
        <f>IF($BI75&lt;&gt;"",IF('Capacity summary'!$D$14="Yes",IF(COUNTBLANK('Capacity summary'!$H194:$BG194)&lt;52,IF('Capacity summary'!BC194&lt;&gt;"",IF(LOWER('Capacity summary'!BC194)="x",$BI75*BC75,VALUE('Capacity summary'!BC194)),0),BC75*$BI75),BC75*$BI75),0)</f>
        <v>0</v>
      </c>
      <c r="DG75" s="311">
        <f>IF($BI75&lt;&gt;"",IF('Capacity summary'!$D$14="Yes",IF(COUNTBLANK('Capacity summary'!$H194:$BG194)&lt;52,IF('Capacity summary'!BD194&lt;&gt;"",IF(LOWER('Capacity summary'!BD194)="x",$BI75*BD75,VALUE('Capacity summary'!BD194)),0),BD75*$BI75),BD75*$BI75),0)</f>
        <v>0</v>
      </c>
      <c r="DH75" s="311">
        <f>IF($BI75&lt;&gt;"",IF('Capacity summary'!$D$14="Yes",IF(COUNTBLANK('Capacity summary'!$H194:$BG194)&lt;52,IF('Capacity summary'!BE194&lt;&gt;"",IF(LOWER('Capacity summary'!BE194)="x",$BI75*BE75,VALUE('Capacity summary'!BE194)),0),BE75*$BI75),BE75*$BI75),0)</f>
        <v>0</v>
      </c>
      <c r="DI75" s="311">
        <f>IF($BI75&lt;&gt;"",IF('Capacity summary'!$D$14="Yes",IF(COUNTBLANK('Capacity summary'!$H194:$BG194)&lt;52,IF('Capacity summary'!BF194&lt;&gt;"",IF(LOWER('Capacity summary'!BF194)="x",$BI75*BF75,VALUE('Capacity summary'!BF194)),0),BF75*$BI75),BF75*$BI75),0)</f>
        <v>0</v>
      </c>
      <c r="DJ75" s="311">
        <f>IF($BI75&lt;&gt;"",IF('Capacity summary'!$D$14="Yes",IF(COUNTBLANK('Capacity summary'!$H194:$BG194)&lt;52,IF('Capacity summary'!BG194&lt;&gt;"",IF(LOWER('Capacity summary'!BG194)="x",$BI75*BG75,VALUE('Capacity summary'!BG194)),0),BG75*$BI75),BG75*$BI75),0)</f>
        <v>0</v>
      </c>
      <c r="DK75" s="391">
        <f t="shared" si="4"/>
        <v>0</v>
      </c>
      <c r="DL75" s="136">
        <f t="shared" si="5"/>
        <v>0</v>
      </c>
      <c r="DM75" s="311" t="str">
        <f>Capacity!H87</f>
        <v/>
      </c>
    </row>
    <row r="76" spans="1:117" x14ac:dyDescent="0.2">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1">
        <f>IF($BI76&lt;&gt;"",IF('Capacity summary'!$D$14="Yes",IF(COUNTBLANK('Capacity summary'!$H195:$BG195)&lt;52,IF('Capacity summary'!H195&lt;&gt;"",IF(LOWER('Capacity summary'!H195)="x",$BI76*H76,VALUE('Capacity summary'!H195)),0),H76*$BI76),H76*$BI76),0)</f>
        <v>0</v>
      </c>
      <c r="BL76" s="311">
        <f>IF($BI76&lt;&gt;"",IF('Capacity summary'!$D$14="Yes",IF(COUNTBLANK('Capacity summary'!$H195:$BG195)&lt;52,IF('Capacity summary'!I195&lt;&gt;"",IF(LOWER('Capacity summary'!I195)="x",$BI76*I76,VALUE('Capacity summary'!I195)),0),I76*$BI76),I76*$BI76),0)</f>
        <v>0</v>
      </c>
      <c r="BM76" s="311">
        <f>IF($BI76&lt;&gt;"",IF('Capacity summary'!$D$14="Yes",IF(COUNTBLANK('Capacity summary'!$H195:$BG195)&lt;52,IF('Capacity summary'!J195&lt;&gt;"",IF(LOWER('Capacity summary'!J195)="x",$BI76*J76,VALUE('Capacity summary'!J195)),0),J76*$BI76),J76*$BI76),0)</f>
        <v>0</v>
      </c>
      <c r="BN76" s="311">
        <f>IF($BI76&lt;&gt;"",IF('Capacity summary'!$D$14="Yes",IF(COUNTBLANK('Capacity summary'!$H195:$BG195)&lt;52,IF('Capacity summary'!K195&lt;&gt;"",IF(LOWER('Capacity summary'!K195)="x",$BI76*K76,VALUE('Capacity summary'!K195)),0),K76*$BI76),K76*$BI76),0)</f>
        <v>0</v>
      </c>
      <c r="BO76" s="311">
        <f>IF($BI76&lt;&gt;"",IF('Capacity summary'!$D$14="Yes",IF(COUNTBLANK('Capacity summary'!$H195:$BG195)&lt;52,IF('Capacity summary'!L195&lt;&gt;"",IF(LOWER('Capacity summary'!L195)="x",$BI76*L76,VALUE('Capacity summary'!L195)),0),L76*$BI76),L76*$BI76),0)</f>
        <v>0</v>
      </c>
      <c r="BP76" s="311">
        <f>IF($BI76&lt;&gt;"",IF('Capacity summary'!$D$14="Yes",IF(COUNTBLANK('Capacity summary'!$H195:$BG195)&lt;52,IF('Capacity summary'!M195&lt;&gt;"",IF(LOWER('Capacity summary'!M195)="x",$BI76*M76,VALUE('Capacity summary'!M195)),0),M76*$BI76),M76*$BI76),0)</f>
        <v>0</v>
      </c>
      <c r="BQ76" s="311">
        <f>IF($BI76&lt;&gt;"",IF('Capacity summary'!$D$14="Yes",IF(COUNTBLANK('Capacity summary'!$H195:$BG195)&lt;52,IF('Capacity summary'!N195&lt;&gt;"",IF(LOWER('Capacity summary'!N195)="x",$BI76*N76,VALUE('Capacity summary'!N195)),0),N76*$BI76),N76*$BI76),0)</f>
        <v>0</v>
      </c>
      <c r="BR76" s="311">
        <f>IF($BI76&lt;&gt;"",IF('Capacity summary'!$D$14="Yes",IF(COUNTBLANK('Capacity summary'!$H195:$BG195)&lt;52,IF('Capacity summary'!O195&lt;&gt;"",IF(LOWER('Capacity summary'!O195)="x",$BI76*O76,VALUE('Capacity summary'!O195)),0),O76*$BI76),O76*$BI76),0)</f>
        <v>0</v>
      </c>
      <c r="BS76" s="311">
        <f>IF($BI76&lt;&gt;"",IF('Capacity summary'!$D$14="Yes",IF(COUNTBLANK('Capacity summary'!$H195:$BG195)&lt;52,IF('Capacity summary'!P195&lt;&gt;"",IF(LOWER('Capacity summary'!P195)="x",$BI76*P76,VALUE('Capacity summary'!P195)),0),P76*$BI76),P76*$BI76),0)</f>
        <v>0</v>
      </c>
      <c r="BT76" s="311">
        <f>IF($BI76&lt;&gt;"",IF('Capacity summary'!$D$14="Yes",IF(COUNTBLANK('Capacity summary'!$H195:$BG195)&lt;52,IF('Capacity summary'!Q195&lt;&gt;"",IF(LOWER('Capacity summary'!Q195)="x",$BI76*Q76,VALUE('Capacity summary'!Q195)),0),Q76*$BI76),Q76*$BI76),0)</f>
        <v>0</v>
      </c>
      <c r="BU76" s="311">
        <f>IF($BI76&lt;&gt;"",IF('Capacity summary'!$D$14="Yes",IF(COUNTBLANK('Capacity summary'!$H195:$BG195)&lt;52,IF('Capacity summary'!R195&lt;&gt;"",IF(LOWER('Capacity summary'!R195)="x",$BI76*R76,VALUE('Capacity summary'!R195)),0),R76*$BI76),R76*$BI76),0)</f>
        <v>0</v>
      </c>
      <c r="BV76" s="311">
        <f>IF($BI76&lt;&gt;"",IF('Capacity summary'!$D$14="Yes",IF(COUNTBLANK('Capacity summary'!$H195:$BG195)&lt;52,IF('Capacity summary'!S195&lt;&gt;"",IF(LOWER('Capacity summary'!S195)="x",$BI76*S76,VALUE('Capacity summary'!S195)),0),S76*$BI76),S76*$BI76),0)</f>
        <v>0</v>
      </c>
      <c r="BW76" s="311">
        <f>IF($BI76&lt;&gt;"",IF('Capacity summary'!$D$14="Yes",IF(COUNTBLANK('Capacity summary'!$H195:$BG195)&lt;52,IF('Capacity summary'!T195&lt;&gt;"",IF(LOWER('Capacity summary'!T195)="x",$BI76*T76,VALUE('Capacity summary'!T195)),0),T76*$BI76),T76*$BI76),0)</f>
        <v>0</v>
      </c>
      <c r="BX76" s="311">
        <f>IF($BI76&lt;&gt;"",IF('Capacity summary'!$D$14="Yes",IF(COUNTBLANK('Capacity summary'!$H195:$BG195)&lt;52,IF('Capacity summary'!U195&lt;&gt;"",IF(LOWER('Capacity summary'!U195)="x",$BI76*U76,VALUE('Capacity summary'!U195)),0),U76*$BI76),U76*$BI76),0)</f>
        <v>0</v>
      </c>
      <c r="BY76" s="311">
        <f>IF($BI76&lt;&gt;"",IF('Capacity summary'!$D$14="Yes",IF(COUNTBLANK('Capacity summary'!$H195:$BG195)&lt;52,IF('Capacity summary'!V195&lt;&gt;"",IF(LOWER('Capacity summary'!V195)="x",$BI76*V76,VALUE('Capacity summary'!V195)),0),V76*$BI76),V76*$BI76),0)</f>
        <v>0</v>
      </c>
      <c r="BZ76" s="311">
        <f>IF($BI76&lt;&gt;"",IF('Capacity summary'!$D$14="Yes",IF(COUNTBLANK('Capacity summary'!$H195:$BG195)&lt;52,IF('Capacity summary'!W195&lt;&gt;"",IF(LOWER('Capacity summary'!W195)="x",$BI76*W76,VALUE('Capacity summary'!W195)),0),W76*$BI76),W76*$BI76),0)</f>
        <v>0</v>
      </c>
      <c r="CA76" s="311">
        <f>IF($BI76&lt;&gt;"",IF('Capacity summary'!$D$14="Yes",IF(COUNTBLANK('Capacity summary'!$H195:$BG195)&lt;52,IF('Capacity summary'!X195&lt;&gt;"",IF(LOWER('Capacity summary'!X195)="x",$BI76*X76,VALUE('Capacity summary'!X195)),0),X76*$BI76),X76*$BI76),0)</f>
        <v>0</v>
      </c>
      <c r="CB76" s="311">
        <f>IF($BI76&lt;&gt;"",IF('Capacity summary'!$D$14="Yes",IF(COUNTBLANK('Capacity summary'!$H195:$BG195)&lt;52,IF('Capacity summary'!Y195&lt;&gt;"",IF(LOWER('Capacity summary'!Y195)="x",$BI76*Y76,VALUE('Capacity summary'!Y195)),0),Y76*$BI76),Y76*$BI76),0)</f>
        <v>0</v>
      </c>
      <c r="CC76" s="311">
        <f>IF($BI76&lt;&gt;"",IF('Capacity summary'!$D$14="Yes",IF(COUNTBLANK('Capacity summary'!$H195:$BG195)&lt;52,IF('Capacity summary'!Z195&lt;&gt;"",IF(LOWER('Capacity summary'!Z195)="x",$BI76*Z76,VALUE('Capacity summary'!Z195)),0),Z76*$BI76),Z76*$BI76),0)</f>
        <v>0</v>
      </c>
      <c r="CD76" s="311">
        <f>IF($BI76&lt;&gt;"",IF('Capacity summary'!$D$14="Yes",IF(COUNTBLANK('Capacity summary'!$H195:$BG195)&lt;52,IF('Capacity summary'!AA195&lt;&gt;"",IF(LOWER('Capacity summary'!AA195)="x",$BI76*AA76,VALUE('Capacity summary'!AA195)),0),AA76*$BI76),AA76*$BI76),0)</f>
        <v>0</v>
      </c>
      <c r="CE76" s="311">
        <f>IF($BI76&lt;&gt;"",IF('Capacity summary'!$D$14="Yes",IF(COUNTBLANK('Capacity summary'!$H195:$BG195)&lt;52,IF('Capacity summary'!AB195&lt;&gt;"",IF(LOWER('Capacity summary'!AB195)="x",$BI76*AB76,VALUE('Capacity summary'!AB195)),0),AB76*$BI76),AB76*$BI76),0)</f>
        <v>0</v>
      </c>
      <c r="CF76" s="311">
        <f>IF($BI76&lt;&gt;"",IF('Capacity summary'!$D$14="Yes",IF(COUNTBLANK('Capacity summary'!$H195:$BG195)&lt;52,IF('Capacity summary'!AC195&lt;&gt;"",IF(LOWER('Capacity summary'!AC195)="x",$BI76*AC76,VALUE('Capacity summary'!AC195)),0),AC76*$BI76),AC76*$BI76),0)</f>
        <v>0</v>
      </c>
      <c r="CG76" s="311">
        <f>IF($BI76&lt;&gt;"",IF('Capacity summary'!$D$14="Yes",IF(COUNTBLANK('Capacity summary'!$H195:$BG195)&lt;52,IF('Capacity summary'!AD195&lt;&gt;"",IF(LOWER('Capacity summary'!AD195)="x",$BI76*AD76,VALUE('Capacity summary'!AD195)),0),AD76*$BI76),AD76*$BI76),0)</f>
        <v>0</v>
      </c>
      <c r="CH76" s="311">
        <f>IF($BI76&lt;&gt;"",IF('Capacity summary'!$D$14="Yes",IF(COUNTBLANK('Capacity summary'!$H195:$BG195)&lt;52,IF('Capacity summary'!AE195&lt;&gt;"",IF(LOWER('Capacity summary'!AE195)="x",$BI76*AE76,VALUE('Capacity summary'!AE195)),0),AE76*$BI76),AE76*$BI76),0)</f>
        <v>0</v>
      </c>
      <c r="CI76" s="311">
        <f>IF($BI76&lt;&gt;"",IF('Capacity summary'!$D$14="Yes",IF(COUNTBLANK('Capacity summary'!$H195:$BG195)&lt;52,IF('Capacity summary'!AF195&lt;&gt;"",IF(LOWER('Capacity summary'!AF195)="x",$BI76*AF76,VALUE('Capacity summary'!AF195)),0),AF76*$BI76),AF76*$BI76),0)</f>
        <v>0</v>
      </c>
      <c r="CJ76" s="311">
        <f>IF($BI76&lt;&gt;"",IF('Capacity summary'!$D$14="Yes",IF(COUNTBLANK('Capacity summary'!$H195:$BG195)&lt;52,IF('Capacity summary'!AG195&lt;&gt;"",IF(LOWER('Capacity summary'!AG195)="x",$BI76*AG76,VALUE('Capacity summary'!AG195)),0),AG76*$BI76),AG76*$BI76),0)</f>
        <v>0</v>
      </c>
      <c r="CK76" s="311">
        <f>IF($BI76&lt;&gt;"",IF('Capacity summary'!$D$14="Yes",IF(COUNTBLANK('Capacity summary'!$H195:$BG195)&lt;52,IF('Capacity summary'!AH195&lt;&gt;"",IF(LOWER('Capacity summary'!AH195)="x",$BI76*AH76,VALUE('Capacity summary'!AH195)),0),AH76*$BI76),AH76*$BI76),0)</f>
        <v>0</v>
      </c>
      <c r="CL76" s="311">
        <f>IF($BI76&lt;&gt;"",IF('Capacity summary'!$D$14="Yes",IF(COUNTBLANK('Capacity summary'!$H195:$BG195)&lt;52,IF('Capacity summary'!AI195&lt;&gt;"",IF(LOWER('Capacity summary'!AI195)="x",$BI76*AI76,VALUE('Capacity summary'!AI195)),0),AI76*$BI76),AI76*$BI76),0)</f>
        <v>0</v>
      </c>
      <c r="CM76" s="311">
        <f>IF($BI76&lt;&gt;"",IF('Capacity summary'!$D$14="Yes",IF(COUNTBLANK('Capacity summary'!$H195:$BG195)&lt;52,IF('Capacity summary'!AJ195&lt;&gt;"",IF(LOWER('Capacity summary'!AJ195)="x",$BI76*AJ76,VALUE('Capacity summary'!AJ195)),0),AJ76*$BI76),AJ76*$BI76),0)</f>
        <v>0</v>
      </c>
      <c r="CN76" s="311">
        <f>IF($BI76&lt;&gt;"",IF('Capacity summary'!$D$14="Yes",IF(COUNTBLANK('Capacity summary'!$H195:$BG195)&lt;52,IF('Capacity summary'!AK195&lt;&gt;"",IF(LOWER('Capacity summary'!AK195)="x",$BI76*AK76,VALUE('Capacity summary'!AK195)),0),AK76*$BI76),AK76*$BI76),0)</f>
        <v>0</v>
      </c>
      <c r="CO76" s="311">
        <f>IF($BI76&lt;&gt;"",IF('Capacity summary'!$D$14="Yes",IF(COUNTBLANK('Capacity summary'!$H195:$BG195)&lt;52,IF('Capacity summary'!AL195&lt;&gt;"",IF(LOWER('Capacity summary'!AL195)="x",$BI76*AL76,VALUE('Capacity summary'!AL195)),0),AL76*$BI76),AL76*$BI76),0)</f>
        <v>0</v>
      </c>
      <c r="CP76" s="311">
        <f>IF($BI76&lt;&gt;"",IF('Capacity summary'!$D$14="Yes",IF(COUNTBLANK('Capacity summary'!$H195:$BG195)&lt;52,IF('Capacity summary'!AM195&lt;&gt;"",IF(LOWER('Capacity summary'!AM195)="x",$BI76*AM76,VALUE('Capacity summary'!AM195)),0),AM76*$BI76),AM76*$BI76),0)</f>
        <v>0</v>
      </c>
      <c r="CQ76" s="311">
        <f>IF($BI76&lt;&gt;"",IF('Capacity summary'!$D$14="Yes",IF(COUNTBLANK('Capacity summary'!$H195:$BG195)&lt;52,IF('Capacity summary'!AN195&lt;&gt;"",IF(LOWER('Capacity summary'!AN195)="x",$BI76*AN76,VALUE('Capacity summary'!AN195)),0),AN76*$BI76),AN76*$BI76),0)</f>
        <v>0</v>
      </c>
      <c r="CR76" s="311">
        <f>IF($BI76&lt;&gt;"",IF('Capacity summary'!$D$14="Yes",IF(COUNTBLANK('Capacity summary'!$H195:$BG195)&lt;52,IF('Capacity summary'!AO195&lt;&gt;"",IF(LOWER('Capacity summary'!AO195)="x",$BI76*AO76,VALUE('Capacity summary'!AO195)),0),AO76*$BI76),AO76*$BI76),0)</f>
        <v>0</v>
      </c>
      <c r="CS76" s="311">
        <f>IF($BI76&lt;&gt;"",IF('Capacity summary'!$D$14="Yes",IF(COUNTBLANK('Capacity summary'!$H195:$BG195)&lt;52,IF('Capacity summary'!AP195&lt;&gt;"",IF(LOWER('Capacity summary'!AP195)="x",$BI76*AP76,VALUE('Capacity summary'!AP195)),0),AP76*$BI76),AP76*$BI76),0)</f>
        <v>0</v>
      </c>
      <c r="CT76" s="311">
        <f>IF($BI76&lt;&gt;"",IF('Capacity summary'!$D$14="Yes",IF(COUNTBLANK('Capacity summary'!$H195:$BG195)&lt;52,IF('Capacity summary'!AQ195&lt;&gt;"",IF(LOWER('Capacity summary'!AQ195)="x",$BI76*AQ76,VALUE('Capacity summary'!AQ195)),0),AQ76*$BI76),AQ76*$BI76),0)</f>
        <v>0</v>
      </c>
      <c r="CU76" s="311">
        <f>IF($BI76&lt;&gt;"",IF('Capacity summary'!$D$14="Yes",IF(COUNTBLANK('Capacity summary'!$H195:$BG195)&lt;52,IF('Capacity summary'!AR195&lt;&gt;"",IF(LOWER('Capacity summary'!AR195)="x",$BI76*AR76,VALUE('Capacity summary'!AR195)),0),AR76*$BI76),AR76*$BI76),0)</f>
        <v>0</v>
      </c>
      <c r="CV76" s="311">
        <f>IF($BI76&lt;&gt;"",IF('Capacity summary'!$D$14="Yes",IF(COUNTBLANK('Capacity summary'!$H195:$BG195)&lt;52,IF('Capacity summary'!AS195&lt;&gt;"",IF(LOWER('Capacity summary'!AS195)="x",$BI76*AS76,VALUE('Capacity summary'!AS195)),0),AS76*$BI76),AS76*$BI76),0)</f>
        <v>0</v>
      </c>
      <c r="CW76" s="311">
        <f>IF($BI76&lt;&gt;"",IF('Capacity summary'!$D$14="Yes",IF(COUNTBLANK('Capacity summary'!$H195:$BG195)&lt;52,IF('Capacity summary'!AT195&lt;&gt;"",IF(LOWER('Capacity summary'!AT195)="x",$BI76*AT76,VALUE('Capacity summary'!AT195)),0),AT76*$BI76),AT76*$BI76),0)</f>
        <v>0</v>
      </c>
      <c r="CX76" s="311">
        <f>IF($BI76&lt;&gt;"",IF('Capacity summary'!$D$14="Yes",IF(COUNTBLANK('Capacity summary'!$H195:$BG195)&lt;52,IF('Capacity summary'!AU195&lt;&gt;"",IF(LOWER('Capacity summary'!AU195)="x",$BI76*AU76,VALUE('Capacity summary'!AU195)),0),AU76*$BI76),AU76*$BI76),0)</f>
        <v>0</v>
      </c>
      <c r="CY76" s="311">
        <f>IF($BI76&lt;&gt;"",IF('Capacity summary'!$D$14="Yes",IF(COUNTBLANK('Capacity summary'!$H195:$BG195)&lt;52,IF('Capacity summary'!AV195&lt;&gt;"",IF(LOWER('Capacity summary'!AV195)="x",$BI76*AV76,VALUE('Capacity summary'!AV195)),0),AV76*$BI76),AV76*$BI76),0)</f>
        <v>0</v>
      </c>
      <c r="CZ76" s="311">
        <f>IF($BI76&lt;&gt;"",IF('Capacity summary'!$D$14="Yes",IF(COUNTBLANK('Capacity summary'!$H195:$BG195)&lt;52,IF('Capacity summary'!AW195&lt;&gt;"",IF(LOWER('Capacity summary'!AW195)="x",$BI76*AW76,VALUE('Capacity summary'!AW195)),0),AW76*$BI76),AW76*$BI76),0)</f>
        <v>0</v>
      </c>
      <c r="DA76" s="311">
        <f>IF($BI76&lt;&gt;"",IF('Capacity summary'!$D$14="Yes",IF(COUNTBLANK('Capacity summary'!$H195:$BG195)&lt;52,IF('Capacity summary'!AX195&lt;&gt;"",IF(LOWER('Capacity summary'!AX195)="x",$BI76*AX76,VALUE('Capacity summary'!AX195)),0),AX76*$BI76),AX76*$BI76),0)</f>
        <v>0</v>
      </c>
      <c r="DB76" s="311">
        <f>IF($BI76&lt;&gt;"",IF('Capacity summary'!$D$14="Yes",IF(COUNTBLANK('Capacity summary'!$H195:$BG195)&lt;52,IF('Capacity summary'!AY195&lt;&gt;"",IF(LOWER('Capacity summary'!AY195)="x",$BI76*AY76,VALUE('Capacity summary'!AY195)),0),AY76*$BI76),AY76*$BI76),0)</f>
        <v>0</v>
      </c>
      <c r="DC76" s="311">
        <f>IF($BI76&lt;&gt;"",IF('Capacity summary'!$D$14="Yes",IF(COUNTBLANK('Capacity summary'!$H195:$BG195)&lt;52,IF('Capacity summary'!AZ195&lt;&gt;"",IF(LOWER('Capacity summary'!AZ195)="x",$BI76*AZ76,VALUE('Capacity summary'!AZ195)),0),AZ76*$BI76),AZ76*$BI76),0)</f>
        <v>0</v>
      </c>
      <c r="DD76" s="311">
        <f>IF($BI76&lt;&gt;"",IF('Capacity summary'!$D$14="Yes",IF(COUNTBLANK('Capacity summary'!$H195:$BG195)&lt;52,IF('Capacity summary'!BA195&lt;&gt;"",IF(LOWER('Capacity summary'!BA195)="x",$BI76*BA76,VALUE('Capacity summary'!BA195)),0),BA76*$BI76),BA76*$BI76),0)</f>
        <v>0</v>
      </c>
      <c r="DE76" s="311">
        <f>IF($BI76&lt;&gt;"",IF('Capacity summary'!$D$14="Yes",IF(COUNTBLANK('Capacity summary'!$H195:$BG195)&lt;52,IF('Capacity summary'!BB195&lt;&gt;"",IF(LOWER('Capacity summary'!BB195)="x",$BI76*BB76,VALUE('Capacity summary'!BB195)),0),BB76*$BI76),BB76*$BI76),0)</f>
        <v>0</v>
      </c>
      <c r="DF76" s="311">
        <f>IF($BI76&lt;&gt;"",IF('Capacity summary'!$D$14="Yes",IF(COUNTBLANK('Capacity summary'!$H195:$BG195)&lt;52,IF('Capacity summary'!BC195&lt;&gt;"",IF(LOWER('Capacity summary'!BC195)="x",$BI76*BC76,VALUE('Capacity summary'!BC195)),0),BC76*$BI76),BC76*$BI76),0)</f>
        <v>0</v>
      </c>
      <c r="DG76" s="311">
        <f>IF($BI76&lt;&gt;"",IF('Capacity summary'!$D$14="Yes",IF(COUNTBLANK('Capacity summary'!$H195:$BG195)&lt;52,IF('Capacity summary'!BD195&lt;&gt;"",IF(LOWER('Capacity summary'!BD195)="x",$BI76*BD76,VALUE('Capacity summary'!BD195)),0),BD76*$BI76),BD76*$BI76),0)</f>
        <v>0</v>
      </c>
      <c r="DH76" s="311">
        <f>IF($BI76&lt;&gt;"",IF('Capacity summary'!$D$14="Yes",IF(COUNTBLANK('Capacity summary'!$H195:$BG195)&lt;52,IF('Capacity summary'!BE195&lt;&gt;"",IF(LOWER('Capacity summary'!BE195)="x",$BI76*BE76,VALUE('Capacity summary'!BE195)),0),BE76*$BI76),BE76*$BI76),0)</f>
        <v>0</v>
      </c>
      <c r="DI76" s="311">
        <f>IF($BI76&lt;&gt;"",IF('Capacity summary'!$D$14="Yes",IF(COUNTBLANK('Capacity summary'!$H195:$BG195)&lt;52,IF('Capacity summary'!BF195&lt;&gt;"",IF(LOWER('Capacity summary'!BF195)="x",$BI76*BF76,VALUE('Capacity summary'!BF195)),0),BF76*$BI76),BF76*$BI76),0)</f>
        <v>0</v>
      </c>
      <c r="DJ76" s="311">
        <f>IF($BI76&lt;&gt;"",IF('Capacity summary'!$D$14="Yes",IF(COUNTBLANK('Capacity summary'!$H195:$BG195)&lt;52,IF('Capacity summary'!BG195&lt;&gt;"",IF(LOWER('Capacity summary'!BG195)="x",$BI76*BG76,VALUE('Capacity summary'!BG195)),0),BG76*$BI76),BG76*$BI76),0)</f>
        <v>0</v>
      </c>
      <c r="DK76" s="391">
        <f t="shared" si="4"/>
        <v>0</v>
      </c>
      <c r="DL76" s="136">
        <f t="shared" si="5"/>
        <v>0</v>
      </c>
      <c r="DM76" s="311" t="str">
        <f>Capacity!H88</f>
        <v/>
      </c>
    </row>
    <row r="77" spans="1:117" x14ac:dyDescent="0.2">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1">
        <f>IF($BI77&lt;&gt;"",IF('Capacity summary'!$D$14="Yes",IF(COUNTBLANK('Capacity summary'!$H196:$BG196)&lt;52,IF('Capacity summary'!H196&lt;&gt;"",IF(LOWER('Capacity summary'!H196)="x",$BI77*H77,VALUE('Capacity summary'!H196)),0),H77*$BI77),H77*$BI77),0)</f>
        <v>0</v>
      </c>
      <c r="BL77" s="311">
        <f>IF($BI77&lt;&gt;"",IF('Capacity summary'!$D$14="Yes",IF(COUNTBLANK('Capacity summary'!$H196:$BG196)&lt;52,IF('Capacity summary'!I196&lt;&gt;"",IF(LOWER('Capacity summary'!I196)="x",$BI77*I77,VALUE('Capacity summary'!I196)),0),I77*$BI77),I77*$BI77),0)</f>
        <v>0</v>
      </c>
      <c r="BM77" s="311">
        <f>IF($BI77&lt;&gt;"",IF('Capacity summary'!$D$14="Yes",IF(COUNTBLANK('Capacity summary'!$H196:$BG196)&lt;52,IF('Capacity summary'!J196&lt;&gt;"",IF(LOWER('Capacity summary'!J196)="x",$BI77*J77,VALUE('Capacity summary'!J196)),0),J77*$BI77),J77*$BI77),0)</f>
        <v>0</v>
      </c>
      <c r="BN77" s="311">
        <f>IF($BI77&lt;&gt;"",IF('Capacity summary'!$D$14="Yes",IF(COUNTBLANK('Capacity summary'!$H196:$BG196)&lt;52,IF('Capacity summary'!K196&lt;&gt;"",IF(LOWER('Capacity summary'!K196)="x",$BI77*K77,VALUE('Capacity summary'!K196)),0),K77*$BI77),K77*$BI77),0)</f>
        <v>0</v>
      </c>
      <c r="BO77" s="311">
        <f>IF($BI77&lt;&gt;"",IF('Capacity summary'!$D$14="Yes",IF(COUNTBLANK('Capacity summary'!$H196:$BG196)&lt;52,IF('Capacity summary'!L196&lt;&gt;"",IF(LOWER('Capacity summary'!L196)="x",$BI77*L77,VALUE('Capacity summary'!L196)),0),L77*$BI77),L77*$BI77),0)</f>
        <v>0</v>
      </c>
      <c r="BP77" s="311">
        <f>IF($BI77&lt;&gt;"",IF('Capacity summary'!$D$14="Yes",IF(COUNTBLANK('Capacity summary'!$H196:$BG196)&lt;52,IF('Capacity summary'!M196&lt;&gt;"",IF(LOWER('Capacity summary'!M196)="x",$BI77*M77,VALUE('Capacity summary'!M196)),0),M77*$BI77),M77*$BI77),0)</f>
        <v>0</v>
      </c>
      <c r="BQ77" s="311">
        <f>IF($BI77&lt;&gt;"",IF('Capacity summary'!$D$14="Yes",IF(COUNTBLANK('Capacity summary'!$H196:$BG196)&lt;52,IF('Capacity summary'!N196&lt;&gt;"",IF(LOWER('Capacity summary'!N196)="x",$BI77*N77,VALUE('Capacity summary'!N196)),0),N77*$BI77),N77*$BI77),0)</f>
        <v>0</v>
      </c>
      <c r="BR77" s="311">
        <f>IF($BI77&lt;&gt;"",IF('Capacity summary'!$D$14="Yes",IF(COUNTBLANK('Capacity summary'!$H196:$BG196)&lt;52,IF('Capacity summary'!O196&lt;&gt;"",IF(LOWER('Capacity summary'!O196)="x",$BI77*O77,VALUE('Capacity summary'!O196)),0),O77*$BI77),O77*$BI77),0)</f>
        <v>0</v>
      </c>
      <c r="BS77" s="311">
        <f>IF($BI77&lt;&gt;"",IF('Capacity summary'!$D$14="Yes",IF(COUNTBLANK('Capacity summary'!$H196:$BG196)&lt;52,IF('Capacity summary'!P196&lt;&gt;"",IF(LOWER('Capacity summary'!P196)="x",$BI77*P77,VALUE('Capacity summary'!P196)),0),P77*$BI77),P77*$BI77),0)</f>
        <v>0</v>
      </c>
      <c r="BT77" s="311">
        <f>IF($BI77&lt;&gt;"",IF('Capacity summary'!$D$14="Yes",IF(COUNTBLANK('Capacity summary'!$H196:$BG196)&lt;52,IF('Capacity summary'!Q196&lt;&gt;"",IF(LOWER('Capacity summary'!Q196)="x",$BI77*Q77,VALUE('Capacity summary'!Q196)),0),Q77*$BI77),Q77*$BI77),0)</f>
        <v>0</v>
      </c>
      <c r="BU77" s="311">
        <f>IF($BI77&lt;&gt;"",IF('Capacity summary'!$D$14="Yes",IF(COUNTBLANK('Capacity summary'!$H196:$BG196)&lt;52,IF('Capacity summary'!R196&lt;&gt;"",IF(LOWER('Capacity summary'!R196)="x",$BI77*R77,VALUE('Capacity summary'!R196)),0),R77*$BI77),R77*$BI77),0)</f>
        <v>0</v>
      </c>
      <c r="BV77" s="311">
        <f>IF($BI77&lt;&gt;"",IF('Capacity summary'!$D$14="Yes",IF(COUNTBLANK('Capacity summary'!$H196:$BG196)&lt;52,IF('Capacity summary'!S196&lt;&gt;"",IF(LOWER('Capacity summary'!S196)="x",$BI77*S77,VALUE('Capacity summary'!S196)),0),S77*$BI77),S77*$BI77),0)</f>
        <v>0</v>
      </c>
      <c r="BW77" s="311">
        <f>IF($BI77&lt;&gt;"",IF('Capacity summary'!$D$14="Yes",IF(COUNTBLANK('Capacity summary'!$H196:$BG196)&lt;52,IF('Capacity summary'!T196&lt;&gt;"",IF(LOWER('Capacity summary'!T196)="x",$BI77*T77,VALUE('Capacity summary'!T196)),0),T77*$BI77),T77*$BI77),0)</f>
        <v>0</v>
      </c>
      <c r="BX77" s="311">
        <f>IF($BI77&lt;&gt;"",IF('Capacity summary'!$D$14="Yes",IF(COUNTBLANK('Capacity summary'!$H196:$BG196)&lt;52,IF('Capacity summary'!U196&lt;&gt;"",IF(LOWER('Capacity summary'!U196)="x",$BI77*U77,VALUE('Capacity summary'!U196)),0),U77*$BI77),U77*$BI77),0)</f>
        <v>0</v>
      </c>
      <c r="BY77" s="311">
        <f>IF($BI77&lt;&gt;"",IF('Capacity summary'!$D$14="Yes",IF(COUNTBLANK('Capacity summary'!$H196:$BG196)&lt;52,IF('Capacity summary'!V196&lt;&gt;"",IF(LOWER('Capacity summary'!V196)="x",$BI77*V77,VALUE('Capacity summary'!V196)),0),V77*$BI77),V77*$BI77),0)</f>
        <v>0</v>
      </c>
      <c r="BZ77" s="311">
        <f>IF($BI77&lt;&gt;"",IF('Capacity summary'!$D$14="Yes",IF(COUNTBLANK('Capacity summary'!$H196:$BG196)&lt;52,IF('Capacity summary'!W196&lt;&gt;"",IF(LOWER('Capacity summary'!W196)="x",$BI77*W77,VALUE('Capacity summary'!W196)),0),W77*$BI77),W77*$BI77),0)</f>
        <v>0</v>
      </c>
      <c r="CA77" s="311">
        <f>IF($BI77&lt;&gt;"",IF('Capacity summary'!$D$14="Yes",IF(COUNTBLANK('Capacity summary'!$H196:$BG196)&lt;52,IF('Capacity summary'!X196&lt;&gt;"",IF(LOWER('Capacity summary'!X196)="x",$BI77*X77,VALUE('Capacity summary'!X196)),0),X77*$BI77),X77*$BI77),0)</f>
        <v>0</v>
      </c>
      <c r="CB77" s="311">
        <f>IF($BI77&lt;&gt;"",IF('Capacity summary'!$D$14="Yes",IF(COUNTBLANK('Capacity summary'!$H196:$BG196)&lt;52,IF('Capacity summary'!Y196&lt;&gt;"",IF(LOWER('Capacity summary'!Y196)="x",$BI77*Y77,VALUE('Capacity summary'!Y196)),0),Y77*$BI77),Y77*$BI77),0)</f>
        <v>0</v>
      </c>
      <c r="CC77" s="311">
        <f>IF($BI77&lt;&gt;"",IF('Capacity summary'!$D$14="Yes",IF(COUNTBLANK('Capacity summary'!$H196:$BG196)&lt;52,IF('Capacity summary'!Z196&lt;&gt;"",IF(LOWER('Capacity summary'!Z196)="x",$BI77*Z77,VALUE('Capacity summary'!Z196)),0),Z77*$BI77),Z77*$BI77),0)</f>
        <v>0</v>
      </c>
      <c r="CD77" s="311">
        <f>IF($BI77&lt;&gt;"",IF('Capacity summary'!$D$14="Yes",IF(COUNTBLANK('Capacity summary'!$H196:$BG196)&lt;52,IF('Capacity summary'!AA196&lt;&gt;"",IF(LOWER('Capacity summary'!AA196)="x",$BI77*AA77,VALUE('Capacity summary'!AA196)),0),AA77*$BI77),AA77*$BI77),0)</f>
        <v>0</v>
      </c>
      <c r="CE77" s="311">
        <f>IF($BI77&lt;&gt;"",IF('Capacity summary'!$D$14="Yes",IF(COUNTBLANK('Capacity summary'!$H196:$BG196)&lt;52,IF('Capacity summary'!AB196&lt;&gt;"",IF(LOWER('Capacity summary'!AB196)="x",$BI77*AB77,VALUE('Capacity summary'!AB196)),0),AB77*$BI77),AB77*$BI77),0)</f>
        <v>0</v>
      </c>
      <c r="CF77" s="311">
        <f>IF($BI77&lt;&gt;"",IF('Capacity summary'!$D$14="Yes",IF(COUNTBLANK('Capacity summary'!$H196:$BG196)&lt;52,IF('Capacity summary'!AC196&lt;&gt;"",IF(LOWER('Capacity summary'!AC196)="x",$BI77*AC77,VALUE('Capacity summary'!AC196)),0),AC77*$BI77),AC77*$BI77),0)</f>
        <v>0</v>
      </c>
      <c r="CG77" s="311">
        <f>IF($BI77&lt;&gt;"",IF('Capacity summary'!$D$14="Yes",IF(COUNTBLANK('Capacity summary'!$H196:$BG196)&lt;52,IF('Capacity summary'!AD196&lt;&gt;"",IF(LOWER('Capacity summary'!AD196)="x",$BI77*AD77,VALUE('Capacity summary'!AD196)),0),AD77*$BI77),AD77*$BI77),0)</f>
        <v>0</v>
      </c>
      <c r="CH77" s="311">
        <f>IF($BI77&lt;&gt;"",IF('Capacity summary'!$D$14="Yes",IF(COUNTBLANK('Capacity summary'!$H196:$BG196)&lt;52,IF('Capacity summary'!AE196&lt;&gt;"",IF(LOWER('Capacity summary'!AE196)="x",$BI77*AE77,VALUE('Capacity summary'!AE196)),0),AE77*$BI77),AE77*$BI77),0)</f>
        <v>0</v>
      </c>
      <c r="CI77" s="311">
        <f>IF($BI77&lt;&gt;"",IF('Capacity summary'!$D$14="Yes",IF(COUNTBLANK('Capacity summary'!$H196:$BG196)&lt;52,IF('Capacity summary'!AF196&lt;&gt;"",IF(LOWER('Capacity summary'!AF196)="x",$BI77*AF77,VALUE('Capacity summary'!AF196)),0),AF77*$BI77),AF77*$BI77),0)</f>
        <v>0</v>
      </c>
      <c r="CJ77" s="311">
        <f>IF($BI77&lt;&gt;"",IF('Capacity summary'!$D$14="Yes",IF(COUNTBLANK('Capacity summary'!$H196:$BG196)&lt;52,IF('Capacity summary'!AG196&lt;&gt;"",IF(LOWER('Capacity summary'!AG196)="x",$BI77*AG77,VALUE('Capacity summary'!AG196)),0),AG77*$BI77),AG77*$BI77),0)</f>
        <v>0</v>
      </c>
      <c r="CK77" s="311">
        <f>IF($BI77&lt;&gt;"",IF('Capacity summary'!$D$14="Yes",IF(COUNTBLANK('Capacity summary'!$H196:$BG196)&lt;52,IF('Capacity summary'!AH196&lt;&gt;"",IF(LOWER('Capacity summary'!AH196)="x",$BI77*AH77,VALUE('Capacity summary'!AH196)),0),AH77*$BI77),AH77*$BI77),0)</f>
        <v>0</v>
      </c>
      <c r="CL77" s="311">
        <f>IF($BI77&lt;&gt;"",IF('Capacity summary'!$D$14="Yes",IF(COUNTBLANK('Capacity summary'!$H196:$BG196)&lt;52,IF('Capacity summary'!AI196&lt;&gt;"",IF(LOWER('Capacity summary'!AI196)="x",$BI77*AI77,VALUE('Capacity summary'!AI196)),0),AI77*$BI77),AI77*$BI77),0)</f>
        <v>0</v>
      </c>
      <c r="CM77" s="311">
        <f>IF($BI77&lt;&gt;"",IF('Capacity summary'!$D$14="Yes",IF(COUNTBLANK('Capacity summary'!$H196:$BG196)&lt;52,IF('Capacity summary'!AJ196&lt;&gt;"",IF(LOWER('Capacity summary'!AJ196)="x",$BI77*AJ77,VALUE('Capacity summary'!AJ196)),0),AJ77*$BI77),AJ77*$BI77),0)</f>
        <v>0</v>
      </c>
      <c r="CN77" s="311">
        <f>IF($BI77&lt;&gt;"",IF('Capacity summary'!$D$14="Yes",IF(COUNTBLANK('Capacity summary'!$H196:$BG196)&lt;52,IF('Capacity summary'!AK196&lt;&gt;"",IF(LOWER('Capacity summary'!AK196)="x",$BI77*AK77,VALUE('Capacity summary'!AK196)),0),AK77*$BI77),AK77*$BI77),0)</f>
        <v>0</v>
      </c>
      <c r="CO77" s="311">
        <f>IF($BI77&lt;&gt;"",IF('Capacity summary'!$D$14="Yes",IF(COUNTBLANK('Capacity summary'!$H196:$BG196)&lt;52,IF('Capacity summary'!AL196&lt;&gt;"",IF(LOWER('Capacity summary'!AL196)="x",$BI77*AL77,VALUE('Capacity summary'!AL196)),0),AL77*$BI77),AL77*$BI77),0)</f>
        <v>0</v>
      </c>
      <c r="CP77" s="311">
        <f>IF($BI77&lt;&gt;"",IF('Capacity summary'!$D$14="Yes",IF(COUNTBLANK('Capacity summary'!$H196:$BG196)&lt;52,IF('Capacity summary'!AM196&lt;&gt;"",IF(LOWER('Capacity summary'!AM196)="x",$BI77*AM77,VALUE('Capacity summary'!AM196)),0),AM77*$BI77),AM77*$BI77),0)</f>
        <v>0</v>
      </c>
      <c r="CQ77" s="311">
        <f>IF($BI77&lt;&gt;"",IF('Capacity summary'!$D$14="Yes",IF(COUNTBLANK('Capacity summary'!$H196:$BG196)&lt;52,IF('Capacity summary'!AN196&lt;&gt;"",IF(LOWER('Capacity summary'!AN196)="x",$BI77*AN77,VALUE('Capacity summary'!AN196)),0),AN77*$BI77),AN77*$BI77),0)</f>
        <v>0</v>
      </c>
      <c r="CR77" s="311">
        <f>IF($BI77&lt;&gt;"",IF('Capacity summary'!$D$14="Yes",IF(COUNTBLANK('Capacity summary'!$H196:$BG196)&lt;52,IF('Capacity summary'!AO196&lt;&gt;"",IF(LOWER('Capacity summary'!AO196)="x",$BI77*AO77,VALUE('Capacity summary'!AO196)),0),AO77*$BI77),AO77*$BI77),0)</f>
        <v>0</v>
      </c>
      <c r="CS77" s="311">
        <f>IF($BI77&lt;&gt;"",IF('Capacity summary'!$D$14="Yes",IF(COUNTBLANK('Capacity summary'!$H196:$BG196)&lt;52,IF('Capacity summary'!AP196&lt;&gt;"",IF(LOWER('Capacity summary'!AP196)="x",$BI77*AP77,VALUE('Capacity summary'!AP196)),0),AP77*$BI77),AP77*$BI77),0)</f>
        <v>0</v>
      </c>
      <c r="CT77" s="311">
        <f>IF($BI77&lt;&gt;"",IF('Capacity summary'!$D$14="Yes",IF(COUNTBLANK('Capacity summary'!$H196:$BG196)&lt;52,IF('Capacity summary'!AQ196&lt;&gt;"",IF(LOWER('Capacity summary'!AQ196)="x",$BI77*AQ77,VALUE('Capacity summary'!AQ196)),0),AQ77*$BI77),AQ77*$BI77),0)</f>
        <v>0</v>
      </c>
      <c r="CU77" s="311">
        <f>IF($BI77&lt;&gt;"",IF('Capacity summary'!$D$14="Yes",IF(COUNTBLANK('Capacity summary'!$H196:$BG196)&lt;52,IF('Capacity summary'!AR196&lt;&gt;"",IF(LOWER('Capacity summary'!AR196)="x",$BI77*AR77,VALUE('Capacity summary'!AR196)),0),AR77*$BI77),AR77*$BI77),0)</f>
        <v>0</v>
      </c>
      <c r="CV77" s="311">
        <f>IF($BI77&lt;&gt;"",IF('Capacity summary'!$D$14="Yes",IF(COUNTBLANK('Capacity summary'!$H196:$BG196)&lt;52,IF('Capacity summary'!AS196&lt;&gt;"",IF(LOWER('Capacity summary'!AS196)="x",$BI77*AS77,VALUE('Capacity summary'!AS196)),0),AS77*$BI77),AS77*$BI77),0)</f>
        <v>0</v>
      </c>
      <c r="CW77" s="311">
        <f>IF($BI77&lt;&gt;"",IF('Capacity summary'!$D$14="Yes",IF(COUNTBLANK('Capacity summary'!$H196:$BG196)&lt;52,IF('Capacity summary'!AT196&lt;&gt;"",IF(LOWER('Capacity summary'!AT196)="x",$BI77*AT77,VALUE('Capacity summary'!AT196)),0),AT77*$BI77),AT77*$BI77),0)</f>
        <v>0</v>
      </c>
      <c r="CX77" s="311">
        <f>IF($BI77&lt;&gt;"",IF('Capacity summary'!$D$14="Yes",IF(COUNTBLANK('Capacity summary'!$H196:$BG196)&lt;52,IF('Capacity summary'!AU196&lt;&gt;"",IF(LOWER('Capacity summary'!AU196)="x",$BI77*AU77,VALUE('Capacity summary'!AU196)),0),AU77*$BI77),AU77*$BI77),0)</f>
        <v>0</v>
      </c>
      <c r="CY77" s="311">
        <f>IF($BI77&lt;&gt;"",IF('Capacity summary'!$D$14="Yes",IF(COUNTBLANK('Capacity summary'!$H196:$BG196)&lt;52,IF('Capacity summary'!AV196&lt;&gt;"",IF(LOWER('Capacity summary'!AV196)="x",$BI77*AV77,VALUE('Capacity summary'!AV196)),0),AV77*$BI77),AV77*$BI77),0)</f>
        <v>0</v>
      </c>
      <c r="CZ77" s="311">
        <f>IF($BI77&lt;&gt;"",IF('Capacity summary'!$D$14="Yes",IF(COUNTBLANK('Capacity summary'!$H196:$BG196)&lt;52,IF('Capacity summary'!AW196&lt;&gt;"",IF(LOWER('Capacity summary'!AW196)="x",$BI77*AW77,VALUE('Capacity summary'!AW196)),0),AW77*$BI77),AW77*$BI77),0)</f>
        <v>0</v>
      </c>
      <c r="DA77" s="311">
        <f>IF($BI77&lt;&gt;"",IF('Capacity summary'!$D$14="Yes",IF(COUNTBLANK('Capacity summary'!$H196:$BG196)&lt;52,IF('Capacity summary'!AX196&lt;&gt;"",IF(LOWER('Capacity summary'!AX196)="x",$BI77*AX77,VALUE('Capacity summary'!AX196)),0),AX77*$BI77),AX77*$BI77),0)</f>
        <v>0</v>
      </c>
      <c r="DB77" s="311">
        <f>IF($BI77&lt;&gt;"",IF('Capacity summary'!$D$14="Yes",IF(COUNTBLANK('Capacity summary'!$H196:$BG196)&lt;52,IF('Capacity summary'!AY196&lt;&gt;"",IF(LOWER('Capacity summary'!AY196)="x",$BI77*AY77,VALUE('Capacity summary'!AY196)),0),AY77*$BI77),AY77*$BI77),0)</f>
        <v>0</v>
      </c>
      <c r="DC77" s="311">
        <f>IF($BI77&lt;&gt;"",IF('Capacity summary'!$D$14="Yes",IF(COUNTBLANK('Capacity summary'!$H196:$BG196)&lt;52,IF('Capacity summary'!AZ196&lt;&gt;"",IF(LOWER('Capacity summary'!AZ196)="x",$BI77*AZ77,VALUE('Capacity summary'!AZ196)),0),AZ77*$BI77),AZ77*$BI77),0)</f>
        <v>0</v>
      </c>
      <c r="DD77" s="311">
        <f>IF($BI77&lt;&gt;"",IF('Capacity summary'!$D$14="Yes",IF(COUNTBLANK('Capacity summary'!$H196:$BG196)&lt;52,IF('Capacity summary'!BA196&lt;&gt;"",IF(LOWER('Capacity summary'!BA196)="x",$BI77*BA77,VALUE('Capacity summary'!BA196)),0),BA77*$BI77),BA77*$BI77),0)</f>
        <v>0</v>
      </c>
      <c r="DE77" s="311">
        <f>IF($BI77&lt;&gt;"",IF('Capacity summary'!$D$14="Yes",IF(COUNTBLANK('Capacity summary'!$H196:$BG196)&lt;52,IF('Capacity summary'!BB196&lt;&gt;"",IF(LOWER('Capacity summary'!BB196)="x",$BI77*BB77,VALUE('Capacity summary'!BB196)),0),BB77*$BI77),BB77*$BI77),0)</f>
        <v>0</v>
      </c>
      <c r="DF77" s="311">
        <f>IF($BI77&lt;&gt;"",IF('Capacity summary'!$D$14="Yes",IF(COUNTBLANK('Capacity summary'!$H196:$BG196)&lt;52,IF('Capacity summary'!BC196&lt;&gt;"",IF(LOWER('Capacity summary'!BC196)="x",$BI77*BC77,VALUE('Capacity summary'!BC196)),0),BC77*$BI77),BC77*$BI77),0)</f>
        <v>0</v>
      </c>
      <c r="DG77" s="311">
        <f>IF($BI77&lt;&gt;"",IF('Capacity summary'!$D$14="Yes",IF(COUNTBLANK('Capacity summary'!$H196:$BG196)&lt;52,IF('Capacity summary'!BD196&lt;&gt;"",IF(LOWER('Capacity summary'!BD196)="x",$BI77*BD77,VALUE('Capacity summary'!BD196)),0),BD77*$BI77),BD77*$BI77),0)</f>
        <v>0</v>
      </c>
      <c r="DH77" s="311">
        <f>IF($BI77&lt;&gt;"",IF('Capacity summary'!$D$14="Yes",IF(COUNTBLANK('Capacity summary'!$H196:$BG196)&lt;52,IF('Capacity summary'!BE196&lt;&gt;"",IF(LOWER('Capacity summary'!BE196)="x",$BI77*BE77,VALUE('Capacity summary'!BE196)),0),BE77*$BI77),BE77*$BI77),0)</f>
        <v>0</v>
      </c>
      <c r="DI77" s="311">
        <f>IF($BI77&lt;&gt;"",IF('Capacity summary'!$D$14="Yes",IF(COUNTBLANK('Capacity summary'!$H196:$BG196)&lt;52,IF('Capacity summary'!BF196&lt;&gt;"",IF(LOWER('Capacity summary'!BF196)="x",$BI77*BF77,VALUE('Capacity summary'!BF196)),0),BF77*$BI77),BF77*$BI77),0)</f>
        <v>0</v>
      </c>
      <c r="DJ77" s="311">
        <f>IF($BI77&lt;&gt;"",IF('Capacity summary'!$D$14="Yes",IF(COUNTBLANK('Capacity summary'!$H196:$BG196)&lt;52,IF('Capacity summary'!BG196&lt;&gt;"",IF(LOWER('Capacity summary'!BG196)="x",$BI77*BG77,VALUE('Capacity summary'!BG196)),0),BG77*$BI77),BG77*$BI77),0)</f>
        <v>0</v>
      </c>
      <c r="DK77" s="391">
        <f t="shared" si="4"/>
        <v>0</v>
      </c>
      <c r="DL77" s="136">
        <f t="shared" si="5"/>
        <v>0</v>
      </c>
      <c r="DM77" s="311" t="str">
        <f>Capacity!H89</f>
        <v/>
      </c>
    </row>
    <row r="78" spans="1:117" x14ac:dyDescent="0.2">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1">
        <f>IF($BI78&lt;&gt;"",IF('Capacity summary'!$D$14="Yes",IF(COUNTBLANK('Capacity summary'!$H197:$BG197)&lt;52,IF('Capacity summary'!H197&lt;&gt;"",IF(LOWER('Capacity summary'!H197)="x",$BI78*H78,VALUE('Capacity summary'!H197)),0),H78*$BI78),H78*$BI78),0)</f>
        <v>0</v>
      </c>
      <c r="BL78" s="311">
        <f>IF($BI78&lt;&gt;"",IF('Capacity summary'!$D$14="Yes",IF(COUNTBLANK('Capacity summary'!$H197:$BG197)&lt;52,IF('Capacity summary'!I197&lt;&gt;"",IF(LOWER('Capacity summary'!I197)="x",$BI78*I78,VALUE('Capacity summary'!I197)),0),I78*$BI78),I78*$BI78),0)</f>
        <v>0</v>
      </c>
      <c r="BM78" s="311">
        <f>IF($BI78&lt;&gt;"",IF('Capacity summary'!$D$14="Yes",IF(COUNTBLANK('Capacity summary'!$H197:$BG197)&lt;52,IF('Capacity summary'!J197&lt;&gt;"",IF(LOWER('Capacity summary'!J197)="x",$BI78*J78,VALUE('Capacity summary'!J197)),0),J78*$BI78),J78*$BI78),0)</f>
        <v>0</v>
      </c>
      <c r="BN78" s="311">
        <f>IF($BI78&lt;&gt;"",IF('Capacity summary'!$D$14="Yes",IF(COUNTBLANK('Capacity summary'!$H197:$BG197)&lt;52,IF('Capacity summary'!K197&lt;&gt;"",IF(LOWER('Capacity summary'!K197)="x",$BI78*K78,VALUE('Capacity summary'!K197)),0),K78*$BI78),K78*$BI78),0)</f>
        <v>0</v>
      </c>
      <c r="BO78" s="311">
        <f>IF($BI78&lt;&gt;"",IF('Capacity summary'!$D$14="Yes",IF(COUNTBLANK('Capacity summary'!$H197:$BG197)&lt;52,IF('Capacity summary'!L197&lt;&gt;"",IF(LOWER('Capacity summary'!L197)="x",$BI78*L78,VALUE('Capacity summary'!L197)),0),L78*$BI78),L78*$BI78),0)</f>
        <v>0</v>
      </c>
      <c r="BP78" s="311">
        <f>IF($BI78&lt;&gt;"",IF('Capacity summary'!$D$14="Yes",IF(COUNTBLANK('Capacity summary'!$H197:$BG197)&lt;52,IF('Capacity summary'!M197&lt;&gt;"",IF(LOWER('Capacity summary'!M197)="x",$BI78*M78,VALUE('Capacity summary'!M197)),0),M78*$BI78),M78*$BI78),0)</f>
        <v>0</v>
      </c>
      <c r="BQ78" s="311">
        <f>IF($BI78&lt;&gt;"",IF('Capacity summary'!$D$14="Yes",IF(COUNTBLANK('Capacity summary'!$H197:$BG197)&lt;52,IF('Capacity summary'!N197&lt;&gt;"",IF(LOWER('Capacity summary'!N197)="x",$BI78*N78,VALUE('Capacity summary'!N197)),0),N78*$BI78),N78*$BI78),0)</f>
        <v>0</v>
      </c>
      <c r="BR78" s="311">
        <f>IF($BI78&lt;&gt;"",IF('Capacity summary'!$D$14="Yes",IF(COUNTBLANK('Capacity summary'!$H197:$BG197)&lt;52,IF('Capacity summary'!O197&lt;&gt;"",IF(LOWER('Capacity summary'!O197)="x",$BI78*O78,VALUE('Capacity summary'!O197)),0),O78*$BI78),O78*$BI78),0)</f>
        <v>0</v>
      </c>
      <c r="BS78" s="311">
        <f>IF($BI78&lt;&gt;"",IF('Capacity summary'!$D$14="Yes",IF(COUNTBLANK('Capacity summary'!$H197:$BG197)&lt;52,IF('Capacity summary'!P197&lt;&gt;"",IF(LOWER('Capacity summary'!P197)="x",$BI78*P78,VALUE('Capacity summary'!P197)),0),P78*$BI78),P78*$BI78),0)</f>
        <v>0</v>
      </c>
      <c r="BT78" s="311">
        <f>IF($BI78&lt;&gt;"",IF('Capacity summary'!$D$14="Yes",IF(COUNTBLANK('Capacity summary'!$H197:$BG197)&lt;52,IF('Capacity summary'!Q197&lt;&gt;"",IF(LOWER('Capacity summary'!Q197)="x",$BI78*Q78,VALUE('Capacity summary'!Q197)),0),Q78*$BI78),Q78*$BI78),0)</f>
        <v>0</v>
      </c>
      <c r="BU78" s="311">
        <f>IF($BI78&lt;&gt;"",IF('Capacity summary'!$D$14="Yes",IF(COUNTBLANK('Capacity summary'!$H197:$BG197)&lt;52,IF('Capacity summary'!R197&lt;&gt;"",IF(LOWER('Capacity summary'!R197)="x",$BI78*R78,VALUE('Capacity summary'!R197)),0),R78*$BI78),R78*$BI78),0)</f>
        <v>0</v>
      </c>
      <c r="BV78" s="311">
        <f>IF($BI78&lt;&gt;"",IF('Capacity summary'!$D$14="Yes",IF(COUNTBLANK('Capacity summary'!$H197:$BG197)&lt;52,IF('Capacity summary'!S197&lt;&gt;"",IF(LOWER('Capacity summary'!S197)="x",$BI78*S78,VALUE('Capacity summary'!S197)),0),S78*$BI78),S78*$BI78),0)</f>
        <v>0</v>
      </c>
      <c r="BW78" s="311">
        <f>IF($BI78&lt;&gt;"",IF('Capacity summary'!$D$14="Yes",IF(COUNTBLANK('Capacity summary'!$H197:$BG197)&lt;52,IF('Capacity summary'!T197&lt;&gt;"",IF(LOWER('Capacity summary'!T197)="x",$BI78*T78,VALUE('Capacity summary'!T197)),0),T78*$BI78),T78*$BI78),0)</f>
        <v>0</v>
      </c>
      <c r="BX78" s="311">
        <f>IF($BI78&lt;&gt;"",IF('Capacity summary'!$D$14="Yes",IF(COUNTBLANK('Capacity summary'!$H197:$BG197)&lt;52,IF('Capacity summary'!U197&lt;&gt;"",IF(LOWER('Capacity summary'!U197)="x",$BI78*U78,VALUE('Capacity summary'!U197)),0),U78*$BI78),U78*$BI78),0)</f>
        <v>0</v>
      </c>
      <c r="BY78" s="311">
        <f>IF($BI78&lt;&gt;"",IF('Capacity summary'!$D$14="Yes",IF(COUNTBLANK('Capacity summary'!$H197:$BG197)&lt;52,IF('Capacity summary'!V197&lt;&gt;"",IF(LOWER('Capacity summary'!V197)="x",$BI78*V78,VALUE('Capacity summary'!V197)),0),V78*$BI78),V78*$BI78),0)</f>
        <v>0</v>
      </c>
      <c r="BZ78" s="311">
        <f>IF($BI78&lt;&gt;"",IF('Capacity summary'!$D$14="Yes",IF(COUNTBLANK('Capacity summary'!$H197:$BG197)&lt;52,IF('Capacity summary'!W197&lt;&gt;"",IF(LOWER('Capacity summary'!W197)="x",$BI78*W78,VALUE('Capacity summary'!W197)),0),W78*$BI78),W78*$BI78),0)</f>
        <v>0</v>
      </c>
      <c r="CA78" s="311">
        <f>IF($BI78&lt;&gt;"",IF('Capacity summary'!$D$14="Yes",IF(COUNTBLANK('Capacity summary'!$H197:$BG197)&lt;52,IF('Capacity summary'!X197&lt;&gt;"",IF(LOWER('Capacity summary'!X197)="x",$BI78*X78,VALUE('Capacity summary'!X197)),0),X78*$BI78),X78*$BI78),0)</f>
        <v>0</v>
      </c>
      <c r="CB78" s="311">
        <f>IF($BI78&lt;&gt;"",IF('Capacity summary'!$D$14="Yes",IF(COUNTBLANK('Capacity summary'!$H197:$BG197)&lt;52,IF('Capacity summary'!Y197&lt;&gt;"",IF(LOWER('Capacity summary'!Y197)="x",$BI78*Y78,VALUE('Capacity summary'!Y197)),0),Y78*$BI78),Y78*$BI78),0)</f>
        <v>0</v>
      </c>
      <c r="CC78" s="311">
        <f>IF($BI78&lt;&gt;"",IF('Capacity summary'!$D$14="Yes",IF(COUNTBLANK('Capacity summary'!$H197:$BG197)&lt;52,IF('Capacity summary'!Z197&lt;&gt;"",IF(LOWER('Capacity summary'!Z197)="x",$BI78*Z78,VALUE('Capacity summary'!Z197)),0),Z78*$BI78),Z78*$BI78),0)</f>
        <v>0</v>
      </c>
      <c r="CD78" s="311">
        <f>IF($BI78&lt;&gt;"",IF('Capacity summary'!$D$14="Yes",IF(COUNTBLANK('Capacity summary'!$H197:$BG197)&lt;52,IF('Capacity summary'!AA197&lt;&gt;"",IF(LOWER('Capacity summary'!AA197)="x",$BI78*AA78,VALUE('Capacity summary'!AA197)),0),AA78*$BI78),AA78*$BI78),0)</f>
        <v>0</v>
      </c>
      <c r="CE78" s="311">
        <f>IF($BI78&lt;&gt;"",IF('Capacity summary'!$D$14="Yes",IF(COUNTBLANK('Capacity summary'!$H197:$BG197)&lt;52,IF('Capacity summary'!AB197&lt;&gt;"",IF(LOWER('Capacity summary'!AB197)="x",$BI78*AB78,VALUE('Capacity summary'!AB197)),0),AB78*$BI78),AB78*$BI78),0)</f>
        <v>0</v>
      </c>
      <c r="CF78" s="311">
        <f>IF($BI78&lt;&gt;"",IF('Capacity summary'!$D$14="Yes",IF(COUNTBLANK('Capacity summary'!$H197:$BG197)&lt;52,IF('Capacity summary'!AC197&lt;&gt;"",IF(LOWER('Capacity summary'!AC197)="x",$BI78*AC78,VALUE('Capacity summary'!AC197)),0),AC78*$BI78),AC78*$BI78),0)</f>
        <v>0</v>
      </c>
      <c r="CG78" s="311">
        <f>IF($BI78&lt;&gt;"",IF('Capacity summary'!$D$14="Yes",IF(COUNTBLANK('Capacity summary'!$H197:$BG197)&lt;52,IF('Capacity summary'!AD197&lt;&gt;"",IF(LOWER('Capacity summary'!AD197)="x",$BI78*AD78,VALUE('Capacity summary'!AD197)),0),AD78*$BI78),AD78*$BI78),0)</f>
        <v>0</v>
      </c>
      <c r="CH78" s="311">
        <f>IF($BI78&lt;&gt;"",IF('Capacity summary'!$D$14="Yes",IF(COUNTBLANK('Capacity summary'!$H197:$BG197)&lt;52,IF('Capacity summary'!AE197&lt;&gt;"",IF(LOWER('Capacity summary'!AE197)="x",$BI78*AE78,VALUE('Capacity summary'!AE197)),0),AE78*$BI78),AE78*$BI78),0)</f>
        <v>0</v>
      </c>
      <c r="CI78" s="311">
        <f>IF($BI78&lt;&gt;"",IF('Capacity summary'!$D$14="Yes",IF(COUNTBLANK('Capacity summary'!$H197:$BG197)&lt;52,IF('Capacity summary'!AF197&lt;&gt;"",IF(LOWER('Capacity summary'!AF197)="x",$BI78*AF78,VALUE('Capacity summary'!AF197)),0),AF78*$BI78),AF78*$BI78),0)</f>
        <v>0</v>
      </c>
      <c r="CJ78" s="311">
        <f>IF($BI78&lt;&gt;"",IF('Capacity summary'!$D$14="Yes",IF(COUNTBLANK('Capacity summary'!$H197:$BG197)&lt;52,IF('Capacity summary'!AG197&lt;&gt;"",IF(LOWER('Capacity summary'!AG197)="x",$BI78*AG78,VALUE('Capacity summary'!AG197)),0),AG78*$BI78),AG78*$BI78),0)</f>
        <v>0</v>
      </c>
      <c r="CK78" s="311">
        <f>IF($BI78&lt;&gt;"",IF('Capacity summary'!$D$14="Yes",IF(COUNTBLANK('Capacity summary'!$H197:$BG197)&lt;52,IF('Capacity summary'!AH197&lt;&gt;"",IF(LOWER('Capacity summary'!AH197)="x",$BI78*AH78,VALUE('Capacity summary'!AH197)),0),AH78*$BI78),AH78*$BI78),0)</f>
        <v>0</v>
      </c>
      <c r="CL78" s="311">
        <f>IF($BI78&lt;&gt;"",IF('Capacity summary'!$D$14="Yes",IF(COUNTBLANK('Capacity summary'!$H197:$BG197)&lt;52,IF('Capacity summary'!AI197&lt;&gt;"",IF(LOWER('Capacity summary'!AI197)="x",$BI78*AI78,VALUE('Capacity summary'!AI197)),0),AI78*$BI78),AI78*$BI78),0)</f>
        <v>0</v>
      </c>
      <c r="CM78" s="311">
        <f>IF($BI78&lt;&gt;"",IF('Capacity summary'!$D$14="Yes",IF(COUNTBLANK('Capacity summary'!$H197:$BG197)&lt;52,IF('Capacity summary'!AJ197&lt;&gt;"",IF(LOWER('Capacity summary'!AJ197)="x",$BI78*AJ78,VALUE('Capacity summary'!AJ197)),0),AJ78*$BI78),AJ78*$BI78),0)</f>
        <v>0</v>
      </c>
      <c r="CN78" s="311">
        <f>IF($BI78&lt;&gt;"",IF('Capacity summary'!$D$14="Yes",IF(COUNTBLANK('Capacity summary'!$H197:$BG197)&lt;52,IF('Capacity summary'!AK197&lt;&gt;"",IF(LOWER('Capacity summary'!AK197)="x",$BI78*AK78,VALUE('Capacity summary'!AK197)),0),AK78*$BI78),AK78*$BI78),0)</f>
        <v>0</v>
      </c>
      <c r="CO78" s="311">
        <f>IF($BI78&lt;&gt;"",IF('Capacity summary'!$D$14="Yes",IF(COUNTBLANK('Capacity summary'!$H197:$BG197)&lt;52,IF('Capacity summary'!AL197&lt;&gt;"",IF(LOWER('Capacity summary'!AL197)="x",$BI78*AL78,VALUE('Capacity summary'!AL197)),0),AL78*$BI78),AL78*$BI78),0)</f>
        <v>0</v>
      </c>
      <c r="CP78" s="311">
        <f>IF($BI78&lt;&gt;"",IF('Capacity summary'!$D$14="Yes",IF(COUNTBLANK('Capacity summary'!$H197:$BG197)&lt;52,IF('Capacity summary'!AM197&lt;&gt;"",IF(LOWER('Capacity summary'!AM197)="x",$BI78*AM78,VALUE('Capacity summary'!AM197)),0),AM78*$BI78),AM78*$BI78),0)</f>
        <v>0</v>
      </c>
      <c r="CQ78" s="311">
        <f>IF($BI78&lt;&gt;"",IF('Capacity summary'!$D$14="Yes",IF(COUNTBLANK('Capacity summary'!$H197:$BG197)&lt;52,IF('Capacity summary'!AN197&lt;&gt;"",IF(LOWER('Capacity summary'!AN197)="x",$BI78*AN78,VALUE('Capacity summary'!AN197)),0),AN78*$BI78),AN78*$BI78),0)</f>
        <v>0</v>
      </c>
      <c r="CR78" s="311">
        <f>IF($BI78&lt;&gt;"",IF('Capacity summary'!$D$14="Yes",IF(COUNTBLANK('Capacity summary'!$H197:$BG197)&lt;52,IF('Capacity summary'!AO197&lt;&gt;"",IF(LOWER('Capacity summary'!AO197)="x",$BI78*AO78,VALUE('Capacity summary'!AO197)),0),AO78*$BI78),AO78*$BI78),0)</f>
        <v>0</v>
      </c>
      <c r="CS78" s="311">
        <f>IF($BI78&lt;&gt;"",IF('Capacity summary'!$D$14="Yes",IF(COUNTBLANK('Capacity summary'!$H197:$BG197)&lt;52,IF('Capacity summary'!AP197&lt;&gt;"",IF(LOWER('Capacity summary'!AP197)="x",$BI78*AP78,VALUE('Capacity summary'!AP197)),0),AP78*$BI78),AP78*$BI78),0)</f>
        <v>0</v>
      </c>
      <c r="CT78" s="311">
        <f>IF($BI78&lt;&gt;"",IF('Capacity summary'!$D$14="Yes",IF(COUNTBLANK('Capacity summary'!$H197:$BG197)&lt;52,IF('Capacity summary'!AQ197&lt;&gt;"",IF(LOWER('Capacity summary'!AQ197)="x",$BI78*AQ78,VALUE('Capacity summary'!AQ197)),0),AQ78*$BI78),AQ78*$BI78),0)</f>
        <v>0</v>
      </c>
      <c r="CU78" s="311">
        <f>IF($BI78&lt;&gt;"",IF('Capacity summary'!$D$14="Yes",IF(COUNTBLANK('Capacity summary'!$H197:$BG197)&lt;52,IF('Capacity summary'!AR197&lt;&gt;"",IF(LOWER('Capacity summary'!AR197)="x",$BI78*AR78,VALUE('Capacity summary'!AR197)),0),AR78*$BI78),AR78*$BI78),0)</f>
        <v>0</v>
      </c>
      <c r="CV78" s="311">
        <f>IF($BI78&lt;&gt;"",IF('Capacity summary'!$D$14="Yes",IF(COUNTBLANK('Capacity summary'!$H197:$BG197)&lt;52,IF('Capacity summary'!AS197&lt;&gt;"",IF(LOWER('Capacity summary'!AS197)="x",$BI78*AS78,VALUE('Capacity summary'!AS197)),0),AS78*$BI78),AS78*$BI78),0)</f>
        <v>0</v>
      </c>
      <c r="CW78" s="311">
        <f>IF($BI78&lt;&gt;"",IF('Capacity summary'!$D$14="Yes",IF(COUNTBLANK('Capacity summary'!$H197:$BG197)&lt;52,IF('Capacity summary'!AT197&lt;&gt;"",IF(LOWER('Capacity summary'!AT197)="x",$BI78*AT78,VALUE('Capacity summary'!AT197)),0),AT78*$BI78),AT78*$BI78),0)</f>
        <v>0</v>
      </c>
      <c r="CX78" s="311">
        <f>IF($BI78&lt;&gt;"",IF('Capacity summary'!$D$14="Yes",IF(COUNTBLANK('Capacity summary'!$H197:$BG197)&lt;52,IF('Capacity summary'!AU197&lt;&gt;"",IF(LOWER('Capacity summary'!AU197)="x",$BI78*AU78,VALUE('Capacity summary'!AU197)),0),AU78*$BI78),AU78*$BI78),0)</f>
        <v>0</v>
      </c>
      <c r="CY78" s="311">
        <f>IF($BI78&lt;&gt;"",IF('Capacity summary'!$D$14="Yes",IF(COUNTBLANK('Capacity summary'!$H197:$BG197)&lt;52,IF('Capacity summary'!AV197&lt;&gt;"",IF(LOWER('Capacity summary'!AV197)="x",$BI78*AV78,VALUE('Capacity summary'!AV197)),0),AV78*$BI78),AV78*$BI78),0)</f>
        <v>0</v>
      </c>
      <c r="CZ78" s="311">
        <f>IF($BI78&lt;&gt;"",IF('Capacity summary'!$D$14="Yes",IF(COUNTBLANK('Capacity summary'!$H197:$BG197)&lt;52,IF('Capacity summary'!AW197&lt;&gt;"",IF(LOWER('Capacity summary'!AW197)="x",$BI78*AW78,VALUE('Capacity summary'!AW197)),0),AW78*$BI78),AW78*$BI78),0)</f>
        <v>0</v>
      </c>
      <c r="DA78" s="311">
        <f>IF($BI78&lt;&gt;"",IF('Capacity summary'!$D$14="Yes",IF(COUNTBLANK('Capacity summary'!$H197:$BG197)&lt;52,IF('Capacity summary'!AX197&lt;&gt;"",IF(LOWER('Capacity summary'!AX197)="x",$BI78*AX78,VALUE('Capacity summary'!AX197)),0),AX78*$BI78),AX78*$BI78),0)</f>
        <v>0</v>
      </c>
      <c r="DB78" s="311">
        <f>IF($BI78&lt;&gt;"",IF('Capacity summary'!$D$14="Yes",IF(COUNTBLANK('Capacity summary'!$H197:$BG197)&lt;52,IF('Capacity summary'!AY197&lt;&gt;"",IF(LOWER('Capacity summary'!AY197)="x",$BI78*AY78,VALUE('Capacity summary'!AY197)),0),AY78*$BI78),AY78*$BI78),0)</f>
        <v>0</v>
      </c>
      <c r="DC78" s="311">
        <f>IF($BI78&lt;&gt;"",IF('Capacity summary'!$D$14="Yes",IF(COUNTBLANK('Capacity summary'!$H197:$BG197)&lt;52,IF('Capacity summary'!AZ197&lt;&gt;"",IF(LOWER('Capacity summary'!AZ197)="x",$BI78*AZ78,VALUE('Capacity summary'!AZ197)),0),AZ78*$BI78),AZ78*$BI78),0)</f>
        <v>0</v>
      </c>
      <c r="DD78" s="311">
        <f>IF($BI78&lt;&gt;"",IF('Capacity summary'!$D$14="Yes",IF(COUNTBLANK('Capacity summary'!$H197:$BG197)&lt;52,IF('Capacity summary'!BA197&lt;&gt;"",IF(LOWER('Capacity summary'!BA197)="x",$BI78*BA78,VALUE('Capacity summary'!BA197)),0),BA78*$BI78),BA78*$BI78),0)</f>
        <v>0</v>
      </c>
      <c r="DE78" s="311">
        <f>IF($BI78&lt;&gt;"",IF('Capacity summary'!$D$14="Yes",IF(COUNTBLANK('Capacity summary'!$H197:$BG197)&lt;52,IF('Capacity summary'!BB197&lt;&gt;"",IF(LOWER('Capacity summary'!BB197)="x",$BI78*BB78,VALUE('Capacity summary'!BB197)),0),BB78*$BI78),BB78*$BI78),0)</f>
        <v>0</v>
      </c>
      <c r="DF78" s="311">
        <f>IF($BI78&lt;&gt;"",IF('Capacity summary'!$D$14="Yes",IF(COUNTBLANK('Capacity summary'!$H197:$BG197)&lt;52,IF('Capacity summary'!BC197&lt;&gt;"",IF(LOWER('Capacity summary'!BC197)="x",$BI78*BC78,VALUE('Capacity summary'!BC197)),0),BC78*$BI78),BC78*$BI78),0)</f>
        <v>0</v>
      </c>
      <c r="DG78" s="311">
        <f>IF($BI78&lt;&gt;"",IF('Capacity summary'!$D$14="Yes",IF(COUNTBLANK('Capacity summary'!$H197:$BG197)&lt;52,IF('Capacity summary'!BD197&lt;&gt;"",IF(LOWER('Capacity summary'!BD197)="x",$BI78*BD78,VALUE('Capacity summary'!BD197)),0),BD78*$BI78),BD78*$BI78),0)</f>
        <v>0</v>
      </c>
      <c r="DH78" s="311">
        <f>IF($BI78&lt;&gt;"",IF('Capacity summary'!$D$14="Yes",IF(COUNTBLANK('Capacity summary'!$H197:$BG197)&lt;52,IF('Capacity summary'!BE197&lt;&gt;"",IF(LOWER('Capacity summary'!BE197)="x",$BI78*BE78,VALUE('Capacity summary'!BE197)),0),BE78*$BI78),BE78*$BI78),0)</f>
        <v>0</v>
      </c>
      <c r="DI78" s="311">
        <f>IF($BI78&lt;&gt;"",IF('Capacity summary'!$D$14="Yes",IF(COUNTBLANK('Capacity summary'!$H197:$BG197)&lt;52,IF('Capacity summary'!BF197&lt;&gt;"",IF(LOWER('Capacity summary'!BF197)="x",$BI78*BF78,VALUE('Capacity summary'!BF197)),0),BF78*$BI78),BF78*$BI78),0)</f>
        <v>0</v>
      </c>
      <c r="DJ78" s="311">
        <f>IF($BI78&lt;&gt;"",IF('Capacity summary'!$D$14="Yes",IF(COUNTBLANK('Capacity summary'!$H197:$BG197)&lt;52,IF('Capacity summary'!BG197&lt;&gt;"",IF(LOWER('Capacity summary'!BG197)="x",$BI78*BG78,VALUE('Capacity summary'!BG197)),0),BG78*$BI78),BG78*$BI78),0)</f>
        <v>0</v>
      </c>
      <c r="DK78" s="391">
        <f t="shared" si="4"/>
        <v>0</v>
      </c>
      <c r="DL78" s="136">
        <f t="shared" si="5"/>
        <v>0</v>
      </c>
      <c r="DM78" s="311" t="str">
        <f>Capacity!H90</f>
        <v/>
      </c>
    </row>
    <row r="79" spans="1:117" x14ac:dyDescent="0.2">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1">
        <f>IF($BI79&lt;&gt;"",IF('Capacity summary'!$D$14="Yes",IF(COUNTBLANK('Capacity summary'!$H198:$BG198)&lt;52,IF('Capacity summary'!H198&lt;&gt;"",IF(LOWER('Capacity summary'!H198)="x",$BI79*H79,VALUE('Capacity summary'!H198)),0),H79*$BI79),H79*$BI79),0)</f>
        <v>0</v>
      </c>
      <c r="BL79" s="311">
        <f>IF($BI79&lt;&gt;"",IF('Capacity summary'!$D$14="Yes",IF(COUNTBLANK('Capacity summary'!$H198:$BG198)&lt;52,IF('Capacity summary'!I198&lt;&gt;"",IF(LOWER('Capacity summary'!I198)="x",$BI79*I79,VALUE('Capacity summary'!I198)),0),I79*$BI79),I79*$BI79),0)</f>
        <v>0</v>
      </c>
      <c r="BM79" s="311">
        <f>IF($BI79&lt;&gt;"",IF('Capacity summary'!$D$14="Yes",IF(COUNTBLANK('Capacity summary'!$H198:$BG198)&lt;52,IF('Capacity summary'!J198&lt;&gt;"",IF(LOWER('Capacity summary'!J198)="x",$BI79*J79,VALUE('Capacity summary'!J198)),0),J79*$BI79),J79*$BI79),0)</f>
        <v>0</v>
      </c>
      <c r="BN79" s="311">
        <f>IF($BI79&lt;&gt;"",IF('Capacity summary'!$D$14="Yes",IF(COUNTBLANK('Capacity summary'!$H198:$BG198)&lt;52,IF('Capacity summary'!K198&lt;&gt;"",IF(LOWER('Capacity summary'!K198)="x",$BI79*K79,VALUE('Capacity summary'!K198)),0),K79*$BI79),K79*$BI79),0)</f>
        <v>0</v>
      </c>
      <c r="BO79" s="311">
        <f>IF($BI79&lt;&gt;"",IF('Capacity summary'!$D$14="Yes",IF(COUNTBLANK('Capacity summary'!$H198:$BG198)&lt;52,IF('Capacity summary'!L198&lt;&gt;"",IF(LOWER('Capacity summary'!L198)="x",$BI79*L79,VALUE('Capacity summary'!L198)),0),L79*$BI79),L79*$BI79),0)</f>
        <v>0</v>
      </c>
      <c r="BP79" s="311">
        <f>IF($BI79&lt;&gt;"",IF('Capacity summary'!$D$14="Yes",IF(COUNTBLANK('Capacity summary'!$H198:$BG198)&lt;52,IF('Capacity summary'!M198&lt;&gt;"",IF(LOWER('Capacity summary'!M198)="x",$BI79*M79,VALUE('Capacity summary'!M198)),0),M79*$BI79),M79*$BI79),0)</f>
        <v>0</v>
      </c>
      <c r="BQ79" s="311">
        <f>IF($BI79&lt;&gt;"",IF('Capacity summary'!$D$14="Yes",IF(COUNTBLANK('Capacity summary'!$H198:$BG198)&lt;52,IF('Capacity summary'!N198&lt;&gt;"",IF(LOWER('Capacity summary'!N198)="x",$BI79*N79,VALUE('Capacity summary'!N198)),0),N79*$BI79),N79*$BI79),0)</f>
        <v>0</v>
      </c>
      <c r="BR79" s="311">
        <f>IF($BI79&lt;&gt;"",IF('Capacity summary'!$D$14="Yes",IF(COUNTBLANK('Capacity summary'!$H198:$BG198)&lt;52,IF('Capacity summary'!O198&lt;&gt;"",IF(LOWER('Capacity summary'!O198)="x",$BI79*O79,VALUE('Capacity summary'!O198)),0),O79*$BI79),O79*$BI79),0)</f>
        <v>0</v>
      </c>
      <c r="BS79" s="311">
        <f>IF($BI79&lt;&gt;"",IF('Capacity summary'!$D$14="Yes",IF(COUNTBLANK('Capacity summary'!$H198:$BG198)&lt;52,IF('Capacity summary'!P198&lt;&gt;"",IF(LOWER('Capacity summary'!P198)="x",$BI79*P79,VALUE('Capacity summary'!P198)),0),P79*$BI79),P79*$BI79),0)</f>
        <v>0</v>
      </c>
      <c r="BT79" s="311">
        <f>IF($BI79&lt;&gt;"",IF('Capacity summary'!$D$14="Yes",IF(COUNTBLANK('Capacity summary'!$H198:$BG198)&lt;52,IF('Capacity summary'!Q198&lt;&gt;"",IF(LOWER('Capacity summary'!Q198)="x",$BI79*Q79,VALUE('Capacity summary'!Q198)),0),Q79*$BI79),Q79*$BI79),0)</f>
        <v>0</v>
      </c>
      <c r="BU79" s="311">
        <f>IF($BI79&lt;&gt;"",IF('Capacity summary'!$D$14="Yes",IF(COUNTBLANK('Capacity summary'!$H198:$BG198)&lt;52,IF('Capacity summary'!R198&lt;&gt;"",IF(LOWER('Capacity summary'!R198)="x",$BI79*R79,VALUE('Capacity summary'!R198)),0),R79*$BI79),R79*$BI79),0)</f>
        <v>0</v>
      </c>
      <c r="BV79" s="311">
        <f>IF($BI79&lt;&gt;"",IF('Capacity summary'!$D$14="Yes",IF(COUNTBLANK('Capacity summary'!$H198:$BG198)&lt;52,IF('Capacity summary'!S198&lt;&gt;"",IF(LOWER('Capacity summary'!S198)="x",$BI79*S79,VALUE('Capacity summary'!S198)),0),S79*$BI79),S79*$BI79),0)</f>
        <v>0</v>
      </c>
      <c r="BW79" s="311">
        <f>IF($BI79&lt;&gt;"",IF('Capacity summary'!$D$14="Yes",IF(COUNTBLANK('Capacity summary'!$H198:$BG198)&lt;52,IF('Capacity summary'!T198&lt;&gt;"",IF(LOWER('Capacity summary'!T198)="x",$BI79*T79,VALUE('Capacity summary'!T198)),0),T79*$BI79),T79*$BI79),0)</f>
        <v>0</v>
      </c>
      <c r="BX79" s="311">
        <f>IF($BI79&lt;&gt;"",IF('Capacity summary'!$D$14="Yes",IF(COUNTBLANK('Capacity summary'!$H198:$BG198)&lt;52,IF('Capacity summary'!U198&lt;&gt;"",IF(LOWER('Capacity summary'!U198)="x",$BI79*U79,VALUE('Capacity summary'!U198)),0),U79*$BI79),U79*$BI79),0)</f>
        <v>0</v>
      </c>
      <c r="BY79" s="311">
        <f>IF($BI79&lt;&gt;"",IF('Capacity summary'!$D$14="Yes",IF(COUNTBLANK('Capacity summary'!$H198:$BG198)&lt;52,IF('Capacity summary'!V198&lt;&gt;"",IF(LOWER('Capacity summary'!V198)="x",$BI79*V79,VALUE('Capacity summary'!V198)),0),V79*$BI79),V79*$BI79),0)</f>
        <v>0</v>
      </c>
      <c r="BZ79" s="311">
        <f>IF($BI79&lt;&gt;"",IF('Capacity summary'!$D$14="Yes",IF(COUNTBLANK('Capacity summary'!$H198:$BG198)&lt;52,IF('Capacity summary'!W198&lt;&gt;"",IF(LOWER('Capacity summary'!W198)="x",$BI79*W79,VALUE('Capacity summary'!W198)),0),W79*$BI79),W79*$BI79),0)</f>
        <v>0</v>
      </c>
      <c r="CA79" s="311">
        <f>IF($BI79&lt;&gt;"",IF('Capacity summary'!$D$14="Yes",IF(COUNTBLANK('Capacity summary'!$H198:$BG198)&lt;52,IF('Capacity summary'!X198&lt;&gt;"",IF(LOWER('Capacity summary'!X198)="x",$BI79*X79,VALUE('Capacity summary'!X198)),0),X79*$BI79),X79*$BI79),0)</f>
        <v>0</v>
      </c>
      <c r="CB79" s="311">
        <f>IF($BI79&lt;&gt;"",IF('Capacity summary'!$D$14="Yes",IF(COUNTBLANK('Capacity summary'!$H198:$BG198)&lt;52,IF('Capacity summary'!Y198&lt;&gt;"",IF(LOWER('Capacity summary'!Y198)="x",$BI79*Y79,VALUE('Capacity summary'!Y198)),0),Y79*$BI79),Y79*$BI79),0)</f>
        <v>0</v>
      </c>
      <c r="CC79" s="311">
        <f>IF($BI79&lt;&gt;"",IF('Capacity summary'!$D$14="Yes",IF(COUNTBLANK('Capacity summary'!$H198:$BG198)&lt;52,IF('Capacity summary'!Z198&lt;&gt;"",IF(LOWER('Capacity summary'!Z198)="x",$BI79*Z79,VALUE('Capacity summary'!Z198)),0),Z79*$BI79),Z79*$BI79),0)</f>
        <v>0</v>
      </c>
      <c r="CD79" s="311">
        <f>IF($BI79&lt;&gt;"",IF('Capacity summary'!$D$14="Yes",IF(COUNTBLANK('Capacity summary'!$H198:$BG198)&lt;52,IF('Capacity summary'!AA198&lt;&gt;"",IF(LOWER('Capacity summary'!AA198)="x",$BI79*AA79,VALUE('Capacity summary'!AA198)),0),AA79*$BI79),AA79*$BI79),0)</f>
        <v>0</v>
      </c>
      <c r="CE79" s="311">
        <f>IF($BI79&lt;&gt;"",IF('Capacity summary'!$D$14="Yes",IF(COUNTBLANK('Capacity summary'!$H198:$BG198)&lt;52,IF('Capacity summary'!AB198&lt;&gt;"",IF(LOWER('Capacity summary'!AB198)="x",$BI79*AB79,VALUE('Capacity summary'!AB198)),0),AB79*$BI79),AB79*$BI79),0)</f>
        <v>0</v>
      </c>
      <c r="CF79" s="311">
        <f>IF($BI79&lt;&gt;"",IF('Capacity summary'!$D$14="Yes",IF(COUNTBLANK('Capacity summary'!$H198:$BG198)&lt;52,IF('Capacity summary'!AC198&lt;&gt;"",IF(LOWER('Capacity summary'!AC198)="x",$BI79*AC79,VALUE('Capacity summary'!AC198)),0),AC79*$BI79),AC79*$BI79),0)</f>
        <v>0</v>
      </c>
      <c r="CG79" s="311">
        <f>IF($BI79&lt;&gt;"",IF('Capacity summary'!$D$14="Yes",IF(COUNTBLANK('Capacity summary'!$H198:$BG198)&lt;52,IF('Capacity summary'!AD198&lt;&gt;"",IF(LOWER('Capacity summary'!AD198)="x",$BI79*AD79,VALUE('Capacity summary'!AD198)),0),AD79*$BI79),AD79*$BI79),0)</f>
        <v>0</v>
      </c>
      <c r="CH79" s="311">
        <f>IF($BI79&lt;&gt;"",IF('Capacity summary'!$D$14="Yes",IF(COUNTBLANK('Capacity summary'!$H198:$BG198)&lt;52,IF('Capacity summary'!AE198&lt;&gt;"",IF(LOWER('Capacity summary'!AE198)="x",$BI79*AE79,VALUE('Capacity summary'!AE198)),0),AE79*$BI79),AE79*$BI79),0)</f>
        <v>0</v>
      </c>
      <c r="CI79" s="311">
        <f>IF($BI79&lt;&gt;"",IF('Capacity summary'!$D$14="Yes",IF(COUNTBLANK('Capacity summary'!$H198:$BG198)&lt;52,IF('Capacity summary'!AF198&lt;&gt;"",IF(LOWER('Capacity summary'!AF198)="x",$BI79*AF79,VALUE('Capacity summary'!AF198)),0),AF79*$BI79),AF79*$BI79),0)</f>
        <v>0</v>
      </c>
      <c r="CJ79" s="311">
        <f>IF($BI79&lt;&gt;"",IF('Capacity summary'!$D$14="Yes",IF(COUNTBLANK('Capacity summary'!$H198:$BG198)&lt;52,IF('Capacity summary'!AG198&lt;&gt;"",IF(LOWER('Capacity summary'!AG198)="x",$BI79*AG79,VALUE('Capacity summary'!AG198)),0),AG79*$BI79),AG79*$BI79),0)</f>
        <v>0</v>
      </c>
      <c r="CK79" s="311">
        <f>IF($BI79&lt;&gt;"",IF('Capacity summary'!$D$14="Yes",IF(COUNTBLANK('Capacity summary'!$H198:$BG198)&lt;52,IF('Capacity summary'!AH198&lt;&gt;"",IF(LOWER('Capacity summary'!AH198)="x",$BI79*AH79,VALUE('Capacity summary'!AH198)),0),AH79*$BI79),AH79*$BI79),0)</f>
        <v>0</v>
      </c>
      <c r="CL79" s="311">
        <f>IF($BI79&lt;&gt;"",IF('Capacity summary'!$D$14="Yes",IF(COUNTBLANK('Capacity summary'!$H198:$BG198)&lt;52,IF('Capacity summary'!AI198&lt;&gt;"",IF(LOWER('Capacity summary'!AI198)="x",$BI79*AI79,VALUE('Capacity summary'!AI198)),0),AI79*$BI79),AI79*$BI79),0)</f>
        <v>0</v>
      </c>
      <c r="CM79" s="311">
        <f>IF($BI79&lt;&gt;"",IF('Capacity summary'!$D$14="Yes",IF(COUNTBLANK('Capacity summary'!$H198:$BG198)&lt;52,IF('Capacity summary'!AJ198&lt;&gt;"",IF(LOWER('Capacity summary'!AJ198)="x",$BI79*AJ79,VALUE('Capacity summary'!AJ198)),0),AJ79*$BI79),AJ79*$BI79),0)</f>
        <v>0</v>
      </c>
      <c r="CN79" s="311">
        <f>IF($BI79&lt;&gt;"",IF('Capacity summary'!$D$14="Yes",IF(COUNTBLANK('Capacity summary'!$H198:$BG198)&lt;52,IF('Capacity summary'!AK198&lt;&gt;"",IF(LOWER('Capacity summary'!AK198)="x",$BI79*AK79,VALUE('Capacity summary'!AK198)),0),AK79*$BI79),AK79*$BI79),0)</f>
        <v>0</v>
      </c>
      <c r="CO79" s="311">
        <f>IF($BI79&lt;&gt;"",IF('Capacity summary'!$D$14="Yes",IF(COUNTBLANK('Capacity summary'!$H198:$BG198)&lt;52,IF('Capacity summary'!AL198&lt;&gt;"",IF(LOWER('Capacity summary'!AL198)="x",$BI79*AL79,VALUE('Capacity summary'!AL198)),0),AL79*$BI79),AL79*$BI79),0)</f>
        <v>0</v>
      </c>
      <c r="CP79" s="311">
        <f>IF($BI79&lt;&gt;"",IF('Capacity summary'!$D$14="Yes",IF(COUNTBLANK('Capacity summary'!$H198:$BG198)&lt;52,IF('Capacity summary'!AM198&lt;&gt;"",IF(LOWER('Capacity summary'!AM198)="x",$BI79*AM79,VALUE('Capacity summary'!AM198)),0),AM79*$BI79),AM79*$BI79),0)</f>
        <v>0</v>
      </c>
      <c r="CQ79" s="311">
        <f>IF($BI79&lt;&gt;"",IF('Capacity summary'!$D$14="Yes",IF(COUNTBLANK('Capacity summary'!$H198:$BG198)&lt;52,IF('Capacity summary'!AN198&lt;&gt;"",IF(LOWER('Capacity summary'!AN198)="x",$BI79*AN79,VALUE('Capacity summary'!AN198)),0),AN79*$BI79),AN79*$BI79),0)</f>
        <v>0</v>
      </c>
      <c r="CR79" s="311">
        <f>IF($BI79&lt;&gt;"",IF('Capacity summary'!$D$14="Yes",IF(COUNTBLANK('Capacity summary'!$H198:$BG198)&lt;52,IF('Capacity summary'!AO198&lt;&gt;"",IF(LOWER('Capacity summary'!AO198)="x",$BI79*AO79,VALUE('Capacity summary'!AO198)),0),AO79*$BI79),AO79*$BI79),0)</f>
        <v>0</v>
      </c>
      <c r="CS79" s="311">
        <f>IF($BI79&lt;&gt;"",IF('Capacity summary'!$D$14="Yes",IF(COUNTBLANK('Capacity summary'!$H198:$BG198)&lt;52,IF('Capacity summary'!AP198&lt;&gt;"",IF(LOWER('Capacity summary'!AP198)="x",$BI79*AP79,VALUE('Capacity summary'!AP198)),0),AP79*$BI79),AP79*$BI79),0)</f>
        <v>0</v>
      </c>
      <c r="CT79" s="311">
        <f>IF($BI79&lt;&gt;"",IF('Capacity summary'!$D$14="Yes",IF(COUNTBLANK('Capacity summary'!$H198:$BG198)&lt;52,IF('Capacity summary'!AQ198&lt;&gt;"",IF(LOWER('Capacity summary'!AQ198)="x",$BI79*AQ79,VALUE('Capacity summary'!AQ198)),0),AQ79*$BI79),AQ79*$BI79),0)</f>
        <v>0</v>
      </c>
      <c r="CU79" s="311">
        <f>IF($BI79&lt;&gt;"",IF('Capacity summary'!$D$14="Yes",IF(COUNTBLANK('Capacity summary'!$H198:$BG198)&lt;52,IF('Capacity summary'!AR198&lt;&gt;"",IF(LOWER('Capacity summary'!AR198)="x",$BI79*AR79,VALUE('Capacity summary'!AR198)),0),AR79*$BI79),AR79*$BI79),0)</f>
        <v>0</v>
      </c>
      <c r="CV79" s="311">
        <f>IF($BI79&lt;&gt;"",IF('Capacity summary'!$D$14="Yes",IF(COUNTBLANK('Capacity summary'!$H198:$BG198)&lt;52,IF('Capacity summary'!AS198&lt;&gt;"",IF(LOWER('Capacity summary'!AS198)="x",$BI79*AS79,VALUE('Capacity summary'!AS198)),0),AS79*$BI79),AS79*$BI79),0)</f>
        <v>0</v>
      </c>
      <c r="CW79" s="311">
        <f>IF($BI79&lt;&gt;"",IF('Capacity summary'!$D$14="Yes",IF(COUNTBLANK('Capacity summary'!$H198:$BG198)&lt;52,IF('Capacity summary'!AT198&lt;&gt;"",IF(LOWER('Capacity summary'!AT198)="x",$BI79*AT79,VALUE('Capacity summary'!AT198)),0),AT79*$BI79),AT79*$BI79),0)</f>
        <v>0</v>
      </c>
      <c r="CX79" s="311">
        <f>IF($BI79&lt;&gt;"",IF('Capacity summary'!$D$14="Yes",IF(COUNTBLANK('Capacity summary'!$H198:$BG198)&lt;52,IF('Capacity summary'!AU198&lt;&gt;"",IF(LOWER('Capacity summary'!AU198)="x",$BI79*AU79,VALUE('Capacity summary'!AU198)),0),AU79*$BI79),AU79*$BI79),0)</f>
        <v>0</v>
      </c>
      <c r="CY79" s="311">
        <f>IF($BI79&lt;&gt;"",IF('Capacity summary'!$D$14="Yes",IF(COUNTBLANK('Capacity summary'!$H198:$BG198)&lt;52,IF('Capacity summary'!AV198&lt;&gt;"",IF(LOWER('Capacity summary'!AV198)="x",$BI79*AV79,VALUE('Capacity summary'!AV198)),0),AV79*$BI79),AV79*$BI79),0)</f>
        <v>0</v>
      </c>
      <c r="CZ79" s="311">
        <f>IF($BI79&lt;&gt;"",IF('Capacity summary'!$D$14="Yes",IF(COUNTBLANK('Capacity summary'!$H198:$BG198)&lt;52,IF('Capacity summary'!AW198&lt;&gt;"",IF(LOWER('Capacity summary'!AW198)="x",$BI79*AW79,VALUE('Capacity summary'!AW198)),0),AW79*$BI79),AW79*$BI79),0)</f>
        <v>0</v>
      </c>
      <c r="DA79" s="311">
        <f>IF($BI79&lt;&gt;"",IF('Capacity summary'!$D$14="Yes",IF(COUNTBLANK('Capacity summary'!$H198:$BG198)&lt;52,IF('Capacity summary'!AX198&lt;&gt;"",IF(LOWER('Capacity summary'!AX198)="x",$BI79*AX79,VALUE('Capacity summary'!AX198)),0),AX79*$BI79),AX79*$BI79),0)</f>
        <v>0</v>
      </c>
      <c r="DB79" s="311">
        <f>IF($BI79&lt;&gt;"",IF('Capacity summary'!$D$14="Yes",IF(COUNTBLANK('Capacity summary'!$H198:$BG198)&lt;52,IF('Capacity summary'!AY198&lt;&gt;"",IF(LOWER('Capacity summary'!AY198)="x",$BI79*AY79,VALUE('Capacity summary'!AY198)),0),AY79*$BI79),AY79*$BI79),0)</f>
        <v>0</v>
      </c>
      <c r="DC79" s="311">
        <f>IF($BI79&lt;&gt;"",IF('Capacity summary'!$D$14="Yes",IF(COUNTBLANK('Capacity summary'!$H198:$BG198)&lt;52,IF('Capacity summary'!AZ198&lt;&gt;"",IF(LOWER('Capacity summary'!AZ198)="x",$BI79*AZ79,VALUE('Capacity summary'!AZ198)),0),AZ79*$BI79),AZ79*$BI79),0)</f>
        <v>0</v>
      </c>
      <c r="DD79" s="311">
        <f>IF($BI79&lt;&gt;"",IF('Capacity summary'!$D$14="Yes",IF(COUNTBLANK('Capacity summary'!$H198:$BG198)&lt;52,IF('Capacity summary'!BA198&lt;&gt;"",IF(LOWER('Capacity summary'!BA198)="x",$BI79*BA79,VALUE('Capacity summary'!BA198)),0),BA79*$BI79),BA79*$BI79),0)</f>
        <v>0</v>
      </c>
      <c r="DE79" s="311">
        <f>IF($BI79&lt;&gt;"",IF('Capacity summary'!$D$14="Yes",IF(COUNTBLANK('Capacity summary'!$H198:$BG198)&lt;52,IF('Capacity summary'!BB198&lt;&gt;"",IF(LOWER('Capacity summary'!BB198)="x",$BI79*BB79,VALUE('Capacity summary'!BB198)),0),BB79*$BI79),BB79*$BI79),0)</f>
        <v>0</v>
      </c>
      <c r="DF79" s="311">
        <f>IF($BI79&lt;&gt;"",IF('Capacity summary'!$D$14="Yes",IF(COUNTBLANK('Capacity summary'!$H198:$BG198)&lt;52,IF('Capacity summary'!BC198&lt;&gt;"",IF(LOWER('Capacity summary'!BC198)="x",$BI79*BC79,VALUE('Capacity summary'!BC198)),0),BC79*$BI79),BC79*$BI79),0)</f>
        <v>0</v>
      </c>
      <c r="DG79" s="311">
        <f>IF($BI79&lt;&gt;"",IF('Capacity summary'!$D$14="Yes",IF(COUNTBLANK('Capacity summary'!$H198:$BG198)&lt;52,IF('Capacity summary'!BD198&lt;&gt;"",IF(LOWER('Capacity summary'!BD198)="x",$BI79*BD79,VALUE('Capacity summary'!BD198)),0),BD79*$BI79),BD79*$BI79),0)</f>
        <v>0</v>
      </c>
      <c r="DH79" s="311">
        <f>IF($BI79&lt;&gt;"",IF('Capacity summary'!$D$14="Yes",IF(COUNTBLANK('Capacity summary'!$H198:$BG198)&lt;52,IF('Capacity summary'!BE198&lt;&gt;"",IF(LOWER('Capacity summary'!BE198)="x",$BI79*BE79,VALUE('Capacity summary'!BE198)),0),BE79*$BI79),BE79*$BI79),0)</f>
        <v>0</v>
      </c>
      <c r="DI79" s="311">
        <f>IF($BI79&lt;&gt;"",IF('Capacity summary'!$D$14="Yes",IF(COUNTBLANK('Capacity summary'!$H198:$BG198)&lt;52,IF('Capacity summary'!BF198&lt;&gt;"",IF(LOWER('Capacity summary'!BF198)="x",$BI79*BF79,VALUE('Capacity summary'!BF198)),0),BF79*$BI79),BF79*$BI79),0)</f>
        <v>0</v>
      </c>
      <c r="DJ79" s="311">
        <f>IF($BI79&lt;&gt;"",IF('Capacity summary'!$D$14="Yes",IF(COUNTBLANK('Capacity summary'!$H198:$BG198)&lt;52,IF('Capacity summary'!BG198&lt;&gt;"",IF(LOWER('Capacity summary'!BG198)="x",$BI79*BG79,VALUE('Capacity summary'!BG198)),0),BG79*$BI79),BG79*$BI79),0)</f>
        <v>0</v>
      </c>
      <c r="DK79" s="391">
        <f t="shared" si="4"/>
        <v>0</v>
      </c>
      <c r="DL79" s="136">
        <f t="shared" si="5"/>
        <v>0</v>
      </c>
      <c r="DM79" s="311" t="str">
        <f>Capacity!H91</f>
        <v/>
      </c>
    </row>
    <row r="80" spans="1:117" x14ac:dyDescent="0.2">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1">
        <f>IF($BI80&lt;&gt;"",IF('Capacity summary'!$D$14="Yes",IF(COUNTBLANK('Capacity summary'!$H199:$BG199)&lt;52,IF('Capacity summary'!H199&lt;&gt;"",IF(LOWER('Capacity summary'!H199)="x",$BI80*H80,VALUE('Capacity summary'!H199)),0),H80*$BI80),H80*$BI80),0)</f>
        <v>0</v>
      </c>
      <c r="BL80" s="311">
        <f>IF($BI80&lt;&gt;"",IF('Capacity summary'!$D$14="Yes",IF(COUNTBLANK('Capacity summary'!$H199:$BG199)&lt;52,IF('Capacity summary'!I199&lt;&gt;"",IF(LOWER('Capacity summary'!I199)="x",$BI80*I80,VALUE('Capacity summary'!I199)),0),I80*$BI80),I80*$BI80),0)</f>
        <v>0</v>
      </c>
      <c r="BM80" s="311">
        <f>IF($BI80&lt;&gt;"",IF('Capacity summary'!$D$14="Yes",IF(COUNTBLANK('Capacity summary'!$H199:$BG199)&lt;52,IF('Capacity summary'!J199&lt;&gt;"",IF(LOWER('Capacity summary'!J199)="x",$BI80*J80,VALUE('Capacity summary'!J199)),0),J80*$BI80),J80*$BI80),0)</f>
        <v>0</v>
      </c>
      <c r="BN80" s="311">
        <f>IF($BI80&lt;&gt;"",IF('Capacity summary'!$D$14="Yes",IF(COUNTBLANK('Capacity summary'!$H199:$BG199)&lt;52,IF('Capacity summary'!K199&lt;&gt;"",IF(LOWER('Capacity summary'!K199)="x",$BI80*K80,VALUE('Capacity summary'!K199)),0),K80*$BI80),K80*$BI80),0)</f>
        <v>0</v>
      </c>
      <c r="BO80" s="311">
        <f>IF($BI80&lt;&gt;"",IF('Capacity summary'!$D$14="Yes",IF(COUNTBLANK('Capacity summary'!$H199:$BG199)&lt;52,IF('Capacity summary'!L199&lt;&gt;"",IF(LOWER('Capacity summary'!L199)="x",$BI80*L80,VALUE('Capacity summary'!L199)),0),L80*$BI80),L80*$BI80),0)</f>
        <v>0</v>
      </c>
      <c r="BP80" s="311">
        <f>IF($BI80&lt;&gt;"",IF('Capacity summary'!$D$14="Yes",IF(COUNTBLANK('Capacity summary'!$H199:$BG199)&lt;52,IF('Capacity summary'!M199&lt;&gt;"",IF(LOWER('Capacity summary'!M199)="x",$BI80*M80,VALUE('Capacity summary'!M199)),0),M80*$BI80),M80*$BI80),0)</f>
        <v>0</v>
      </c>
      <c r="BQ80" s="311">
        <f>IF($BI80&lt;&gt;"",IF('Capacity summary'!$D$14="Yes",IF(COUNTBLANK('Capacity summary'!$H199:$BG199)&lt;52,IF('Capacity summary'!N199&lt;&gt;"",IF(LOWER('Capacity summary'!N199)="x",$BI80*N80,VALUE('Capacity summary'!N199)),0),N80*$BI80),N80*$BI80),0)</f>
        <v>0</v>
      </c>
      <c r="BR80" s="311">
        <f>IF($BI80&lt;&gt;"",IF('Capacity summary'!$D$14="Yes",IF(COUNTBLANK('Capacity summary'!$H199:$BG199)&lt;52,IF('Capacity summary'!O199&lt;&gt;"",IF(LOWER('Capacity summary'!O199)="x",$BI80*O80,VALUE('Capacity summary'!O199)),0),O80*$BI80),O80*$BI80),0)</f>
        <v>0</v>
      </c>
      <c r="BS80" s="311">
        <f>IF($BI80&lt;&gt;"",IF('Capacity summary'!$D$14="Yes",IF(COUNTBLANK('Capacity summary'!$H199:$BG199)&lt;52,IF('Capacity summary'!P199&lt;&gt;"",IF(LOWER('Capacity summary'!P199)="x",$BI80*P80,VALUE('Capacity summary'!P199)),0),P80*$BI80),P80*$BI80),0)</f>
        <v>0</v>
      </c>
      <c r="BT80" s="311">
        <f>IF($BI80&lt;&gt;"",IF('Capacity summary'!$D$14="Yes",IF(COUNTBLANK('Capacity summary'!$H199:$BG199)&lt;52,IF('Capacity summary'!Q199&lt;&gt;"",IF(LOWER('Capacity summary'!Q199)="x",$BI80*Q80,VALUE('Capacity summary'!Q199)),0),Q80*$BI80),Q80*$BI80),0)</f>
        <v>0</v>
      </c>
      <c r="BU80" s="311">
        <f>IF($BI80&lt;&gt;"",IF('Capacity summary'!$D$14="Yes",IF(COUNTBLANK('Capacity summary'!$H199:$BG199)&lt;52,IF('Capacity summary'!R199&lt;&gt;"",IF(LOWER('Capacity summary'!R199)="x",$BI80*R80,VALUE('Capacity summary'!R199)),0),R80*$BI80),R80*$BI80),0)</f>
        <v>0</v>
      </c>
      <c r="BV80" s="311">
        <f>IF($BI80&lt;&gt;"",IF('Capacity summary'!$D$14="Yes",IF(COUNTBLANK('Capacity summary'!$H199:$BG199)&lt;52,IF('Capacity summary'!S199&lt;&gt;"",IF(LOWER('Capacity summary'!S199)="x",$BI80*S80,VALUE('Capacity summary'!S199)),0),S80*$BI80),S80*$BI80),0)</f>
        <v>0</v>
      </c>
      <c r="BW80" s="311">
        <f>IF($BI80&lt;&gt;"",IF('Capacity summary'!$D$14="Yes",IF(COUNTBLANK('Capacity summary'!$H199:$BG199)&lt;52,IF('Capacity summary'!T199&lt;&gt;"",IF(LOWER('Capacity summary'!T199)="x",$BI80*T80,VALUE('Capacity summary'!T199)),0),T80*$BI80),T80*$BI80),0)</f>
        <v>0</v>
      </c>
      <c r="BX80" s="311">
        <f>IF($BI80&lt;&gt;"",IF('Capacity summary'!$D$14="Yes",IF(COUNTBLANK('Capacity summary'!$H199:$BG199)&lt;52,IF('Capacity summary'!U199&lt;&gt;"",IF(LOWER('Capacity summary'!U199)="x",$BI80*U80,VALUE('Capacity summary'!U199)),0),U80*$BI80),U80*$BI80),0)</f>
        <v>0</v>
      </c>
      <c r="BY80" s="311">
        <f>IF($BI80&lt;&gt;"",IF('Capacity summary'!$D$14="Yes",IF(COUNTBLANK('Capacity summary'!$H199:$BG199)&lt;52,IF('Capacity summary'!V199&lt;&gt;"",IF(LOWER('Capacity summary'!V199)="x",$BI80*V80,VALUE('Capacity summary'!V199)),0),V80*$BI80),V80*$BI80),0)</f>
        <v>0</v>
      </c>
      <c r="BZ80" s="311">
        <f>IF($BI80&lt;&gt;"",IF('Capacity summary'!$D$14="Yes",IF(COUNTBLANK('Capacity summary'!$H199:$BG199)&lt;52,IF('Capacity summary'!W199&lt;&gt;"",IF(LOWER('Capacity summary'!W199)="x",$BI80*W80,VALUE('Capacity summary'!W199)),0),W80*$BI80),W80*$BI80),0)</f>
        <v>0</v>
      </c>
      <c r="CA80" s="311">
        <f>IF($BI80&lt;&gt;"",IF('Capacity summary'!$D$14="Yes",IF(COUNTBLANK('Capacity summary'!$H199:$BG199)&lt;52,IF('Capacity summary'!X199&lt;&gt;"",IF(LOWER('Capacity summary'!X199)="x",$BI80*X80,VALUE('Capacity summary'!X199)),0),X80*$BI80),X80*$BI80),0)</f>
        <v>0</v>
      </c>
      <c r="CB80" s="311">
        <f>IF($BI80&lt;&gt;"",IF('Capacity summary'!$D$14="Yes",IF(COUNTBLANK('Capacity summary'!$H199:$BG199)&lt;52,IF('Capacity summary'!Y199&lt;&gt;"",IF(LOWER('Capacity summary'!Y199)="x",$BI80*Y80,VALUE('Capacity summary'!Y199)),0),Y80*$BI80),Y80*$BI80),0)</f>
        <v>0</v>
      </c>
      <c r="CC80" s="311">
        <f>IF($BI80&lt;&gt;"",IF('Capacity summary'!$D$14="Yes",IF(COUNTBLANK('Capacity summary'!$H199:$BG199)&lt;52,IF('Capacity summary'!Z199&lt;&gt;"",IF(LOWER('Capacity summary'!Z199)="x",$BI80*Z80,VALUE('Capacity summary'!Z199)),0),Z80*$BI80),Z80*$BI80),0)</f>
        <v>0</v>
      </c>
      <c r="CD80" s="311">
        <f>IF($BI80&lt;&gt;"",IF('Capacity summary'!$D$14="Yes",IF(COUNTBLANK('Capacity summary'!$H199:$BG199)&lt;52,IF('Capacity summary'!AA199&lt;&gt;"",IF(LOWER('Capacity summary'!AA199)="x",$BI80*AA80,VALUE('Capacity summary'!AA199)),0),AA80*$BI80),AA80*$BI80),0)</f>
        <v>0</v>
      </c>
      <c r="CE80" s="311">
        <f>IF($BI80&lt;&gt;"",IF('Capacity summary'!$D$14="Yes",IF(COUNTBLANK('Capacity summary'!$H199:$BG199)&lt;52,IF('Capacity summary'!AB199&lt;&gt;"",IF(LOWER('Capacity summary'!AB199)="x",$BI80*AB80,VALUE('Capacity summary'!AB199)),0),AB80*$BI80),AB80*$BI80),0)</f>
        <v>0</v>
      </c>
      <c r="CF80" s="311">
        <f>IF($BI80&lt;&gt;"",IF('Capacity summary'!$D$14="Yes",IF(COUNTBLANK('Capacity summary'!$H199:$BG199)&lt;52,IF('Capacity summary'!AC199&lt;&gt;"",IF(LOWER('Capacity summary'!AC199)="x",$BI80*AC80,VALUE('Capacity summary'!AC199)),0),AC80*$BI80),AC80*$BI80),0)</f>
        <v>0</v>
      </c>
      <c r="CG80" s="311">
        <f>IF($BI80&lt;&gt;"",IF('Capacity summary'!$D$14="Yes",IF(COUNTBLANK('Capacity summary'!$H199:$BG199)&lt;52,IF('Capacity summary'!AD199&lt;&gt;"",IF(LOWER('Capacity summary'!AD199)="x",$BI80*AD80,VALUE('Capacity summary'!AD199)),0),AD80*$BI80),AD80*$BI80),0)</f>
        <v>0</v>
      </c>
      <c r="CH80" s="311">
        <f>IF($BI80&lt;&gt;"",IF('Capacity summary'!$D$14="Yes",IF(COUNTBLANK('Capacity summary'!$H199:$BG199)&lt;52,IF('Capacity summary'!AE199&lt;&gt;"",IF(LOWER('Capacity summary'!AE199)="x",$BI80*AE80,VALUE('Capacity summary'!AE199)),0),AE80*$BI80),AE80*$BI80),0)</f>
        <v>0</v>
      </c>
      <c r="CI80" s="311">
        <f>IF($BI80&lt;&gt;"",IF('Capacity summary'!$D$14="Yes",IF(COUNTBLANK('Capacity summary'!$H199:$BG199)&lt;52,IF('Capacity summary'!AF199&lt;&gt;"",IF(LOWER('Capacity summary'!AF199)="x",$BI80*AF80,VALUE('Capacity summary'!AF199)),0),AF80*$BI80),AF80*$BI80),0)</f>
        <v>0</v>
      </c>
      <c r="CJ80" s="311">
        <f>IF($BI80&lt;&gt;"",IF('Capacity summary'!$D$14="Yes",IF(COUNTBLANK('Capacity summary'!$H199:$BG199)&lt;52,IF('Capacity summary'!AG199&lt;&gt;"",IF(LOWER('Capacity summary'!AG199)="x",$BI80*AG80,VALUE('Capacity summary'!AG199)),0),AG80*$BI80),AG80*$BI80),0)</f>
        <v>0</v>
      </c>
      <c r="CK80" s="311">
        <f>IF($BI80&lt;&gt;"",IF('Capacity summary'!$D$14="Yes",IF(COUNTBLANK('Capacity summary'!$H199:$BG199)&lt;52,IF('Capacity summary'!AH199&lt;&gt;"",IF(LOWER('Capacity summary'!AH199)="x",$BI80*AH80,VALUE('Capacity summary'!AH199)),0),AH80*$BI80),AH80*$BI80),0)</f>
        <v>0</v>
      </c>
      <c r="CL80" s="311">
        <f>IF($BI80&lt;&gt;"",IF('Capacity summary'!$D$14="Yes",IF(COUNTBLANK('Capacity summary'!$H199:$BG199)&lt;52,IF('Capacity summary'!AI199&lt;&gt;"",IF(LOWER('Capacity summary'!AI199)="x",$BI80*AI80,VALUE('Capacity summary'!AI199)),0),AI80*$BI80),AI80*$BI80),0)</f>
        <v>0</v>
      </c>
      <c r="CM80" s="311">
        <f>IF($BI80&lt;&gt;"",IF('Capacity summary'!$D$14="Yes",IF(COUNTBLANK('Capacity summary'!$H199:$BG199)&lt;52,IF('Capacity summary'!AJ199&lt;&gt;"",IF(LOWER('Capacity summary'!AJ199)="x",$BI80*AJ80,VALUE('Capacity summary'!AJ199)),0),AJ80*$BI80),AJ80*$BI80),0)</f>
        <v>0</v>
      </c>
      <c r="CN80" s="311">
        <f>IF($BI80&lt;&gt;"",IF('Capacity summary'!$D$14="Yes",IF(COUNTBLANK('Capacity summary'!$H199:$BG199)&lt;52,IF('Capacity summary'!AK199&lt;&gt;"",IF(LOWER('Capacity summary'!AK199)="x",$BI80*AK80,VALUE('Capacity summary'!AK199)),0),AK80*$BI80),AK80*$BI80),0)</f>
        <v>0</v>
      </c>
      <c r="CO80" s="311">
        <f>IF($BI80&lt;&gt;"",IF('Capacity summary'!$D$14="Yes",IF(COUNTBLANK('Capacity summary'!$H199:$BG199)&lt;52,IF('Capacity summary'!AL199&lt;&gt;"",IF(LOWER('Capacity summary'!AL199)="x",$BI80*AL80,VALUE('Capacity summary'!AL199)),0),AL80*$BI80),AL80*$BI80),0)</f>
        <v>0</v>
      </c>
      <c r="CP80" s="311">
        <f>IF($BI80&lt;&gt;"",IF('Capacity summary'!$D$14="Yes",IF(COUNTBLANK('Capacity summary'!$H199:$BG199)&lt;52,IF('Capacity summary'!AM199&lt;&gt;"",IF(LOWER('Capacity summary'!AM199)="x",$BI80*AM80,VALUE('Capacity summary'!AM199)),0),AM80*$BI80),AM80*$BI80),0)</f>
        <v>0</v>
      </c>
      <c r="CQ80" s="311">
        <f>IF($BI80&lt;&gt;"",IF('Capacity summary'!$D$14="Yes",IF(COUNTBLANK('Capacity summary'!$H199:$BG199)&lt;52,IF('Capacity summary'!AN199&lt;&gt;"",IF(LOWER('Capacity summary'!AN199)="x",$BI80*AN80,VALUE('Capacity summary'!AN199)),0),AN80*$BI80),AN80*$BI80),0)</f>
        <v>0</v>
      </c>
      <c r="CR80" s="311">
        <f>IF($BI80&lt;&gt;"",IF('Capacity summary'!$D$14="Yes",IF(COUNTBLANK('Capacity summary'!$H199:$BG199)&lt;52,IF('Capacity summary'!AO199&lt;&gt;"",IF(LOWER('Capacity summary'!AO199)="x",$BI80*AO80,VALUE('Capacity summary'!AO199)),0),AO80*$BI80),AO80*$BI80),0)</f>
        <v>0</v>
      </c>
      <c r="CS80" s="311">
        <f>IF($BI80&lt;&gt;"",IF('Capacity summary'!$D$14="Yes",IF(COUNTBLANK('Capacity summary'!$H199:$BG199)&lt;52,IF('Capacity summary'!AP199&lt;&gt;"",IF(LOWER('Capacity summary'!AP199)="x",$BI80*AP80,VALUE('Capacity summary'!AP199)),0),AP80*$BI80),AP80*$BI80),0)</f>
        <v>0</v>
      </c>
      <c r="CT80" s="311">
        <f>IF($BI80&lt;&gt;"",IF('Capacity summary'!$D$14="Yes",IF(COUNTBLANK('Capacity summary'!$H199:$BG199)&lt;52,IF('Capacity summary'!AQ199&lt;&gt;"",IF(LOWER('Capacity summary'!AQ199)="x",$BI80*AQ80,VALUE('Capacity summary'!AQ199)),0),AQ80*$BI80),AQ80*$BI80),0)</f>
        <v>0</v>
      </c>
      <c r="CU80" s="311">
        <f>IF($BI80&lt;&gt;"",IF('Capacity summary'!$D$14="Yes",IF(COUNTBLANK('Capacity summary'!$H199:$BG199)&lt;52,IF('Capacity summary'!AR199&lt;&gt;"",IF(LOWER('Capacity summary'!AR199)="x",$BI80*AR80,VALUE('Capacity summary'!AR199)),0),AR80*$BI80),AR80*$BI80),0)</f>
        <v>0</v>
      </c>
      <c r="CV80" s="311">
        <f>IF($BI80&lt;&gt;"",IF('Capacity summary'!$D$14="Yes",IF(COUNTBLANK('Capacity summary'!$H199:$BG199)&lt;52,IF('Capacity summary'!AS199&lt;&gt;"",IF(LOWER('Capacity summary'!AS199)="x",$BI80*AS80,VALUE('Capacity summary'!AS199)),0),AS80*$BI80),AS80*$BI80),0)</f>
        <v>0</v>
      </c>
      <c r="CW80" s="311">
        <f>IF($BI80&lt;&gt;"",IF('Capacity summary'!$D$14="Yes",IF(COUNTBLANK('Capacity summary'!$H199:$BG199)&lt;52,IF('Capacity summary'!AT199&lt;&gt;"",IF(LOWER('Capacity summary'!AT199)="x",$BI80*AT80,VALUE('Capacity summary'!AT199)),0),AT80*$BI80),AT80*$BI80),0)</f>
        <v>0</v>
      </c>
      <c r="CX80" s="311">
        <f>IF($BI80&lt;&gt;"",IF('Capacity summary'!$D$14="Yes",IF(COUNTBLANK('Capacity summary'!$H199:$BG199)&lt;52,IF('Capacity summary'!AU199&lt;&gt;"",IF(LOWER('Capacity summary'!AU199)="x",$BI80*AU80,VALUE('Capacity summary'!AU199)),0),AU80*$BI80),AU80*$BI80),0)</f>
        <v>0</v>
      </c>
      <c r="CY80" s="311">
        <f>IF($BI80&lt;&gt;"",IF('Capacity summary'!$D$14="Yes",IF(COUNTBLANK('Capacity summary'!$H199:$BG199)&lt;52,IF('Capacity summary'!AV199&lt;&gt;"",IF(LOWER('Capacity summary'!AV199)="x",$BI80*AV80,VALUE('Capacity summary'!AV199)),0),AV80*$BI80),AV80*$BI80),0)</f>
        <v>0</v>
      </c>
      <c r="CZ80" s="311">
        <f>IF($BI80&lt;&gt;"",IF('Capacity summary'!$D$14="Yes",IF(COUNTBLANK('Capacity summary'!$H199:$BG199)&lt;52,IF('Capacity summary'!AW199&lt;&gt;"",IF(LOWER('Capacity summary'!AW199)="x",$BI80*AW80,VALUE('Capacity summary'!AW199)),0),AW80*$BI80),AW80*$BI80),0)</f>
        <v>0</v>
      </c>
      <c r="DA80" s="311">
        <f>IF($BI80&lt;&gt;"",IF('Capacity summary'!$D$14="Yes",IF(COUNTBLANK('Capacity summary'!$H199:$BG199)&lt;52,IF('Capacity summary'!AX199&lt;&gt;"",IF(LOWER('Capacity summary'!AX199)="x",$BI80*AX80,VALUE('Capacity summary'!AX199)),0),AX80*$BI80),AX80*$BI80),0)</f>
        <v>0</v>
      </c>
      <c r="DB80" s="311">
        <f>IF($BI80&lt;&gt;"",IF('Capacity summary'!$D$14="Yes",IF(COUNTBLANK('Capacity summary'!$H199:$BG199)&lt;52,IF('Capacity summary'!AY199&lt;&gt;"",IF(LOWER('Capacity summary'!AY199)="x",$BI80*AY80,VALUE('Capacity summary'!AY199)),0),AY80*$BI80),AY80*$BI80),0)</f>
        <v>0</v>
      </c>
      <c r="DC80" s="311">
        <f>IF($BI80&lt;&gt;"",IF('Capacity summary'!$D$14="Yes",IF(COUNTBLANK('Capacity summary'!$H199:$BG199)&lt;52,IF('Capacity summary'!AZ199&lt;&gt;"",IF(LOWER('Capacity summary'!AZ199)="x",$BI80*AZ80,VALUE('Capacity summary'!AZ199)),0),AZ80*$BI80),AZ80*$BI80),0)</f>
        <v>0</v>
      </c>
      <c r="DD80" s="311">
        <f>IF($BI80&lt;&gt;"",IF('Capacity summary'!$D$14="Yes",IF(COUNTBLANK('Capacity summary'!$H199:$BG199)&lt;52,IF('Capacity summary'!BA199&lt;&gt;"",IF(LOWER('Capacity summary'!BA199)="x",$BI80*BA80,VALUE('Capacity summary'!BA199)),0),BA80*$BI80),BA80*$BI80),0)</f>
        <v>0</v>
      </c>
      <c r="DE80" s="311">
        <f>IF($BI80&lt;&gt;"",IF('Capacity summary'!$D$14="Yes",IF(COUNTBLANK('Capacity summary'!$H199:$BG199)&lt;52,IF('Capacity summary'!BB199&lt;&gt;"",IF(LOWER('Capacity summary'!BB199)="x",$BI80*BB80,VALUE('Capacity summary'!BB199)),0),BB80*$BI80),BB80*$BI80),0)</f>
        <v>0</v>
      </c>
      <c r="DF80" s="311">
        <f>IF($BI80&lt;&gt;"",IF('Capacity summary'!$D$14="Yes",IF(COUNTBLANK('Capacity summary'!$H199:$BG199)&lt;52,IF('Capacity summary'!BC199&lt;&gt;"",IF(LOWER('Capacity summary'!BC199)="x",$BI80*BC80,VALUE('Capacity summary'!BC199)),0),BC80*$BI80),BC80*$BI80),0)</f>
        <v>0</v>
      </c>
      <c r="DG80" s="311">
        <f>IF($BI80&lt;&gt;"",IF('Capacity summary'!$D$14="Yes",IF(COUNTBLANK('Capacity summary'!$H199:$BG199)&lt;52,IF('Capacity summary'!BD199&lt;&gt;"",IF(LOWER('Capacity summary'!BD199)="x",$BI80*BD80,VALUE('Capacity summary'!BD199)),0),BD80*$BI80),BD80*$BI80),0)</f>
        <v>0</v>
      </c>
      <c r="DH80" s="311">
        <f>IF($BI80&lt;&gt;"",IF('Capacity summary'!$D$14="Yes",IF(COUNTBLANK('Capacity summary'!$H199:$BG199)&lt;52,IF('Capacity summary'!BE199&lt;&gt;"",IF(LOWER('Capacity summary'!BE199)="x",$BI80*BE80,VALUE('Capacity summary'!BE199)),0),BE80*$BI80),BE80*$BI80),0)</f>
        <v>0</v>
      </c>
      <c r="DI80" s="311">
        <f>IF($BI80&lt;&gt;"",IF('Capacity summary'!$D$14="Yes",IF(COUNTBLANK('Capacity summary'!$H199:$BG199)&lt;52,IF('Capacity summary'!BF199&lt;&gt;"",IF(LOWER('Capacity summary'!BF199)="x",$BI80*BF80,VALUE('Capacity summary'!BF199)),0),BF80*$BI80),BF80*$BI80),0)</f>
        <v>0</v>
      </c>
      <c r="DJ80" s="311">
        <f>IF($BI80&lt;&gt;"",IF('Capacity summary'!$D$14="Yes",IF(COUNTBLANK('Capacity summary'!$H199:$BG199)&lt;52,IF('Capacity summary'!BG199&lt;&gt;"",IF(LOWER('Capacity summary'!BG199)="x",$BI80*BG80,VALUE('Capacity summary'!BG199)),0),BG80*$BI80),BG80*$BI80),0)</f>
        <v>0</v>
      </c>
      <c r="DK80" s="391">
        <f t="shared" si="4"/>
        <v>0</v>
      </c>
      <c r="DL80" s="136">
        <f t="shared" si="5"/>
        <v>0</v>
      </c>
      <c r="DM80" s="311" t="str">
        <f>Capacity!H92</f>
        <v/>
      </c>
    </row>
    <row r="81" spans="1:117" x14ac:dyDescent="0.2">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1">
        <f>IF($BI81&lt;&gt;"",IF('Capacity summary'!$D$14="Yes",IF(COUNTBLANK('Capacity summary'!$H200:$BG200)&lt;52,IF('Capacity summary'!H200&lt;&gt;"",IF(LOWER('Capacity summary'!H200)="x",$BI81*H81,VALUE('Capacity summary'!H200)),0),H81*$BI81),H81*$BI81),0)</f>
        <v>0</v>
      </c>
      <c r="BL81" s="311">
        <f>IF($BI81&lt;&gt;"",IF('Capacity summary'!$D$14="Yes",IF(COUNTBLANK('Capacity summary'!$H200:$BG200)&lt;52,IF('Capacity summary'!I200&lt;&gt;"",IF(LOWER('Capacity summary'!I200)="x",$BI81*I81,VALUE('Capacity summary'!I200)),0),I81*$BI81),I81*$BI81),0)</f>
        <v>0</v>
      </c>
      <c r="BM81" s="311">
        <f>IF($BI81&lt;&gt;"",IF('Capacity summary'!$D$14="Yes",IF(COUNTBLANK('Capacity summary'!$H200:$BG200)&lt;52,IF('Capacity summary'!J200&lt;&gt;"",IF(LOWER('Capacity summary'!J200)="x",$BI81*J81,VALUE('Capacity summary'!J200)),0),J81*$BI81),J81*$BI81),0)</f>
        <v>0</v>
      </c>
      <c r="BN81" s="311">
        <f>IF($BI81&lt;&gt;"",IF('Capacity summary'!$D$14="Yes",IF(COUNTBLANK('Capacity summary'!$H200:$BG200)&lt;52,IF('Capacity summary'!K200&lt;&gt;"",IF(LOWER('Capacity summary'!K200)="x",$BI81*K81,VALUE('Capacity summary'!K200)),0),K81*$BI81),K81*$BI81),0)</f>
        <v>0</v>
      </c>
      <c r="BO81" s="311">
        <f>IF($BI81&lt;&gt;"",IF('Capacity summary'!$D$14="Yes",IF(COUNTBLANK('Capacity summary'!$H200:$BG200)&lt;52,IF('Capacity summary'!L200&lt;&gt;"",IF(LOWER('Capacity summary'!L200)="x",$BI81*L81,VALUE('Capacity summary'!L200)),0),L81*$BI81),L81*$BI81),0)</f>
        <v>0</v>
      </c>
      <c r="BP81" s="311">
        <f>IF($BI81&lt;&gt;"",IF('Capacity summary'!$D$14="Yes",IF(COUNTBLANK('Capacity summary'!$H200:$BG200)&lt;52,IF('Capacity summary'!M200&lt;&gt;"",IF(LOWER('Capacity summary'!M200)="x",$BI81*M81,VALUE('Capacity summary'!M200)),0),M81*$BI81),M81*$BI81),0)</f>
        <v>0</v>
      </c>
      <c r="BQ81" s="311">
        <f>IF($BI81&lt;&gt;"",IF('Capacity summary'!$D$14="Yes",IF(COUNTBLANK('Capacity summary'!$H200:$BG200)&lt;52,IF('Capacity summary'!N200&lt;&gt;"",IF(LOWER('Capacity summary'!N200)="x",$BI81*N81,VALUE('Capacity summary'!N200)),0),N81*$BI81),N81*$BI81),0)</f>
        <v>0</v>
      </c>
      <c r="BR81" s="311">
        <f>IF($BI81&lt;&gt;"",IF('Capacity summary'!$D$14="Yes",IF(COUNTBLANK('Capacity summary'!$H200:$BG200)&lt;52,IF('Capacity summary'!O200&lt;&gt;"",IF(LOWER('Capacity summary'!O200)="x",$BI81*O81,VALUE('Capacity summary'!O200)),0),O81*$BI81),O81*$BI81),0)</f>
        <v>0</v>
      </c>
      <c r="BS81" s="311">
        <f>IF($BI81&lt;&gt;"",IF('Capacity summary'!$D$14="Yes",IF(COUNTBLANK('Capacity summary'!$H200:$BG200)&lt;52,IF('Capacity summary'!P200&lt;&gt;"",IF(LOWER('Capacity summary'!P200)="x",$BI81*P81,VALUE('Capacity summary'!P200)),0),P81*$BI81),P81*$BI81),0)</f>
        <v>0</v>
      </c>
      <c r="BT81" s="311">
        <f>IF($BI81&lt;&gt;"",IF('Capacity summary'!$D$14="Yes",IF(COUNTBLANK('Capacity summary'!$H200:$BG200)&lt;52,IF('Capacity summary'!Q200&lt;&gt;"",IF(LOWER('Capacity summary'!Q200)="x",$BI81*Q81,VALUE('Capacity summary'!Q200)),0),Q81*$BI81),Q81*$BI81),0)</f>
        <v>0</v>
      </c>
      <c r="BU81" s="311">
        <f>IF($BI81&lt;&gt;"",IF('Capacity summary'!$D$14="Yes",IF(COUNTBLANK('Capacity summary'!$H200:$BG200)&lt;52,IF('Capacity summary'!R200&lt;&gt;"",IF(LOWER('Capacity summary'!R200)="x",$BI81*R81,VALUE('Capacity summary'!R200)),0),R81*$BI81),R81*$BI81),0)</f>
        <v>0</v>
      </c>
      <c r="BV81" s="311">
        <f>IF($BI81&lt;&gt;"",IF('Capacity summary'!$D$14="Yes",IF(COUNTBLANK('Capacity summary'!$H200:$BG200)&lt;52,IF('Capacity summary'!S200&lt;&gt;"",IF(LOWER('Capacity summary'!S200)="x",$BI81*S81,VALUE('Capacity summary'!S200)),0),S81*$BI81),S81*$BI81),0)</f>
        <v>0</v>
      </c>
      <c r="BW81" s="311">
        <f>IF($BI81&lt;&gt;"",IF('Capacity summary'!$D$14="Yes",IF(COUNTBLANK('Capacity summary'!$H200:$BG200)&lt;52,IF('Capacity summary'!T200&lt;&gt;"",IF(LOWER('Capacity summary'!T200)="x",$BI81*T81,VALUE('Capacity summary'!T200)),0),T81*$BI81),T81*$BI81),0)</f>
        <v>0</v>
      </c>
      <c r="BX81" s="311">
        <f>IF($BI81&lt;&gt;"",IF('Capacity summary'!$D$14="Yes",IF(COUNTBLANK('Capacity summary'!$H200:$BG200)&lt;52,IF('Capacity summary'!U200&lt;&gt;"",IF(LOWER('Capacity summary'!U200)="x",$BI81*U81,VALUE('Capacity summary'!U200)),0),U81*$BI81),U81*$BI81),0)</f>
        <v>0</v>
      </c>
      <c r="BY81" s="311">
        <f>IF($BI81&lt;&gt;"",IF('Capacity summary'!$D$14="Yes",IF(COUNTBLANK('Capacity summary'!$H200:$BG200)&lt;52,IF('Capacity summary'!V200&lt;&gt;"",IF(LOWER('Capacity summary'!V200)="x",$BI81*V81,VALUE('Capacity summary'!V200)),0),V81*$BI81),V81*$BI81),0)</f>
        <v>0</v>
      </c>
      <c r="BZ81" s="311">
        <f>IF($BI81&lt;&gt;"",IF('Capacity summary'!$D$14="Yes",IF(COUNTBLANK('Capacity summary'!$H200:$BG200)&lt;52,IF('Capacity summary'!W200&lt;&gt;"",IF(LOWER('Capacity summary'!W200)="x",$BI81*W81,VALUE('Capacity summary'!W200)),0),W81*$BI81),W81*$BI81),0)</f>
        <v>0</v>
      </c>
      <c r="CA81" s="311">
        <f>IF($BI81&lt;&gt;"",IF('Capacity summary'!$D$14="Yes",IF(COUNTBLANK('Capacity summary'!$H200:$BG200)&lt;52,IF('Capacity summary'!X200&lt;&gt;"",IF(LOWER('Capacity summary'!X200)="x",$BI81*X81,VALUE('Capacity summary'!X200)),0),X81*$BI81),X81*$BI81),0)</f>
        <v>0</v>
      </c>
      <c r="CB81" s="311">
        <f>IF($BI81&lt;&gt;"",IF('Capacity summary'!$D$14="Yes",IF(COUNTBLANK('Capacity summary'!$H200:$BG200)&lt;52,IF('Capacity summary'!Y200&lt;&gt;"",IF(LOWER('Capacity summary'!Y200)="x",$BI81*Y81,VALUE('Capacity summary'!Y200)),0),Y81*$BI81),Y81*$BI81),0)</f>
        <v>0</v>
      </c>
      <c r="CC81" s="311">
        <f>IF($BI81&lt;&gt;"",IF('Capacity summary'!$D$14="Yes",IF(COUNTBLANK('Capacity summary'!$H200:$BG200)&lt;52,IF('Capacity summary'!Z200&lt;&gt;"",IF(LOWER('Capacity summary'!Z200)="x",$BI81*Z81,VALUE('Capacity summary'!Z200)),0),Z81*$BI81),Z81*$BI81),0)</f>
        <v>0</v>
      </c>
      <c r="CD81" s="311">
        <f>IF($BI81&lt;&gt;"",IF('Capacity summary'!$D$14="Yes",IF(COUNTBLANK('Capacity summary'!$H200:$BG200)&lt;52,IF('Capacity summary'!AA200&lt;&gt;"",IF(LOWER('Capacity summary'!AA200)="x",$BI81*AA81,VALUE('Capacity summary'!AA200)),0),AA81*$BI81),AA81*$BI81),0)</f>
        <v>0</v>
      </c>
      <c r="CE81" s="311">
        <f>IF($BI81&lt;&gt;"",IF('Capacity summary'!$D$14="Yes",IF(COUNTBLANK('Capacity summary'!$H200:$BG200)&lt;52,IF('Capacity summary'!AB200&lt;&gt;"",IF(LOWER('Capacity summary'!AB200)="x",$BI81*AB81,VALUE('Capacity summary'!AB200)),0),AB81*$BI81),AB81*$BI81),0)</f>
        <v>0</v>
      </c>
      <c r="CF81" s="311">
        <f>IF($BI81&lt;&gt;"",IF('Capacity summary'!$D$14="Yes",IF(COUNTBLANK('Capacity summary'!$H200:$BG200)&lt;52,IF('Capacity summary'!AC200&lt;&gt;"",IF(LOWER('Capacity summary'!AC200)="x",$BI81*AC81,VALUE('Capacity summary'!AC200)),0),AC81*$BI81),AC81*$BI81),0)</f>
        <v>0</v>
      </c>
      <c r="CG81" s="311">
        <f>IF($BI81&lt;&gt;"",IF('Capacity summary'!$D$14="Yes",IF(COUNTBLANK('Capacity summary'!$H200:$BG200)&lt;52,IF('Capacity summary'!AD200&lt;&gt;"",IF(LOWER('Capacity summary'!AD200)="x",$BI81*AD81,VALUE('Capacity summary'!AD200)),0),AD81*$BI81),AD81*$BI81),0)</f>
        <v>0</v>
      </c>
      <c r="CH81" s="311">
        <f>IF($BI81&lt;&gt;"",IF('Capacity summary'!$D$14="Yes",IF(COUNTBLANK('Capacity summary'!$H200:$BG200)&lt;52,IF('Capacity summary'!AE200&lt;&gt;"",IF(LOWER('Capacity summary'!AE200)="x",$BI81*AE81,VALUE('Capacity summary'!AE200)),0),AE81*$BI81),AE81*$BI81),0)</f>
        <v>0</v>
      </c>
      <c r="CI81" s="311">
        <f>IF($BI81&lt;&gt;"",IF('Capacity summary'!$D$14="Yes",IF(COUNTBLANK('Capacity summary'!$H200:$BG200)&lt;52,IF('Capacity summary'!AF200&lt;&gt;"",IF(LOWER('Capacity summary'!AF200)="x",$BI81*AF81,VALUE('Capacity summary'!AF200)),0),AF81*$BI81),AF81*$BI81),0)</f>
        <v>0</v>
      </c>
      <c r="CJ81" s="311">
        <f>IF($BI81&lt;&gt;"",IF('Capacity summary'!$D$14="Yes",IF(COUNTBLANK('Capacity summary'!$H200:$BG200)&lt;52,IF('Capacity summary'!AG200&lt;&gt;"",IF(LOWER('Capacity summary'!AG200)="x",$BI81*AG81,VALUE('Capacity summary'!AG200)),0),AG81*$BI81),AG81*$BI81),0)</f>
        <v>0</v>
      </c>
      <c r="CK81" s="311">
        <f>IF($BI81&lt;&gt;"",IF('Capacity summary'!$D$14="Yes",IF(COUNTBLANK('Capacity summary'!$H200:$BG200)&lt;52,IF('Capacity summary'!AH200&lt;&gt;"",IF(LOWER('Capacity summary'!AH200)="x",$BI81*AH81,VALUE('Capacity summary'!AH200)),0),AH81*$BI81),AH81*$BI81),0)</f>
        <v>0</v>
      </c>
      <c r="CL81" s="311">
        <f>IF($BI81&lt;&gt;"",IF('Capacity summary'!$D$14="Yes",IF(COUNTBLANK('Capacity summary'!$H200:$BG200)&lt;52,IF('Capacity summary'!AI200&lt;&gt;"",IF(LOWER('Capacity summary'!AI200)="x",$BI81*AI81,VALUE('Capacity summary'!AI200)),0),AI81*$BI81),AI81*$BI81),0)</f>
        <v>0</v>
      </c>
      <c r="CM81" s="311">
        <f>IF($BI81&lt;&gt;"",IF('Capacity summary'!$D$14="Yes",IF(COUNTBLANK('Capacity summary'!$H200:$BG200)&lt;52,IF('Capacity summary'!AJ200&lt;&gt;"",IF(LOWER('Capacity summary'!AJ200)="x",$BI81*AJ81,VALUE('Capacity summary'!AJ200)),0),AJ81*$BI81),AJ81*$BI81),0)</f>
        <v>0</v>
      </c>
      <c r="CN81" s="311">
        <f>IF($BI81&lt;&gt;"",IF('Capacity summary'!$D$14="Yes",IF(COUNTBLANK('Capacity summary'!$H200:$BG200)&lt;52,IF('Capacity summary'!AK200&lt;&gt;"",IF(LOWER('Capacity summary'!AK200)="x",$BI81*AK81,VALUE('Capacity summary'!AK200)),0),AK81*$BI81),AK81*$BI81),0)</f>
        <v>0</v>
      </c>
      <c r="CO81" s="311">
        <f>IF($BI81&lt;&gt;"",IF('Capacity summary'!$D$14="Yes",IF(COUNTBLANK('Capacity summary'!$H200:$BG200)&lt;52,IF('Capacity summary'!AL200&lt;&gt;"",IF(LOWER('Capacity summary'!AL200)="x",$BI81*AL81,VALUE('Capacity summary'!AL200)),0),AL81*$BI81),AL81*$BI81),0)</f>
        <v>0</v>
      </c>
      <c r="CP81" s="311">
        <f>IF($BI81&lt;&gt;"",IF('Capacity summary'!$D$14="Yes",IF(COUNTBLANK('Capacity summary'!$H200:$BG200)&lt;52,IF('Capacity summary'!AM200&lt;&gt;"",IF(LOWER('Capacity summary'!AM200)="x",$BI81*AM81,VALUE('Capacity summary'!AM200)),0),AM81*$BI81),AM81*$BI81),0)</f>
        <v>0</v>
      </c>
      <c r="CQ81" s="311">
        <f>IF($BI81&lt;&gt;"",IF('Capacity summary'!$D$14="Yes",IF(COUNTBLANK('Capacity summary'!$H200:$BG200)&lt;52,IF('Capacity summary'!AN200&lt;&gt;"",IF(LOWER('Capacity summary'!AN200)="x",$BI81*AN81,VALUE('Capacity summary'!AN200)),0),AN81*$BI81),AN81*$BI81),0)</f>
        <v>0</v>
      </c>
      <c r="CR81" s="311">
        <f>IF($BI81&lt;&gt;"",IF('Capacity summary'!$D$14="Yes",IF(COUNTBLANK('Capacity summary'!$H200:$BG200)&lt;52,IF('Capacity summary'!AO200&lt;&gt;"",IF(LOWER('Capacity summary'!AO200)="x",$BI81*AO81,VALUE('Capacity summary'!AO200)),0),AO81*$BI81),AO81*$BI81),0)</f>
        <v>0</v>
      </c>
      <c r="CS81" s="311">
        <f>IF($BI81&lt;&gt;"",IF('Capacity summary'!$D$14="Yes",IF(COUNTBLANK('Capacity summary'!$H200:$BG200)&lt;52,IF('Capacity summary'!AP200&lt;&gt;"",IF(LOWER('Capacity summary'!AP200)="x",$BI81*AP81,VALUE('Capacity summary'!AP200)),0),AP81*$BI81),AP81*$BI81),0)</f>
        <v>0</v>
      </c>
      <c r="CT81" s="311">
        <f>IF($BI81&lt;&gt;"",IF('Capacity summary'!$D$14="Yes",IF(COUNTBLANK('Capacity summary'!$H200:$BG200)&lt;52,IF('Capacity summary'!AQ200&lt;&gt;"",IF(LOWER('Capacity summary'!AQ200)="x",$BI81*AQ81,VALUE('Capacity summary'!AQ200)),0),AQ81*$BI81),AQ81*$BI81),0)</f>
        <v>0</v>
      </c>
      <c r="CU81" s="311">
        <f>IF($BI81&lt;&gt;"",IF('Capacity summary'!$D$14="Yes",IF(COUNTBLANK('Capacity summary'!$H200:$BG200)&lt;52,IF('Capacity summary'!AR200&lt;&gt;"",IF(LOWER('Capacity summary'!AR200)="x",$BI81*AR81,VALUE('Capacity summary'!AR200)),0),AR81*$BI81),AR81*$BI81),0)</f>
        <v>0</v>
      </c>
      <c r="CV81" s="311">
        <f>IF($BI81&lt;&gt;"",IF('Capacity summary'!$D$14="Yes",IF(COUNTBLANK('Capacity summary'!$H200:$BG200)&lt;52,IF('Capacity summary'!AS200&lt;&gt;"",IF(LOWER('Capacity summary'!AS200)="x",$BI81*AS81,VALUE('Capacity summary'!AS200)),0),AS81*$BI81),AS81*$BI81),0)</f>
        <v>0</v>
      </c>
      <c r="CW81" s="311">
        <f>IF($BI81&lt;&gt;"",IF('Capacity summary'!$D$14="Yes",IF(COUNTBLANK('Capacity summary'!$H200:$BG200)&lt;52,IF('Capacity summary'!AT200&lt;&gt;"",IF(LOWER('Capacity summary'!AT200)="x",$BI81*AT81,VALUE('Capacity summary'!AT200)),0),AT81*$BI81),AT81*$BI81),0)</f>
        <v>0</v>
      </c>
      <c r="CX81" s="311">
        <f>IF($BI81&lt;&gt;"",IF('Capacity summary'!$D$14="Yes",IF(COUNTBLANK('Capacity summary'!$H200:$BG200)&lt;52,IF('Capacity summary'!AU200&lt;&gt;"",IF(LOWER('Capacity summary'!AU200)="x",$BI81*AU81,VALUE('Capacity summary'!AU200)),0),AU81*$BI81),AU81*$BI81),0)</f>
        <v>0</v>
      </c>
      <c r="CY81" s="311">
        <f>IF($BI81&lt;&gt;"",IF('Capacity summary'!$D$14="Yes",IF(COUNTBLANK('Capacity summary'!$H200:$BG200)&lt;52,IF('Capacity summary'!AV200&lt;&gt;"",IF(LOWER('Capacity summary'!AV200)="x",$BI81*AV81,VALUE('Capacity summary'!AV200)),0),AV81*$BI81),AV81*$BI81),0)</f>
        <v>0</v>
      </c>
      <c r="CZ81" s="311">
        <f>IF($BI81&lt;&gt;"",IF('Capacity summary'!$D$14="Yes",IF(COUNTBLANK('Capacity summary'!$H200:$BG200)&lt;52,IF('Capacity summary'!AW200&lt;&gt;"",IF(LOWER('Capacity summary'!AW200)="x",$BI81*AW81,VALUE('Capacity summary'!AW200)),0),AW81*$BI81),AW81*$BI81),0)</f>
        <v>0</v>
      </c>
      <c r="DA81" s="311">
        <f>IF($BI81&lt;&gt;"",IF('Capacity summary'!$D$14="Yes",IF(COUNTBLANK('Capacity summary'!$H200:$BG200)&lt;52,IF('Capacity summary'!AX200&lt;&gt;"",IF(LOWER('Capacity summary'!AX200)="x",$BI81*AX81,VALUE('Capacity summary'!AX200)),0),AX81*$BI81),AX81*$BI81),0)</f>
        <v>0</v>
      </c>
      <c r="DB81" s="311">
        <f>IF($BI81&lt;&gt;"",IF('Capacity summary'!$D$14="Yes",IF(COUNTBLANK('Capacity summary'!$H200:$BG200)&lt;52,IF('Capacity summary'!AY200&lt;&gt;"",IF(LOWER('Capacity summary'!AY200)="x",$BI81*AY81,VALUE('Capacity summary'!AY200)),0),AY81*$BI81),AY81*$BI81),0)</f>
        <v>0</v>
      </c>
      <c r="DC81" s="311">
        <f>IF($BI81&lt;&gt;"",IF('Capacity summary'!$D$14="Yes",IF(COUNTBLANK('Capacity summary'!$H200:$BG200)&lt;52,IF('Capacity summary'!AZ200&lt;&gt;"",IF(LOWER('Capacity summary'!AZ200)="x",$BI81*AZ81,VALUE('Capacity summary'!AZ200)),0),AZ81*$BI81),AZ81*$BI81),0)</f>
        <v>0</v>
      </c>
      <c r="DD81" s="311">
        <f>IF($BI81&lt;&gt;"",IF('Capacity summary'!$D$14="Yes",IF(COUNTBLANK('Capacity summary'!$H200:$BG200)&lt;52,IF('Capacity summary'!BA200&lt;&gt;"",IF(LOWER('Capacity summary'!BA200)="x",$BI81*BA81,VALUE('Capacity summary'!BA200)),0),BA81*$BI81),BA81*$BI81),0)</f>
        <v>0</v>
      </c>
      <c r="DE81" s="311">
        <f>IF($BI81&lt;&gt;"",IF('Capacity summary'!$D$14="Yes",IF(COUNTBLANK('Capacity summary'!$H200:$BG200)&lt;52,IF('Capacity summary'!BB200&lt;&gt;"",IF(LOWER('Capacity summary'!BB200)="x",$BI81*BB81,VALUE('Capacity summary'!BB200)),0),BB81*$BI81),BB81*$BI81),0)</f>
        <v>0</v>
      </c>
      <c r="DF81" s="311">
        <f>IF($BI81&lt;&gt;"",IF('Capacity summary'!$D$14="Yes",IF(COUNTBLANK('Capacity summary'!$H200:$BG200)&lt;52,IF('Capacity summary'!BC200&lt;&gt;"",IF(LOWER('Capacity summary'!BC200)="x",$BI81*BC81,VALUE('Capacity summary'!BC200)),0),BC81*$BI81),BC81*$BI81),0)</f>
        <v>0</v>
      </c>
      <c r="DG81" s="311">
        <f>IF($BI81&lt;&gt;"",IF('Capacity summary'!$D$14="Yes",IF(COUNTBLANK('Capacity summary'!$H200:$BG200)&lt;52,IF('Capacity summary'!BD200&lt;&gt;"",IF(LOWER('Capacity summary'!BD200)="x",$BI81*BD81,VALUE('Capacity summary'!BD200)),0),BD81*$BI81),BD81*$BI81),0)</f>
        <v>0</v>
      </c>
      <c r="DH81" s="311">
        <f>IF($BI81&lt;&gt;"",IF('Capacity summary'!$D$14="Yes",IF(COUNTBLANK('Capacity summary'!$H200:$BG200)&lt;52,IF('Capacity summary'!BE200&lt;&gt;"",IF(LOWER('Capacity summary'!BE200)="x",$BI81*BE81,VALUE('Capacity summary'!BE200)),0),BE81*$BI81),BE81*$BI81),0)</f>
        <v>0</v>
      </c>
      <c r="DI81" s="311">
        <f>IF($BI81&lt;&gt;"",IF('Capacity summary'!$D$14="Yes",IF(COUNTBLANK('Capacity summary'!$H200:$BG200)&lt;52,IF('Capacity summary'!BF200&lt;&gt;"",IF(LOWER('Capacity summary'!BF200)="x",$BI81*BF81,VALUE('Capacity summary'!BF200)),0),BF81*$BI81),BF81*$BI81),0)</f>
        <v>0</v>
      </c>
      <c r="DJ81" s="311">
        <f>IF($BI81&lt;&gt;"",IF('Capacity summary'!$D$14="Yes",IF(COUNTBLANK('Capacity summary'!$H200:$BG200)&lt;52,IF('Capacity summary'!BG200&lt;&gt;"",IF(LOWER('Capacity summary'!BG200)="x",$BI81*BG81,VALUE('Capacity summary'!BG200)),0),BG81*$BI81),BG81*$BI81),0)</f>
        <v>0</v>
      </c>
      <c r="DK81" s="391">
        <f t="shared" si="4"/>
        <v>0</v>
      </c>
      <c r="DL81" s="136">
        <f t="shared" si="5"/>
        <v>0</v>
      </c>
      <c r="DM81" s="311" t="str">
        <f>Capacity!H93</f>
        <v/>
      </c>
    </row>
    <row r="82" spans="1:117" x14ac:dyDescent="0.2">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1">
        <f>IF($BI82&lt;&gt;"",IF('Capacity summary'!$D$14="Yes",IF(COUNTBLANK('Capacity summary'!$H201:$BG201)&lt;52,IF('Capacity summary'!H201&lt;&gt;"",IF(LOWER('Capacity summary'!H201)="x",$BI82*H82,VALUE('Capacity summary'!H201)),0),H82*$BI82),H82*$BI82),0)</f>
        <v>0</v>
      </c>
      <c r="BL82" s="311">
        <f>IF($BI82&lt;&gt;"",IF('Capacity summary'!$D$14="Yes",IF(COUNTBLANK('Capacity summary'!$H201:$BG201)&lt;52,IF('Capacity summary'!I201&lt;&gt;"",IF(LOWER('Capacity summary'!I201)="x",$BI82*I82,VALUE('Capacity summary'!I201)),0),I82*$BI82),I82*$BI82),0)</f>
        <v>0</v>
      </c>
      <c r="BM82" s="311">
        <f>IF($BI82&lt;&gt;"",IF('Capacity summary'!$D$14="Yes",IF(COUNTBLANK('Capacity summary'!$H201:$BG201)&lt;52,IF('Capacity summary'!J201&lt;&gt;"",IF(LOWER('Capacity summary'!J201)="x",$BI82*J82,VALUE('Capacity summary'!J201)),0),J82*$BI82),J82*$BI82),0)</f>
        <v>0</v>
      </c>
      <c r="BN82" s="311">
        <f>IF($BI82&lt;&gt;"",IF('Capacity summary'!$D$14="Yes",IF(COUNTBLANK('Capacity summary'!$H201:$BG201)&lt;52,IF('Capacity summary'!K201&lt;&gt;"",IF(LOWER('Capacity summary'!K201)="x",$BI82*K82,VALUE('Capacity summary'!K201)),0),K82*$BI82),K82*$BI82),0)</f>
        <v>0</v>
      </c>
      <c r="BO82" s="311">
        <f>IF($BI82&lt;&gt;"",IF('Capacity summary'!$D$14="Yes",IF(COUNTBLANK('Capacity summary'!$H201:$BG201)&lt;52,IF('Capacity summary'!L201&lt;&gt;"",IF(LOWER('Capacity summary'!L201)="x",$BI82*L82,VALUE('Capacity summary'!L201)),0),L82*$BI82),L82*$BI82),0)</f>
        <v>0</v>
      </c>
      <c r="BP82" s="311">
        <f>IF($BI82&lt;&gt;"",IF('Capacity summary'!$D$14="Yes",IF(COUNTBLANK('Capacity summary'!$H201:$BG201)&lt;52,IF('Capacity summary'!M201&lt;&gt;"",IF(LOWER('Capacity summary'!M201)="x",$BI82*M82,VALUE('Capacity summary'!M201)),0),M82*$BI82),M82*$BI82),0)</f>
        <v>0</v>
      </c>
      <c r="BQ82" s="311">
        <f>IF($BI82&lt;&gt;"",IF('Capacity summary'!$D$14="Yes",IF(COUNTBLANK('Capacity summary'!$H201:$BG201)&lt;52,IF('Capacity summary'!N201&lt;&gt;"",IF(LOWER('Capacity summary'!N201)="x",$BI82*N82,VALUE('Capacity summary'!N201)),0),N82*$BI82),N82*$BI82),0)</f>
        <v>0</v>
      </c>
      <c r="BR82" s="311">
        <f>IF($BI82&lt;&gt;"",IF('Capacity summary'!$D$14="Yes",IF(COUNTBLANK('Capacity summary'!$H201:$BG201)&lt;52,IF('Capacity summary'!O201&lt;&gt;"",IF(LOWER('Capacity summary'!O201)="x",$BI82*O82,VALUE('Capacity summary'!O201)),0),O82*$BI82),O82*$BI82),0)</f>
        <v>0</v>
      </c>
      <c r="BS82" s="311">
        <f>IF($BI82&lt;&gt;"",IF('Capacity summary'!$D$14="Yes",IF(COUNTBLANK('Capacity summary'!$H201:$BG201)&lt;52,IF('Capacity summary'!P201&lt;&gt;"",IF(LOWER('Capacity summary'!P201)="x",$BI82*P82,VALUE('Capacity summary'!P201)),0),P82*$BI82),P82*$BI82),0)</f>
        <v>0</v>
      </c>
      <c r="BT82" s="311">
        <f>IF($BI82&lt;&gt;"",IF('Capacity summary'!$D$14="Yes",IF(COUNTBLANK('Capacity summary'!$H201:$BG201)&lt;52,IF('Capacity summary'!Q201&lt;&gt;"",IF(LOWER('Capacity summary'!Q201)="x",$BI82*Q82,VALUE('Capacity summary'!Q201)),0),Q82*$BI82),Q82*$BI82),0)</f>
        <v>0</v>
      </c>
      <c r="BU82" s="311">
        <f>IF($BI82&lt;&gt;"",IF('Capacity summary'!$D$14="Yes",IF(COUNTBLANK('Capacity summary'!$H201:$BG201)&lt;52,IF('Capacity summary'!R201&lt;&gt;"",IF(LOWER('Capacity summary'!R201)="x",$BI82*R82,VALUE('Capacity summary'!R201)),0),R82*$BI82),R82*$BI82),0)</f>
        <v>0</v>
      </c>
      <c r="BV82" s="311">
        <f>IF($BI82&lt;&gt;"",IF('Capacity summary'!$D$14="Yes",IF(COUNTBLANK('Capacity summary'!$H201:$BG201)&lt;52,IF('Capacity summary'!S201&lt;&gt;"",IF(LOWER('Capacity summary'!S201)="x",$BI82*S82,VALUE('Capacity summary'!S201)),0),S82*$BI82),S82*$BI82),0)</f>
        <v>0</v>
      </c>
      <c r="BW82" s="311">
        <f>IF($BI82&lt;&gt;"",IF('Capacity summary'!$D$14="Yes",IF(COUNTBLANK('Capacity summary'!$H201:$BG201)&lt;52,IF('Capacity summary'!T201&lt;&gt;"",IF(LOWER('Capacity summary'!T201)="x",$BI82*T82,VALUE('Capacity summary'!T201)),0),T82*$BI82),T82*$BI82),0)</f>
        <v>0</v>
      </c>
      <c r="BX82" s="311">
        <f>IF($BI82&lt;&gt;"",IF('Capacity summary'!$D$14="Yes",IF(COUNTBLANK('Capacity summary'!$H201:$BG201)&lt;52,IF('Capacity summary'!U201&lt;&gt;"",IF(LOWER('Capacity summary'!U201)="x",$BI82*U82,VALUE('Capacity summary'!U201)),0),U82*$BI82),U82*$BI82),0)</f>
        <v>0</v>
      </c>
      <c r="BY82" s="311">
        <f>IF($BI82&lt;&gt;"",IF('Capacity summary'!$D$14="Yes",IF(COUNTBLANK('Capacity summary'!$H201:$BG201)&lt;52,IF('Capacity summary'!V201&lt;&gt;"",IF(LOWER('Capacity summary'!V201)="x",$BI82*V82,VALUE('Capacity summary'!V201)),0),V82*$BI82),V82*$BI82),0)</f>
        <v>0</v>
      </c>
      <c r="BZ82" s="311">
        <f>IF($BI82&lt;&gt;"",IF('Capacity summary'!$D$14="Yes",IF(COUNTBLANK('Capacity summary'!$H201:$BG201)&lt;52,IF('Capacity summary'!W201&lt;&gt;"",IF(LOWER('Capacity summary'!W201)="x",$BI82*W82,VALUE('Capacity summary'!W201)),0),W82*$BI82),W82*$BI82),0)</f>
        <v>0</v>
      </c>
      <c r="CA82" s="311">
        <f>IF($BI82&lt;&gt;"",IF('Capacity summary'!$D$14="Yes",IF(COUNTBLANK('Capacity summary'!$H201:$BG201)&lt;52,IF('Capacity summary'!X201&lt;&gt;"",IF(LOWER('Capacity summary'!X201)="x",$BI82*X82,VALUE('Capacity summary'!X201)),0),X82*$BI82),X82*$BI82),0)</f>
        <v>0</v>
      </c>
      <c r="CB82" s="311">
        <f>IF($BI82&lt;&gt;"",IF('Capacity summary'!$D$14="Yes",IF(COUNTBLANK('Capacity summary'!$H201:$BG201)&lt;52,IF('Capacity summary'!Y201&lt;&gt;"",IF(LOWER('Capacity summary'!Y201)="x",$BI82*Y82,VALUE('Capacity summary'!Y201)),0),Y82*$BI82),Y82*$BI82),0)</f>
        <v>0</v>
      </c>
      <c r="CC82" s="311">
        <f>IF($BI82&lt;&gt;"",IF('Capacity summary'!$D$14="Yes",IF(COUNTBLANK('Capacity summary'!$H201:$BG201)&lt;52,IF('Capacity summary'!Z201&lt;&gt;"",IF(LOWER('Capacity summary'!Z201)="x",$BI82*Z82,VALUE('Capacity summary'!Z201)),0),Z82*$BI82),Z82*$BI82),0)</f>
        <v>0</v>
      </c>
      <c r="CD82" s="311">
        <f>IF($BI82&lt;&gt;"",IF('Capacity summary'!$D$14="Yes",IF(COUNTBLANK('Capacity summary'!$H201:$BG201)&lt;52,IF('Capacity summary'!AA201&lt;&gt;"",IF(LOWER('Capacity summary'!AA201)="x",$BI82*AA82,VALUE('Capacity summary'!AA201)),0),AA82*$BI82),AA82*$BI82),0)</f>
        <v>0</v>
      </c>
      <c r="CE82" s="311">
        <f>IF($BI82&lt;&gt;"",IF('Capacity summary'!$D$14="Yes",IF(COUNTBLANK('Capacity summary'!$H201:$BG201)&lt;52,IF('Capacity summary'!AB201&lt;&gt;"",IF(LOWER('Capacity summary'!AB201)="x",$BI82*AB82,VALUE('Capacity summary'!AB201)),0),AB82*$BI82),AB82*$BI82),0)</f>
        <v>0</v>
      </c>
      <c r="CF82" s="311">
        <f>IF($BI82&lt;&gt;"",IF('Capacity summary'!$D$14="Yes",IF(COUNTBLANK('Capacity summary'!$H201:$BG201)&lt;52,IF('Capacity summary'!AC201&lt;&gt;"",IF(LOWER('Capacity summary'!AC201)="x",$BI82*AC82,VALUE('Capacity summary'!AC201)),0),AC82*$BI82),AC82*$BI82),0)</f>
        <v>0</v>
      </c>
      <c r="CG82" s="311">
        <f>IF($BI82&lt;&gt;"",IF('Capacity summary'!$D$14="Yes",IF(COUNTBLANK('Capacity summary'!$H201:$BG201)&lt;52,IF('Capacity summary'!AD201&lt;&gt;"",IF(LOWER('Capacity summary'!AD201)="x",$BI82*AD82,VALUE('Capacity summary'!AD201)),0),AD82*$BI82),AD82*$BI82),0)</f>
        <v>0</v>
      </c>
      <c r="CH82" s="311">
        <f>IF($BI82&lt;&gt;"",IF('Capacity summary'!$D$14="Yes",IF(COUNTBLANK('Capacity summary'!$H201:$BG201)&lt;52,IF('Capacity summary'!AE201&lt;&gt;"",IF(LOWER('Capacity summary'!AE201)="x",$BI82*AE82,VALUE('Capacity summary'!AE201)),0),AE82*$BI82),AE82*$BI82),0)</f>
        <v>0</v>
      </c>
      <c r="CI82" s="311">
        <f>IF($BI82&lt;&gt;"",IF('Capacity summary'!$D$14="Yes",IF(COUNTBLANK('Capacity summary'!$H201:$BG201)&lt;52,IF('Capacity summary'!AF201&lt;&gt;"",IF(LOWER('Capacity summary'!AF201)="x",$BI82*AF82,VALUE('Capacity summary'!AF201)),0),AF82*$BI82),AF82*$BI82),0)</f>
        <v>0</v>
      </c>
      <c r="CJ82" s="311">
        <f>IF($BI82&lt;&gt;"",IF('Capacity summary'!$D$14="Yes",IF(COUNTBLANK('Capacity summary'!$H201:$BG201)&lt;52,IF('Capacity summary'!AG201&lt;&gt;"",IF(LOWER('Capacity summary'!AG201)="x",$BI82*AG82,VALUE('Capacity summary'!AG201)),0),AG82*$BI82),AG82*$BI82),0)</f>
        <v>0</v>
      </c>
      <c r="CK82" s="311">
        <f>IF($BI82&lt;&gt;"",IF('Capacity summary'!$D$14="Yes",IF(COUNTBLANK('Capacity summary'!$H201:$BG201)&lt;52,IF('Capacity summary'!AH201&lt;&gt;"",IF(LOWER('Capacity summary'!AH201)="x",$BI82*AH82,VALUE('Capacity summary'!AH201)),0),AH82*$BI82),AH82*$BI82),0)</f>
        <v>0</v>
      </c>
      <c r="CL82" s="311">
        <f>IF($BI82&lt;&gt;"",IF('Capacity summary'!$D$14="Yes",IF(COUNTBLANK('Capacity summary'!$H201:$BG201)&lt;52,IF('Capacity summary'!AI201&lt;&gt;"",IF(LOWER('Capacity summary'!AI201)="x",$BI82*AI82,VALUE('Capacity summary'!AI201)),0),AI82*$BI82),AI82*$BI82),0)</f>
        <v>0</v>
      </c>
      <c r="CM82" s="311">
        <f>IF($BI82&lt;&gt;"",IF('Capacity summary'!$D$14="Yes",IF(COUNTBLANK('Capacity summary'!$H201:$BG201)&lt;52,IF('Capacity summary'!AJ201&lt;&gt;"",IF(LOWER('Capacity summary'!AJ201)="x",$BI82*AJ82,VALUE('Capacity summary'!AJ201)),0),AJ82*$BI82),AJ82*$BI82),0)</f>
        <v>0</v>
      </c>
      <c r="CN82" s="311">
        <f>IF($BI82&lt;&gt;"",IF('Capacity summary'!$D$14="Yes",IF(COUNTBLANK('Capacity summary'!$H201:$BG201)&lt;52,IF('Capacity summary'!AK201&lt;&gt;"",IF(LOWER('Capacity summary'!AK201)="x",$BI82*AK82,VALUE('Capacity summary'!AK201)),0),AK82*$BI82),AK82*$BI82),0)</f>
        <v>0</v>
      </c>
      <c r="CO82" s="311">
        <f>IF($BI82&lt;&gt;"",IF('Capacity summary'!$D$14="Yes",IF(COUNTBLANK('Capacity summary'!$H201:$BG201)&lt;52,IF('Capacity summary'!AL201&lt;&gt;"",IF(LOWER('Capacity summary'!AL201)="x",$BI82*AL82,VALUE('Capacity summary'!AL201)),0),AL82*$BI82),AL82*$BI82),0)</f>
        <v>0</v>
      </c>
      <c r="CP82" s="311">
        <f>IF($BI82&lt;&gt;"",IF('Capacity summary'!$D$14="Yes",IF(COUNTBLANK('Capacity summary'!$H201:$BG201)&lt;52,IF('Capacity summary'!AM201&lt;&gt;"",IF(LOWER('Capacity summary'!AM201)="x",$BI82*AM82,VALUE('Capacity summary'!AM201)),0),AM82*$BI82),AM82*$BI82),0)</f>
        <v>0</v>
      </c>
      <c r="CQ82" s="311">
        <f>IF($BI82&lt;&gt;"",IF('Capacity summary'!$D$14="Yes",IF(COUNTBLANK('Capacity summary'!$H201:$BG201)&lt;52,IF('Capacity summary'!AN201&lt;&gt;"",IF(LOWER('Capacity summary'!AN201)="x",$BI82*AN82,VALUE('Capacity summary'!AN201)),0),AN82*$BI82),AN82*$BI82),0)</f>
        <v>0</v>
      </c>
      <c r="CR82" s="311">
        <f>IF($BI82&lt;&gt;"",IF('Capacity summary'!$D$14="Yes",IF(COUNTBLANK('Capacity summary'!$H201:$BG201)&lt;52,IF('Capacity summary'!AO201&lt;&gt;"",IF(LOWER('Capacity summary'!AO201)="x",$BI82*AO82,VALUE('Capacity summary'!AO201)),0),AO82*$BI82),AO82*$BI82),0)</f>
        <v>0</v>
      </c>
      <c r="CS82" s="311">
        <f>IF($BI82&lt;&gt;"",IF('Capacity summary'!$D$14="Yes",IF(COUNTBLANK('Capacity summary'!$H201:$BG201)&lt;52,IF('Capacity summary'!AP201&lt;&gt;"",IF(LOWER('Capacity summary'!AP201)="x",$BI82*AP82,VALUE('Capacity summary'!AP201)),0),AP82*$BI82),AP82*$BI82),0)</f>
        <v>0</v>
      </c>
      <c r="CT82" s="311">
        <f>IF($BI82&lt;&gt;"",IF('Capacity summary'!$D$14="Yes",IF(COUNTBLANK('Capacity summary'!$H201:$BG201)&lt;52,IF('Capacity summary'!AQ201&lt;&gt;"",IF(LOWER('Capacity summary'!AQ201)="x",$BI82*AQ82,VALUE('Capacity summary'!AQ201)),0),AQ82*$BI82),AQ82*$BI82),0)</f>
        <v>0</v>
      </c>
      <c r="CU82" s="311">
        <f>IF($BI82&lt;&gt;"",IF('Capacity summary'!$D$14="Yes",IF(COUNTBLANK('Capacity summary'!$H201:$BG201)&lt;52,IF('Capacity summary'!AR201&lt;&gt;"",IF(LOWER('Capacity summary'!AR201)="x",$BI82*AR82,VALUE('Capacity summary'!AR201)),0),AR82*$BI82),AR82*$BI82),0)</f>
        <v>0</v>
      </c>
      <c r="CV82" s="311">
        <f>IF($BI82&lt;&gt;"",IF('Capacity summary'!$D$14="Yes",IF(COUNTBLANK('Capacity summary'!$H201:$BG201)&lt;52,IF('Capacity summary'!AS201&lt;&gt;"",IF(LOWER('Capacity summary'!AS201)="x",$BI82*AS82,VALUE('Capacity summary'!AS201)),0),AS82*$BI82),AS82*$BI82),0)</f>
        <v>0</v>
      </c>
      <c r="CW82" s="311">
        <f>IF($BI82&lt;&gt;"",IF('Capacity summary'!$D$14="Yes",IF(COUNTBLANK('Capacity summary'!$H201:$BG201)&lt;52,IF('Capacity summary'!AT201&lt;&gt;"",IF(LOWER('Capacity summary'!AT201)="x",$BI82*AT82,VALUE('Capacity summary'!AT201)),0),AT82*$BI82),AT82*$BI82),0)</f>
        <v>0</v>
      </c>
      <c r="CX82" s="311">
        <f>IF($BI82&lt;&gt;"",IF('Capacity summary'!$D$14="Yes",IF(COUNTBLANK('Capacity summary'!$H201:$BG201)&lt;52,IF('Capacity summary'!AU201&lt;&gt;"",IF(LOWER('Capacity summary'!AU201)="x",$BI82*AU82,VALUE('Capacity summary'!AU201)),0),AU82*$BI82),AU82*$BI82),0)</f>
        <v>0</v>
      </c>
      <c r="CY82" s="311">
        <f>IF($BI82&lt;&gt;"",IF('Capacity summary'!$D$14="Yes",IF(COUNTBLANK('Capacity summary'!$H201:$BG201)&lt;52,IF('Capacity summary'!AV201&lt;&gt;"",IF(LOWER('Capacity summary'!AV201)="x",$BI82*AV82,VALUE('Capacity summary'!AV201)),0),AV82*$BI82),AV82*$BI82),0)</f>
        <v>0</v>
      </c>
      <c r="CZ82" s="311">
        <f>IF($BI82&lt;&gt;"",IF('Capacity summary'!$D$14="Yes",IF(COUNTBLANK('Capacity summary'!$H201:$BG201)&lt;52,IF('Capacity summary'!AW201&lt;&gt;"",IF(LOWER('Capacity summary'!AW201)="x",$BI82*AW82,VALUE('Capacity summary'!AW201)),0),AW82*$BI82),AW82*$BI82),0)</f>
        <v>0</v>
      </c>
      <c r="DA82" s="311">
        <f>IF($BI82&lt;&gt;"",IF('Capacity summary'!$D$14="Yes",IF(COUNTBLANK('Capacity summary'!$H201:$BG201)&lt;52,IF('Capacity summary'!AX201&lt;&gt;"",IF(LOWER('Capacity summary'!AX201)="x",$BI82*AX82,VALUE('Capacity summary'!AX201)),0),AX82*$BI82),AX82*$BI82),0)</f>
        <v>0</v>
      </c>
      <c r="DB82" s="311">
        <f>IF($BI82&lt;&gt;"",IF('Capacity summary'!$D$14="Yes",IF(COUNTBLANK('Capacity summary'!$H201:$BG201)&lt;52,IF('Capacity summary'!AY201&lt;&gt;"",IF(LOWER('Capacity summary'!AY201)="x",$BI82*AY82,VALUE('Capacity summary'!AY201)),0),AY82*$BI82),AY82*$BI82),0)</f>
        <v>0</v>
      </c>
      <c r="DC82" s="311">
        <f>IF($BI82&lt;&gt;"",IF('Capacity summary'!$D$14="Yes",IF(COUNTBLANK('Capacity summary'!$H201:$BG201)&lt;52,IF('Capacity summary'!AZ201&lt;&gt;"",IF(LOWER('Capacity summary'!AZ201)="x",$BI82*AZ82,VALUE('Capacity summary'!AZ201)),0),AZ82*$BI82),AZ82*$BI82),0)</f>
        <v>0</v>
      </c>
      <c r="DD82" s="311">
        <f>IF($BI82&lt;&gt;"",IF('Capacity summary'!$D$14="Yes",IF(COUNTBLANK('Capacity summary'!$H201:$BG201)&lt;52,IF('Capacity summary'!BA201&lt;&gt;"",IF(LOWER('Capacity summary'!BA201)="x",$BI82*BA82,VALUE('Capacity summary'!BA201)),0),BA82*$BI82),BA82*$BI82),0)</f>
        <v>0</v>
      </c>
      <c r="DE82" s="311">
        <f>IF($BI82&lt;&gt;"",IF('Capacity summary'!$D$14="Yes",IF(COUNTBLANK('Capacity summary'!$H201:$BG201)&lt;52,IF('Capacity summary'!BB201&lt;&gt;"",IF(LOWER('Capacity summary'!BB201)="x",$BI82*BB82,VALUE('Capacity summary'!BB201)),0),BB82*$BI82),BB82*$BI82),0)</f>
        <v>0</v>
      </c>
      <c r="DF82" s="311">
        <f>IF($BI82&lt;&gt;"",IF('Capacity summary'!$D$14="Yes",IF(COUNTBLANK('Capacity summary'!$H201:$BG201)&lt;52,IF('Capacity summary'!BC201&lt;&gt;"",IF(LOWER('Capacity summary'!BC201)="x",$BI82*BC82,VALUE('Capacity summary'!BC201)),0),BC82*$BI82),BC82*$BI82),0)</f>
        <v>0</v>
      </c>
      <c r="DG82" s="311">
        <f>IF($BI82&lt;&gt;"",IF('Capacity summary'!$D$14="Yes",IF(COUNTBLANK('Capacity summary'!$H201:$BG201)&lt;52,IF('Capacity summary'!BD201&lt;&gt;"",IF(LOWER('Capacity summary'!BD201)="x",$BI82*BD82,VALUE('Capacity summary'!BD201)),0),BD82*$BI82),BD82*$BI82),0)</f>
        <v>0</v>
      </c>
      <c r="DH82" s="311">
        <f>IF($BI82&lt;&gt;"",IF('Capacity summary'!$D$14="Yes",IF(COUNTBLANK('Capacity summary'!$H201:$BG201)&lt;52,IF('Capacity summary'!BE201&lt;&gt;"",IF(LOWER('Capacity summary'!BE201)="x",$BI82*BE82,VALUE('Capacity summary'!BE201)),0),BE82*$BI82),BE82*$BI82),0)</f>
        <v>0</v>
      </c>
      <c r="DI82" s="311">
        <f>IF($BI82&lt;&gt;"",IF('Capacity summary'!$D$14="Yes",IF(COUNTBLANK('Capacity summary'!$H201:$BG201)&lt;52,IF('Capacity summary'!BF201&lt;&gt;"",IF(LOWER('Capacity summary'!BF201)="x",$BI82*BF82,VALUE('Capacity summary'!BF201)),0),BF82*$BI82),BF82*$BI82),0)</f>
        <v>0</v>
      </c>
      <c r="DJ82" s="311">
        <f>IF($BI82&lt;&gt;"",IF('Capacity summary'!$D$14="Yes",IF(COUNTBLANK('Capacity summary'!$H201:$BG201)&lt;52,IF('Capacity summary'!BG201&lt;&gt;"",IF(LOWER('Capacity summary'!BG201)="x",$BI82*BG82,VALUE('Capacity summary'!BG201)),0),BG82*$BI82),BG82*$BI82),0)</f>
        <v>0</v>
      </c>
      <c r="DK82" s="391">
        <f t="shared" si="4"/>
        <v>0</v>
      </c>
      <c r="DL82" s="136">
        <f t="shared" si="5"/>
        <v>0</v>
      </c>
      <c r="DM82" s="311" t="str">
        <f>Capacity!H94</f>
        <v/>
      </c>
    </row>
    <row r="83" spans="1:117" x14ac:dyDescent="0.2">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1">
        <f>IF($BI83&lt;&gt;"",IF('Capacity summary'!$D$14="Yes",IF(COUNTBLANK('Capacity summary'!$H202:$BG202)&lt;52,IF('Capacity summary'!H202&lt;&gt;"",IF(LOWER('Capacity summary'!H202)="x",$BI83*H83,VALUE('Capacity summary'!H202)),0),H83*$BI83),H83*$BI83),0)</f>
        <v>0</v>
      </c>
      <c r="BL83" s="311">
        <f>IF($BI83&lt;&gt;"",IF('Capacity summary'!$D$14="Yes",IF(COUNTBLANK('Capacity summary'!$H202:$BG202)&lt;52,IF('Capacity summary'!I202&lt;&gt;"",IF(LOWER('Capacity summary'!I202)="x",$BI83*I83,VALUE('Capacity summary'!I202)),0),I83*$BI83),I83*$BI83),0)</f>
        <v>0</v>
      </c>
      <c r="BM83" s="311">
        <f>IF($BI83&lt;&gt;"",IF('Capacity summary'!$D$14="Yes",IF(COUNTBLANK('Capacity summary'!$H202:$BG202)&lt;52,IF('Capacity summary'!J202&lt;&gt;"",IF(LOWER('Capacity summary'!J202)="x",$BI83*J83,VALUE('Capacity summary'!J202)),0),J83*$BI83),J83*$BI83),0)</f>
        <v>0</v>
      </c>
      <c r="BN83" s="311">
        <f>IF($BI83&lt;&gt;"",IF('Capacity summary'!$D$14="Yes",IF(COUNTBLANK('Capacity summary'!$H202:$BG202)&lt;52,IF('Capacity summary'!K202&lt;&gt;"",IF(LOWER('Capacity summary'!K202)="x",$BI83*K83,VALUE('Capacity summary'!K202)),0),K83*$BI83),K83*$BI83),0)</f>
        <v>0</v>
      </c>
      <c r="BO83" s="311">
        <f>IF($BI83&lt;&gt;"",IF('Capacity summary'!$D$14="Yes",IF(COUNTBLANK('Capacity summary'!$H202:$BG202)&lt;52,IF('Capacity summary'!L202&lt;&gt;"",IF(LOWER('Capacity summary'!L202)="x",$BI83*L83,VALUE('Capacity summary'!L202)),0),L83*$BI83),L83*$BI83),0)</f>
        <v>0</v>
      </c>
      <c r="BP83" s="311">
        <f>IF($BI83&lt;&gt;"",IF('Capacity summary'!$D$14="Yes",IF(COUNTBLANK('Capacity summary'!$H202:$BG202)&lt;52,IF('Capacity summary'!M202&lt;&gt;"",IF(LOWER('Capacity summary'!M202)="x",$BI83*M83,VALUE('Capacity summary'!M202)),0),M83*$BI83),M83*$BI83),0)</f>
        <v>0</v>
      </c>
      <c r="BQ83" s="311">
        <f>IF($BI83&lt;&gt;"",IF('Capacity summary'!$D$14="Yes",IF(COUNTBLANK('Capacity summary'!$H202:$BG202)&lt;52,IF('Capacity summary'!N202&lt;&gt;"",IF(LOWER('Capacity summary'!N202)="x",$BI83*N83,VALUE('Capacity summary'!N202)),0),N83*$BI83),N83*$BI83),0)</f>
        <v>0</v>
      </c>
      <c r="BR83" s="311">
        <f>IF($BI83&lt;&gt;"",IF('Capacity summary'!$D$14="Yes",IF(COUNTBLANK('Capacity summary'!$H202:$BG202)&lt;52,IF('Capacity summary'!O202&lt;&gt;"",IF(LOWER('Capacity summary'!O202)="x",$BI83*O83,VALUE('Capacity summary'!O202)),0),O83*$BI83),O83*$BI83),0)</f>
        <v>0</v>
      </c>
      <c r="BS83" s="311">
        <f>IF($BI83&lt;&gt;"",IF('Capacity summary'!$D$14="Yes",IF(COUNTBLANK('Capacity summary'!$H202:$BG202)&lt;52,IF('Capacity summary'!P202&lt;&gt;"",IF(LOWER('Capacity summary'!P202)="x",$BI83*P83,VALUE('Capacity summary'!P202)),0),P83*$BI83),P83*$BI83),0)</f>
        <v>0</v>
      </c>
      <c r="BT83" s="311">
        <f>IF($BI83&lt;&gt;"",IF('Capacity summary'!$D$14="Yes",IF(COUNTBLANK('Capacity summary'!$H202:$BG202)&lt;52,IF('Capacity summary'!Q202&lt;&gt;"",IF(LOWER('Capacity summary'!Q202)="x",$BI83*Q83,VALUE('Capacity summary'!Q202)),0),Q83*$BI83),Q83*$BI83),0)</f>
        <v>0</v>
      </c>
      <c r="BU83" s="311">
        <f>IF($BI83&lt;&gt;"",IF('Capacity summary'!$D$14="Yes",IF(COUNTBLANK('Capacity summary'!$H202:$BG202)&lt;52,IF('Capacity summary'!R202&lt;&gt;"",IF(LOWER('Capacity summary'!R202)="x",$BI83*R83,VALUE('Capacity summary'!R202)),0),R83*$BI83),R83*$BI83),0)</f>
        <v>0</v>
      </c>
      <c r="BV83" s="311">
        <f>IF($BI83&lt;&gt;"",IF('Capacity summary'!$D$14="Yes",IF(COUNTBLANK('Capacity summary'!$H202:$BG202)&lt;52,IF('Capacity summary'!S202&lt;&gt;"",IF(LOWER('Capacity summary'!S202)="x",$BI83*S83,VALUE('Capacity summary'!S202)),0),S83*$BI83),S83*$BI83),0)</f>
        <v>0</v>
      </c>
      <c r="BW83" s="311">
        <f>IF($BI83&lt;&gt;"",IF('Capacity summary'!$D$14="Yes",IF(COUNTBLANK('Capacity summary'!$H202:$BG202)&lt;52,IF('Capacity summary'!T202&lt;&gt;"",IF(LOWER('Capacity summary'!T202)="x",$BI83*T83,VALUE('Capacity summary'!T202)),0),T83*$BI83),T83*$BI83),0)</f>
        <v>0</v>
      </c>
      <c r="BX83" s="311">
        <f>IF($BI83&lt;&gt;"",IF('Capacity summary'!$D$14="Yes",IF(COUNTBLANK('Capacity summary'!$H202:$BG202)&lt;52,IF('Capacity summary'!U202&lt;&gt;"",IF(LOWER('Capacity summary'!U202)="x",$BI83*U83,VALUE('Capacity summary'!U202)),0),U83*$BI83),U83*$BI83),0)</f>
        <v>0</v>
      </c>
      <c r="BY83" s="311">
        <f>IF($BI83&lt;&gt;"",IF('Capacity summary'!$D$14="Yes",IF(COUNTBLANK('Capacity summary'!$H202:$BG202)&lt;52,IF('Capacity summary'!V202&lt;&gt;"",IF(LOWER('Capacity summary'!V202)="x",$BI83*V83,VALUE('Capacity summary'!V202)),0),V83*$BI83),V83*$BI83),0)</f>
        <v>0</v>
      </c>
      <c r="BZ83" s="311">
        <f>IF($BI83&lt;&gt;"",IF('Capacity summary'!$D$14="Yes",IF(COUNTBLANK('Capacity summary'!$H202:$BG202)&lt;52,IF('Capacity summary'!W202&lt;&gt;"",IF(LOWER('Capacity summary'!W202)="x",$BI83*W83,VALUE('Capacity summary'!W202)),0),W83*$BI83),W83*$BI83),0)</f>
        <v>0</v>
      </c>
      <c r="CA83" s="311">
        <f>IF($BI83&lt;&gt;"",IF('Capacity summary'!$D$14="Yes",IF(COUNTBLANK('Capacity summary'!$H202:$BG202)&lt;52,IF('Capacity summary'!X202&lt;&gt;"",IF(LOWER('Capacity summary'!X202)="x",$BI83*X83,VALUE('Capacity summary'!X202)),0),X83*$BI83),X83*$BI83),0)</f>
        <v>0</v>
      </c>
      <c r="CB83" s="311">
        <f>IF($BI83&lt;&gt;"",IF('Capacity summary'!$D$14="Yes",IF(COUNTBLANK('Capacity summary'!$H202:$BG202)&lt;52,IF('Capacity summary'!Y202&lt;&gt;"",IF(LOWER('Capacity summary'!Y202)="x",$BI83*Y83,VALUE('Capacity summary'!Y202)),0),Y83*$BI83),Y83*$BI83),0)</f>
        <v>0</v>
      </c>
      <c r="CC83" s="311">
        <f>IF($BI83&lt;&gt;"",IF('Capacity summary'!$D$14="Yes",IF(COUNTBLANK('Capacity summary'!$H202:$BG202)&lt;52,IF('Capacity summary'!Z202&lt;&gt;"",IF(LOWER('Capacity summary'!Z202)="x",$BI83*Z83,VALUE('Capacity summary'!Z202)),0),Z83*$BI83),Z83*$BI83),0)</f>
        <v>0</v>
      </c>
      <c r="CD83" s="311">
        <f>IF($BI83&lt;&gt;"",IF('Capacity summary'!$D$14="Yes",IF(COUNTBLANK('Capacity summary'!$H202:$BG202)&lt;52,IF('Capacity summary'!AA202&lt;&gt;"",IF(LOWER('Capacity summary'!AA202)="x",$BI83*AA83,VALUE('Capacity summary'!AA202)),0),AA83*$BI83),AA83*$BI83),0)</f>
        <v>0</v>
      </c>
      <c r="CE83" s="311">
        <f>IF($BI83&lt;&gt;"",IF('Capacity summary'!$D$14="Yes",IF(COUNTBLANK('Capacity summary'!$H202:$BG202)&lt;52,IF('Capacity summary'!AB202&lt;&gt;"",IF(LOWER('Capacity summary'!AB202)="x",$BI83*AB83,VALUE('Capacity summary'!AB202)),0),AB83*$BI83),AB83*$BI83),0)</f>
        <v>0</v>
      </c>
      <c r="CF83" s="311">
        <f>IF($BI83&lt;&gt;"",IF('Capacity summary'!$D$14="Yes",IF(COUNTBLANK('Capacity summary'!$H202:$BG202)&lt;52,IF('Capacity summary'!AC202&lt;&gt;"",IF(LOWER('Capacity summary'!AC202)="x",$BI83*AC83,VALUE('Capacity summary'!AC202)),0),AC83*$BI83),AC83*$BI83),0)</f>
        <v>0</v>
      </c>
      <c r="CG83" s="311">
        <f>IF($BI83&lt;&gt;"",IF('Capacity summary'!$D$14="Yes",IF(COUNTBLANK('Capacity summary'!$H202:$BG202)&lt;52,IF('Capacity summary'!AD202&lt;&gt;"",IF(LOWER('Capacity summary'!AD202)="x",$BI83*AD83,VALUE('Capacity summary'!AD202)),0),AD83*$BI83),AD83*$BI83),0)</f>
        <v>0</v>
      </c>
      <c r="CH83" s="311">
        <f>IF($BI83&lt;&gt;"",IF('Capacity summary'!$D$14="Yes",IF(COUNTBLANK('Capacity summary'!$H202:$BG202)&lt;52,IF('Capacity summary'!AE202&lt;&gt;"",IF(LOWER('Capacity summary'!AE202)="x",$BI83*AE83,VALUE('Capacity summary'!AE202)),0),AE83*$BI83),AE83*$BI83),0)</f>
        <v>0</v>
      </c>
      <c r="CI83" s="311">
        <f>IF($BI83&lt;&gt;"",IF('Capacity summary'!$D$14="Yes",IF(COUNTBLANK('Capacity summary'!$H202:$BG202)&lt;52,IF('Capacity summary'!AF202&lt;&gt;"",IF(LOWER('Capacity summary'!AF202)="x",$BI83*AF83,VALUE('Capacity summary'!AF202)),0),AF83*$BI83),AF83*$BI83),0)</f>
        <v>0</v>
      </c>
      <c r="CJ83" s="311">
        <f>IF($BI83&lt;&gt;"",IF('Capacity summary'!$D$14="Yes",IF(COUNTBLANK('Capacity summary'!$H202:$BG202)&lt;52,IF('Capacity summary'!AG202&lt;&gt;"",IF(LOWER('Capacity summary'!AG202)="x",$BI83*AG83,VALUE('Capacity summary'!AG202)),0),AG83*$BI83),AG83*$BI83),0)</f>
        <v>0</v>
      </c>
      <c r="CK83" s="311">
        <f>IF($BI83&lt;&gt;"",IF('Capacity summary'!$D$14="Yes",IF(COUNTBLANK('Capacity summary'!$H202:$BG202)&lt;52,IF('Capacity summary'!AH202&lt;&gt;"",IF(LOWER('Capacity summary'!AH202)="x",$BI83*AH83,VALUE('Capacity summary'!AH202)),0),AH83*$BI83),AH83*$BI83),0)</f>
        <v>0</v>
      </c>
      <c r="CL83" s="311">
        <f>IF($BI83&lt;&gt;"",IF('Capacity summary'!$D$14="Yes",IF(COUNTBLANK('Capacity summary'!$H202:$BG202)&lt;52,IF('Capacity summary'!AI202&lt;&gt;"",IF(LOWER('Capacity summary'!AI202)="x",$BI83*AI83,VALUE('Capacity summary'!AI202)),0),AI83*$BI83),AI83*$BI83),0)</f>
        <v>0</v>
      </c>
      <c r="CM83" s="311">
        <f>IF($BI83&lt;&gt;"",IF('Capacity summary'!$D$14="Yes",IF(COUNTBLANK('Capacity summary'!$H202:$BG202)&lt;52,IF('Capacity summary'!AJ202&lt;&gt;"",IF(LOWER('Capacity summary'!AJ202)="x",$BI83*AJ83,VALUE('Capacity summary'!AJ202)),0),AJ83*$BI83),AJ83*$BI83),0)</f>
        <v>0</v>
      </c>
      <c r="CN83" s="311">
        <f>IF($BI83&lt;&gt;"",IF('Capacity summary'!$D$14="Yes",IF(COUNTBLANK('Capacity summary'!$H202:$BG202)&lt;52,IF('Capacity summary'!AK202&lt;&gt;"",IF(LOWER('Capacity summary'!AK202)="x",$BI83*AK83,VALUE('Capacity summary'!AK202)),0),AK83*$BI83),AK83*$BI83),0)</f>
        <v>0</v>
      </c>
      <c r="CO83" s="311">
        <f>IF($BI83&lt;&gt;"",IF('Capacity summary'!$D$14="Yes",IF(COUNTBLANK('Capacity summary'!$H202:$BG202)&lt;52,IF('Capacity summary'!AL202&lt;&gt;"",IF(LOWER('Capacity summary'!AL202)="x",$BI83*AL83,VALUE('Capacity summary'!AL202)),0),AL83*$BI83),AL83*$BI83),0)</f>
        <v>0</v>
      </c>
      <c r="CP83" s="311">
        <f>IF($BI83&lt;&gt;"",IF('Capacity summary'!$D$14="Yes",IF(COUNTBLANK('Capacity summary'!$H202:$BG202)&lt;52,IF('Capacity summary'!AM202&lt;&gt;"",IF(LOWER('Capacity summary'!AM202)="x",$BI83*AM83,VALUE('Capacity summary'!AM202)),0),AM83*$BI83),AM83*$BI83),0)</f>
        <v>0</v>
      </c>
      <c r="CQ83" s="311">
        <f>IF($BI83&lt;&gt;"",IF('Capacity summary'!$D$14="Yes",IF(COUNTBLANK('Capacity summary'!$H202:$BG202)&lt;52,IF('Capacity summary'!AN202&lt;&gt;"",IF(LOWER('Capacity summary'!AN202)="x",$BI83*AN83,VALUE('Capacity summary'!AN202)),0),AN83*$BI83),AN83*$BI83),0)</f>
        <v>0</v>
      </c>
      <c r="CR83" s="311">
        <f>IF($BI83&lt;&gt;"",IF('Capacity summary'!$D$14="Yes",IF(COUNTBLANK('Capacity summary'!$H202:$BG202)&lt;52,IF('Capacity summary'!AO202&lt;&gt;"",IF(LOWER('Capacity summary'!AO202)="x",$BI83*AO83,VALUE('Capacity summary'!AO202)),0),AO83*$BI83),AO83*$BI83),0)</f>
        <v>0</v>
      </c>
      <c r="CS83" s="311">
        <f>IF($BI83&lt;&gt;"",IF('Capacity summary'!$D$14="Yes",IF(COUNTBLANK('Capacity summary'!$H202:$BG202)&lt;52,IF('Capacity summary'!AP202&lt;&gt;"",IF(LOWER('Capacity summary'!AP202)="x",$BI83*AP83,VALUE('Capacity summary'!AP202)),0),AP83*$BI83),AP83*$BI83),0)</f>
        <v>0</v>
      </c>
      <c r="CT83" s="311">
        <f>IF($BI83&lt;&gt;"",IF('Capacity summary'!$D$14="Yes",IF(COUNTBLANK('Capacity summary'!$H202:$BG202)&lt;52,IF('Capacity summary'!AQ202&lt;&gt;"",IF(LOWER('Capacity summary'!AQ202)="x",$BI83*AQ83,VALUE('Capacity summary'!AQ202)),0),AQ83*$BI83),AQ83*$BI83),0)</f>
        <v>0</v>
      </c>
      <c r="CU83" s="311">
        <f>IF($BI83&lt;&gt;"",IF('Capacity summary'!$D$14="Yes",IF(COUNTBLANK('Capacity summary'!$H202:$BG202)&lt;52,IF('Capacity summary'!AR202&lt;&gt;"",IF(LOWER('Capacity summary'!AR202)="x",$BI83*AR83,VALUE('Capacity summary'!AR202)),0),AR83*$BI83),AR83*$BI83),0)</f>
        <v>0</v>
      </c>
      <c r="CV83" s="311">
        <f>IF($BI83&lt;&gt;"",IF('Capacity summary'!$D$14="Yes",IF(COUNTBLANK('Capacity summary'!$H202:$BG202)&lt;52,IF('Capacity summary'!AS202&lt;&gt;"",IF(LOWER('Capacity summary'!AS202)="x",$BI83*AS83,VALUE('Capacity summary'!AS202)),0),AS83*$BI83),AS83*$BI83),0)</f>
        <v>0</v>
      </c>
      <c r="CW83" s="311">
        <f>IF($BI83&lt;&gt;"",IF('Capacity summary'!$D$14="Yes",IF(COUNTBLANK('Capacity summary'!$H202:$BG202)&lt;52,IF('Capacity summary'!AT202&lt;&gt;"",IF(LOWER('Capacity summary'!AT202)="x",$BI83*AT83,VALUE('Capacity summary'!AT202)),0),AT83*$BI83),AT83*$BI83),0)</f>
        <v>0</v>
      </c>
      <c r="CX83" s="311">
        <f>IF($BI83&lt;&gt;"",IF('Capacity summary'!$D$14="Yes",IF(COUNTBLANK('Capacity summary'!$H202:$BG202)&lt;52,IF('Capacity summary'!AU202&lt;&gt;"",IF(LOWER('Capacity summary'!AU202)="x",$BI83*AU83,VALUE('Capacity summary'!AU202)),0),AU83*$BI83),AU83*$BI83),0)</f>
        <v>0</v>
      </c>
      <c r="CY83" s="311">
        <f>IF($BI83&lt;&gt;"",IF('Capacity summary'!$D$14="Yes",IF(COUNTBLANK('Capacity summary'!$H202:$BG202)&lt;52,IF('Capacity summary'!AV202&lt;&gt;"",IF(LOWER('Capacity summary'!AV202)="x",$BI83*AV83,VALUE('Capacity summary'!AV202)),0),AV83*$BI83),AV83*$BI83),0)</f>
        <v>0</v>
      </c>
      <c r="CZ83" s="311">
        <f>IF($BI83&lt;&gt;"",IF('Capacity summary'!$D$14="Yes",IF(COUNTBLANK('Capacity summary'!$H202:$BG202)&lt;52,IF('Capacity summary'!AW202&lt;&gt;"",IF(LOWER('Capacity summary'!AW202)="x",$BI83*AW83,VALUE('Capacity summary'!AW202)),0),AW83*$BI83),AW83*$BI83),0)</f>
        <v>0</v>
      </c>
      <c r="DA83" s="311">
        <f>IF($BI83&lt;&gt;"",IF('Capacity summary'!$D$14="Yes",IF(COUNTBLANK('Capacity summary'!$H202:$BG202)&lt;52,IF('Capacity summary'!AX202&lt;&gt;"",IF(LOWER('Capacity summary'!AX202)="x",$BI83*AX83,VALUE('Capacity summary'!AX202)),0),AX83*$BI83),AX83*$BI83),0)</f>
        <v>0</v>
      </c>
      <c r="DB83" s="311">
        <f>IF($BI83&lt;&gt;"",IF('Capacity summary'!$D$14="Yes",IF(COUNTBLANK('Capacity summary'!$H202:$BG202)&lt;52,IF('Capacity summary'!AY202&lt;&gt;"",IF(LOWER('Capacity summary'!AY202)="x",$BI83*AY83,VALUE('Capacity summary'!AY202)),0),AY83*$BI83),AY83*$BI83),0)</f>
        <v>0</v>
      </c>
      <c r="DC83" s="311">
        <f>IF($BI83&lt;&gt;"",IF('Capacity summary'!$D$14="Yes",IF(COUNTBLANK('Capacity summary'!$H202:$BG202)&lt;52,IF('Capacity summary'!AZ202&lt;&gt;"",IF(LOWER('Capacity summary'!AZ202)="x",$BI83*AZ83,VALUE('Capacity summary'!AZ202)),0),AZ83*$BI83),AZ83*$BI83),0)</f>
        <v>0</v>
      </c>
      <c r="DD83" s="311">
        <f>IF($BI83&lt;&gt;"",IF('Capacity summary'!$D$14="Yes",IF(COUNTBLANK('Capacity summary'!$H202:$BG202)&lt;52,IF('Capacity summary'!BA202&lt;&gt;"",IF(LOWER('Capacity summary'!BA202)="x",$BI83*BA83,VALUE('Capacity summary'!BA202)),0),BA83*$BI83),BA83*$BI83),0)</f>
        <v>0</v>
      </c>
      <c r="DE83" s="311">
        <f>IF($BI83&lt;&gt;"",IF('Capacity summary'!$D$14="Yes",IF(COUNTBLANK('Capacity summary'!$H202:$BG202)&lt;52,IF('Capacity summary'!BB202&lt;&gt;"",IF(LOWER('Capacity summary'!BB202)="x",$BI83*BB83,VALUE('Capacity summary'!BB202)),0),BB83*$BI83),BB83*$BI83),0)</f>
        <v>0</v>
      </c>
      <c r="DF83" s="311">
        <f>IF($BI83&lt;&gt;"",IF('Capacity summary'!$D$14="Yes",IF(COUNTBLANK('Capacity summary'!$H202:$BG202)&lt;52,IF('Capacity summary'!BC202&lt;&gt;"",IF(LOWER('Capacity summary'!BC202)="x",$BI83*BC83,VALUE('Capacity summary'!BC202)),0),BC83*$BI83),BC83*$BI83),0)</f>
        <v>0</v>
      </c>
      <c r="DG83" s="311">
        <f>IF($BI83&lt;&gt;"",IF('Capacity summary'!$D$14="Yes",IF(COUNTBLANK('Capacity summary'!$H202:$BG202)&lt;52,IF('Capacity summary'!BD202&lt;&gt;"",IF(LOWER('Capacity summary'!BD202)="x",$BI83*BD83,VALUE('Capacity summary'!BD202)),0),BD83*$BI83),BD83*$BI83),0)</f>
        <v>0</v>
      </c>
      <c r="DH83" s="311">
        <f>IF($BI83&lt;&gt;"",IF('Capacity summary'!$D$14="Yes",IF(COUNTBLANK('Capacity summary'!$H202:$BG202)&lt;52,IF('Capacity summary'!BE202&lt;&gt;"",IF(LOWER('Capacity summary'!BE202)="x",$BI83*BE83,VALUE('Capacity summary'!BE202)),0),BE83*$BI83),BE83*$BI83),0)</f>
        <v>0</v>
      </c>
      <c r="DI83" s="311">
        <f>IF($BI83&lt;&gt;"",IF('Capacity summary'!$D$14="Yes",IF(COUNTBLANK('Capacity summary'!$H202:$BG202)&lt;52,IF('Capacity summary'!BF202&lt;&gt;"",IF(LOWER('Capacity summary'!BF202)="x",$BI83*BF83,VALUE('Capacity summary'!BF202)),0),BF83*$BI83),BF83*$BI83),0)</f>
        <v>0</v>
      </c>
      <c r="DJ83" s="311">
        <f>IF($BI83&lt;&gt;"",IF('Capacity summary'!$D$14="Yes",IF(COUNTBLANK('Capacity summary'!$H202:$BG202)&lt;52,IF('Capacity summary'!BG202&lt;&gt;"",IF(LOWER('Capacity summary'!BG202)="x",$BI83*BG83,VALUE('Capacity summary'!BG202)),0),BG83*$BI83),BG83*$BI83),0)</f>
        <v>0</v>
      </c>
      <c r="DK83" s="391">
        <f t="shared" si="4"/>
        <v>0</v>
      </c>
      <c r="DL83" s="136">
        <f t="shared" si="5"/>
        <v>0</v>
      </c>
      <c r="DM83" s="311" t="str">
        <f>Capacity!H95</f>
        <v/>
      </c>
    </row>
    <row r="84" spans="1:117" x14ac:dyDescent="0.2">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1">
        <f>IF($BI84&lt;&gt;"",IF('Capacity summary'!$D$14="Yes",IF(COUNTBLANK('Capacity summary'!$H203:$BG203)&lt;52,IF('Capacity summary'!H203&lt;&gt;"",IF(LOWER('Capacity summary'!H203)="x",$BI84*H84,VALUE('Capacity summary'!H203)),0),H84*$BI84),H84*$BI84),0)</f>
        <v>0</v>
      </c>
      <c r="BL84" s="311">
        <f>IF($BI84&lt;&gt;"",IF('Capacity summary'!$D$14="Yes",IF(COUNTBLANK('Capacity summary'!$H203:$BG203)&lt;52,IF('Capacity summary'!I203&lt;&gt;"",IF(LOWER('Capacity summary'!I203)="x",$BI84*I84,VALUE('Capacity summary'!I203)),0),I84*$BI84),I84*$BI84),0)</f>
        <v>0</v>
      </c>
      <c r="BM84" s="311">
        <f>IF($BI84&lt;&gt;"",IF('Capacity summary'!$D$14="Yes",IF(COUNTBLANK('Capacity summary'!$H203:$BG203)&lt;52,IF('Capacity summary'!J203&lt;&gt;"",IF(LOWER('Capacity summary'!J203)="x",$BI84*J84,VALUE('Capacity summary'!J203)),0),J84*$BI84),J84*$BI84),0)</f>
        <v>0</v>
      </c>
      <c r="BN84" s="311">
        <f>IF($BI84&lt;&gt;"",IF('Capacity summary'!$D$14="Yes",IF(COUNTBLANK('Capacity summary'!$H203:$BG203)&lt;52,IF('Capacity summary'!K203&lt;&gt;"",IF(LOWER('Capacity summary'!K203)="x",$BI84*K84,VALUE('Capacity summary'!K203)),0),K84*$BI84),K84*$BI84),0)</f>
        <v>0</v>
      </c>
      <c r="BO84" s="311">
        <f>IF($BI84&lt;&gt;"",IF('Capacity summary'!$D$14="Yes",IF(COUNTBLANK('Capacity summary'!$H203:$BG203)&lt;52,IF('Capacity summary'!L203&lt;&gt;"",IF(LOWER('Capacity summary'!L203)="x",$BI84*L84,VALUE('Capacity summary'!L203)),0),L84*$BI84),L84*$BI84),0)</f>
        <v>0</v>
      </c>
      <c r="BP84" s="311">
        <f>IF($BI84&lt;&gt;"",IF('Capacity summary'!$D$14="Yes",IF(COUNTBLANK('Capacity summary'!$H203:$BG203)&lt;52,IF('Capacity summary'!M203&lt;&gt;"",IF(LOWER('Capacity summary'!M203)="x",$BI84*M84,VALUE('Capacity summary'!M203)),0),M84*$BI84),M84*$BI84),0)</f>
        <v>0</v>
      </c>
      <c r="BQ84" s="311">
        <f>IF($BI84&lt;&gt;"",IF('Capacity summary'!$D$14="Yes",IF(COUNTBLANK('Capacity summary'!$H203:$BG203)&lt;52,IF('Capacity summary'!N203&lt;&gt;"",IF(LOWER('Capacity summary'!N203)="x",$BI84*N84,VALUE('Capacity summary'!N203)),0),N84*$BI84),N84*$BI84),0)</f>
        <v>0</v>
      </c>
      <c r="BR84" s="311">
        <f>IF($BI84&lt;&gt;"",IF('Capacity summary'!$D$14="Yes",IF(COUNTBLANK('Capacity summary'!$H203:$BG203)&lt;52,IF('Capacity summary'!O203&lt;&gt;"",IF(LOWER('Capacity summary'!O203)="x",$BI84*O84,VALUE('Capacity summary'!O203)),0),O84*$BI84),O84*$BI84),0)</f>
        <v>0</v>
      </c>
      <c r="BS84" s="311">
        <f>IF($BI84&lt;&gt;"",IF('Capacity summary'!$D$14="Yes",IF(COUNTBLANK('Capacity summary'!$H203:$BG203)&lt;52,IF('Capacity summary'!P203&lt;&gt;"",IF(LOWER('Capacity summary'!P203)="x",$BI84*P84,VALUE('Capacity summary'!P203)),0),P84*$BI84),P84*$BI84),0)</f>
        <v>0</v>
      </c>
      <c r="BT84" s="311">
        <f>IF($BI84&lt;&gt;"",IF('Capacity summary'!$D$14="Yes",IF(COUNTBLANK('Capacity summary'!$H203:$BG203)&lt;52,IF('Capacity summary'!Q203&lt;&gt;"",IF(LOWER('Capacity summary'!Q203)="x",$BI84*Q84,VALUE('Capacity summary'!Q203)),0),Q84*$BI84),Q84*$BI84),0)</f>
        <v>0</v>
      </c>
      <c r="BU84" s="311">
        <f>IF($BI84&lt;&gt;"",IF('Capacity summary'!$D$14="Yes",IF(COUNTBLANK('Capacity summary'!$H203:$BG203)&lt;52,IF('Capacity summary'!R203&lt;&gt;"",IF(LOWER('Capacity summary'!R203)="x",$BI84*R84,VALUE('Capacity summary'!R203)),0),R84*$BI84),R84*$BI84),0)</f>
        <v>0</v>
      </c>
      <c r="BV84" s="311">
        <f>IF($BI84&lt;&gt;"",IF('Capacity summary'!$D$14="Yes",IF(COUNTBLANK('Capacity summary'!$H203:$BG203)&lt;52,IF('Capacity summary'!S203&lt;&gt;"",IF(LOWER('Capacity summary'!S203)="x",$BI84*S84,VALUE('Capacity summary'!S203)),0),S84*$BI84),S84*$BI84),0)</f>
        <v>0</v>
      </c>
      <c r="BW84" s="311">
        <f>IF($BI84&lt;&gt;"",IF('Capacity summary'!$D$14="Yes",IF(COUNTBLANK('Capacity summary'!$H203:$BG203)&lt;52,IF('Capacity summary'!T203&lt;&gt;"",IF(LOWER('Capacity summary'!T203)="x",$BI84*T84,VALUE('Capacity summary'!T203)),0),T84*$BI84),T84*$BI84),0)</f>
        <v>0</v>
      </c>
      <c r="BX84" s="311">
        <f>IF($BI84&lt;&gt;"",IF('Capacity summary'!$D$14="Yes",IF(COUNTBLANK('Capacity summary'!$H203:$BG203)&lt;52,IF('Capacity summary'!U203&lt;&gt;"",IF(LOWER('Capacity summary'!U203)="x",$BI84*U84,VALUE('Capacity summary'!U203)),0),U84*$BI84),U84*$BI84),0)</f>
        <v>0</v>
      </c>
      <c r="BY84" s="311">
        <f>IF($BI84&lt;&gt;"",IF('Capacity summary'!$D$14="Yes",IF(COUNTBLANK('Capacity summary'!$H203:$BG203)&lt;52,IF('Capacity summary'!V203&lt;&gt;"",IF(LOWER('Capacity summary'!V203)="x",$BI84*V84,VALUE('Capacity summary'!V203)),0),V84*$BI84),V84*$BI84),0)</f>
        <v>0</v>
      </c>
      <c r="BZ84" s="311">
        <f>IF($BI84&lt;&gt;"",IF('Capacity summary'!$D$14="Yes",IF(COUNTBLANK('Capacity summary'!$H203:$BG203)&lt;52,IF('Capacity summary'!W203&lt;&gt;"",IF(LOWER('Capacity summary'!W203)="x",$BI84*W84,VALUE('Capacity summary'!W203)),0),W84*$BI84),W84*$BI84),0)</f>
        <v>0</v>
      </c>
      <c r="CA84" s="311">
        <f>IF($BI84&lt;&gt;"",IF('Capacity summary'!$D$14="Yes",IF(COUNTBLANK('Capacity summary'!$H203:$BG203)&lt;52,IF('Capacity summary'!X203&lt;&gt;"",IF(LOWER('Capacity summary'!X203)="x",$BI84*X84,VALUE('Capacity summary'!X203)),0),X84*$BI84),X84*$BI84),0)</f>
        <v>0</v>
      </c>
      <c r="CB84" s="311">
        <f>IF($BI84&lt;&gt;"",IF('Capacity summary'!$D$14="Yes",IF(COUNTBLANK('Capacity summary'!$H203:$BG203)&lt;52,IF('Capacity summary'!Y203&lt;&gt;"",IF(LOWER('Capacity summary'!Y203)="x",$BI84*Y84,VALUE('Capacity summary'!Y203)),0),Y84*$BI84),Y84*$BI84),0)</f>
        <v>0</v>
      </c>
      <c r="CC84" s="311">
        <f>IF($BI84&lt;&gt;"",IF('Capacity summary'!$D$14="Yes",IF(COUNTBLANK('Capacity summary'!$H203:$BG203)&lt;52,IF('Capacity summary'!Z203&lt;&gt;"",IF(LOWER('Capacity summary'!Z203)="x",$BI84*Z84,VALUE('Capacity summary'!Z203)),0),Z84*$BI84),Z84*$BI84),0)</f>
        <v>0</v>
      </c>
      <c r="CD84" s="311">
        <f>IF($BI84&lt;&gt;"",IF('Capacity summary'!$D$14="Yes",IF(COUNTBLANK('Capacity summary'!$H203:$BG203)&lt;52,IF('Capacity summary'!AA203&lt;&gt;"",IF(LOWER('Capacity summary'!AA203)="x",$BI84*AA84,VALUE('Capacity summary'!AA203)),0),AA84*$BI84),AA84*$BI84),0)</f>
        <v>0</v>
      </c>
      <c r="CE84" s="311">
        <f>IF($BI84&lt;&gt;"",IF('Capacity summary'!$D$14="Yes",IF(COUNTBLANK('Capacity summary'!$H203:$BG203)&lt;52,IF('Capacity summary'!AB203&lt;&gt;"",IF(LOWER('Capacity summary'!AB203)="x",$BI84*AB84,VALUE('Capacity summary'!AB203)),0),AB84*$BI84),AB84*$BI84),0)</f>
        <v>0</v>
      </c>
      <c r="CF84" s="311">
        <f>IF($BI84&lt;&gt;"",IF('Capacity summary'!$D$14="Yes",IF(COUNTBLANK('Capacity summary'!$H203:$BG203)&lt;52,IF('Capacity summary'!AC203&lt;&gt;"",IF(LOWER('Capacity summary'!AC203)="x",$BI84*AC84,VALUE('Capacity summary'!AC203)),0),AC84*$BI84),AC84*$BI84),0)</f>
        <v>0</v>
      </c>
      <c r="CG84" s="311">
        <f>IF($BI84&lt;&gt;"",IF('Capacity summary'!$D$14="Yes",IF(COUNTBLANK('Capacity summary'!$H203:$BG203)&lt;52,IF('Capacity summary'!AD203&lt;&gt;"",IF(LOWER('Capacity summary'!AD203)="x",$BI84*AD84,VALUE('Capacity summary'!AD203)),0),AD84*$BI84),AD84*$BI84),0)</f>
        <v>0</v>
      </c>
      <c r="CH84" s="311">
        <f>IF($BI84&lt;&gt;"",IF('Capacity summary'!$D$14="Yes",IF(COUNTBLANK('Capacity summary'!$H203:$BG203)&lt;52,IF('Capacity summary'!AE203&lt;&gt;"",IF(LOWER('Capacity summary'!AE203)="x",$BI84*AE84,VALUE('Capacity summary'!AE203)),0),AE84*$BI84),AE84*$BI84),0)</f>
        <v>0</v>
      </c>
      <c r="CI84" s="311">
        <f>IF($BI84&lt;&gt;"",IF('Capacity summary'!$D$14="Yes",IF(COUNTBLANK('Capacity summary'!$H203:$BG203)&lt;52,IF('Capacity summary'!AF203&lt;&gt;"",IF(LOWER('Capacity summary'!AF203)="x",$BI84*AF84,VALUE('Capacity summary'!AF203)),0),AF84*$BI84),AF84*$BI84),0)</f>
        <v>0</v>
      </c>
      <c r="CJ84" s="311">
        <f>IF($BI84&lt;&gt;"",IF('Capacity summary'!$D$14="Yes",IF(COUNTBLANK('Capacity summary'!$H203:$BG203)&lt;52,IF('Capacity summary'!AG203&lt;&gt;"",IF(LOWER('Capacity summary'!AG203)="x",$BI84*AG84,VALUE('Capacity summary'!AG203)),0),AG84*$BI84),AG84*$BI84),0)</f>
        <v>0</v>
      </c>
      <c r="CK84" s="311">
        <f>IF($BI84&lt;&gt;"",IF('Capacity summary'!$D$14="Yes",IF(COUNTBLANK('Capacity summary'!$H203:$BG203)&lt;52,IF('Capacity summary'!AH203&lt;&gt;"",IF(LOWER('Capacity summary'!AH203)="x",$BI84*AH84,VALUE('Capacity summary'!AH203)),0),AH84*$BI84),AH84*$BI84),0)</f>
        <v>0</v>
      </c>
      <c r="CL84" s="311">
        <f>IF($BI84&lt;&gt;"",IF('Capacity summary'!$D$14="Yes",IF(COUNTBLANK('Capacity summary'!$H203:$BG203)&lt;52,IF('Capacity summary'!AI203&lt;&gt;"",IF(LOWER('Capacity summary'!AI203)="x",$BI84*AI84,VALUE('Capacity summary'!AI203)),0),AI84*$BI84),AI84*$BI84),0)</f>
        <v>0</v>
      </c>
      <c r="CM84" s="311">
        <f>IF($BI84&lt;&gt;"",IF('Capacity summary'!$D$14="Yes",IF(COUNTBLANK('Capacity summary'!$H203:$BG203)&lt;52,IF('Capacity summary'!AJ203&lt;&gt;"",IF(LOWER('Capacity summary'!AJ203)="x",$BI84*AJ84,VALUE('Capacity summary'!AJ203)),0),AJ84*$BI84),AJ84*$BI84),0)</f>
        <v>0</v>
      </c>
      <c r="CN84" s="311">
        <f>IF($BI84&lt;&gt;"",IF('Capacity summary'!$D$14="Yes",IF(COUNTBLANK('Capacity summary'!$H203:$BG203)&lt;52,IF('Capacity summary'!AK203&lt;&gt;"",IF(LOWER('Capacity summary'!AK203)="x",$BI84*AK84,VALUE('Capacity summary'!AK203)),0),AK84*$BI84),AK84*$BI84),0)</f>
        <v>0</v>
      </c>
      <c r="CO84" s="311">
        <f>IF($BI84&lt;&gt;"",IF('Capacity summary'!$D$14="Yes",IF(COUNTBLANK('Capacity summary'!$H203:$BG203)&lt;52,IF('Capacity summary'!AL203&lt;&gt;"",IF(LOWER('Capacity summary'!AL203)="x",$BI84*AL84,VALUE('Capacity summary'!AL203)),0),AL84*$BI84),AL84*$BI84),0)</f>
        <v>0</v>
      </c>
      <c r="CP84" s="311">
        <f>IF($BI84&lt;&gt;"",IF('Capacity summary'!$D$14="Yes",IF(COUNTBLANK('Capacity summary'!$H203:$BG203)&lt;52,IF('Capacity summary'!AM203&lt;&gt;"",IF(LOWER('Capacity summary'!AM203)="x",$BI84*AM84,VALUE('Capacity summary'!AM203)),0),AM84*$BI84),AM84*$BI84),0)</f>
        <v>0</v>
      </c>
      <c r="CQ84" s="311">
        <f>IF($BI84&lt;&gt;"",IF('Capacity summary'!$D$14="Yes",IF(COUNTBLANK('Capacity summary'!$H203:$BG203)&lt;52,IF('Capacity summary'!AN203&lt;&gt;"",IF(LOWER('Capacity summary'!AN203)="x",$BI84*AN84,VALUE('Capacity summary'!AN203)),0),AN84*$BI84),AN84*$BI84),0)</f>
        <v>0</v>
      </c>
      <c r="CR84" s="311">
        <f>IF($BI84&lt;&gt;"",IF('Capacity summary'!$D$14="Yes",IF(COUNTBLANK('Capacity summary'!$H203:$BG203)&lt;52,IF('Capacity summary'!AO203&lt;&gt;"",IF(LOWER('Capacity summary'!AO203)="x",$BI84*AO84,VALUE('Capacity summary'!AO203)),0),AO84*$BI84),AO84*$BI84),0)</f>
        <v>0</v>
      </c>
      <c r="CS84" s="311">
        <f>IF($BI84&lt;&gt;"",IF('Capacity summary'!$D$14="Yes",IF(COUNTBLANK('Capacity summary'!$H203:$BG203)&lt;52,IF('Capacity summary'!AP203&lt;&gt;"",IF(LOWER('Capacity summary'!AP203)="x",$BI84*AP84,VALUE('Capacity summary'!AP203)),0),AP84*$BI84),AP84*$BI84),0)</f>
        <v>0</v>
      </c>
      <c r="CT84" s="311">
        <f>IF($BI84&lt;&gt;"",IF('Capacity summary'!$D$14="Yes",IF(COUNTBLANK('Capacity summary'!$H203:$BG203)&lt;52,IF('Capacity summary'!AQ203&lt;&gt;"",IF(LOWER('Capacity summary'!AQ203)="x",$BI84*AQ84,VALUE('Capacity summary'!AQ203)),0),AQ84*$BI84),AQ84*$BI84),0)</f>
        <v>0</v>
      </c>
      <c r="CU84" s="311">
        <f>IF($BI84&lt;&gt;"",IF('Capacity summary'!$D$14="Yes",IF(COUNTBLANK('Capacity summary'!$H203:$BG203)&lt;52,IF('Capacity summary'!AR203&lt;&gt;"",IF(LOWER('Capacity summary'!AR203)="x",$BI84*AR84,VALUE('Capacity summary'!AR203)),0),AR84*$BI84),AR84*$BI84),0)</f>
        <v>0</v>
      </c>
      <c r="CV84" s="311">
        <f>IF($BI84&lt;&gt;"",IF('Capacity summary'!$D$14="Yes",IF(COUNTBLANK('Capacity summary'!$H203:$BG203)&lt;52,IF('Capacity summary'!AS203&lt;&gt;"",IF(LOWER('Capacity summary'!AS203)="x",$BI84*AS84,VALUE('Capacity summary'!AS203)),0),AS84*$BI84),AS84*$BI84),0)</f>
        <v>0</v>
      </c>
      <c r="CW84" s="311">
        <f>IF($BI84&lt;&gt;"",IF('Capacity summary'!$D$14="Yes",IF(COUNTBLANK('Capacity summary'!$H203:$BG203)&lt;52,IF('Capacity summary'!AT203&lt;&gt;"",IF(LOWER('Capacity summary'!AT203)="x",$BI84*AT84,VALUE('Capacity summary'!AT203)),0),AT84*$BI84),AT84*$BI84),0)</f>
        <v>0</v>
      </c>
      <c r="CX84" s="311">
        <f>IF($BI84&lt;&gt;"",IF('Capacity summary'!$D$14="Yes",IF(COUNTBLANK('Capacity summary'!$H203:$BG203)&lt;52,IF('Capacity summary'!AU203&lt;&gt;"",IF(LOWER('Capacity summary'!AU203)="x",$BI84*AU84,VALUE('Capacity summary'!AU203)),0),AU84*$BI84),AU84*$BI84),0)</f>
        <v>0</v>
      </c>
      <c r="CY84" s="311">
        <f>IF($BI84&lt;&gt;"",IF('Capacity summary'!$D$14="Yes",IF(COUNTBLANK('Capacity summary'!$H203:$BG203)&lt;52,IF('Capacity summary'!AV203&lt;&gt;"",IF(LOWER('Capacity summary'!AV203)="x",$BI84*AV84,VALUE('Capacity summary'!AV203)),0),AV84*$BI84),AV84*$BI84),0)</f>
        <v>0</v>
      </c>
      <c r="CZ84" s="311">
        <f>IF($BI84&lt;&gt;"",IF('Capacity summary'!$D$14="Yes",IF(COUNTBLANK('Capacity summary'!$H203:$BG203)&lt;52,IF('Capacity summary'!AW203&lt;&gt;"",IF(LOWER('Capacity summary'!AW203)="x",$BI84*AW84,VALUE('Capacity summary'!AW203)),0),AW84*$BI84),AW84*$BI84),0)</f>
        <v>0</v>
      </c>
      <c r="DA84" s="311">
        <f>IF($BI84&lt;&gt;"",IF('Capacity summary'!$D$14="Yes",IF(COUNTBLANK('Capacity summary'!$H203:$BG203)&lt;52,IF('Capacity summary'!AX203&lt;&gt;"",IF(LOWER('Capacity summary'!AX203)="x",$BI84*AX84,VALUE('Capacity summary'!AX203)),0),AX84*$BI84),AX84*$BI84),0)</f>
        <v>0</v>
      </c>
      <c r="DB84" s="311">
        <f>IF($BI84&lt;&gt;"",IF('Capacity summary'!$D$14="Yes",IF(COUNTBLANK('Capacity summary'!$H203:$BG203)&lt;52,IF('Capacity summary'!AY203&lt;&gt;"",IF(LOWER('Capacity summary'!AY203)="x",$BI84*AY84,VALUE('Capacity summary'!AY203)),0),AY84*$BI84),AY84*$BI84),0)</f>
        <v>0</v>
      </c>
      <c r="DC84" s="311">
        <f>IF($BI84&lt;&gt;"",IF('Capacity summary'!$D$14="Yes",IF(COUNTBLANK('Capacity summary'!$H203:$BG203)&lt;52,IF('Capacity summary'!AZ203&lt;&gt;"",IF(LOWER('Capacity summary'!AZ203)="x",$BI84*AZ84,VALUE('Capacity summary'!AZ203)),0),AZ84*$BI84),AZ84*$BI84),0)</f>
        <v>0</v>
      </c>
      <c r="DD84" s="311">
        <f>IF($BI84&lt;&gt;"",IF('Capacity summary'!$D$14="Yes",IF(COUNTBLANK('Capacity summary'!$H203:$BG203)&lt;52,IF('Capacity summary'!BA203&lt;&gt;"",IF(LOWER('Capacity summary'!BA203)="x",$BI84*BA84,VALUE('Capacity summary'!BA203)),0),BA84*$BI84),BA84*$BI84),0)</f>
        <v>0</v>
      </c>
      <c r="DE84" s="311">
        <f>IF($BI84&lt;&gt;"",IF('Capacity summary'!$D$14="Yes",IF(COUNTBLANK('Capacity summary'!$H203:$BG203)&lt;52,IF('Capacity summary'!BB203&lt;&gt;"",IF(LOWER('Capacity summary'!BB203)="x",$BI84*BB84,VALUE('Capacity summary'!BB203)),0),BB84*$BI84),BB84*$BI84),0)</f>
        <v>0</v>
      </c>
      <c r="DF84" s="311">
        <f>IF($BI84&lt;&gt;"",IF('Capacity summary'!$D$14="Yes",IF(COUNTBLANK('Capacity summary'!$H203:$BG203)&lt;52,IF('Capacity summary'!BC203&lt;&gt;"",IF(LOWER('Capacity summary'!BC203)="x",$BI84*BC84,VALUE('Capacity summary'!BC203)),0),BC84*$BI84),BC84*$BI84),0)</f>
        <v>0</v>
      </c>
      <c r="DG84" s="311">
        <f>IF($BI84&lt;&gt;"",IF('Capacity summary'!$D$14="Yes",IF(COUNTBLANK('Capacity summary'!$H203:$BG203)&lt;52,IF('Capacity summary'!BD203&lt;&gt;"",IF(LOWER('Capacity summary'!BD203)="x",$BI84*BD84,VALUE('Capacity summary'!BD203)),0),BD84*$BI84),BD84*$BI84),0)</f>
        <v>0</v>
      </c>
      <c r="DH84" s="311">
        <f>IF($BI84&lt;&gt;"",IF('Capacity summary'!$D$14="Yes",IF(COUNTBLANK('Capacity summary'!$H203:$BG203)&lt;52,IF('Capacity summary'!BE203&lt;&gt;"",IF(LOWER('Capacity summary'!BE203)="x",$BI84*BE84,VALUE('Capacity summary'!BE203)),0),BE84*$BI84),BE84*$BI84),0)</f>
        <v>0</v>
      </c>
      <c r="DI84" s="311">
        <f>IF($BI84&lt;&gt;"",IF('Capacity summary'!$D$14="Yes",IF(COUNTBLANK('Capacity summary'!$H203:$BG203)&lt;52,IF('Capacity summary'!BF203&lt;&gt;"",IF(LOWER('Capacity summary'!BF203)="x",$BI84*BF84,VALUE('Capacity summary'!BF203)),0),BF84*$BI84),BF84*$BI84),0)</f>
        <v>0</v>
      </c>
      <c r="DJ84" s="311">
        <f>IF($BI84&lt;&gt;"",IF('Capacity summary'!$D$14="Yes",IF(COUNTBLANK('Capacity summary'!$H203:$BG203)&lt;52,IF('Capacity summary'!BG203&lt;&gt;"",IF(LOWER('Capacity summary'!BG203)="x",$BI84*BG84,VALUE('Capacity summary'!BG203)),0),BG84*$BI84),BG84*$BI84),0)</f>
        <v>0</v>
      </c>
      <c r="DK84" s="391">
        <f t="shared" si="4"/>
        <v>0</v>
      </c>
      <c r="DL84" s="136">
        <f t="shared" si="5"/>
        <v>0</v>
      </c>
      <c r="DM84" s="311" t="str">
        <f>Capacity!H96</f>
        <v/>
      </c>
    </row>
    <row r="85" spans="1:117" x14ac:dyDescent="0.2">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1">
        <f>IF($BI85&lt;&gt;"",IF('Capacity summary'!$D$14="Yes",IF(COUNTBLANK('Capacity summary'!$H204:$BG204)&lt;52,IF('Capacity summary'!H204&lt;&gt;"",IF(LOWER('Capacity summary'!H204)="x",$BI85*H85,VALUE('Capacity summary'!H204)),0),H85*$BI85),H85*$BI85),0)</f>
        <v>0</v>
      </c>
      <c r="BL85" s="311">
        <f>IF($BI85&lt;&gt;"",IF('Capacity summary'!$D$14="Yes",IF(COUNTBLANK('Capacity summary'!$H204:$BG204)&lt;52,IF('Capacity summary'!I204&lt;&gt;"",IF(LOWER('Capacity summary'!I204)="x",$BI85*I85,VALUE('Capacity summary'!I204)),0),I85*$BI85),I85*$BI85),0)</f>
        <v>0</v>
      </c>
      <c r="BM85" s="311">
        <f>IF($BI85&lt;&gt;"",IF('Capacity summary'!$D$14="Yes",IF(COUNTBLANK('Capacity summary'!$H204:$BG204)&lt;52,IF('Capacity summary'!J204&lt;&gt;"",IF(LOWER('Capacity summary'!J204)="x",$BI85*J85,VALUE('Capacity summary'!J204)),0),J85*$BI85),J85*$BI85),0)</f>
        <v>0</v>
      </c>
      <c r="BN85" s="311">
        <f>IF($BI85&lt;&gt;"",IF('Capacity summary'!$D$14="Yes",IF(COUNTBLANK('Capacity summary'!$H204:$BG204)&lt;52,IF('Capacity summary'!K204&lt;&gt;"",IF(LOWER('Capacity summary'!K204)="x",$BI85*K85,VALUE('Capacity summary'!K204)),0),K85*$BI85),K85*$BI85),0)</f>
        <v>0</v>
      </c>
      <c r="BO85" s="311">
        <f>IF($BI85&lt;&gt;"",IF('Capacity summary'!$D$14="Yes",IF(COUNTBLANK('Capacity summary'!$H204:$BG204)&lt;52,IF('Capacity summary'!L204&lt;&gt;"",IF(LOWER('Capacity summary'!L204)="x",$BI85*L85,VALUE('Capacity summary'!L204)),0),L85*$BI85),L85*$BI85),0)</f>
        <v>0</v>
      </c>
      <c r="BP85" s="311">
        <f>IF($BI85&lt;&gt;"",IF('Capacity summary'!$D$14="Yes",IF(COUNTBLANK('Capacity summary'!$H204:$BG204)&lt;52,IF('Capacity summary'!M204&lt;&gt;"",IF(LOWER('Capacity summary'!M204)="x",$BI85*M85,VALUE('Capacity summary'!M204)),0),M85*$BI85),M85*$BI85),0)</f>
        <v>0</v>
      </c>
      <c r="BQ85" s="311">
        <f>IF($BI85&lt;&gt;"",IF('Capacity summary'!$D$14="Yes",IF(COUNTBLANK('Capacity summary'!$H204:$BG204)&lt;52,IF('Capacity summary'!N204&lt;&gt;"",IF(LOWER('Capacity summary'!N204)="x",$BI85*N85,VALUE('Capacity summary'!N204)),0),N85*$BI85),N85*$BI85),0)</f>
        <v>0</v>
      </c>
      <c r="BR85" s="311">
        <f>IF($BI85&lt;&gt;"",IF('Capacity summary'!$D$14="Yes",IF(COUNTBLANK('Capacity summary'!$H204:$BG204)&lt;52,IF('Capacity summary'!O204&lt;&gt;"",IF(LOWER('Capacity summary'!O204)="x",$BI85*O85,VALUE('Capacity summary'!O204)),0),O85*$BI85),O85*$BI85),0)</f>
        <v>0</v>
      </c>
      <c r="BS85" s="311">
        <f>IF($BI85&lt;&gt;"",IF('Capacity summary'!$D$14="Yes",IF(COUNTBLANK('Capacity summary'!$H204:$BG204)&lt;52,IF('Capacity summary'!P204&lt;&gt;"",IF(LOWER('Capacity summary'!P204)="x",$BI85*P85,VALUE('Capacity summary'!P204)),0),P85*$BI85),P85*$BI85),0)</f>
        <v>0</v>
      </c>
      <c r="BT85" s="311">
        <f>IF($BI85&lt;&gt;"",IF('Capacity summary'!$D$14="Yes",IF(COUNTBLANK('Capacity summary'!$H204:$BG204)&lt;52,IF('Capacity summary'!Q204&lt;&gt;"",IF(LOWER('Capacity summary'!Q204)="x",$BI85*Q85,VALUE('Capacity summary'!Q204)),0),Q85*$BI85),Q85*$BI85),0)</f>
        <v>0</v>
      </c>
      <c r="BU85" s="311">
        <f>IF($BI85&lt;&gt;"",IF('Capacity summary'!$D$14="Yes",IF(COUNTBLANK('Capacity summary'!$H204:$BG204)&lt;52,IF('Capacity summary'!R204&lt;&gt;"",IF(LOWER('Capacity summary'!R204)="x",$BI85*R85,VALUE('Capacity summary'!R204)),0),R85*$BI85),R85*$BI85),0)</f>
        <v>0</v>
      </c>
      <c r="BV85" s="311">
        <f>IF($BI85&lt;&gt;"",IF('Capacity summary'!$D$14="Yes",IF(COUNTBLANK('Capacity summary'!$H204:$BG204)&lt;52,IF('Capacity summary'!S204&lt;&gt;"",IF(LOWER('Capacity summary'!S204)="x",$BI85*S85,VALUE('Capacity summary'!S204)),0),S85*$BI85),S85*$BI85),0)</f>
        <v>0</v>
      </c>
      <c r="BW85" s="311">
        <f>IF($BI85&lt;&gt;"",IF('Capacity summary'!$D$14="Yes",IF(COUNTBLANK('Capacity summary'!$H204:$BG204)&lt;52,IF('Capacity summary'!T204&lt;&gt;"",IF(LOWER('Capacity summary'!T204)="x",$BI85*T85,VALUE('Capacity summary'!T204)),0),T85*$BI85),T85*$BI85),0)</f>
        <v>0</v>
      </c>
      <c r="BX85" s="311">
        <f>IF($BI85&lt;&gt;"",IF('Capacity summary'!$D$14="Yes",IF(COUNTBLANK('Capacity summary'!$H204:$BG204)&lt;52,IF('Capacity summary'!U204&lt;&gt;"",IF(LOWER('Capacity summary'!U204)="x",$BI85*U85,VALUE('Capacity summary'!U204)),0),U85*$BI85),U85*$BI85),0)</f>
        <v>0</v>
      </c>
      <c r="BY85" s="311">
        <f>IF($BI85&lt;&gt;"",IF('Capacity summary'!$D$14="Yes",IF(COUNTBLANK('Capacity summary'!$H204:$BG204)&lt;52,IF('Capacity summary'!V204&lt;&gt;"",IF(LOWER('Capacity summary'!V204)="x",$BI85*V85,VALUE('Capacity summary'!V204)),0),V85*$BI85),V85*$BI85),0)</f>
        <v>0</v>
      </c>
      <c r="BZ85" s="311">
        <f>IF($BI85&lt;&gt;"",IF('Capacity summary'!$D$14="Yes",IF(COUNTBLANK('Capacity summary'!$H204:$BG204)&lt;52,IF('Capacity summary'!W204&lt;&gt;"",IF(LOWER('Capacity summary'!W204)="x",$BI85*W85,VALUE('Capacity summary'!W204)),0),W85*$BI85),W85*$BI85),0)</f>
        <v>0</v>
      </c>
      <c r="CA85" s="311">
        <f>IF($BI85&lt;&gt;"",IF('Capacity summary'!$D$14="Yes",IF(COUNTBLANK('Capacity summary'!$H204:$BG204)&lt;52,IF('Capacity summary'!X204&lt;&gt;"",IF(LOWER('Capacity summary'!X204)="x",$BI85*X85,VALUE('Capacity summary'!X204)),0),X85*$BI85),X85*$BI85),0)</f>
        <v>0</v>
      </c>
      <c r="CB85" s="311">
        <f>IF($BI85&lt;&gt;"",IF('Capacity summary'!$D$14="Yes",IF(COUNTBLANK('Capacity summary'!$H204:$BG204)&lt;52,IF('Capacity summary'!Y204&lt;&gt;"",IF(LOWER('Capacity summary'!Y204)="x",$BI85*Y85,VALUE('Capacity summary'!Y204)),0),Y85*$BI85),Y85*$BI85),0)</f>
        <v>0</v>
      </c>
      <c r="CC85" s="311">
        <f>IF($BI85&lt;&gt;"",IF('Capacity summary'!$D$14="Yes",IF(COUNTBLANK('Capacity summary'!$H204:$BG204)&lt;52,IF('Capacity summary'!Z204&lt;&gt;"",IF(LOWER('Capacity summary'!Z204)="x",$BI85*Z85,VALUE('Capacity summary'!Z204)),0),Z85*$BI85),Z85*$BI85),0)</f>
        <v>0</v>
      </c>
      <c r="CD85" s="311">
        <f>IF($BI85&lt;&gt;"",IF('Capacity summary'!$D$14="Yes",IF(COUNTBLANK('Capacity summary'!$H204:$BG204)&lt;52,IF('Capacity summary'!AA204&lt;&gt;"",IF(LOWER('Capacity summary'!AA204)="x",$BI85*AA85,VALUE('Capacity summary'!AA204)),0),AA85*$BI85),AA85*$BI85),0)</f>
        <v>0</v>
      </c>
      <c r="CE85" s="311">
        <f>IF($BI85&lt;&gt;"",IF('Capacity summary'!$D$14="Yes",IF(COUNTBLANK('Capacity summary'!$H204:$BG204)&lt;52,IF('Capacity summary'!AB204&lt;&gt;"",IF(LOWER('Capacity summary'!AB204)="x",$BI85*AB85,VALUE('Capacity summary'!AB204)),0),AB85*$BI85),AB85*$BI85),0)</f>
        <v>0</v>
      </c>
      <c r="CF85" s="311">
        <f>IF($BI85&lt;&gt;"",IF('Capacity summary'!$D$14="Yes",IF(COUNTBLANK('Capacity summary'!$H204:$BG204)&lt;52,IF('Capacity summary'!AC204&lt;&gt;"",IF(LOWER('Capacity summary'!AC204)="x",$BI85*AC85,VALUE('Capacity summary'!AC204)),0),AC85*$BI85),AC85*$BI85),0)</f>
        <v>0</v>
      </c>
      <c r="CG85" s="311">
        <f>IF($BI85&lt;&gt;"",IF('Capacity summary'!$D$14="Yes",IF(COUNTBLANK('Capacity summary'!$H204:$BG204)&lt;52,IF('Capacity summary'!AD204&lt;&gt;"",IF(LOWER('Capacity summary'!AD204)="x",$BI85*AD85,VALUE('Capacity summary'!AD204)),0),AD85*$BI85),AD85*$BI85),0)</f>
        <v>0</v>
      </c>
      <c r="CH85" s="311">
        <f>IF($BI85&lt;&gt;"",IF('Capacity summary'!$D$14="Yes",IF(COUNTBLANK('Capacity summary'!$H204:$BG204)&lt;52,IF('Capacity summary'!AE204&lt;&gt;"",IF(LOWER('Capacity summary'!AE204)="x",$BI85*AE85,VALUE('Capacity summary'!AE204)),0),AE85*$BI85),AE85*$BI85),0)</f>
        <v>0</v>
      </c>
      <c r="CI85" s="311">
        <f>IF($BI85&lt;&gt;"",IF('Capacity summary'!$D$14="Yes",IF(COUNTBLANK('Capacity summary'!$H204:$BG204)&lt;52,IF('Capacity summary'!AF204&lt;&gt;"",IF(LOWER('Capacity summary'!AF204)="x",$BI85*AF85,VALUE('Capacity summary'!AF204)),0),AF85*$BI85),AF85*$BI85),0)</f>
        <v>0</v>
      </c>
      <c r="CJ85" s="311">
        <f>IF($BI85&lt;&gt;"",IF('Capacity summary'!$D$14="Yes",IF(COUNTBLANK('Capacity summary'!$H204:$BG204)&lt;52,IF('Capacity summary'!AG204&lt;&gt;"",IF(LOWER('Capacity summary'!AG204)="x",$BI85*AG85,VALUE('Capacity summary'!AG204)),0),AG85*$BI85),AG85*$BI85),0)</f>
        <v>0</v>
      </c>
      <c r="CK85" s="311">
        <f>IF($BI85&lt;&gt;"",IF('Capacity summary'!$D$14="Yes",IF(COUNTBLANK('Capacity summary'!$H204:$BG204)&lt;52,IF('Capacity summary'!AH204&lt;&gt;"",IF(LOWER('Capacity summary'!AH204)="x",$BI85*AH85,VALUE('Capacity summary'!AH204)),0),AH85*$BI85),AH85*$BI85),0)</f>
        <v>0</v>
      </c>
      <c r="CL85" s="311">
        <f>IF($BI85&lt;&gt;"",IF('Capacity summary'!$D$14="Yes",IF(COUNTBLANK('Capacity summary'!$H204:$BG204)&lt;52,IF('Capacity summary'!AI204&lt;&gt;"",IF(LOWER('Capacity summary'!AI204)="x",$BI85*AI85,VALUE('Capacity summary'!AI204)),0),AI85*$BI85),AI85*$BI85),0)</f>
        <v>0</v>
      </c>
      <c r="CM85" s="311">
        <f>IF($BI85&lt;&gt;"",IF('Capacity summary'!$D$14="Yes",IF(COUNTBLANK('Capacity summary'!$H204:$BG204)&lt;52,IF('Capacity summary'!AJ204&lt;&gt;"",IF(LOWER('Capacity summary'!AJ204)="x",$BI85*AJ85,VALUE('Capacity summary'!AJ204)),0),AJ85*$BI85),AJ85*$BI85),0)</f>
        <v>0</v>
      </c>
      <c r="CN85" s="311">
        <f>IF($BI85&lt;&gt;"",IF('Capacity summary'!$D$14="Yes",IF(COUNTBLANK('Capacity summary'!$H204:$BG204)&lt;52,IF('Capacity summary'!AK204&lt;&gt;"",IF(LOWER('Capacity summary'!AK204)="x",$BI85*AK85,VALUE('Capacity summary'!AK204)),0),AK85*$BI85),AK85*$BI85),0)</f>
        <v>0</v>
      </c>
      <c r="CO85" s="311">
        <f>IF($BI85&lt;&gt;"",IF('Capacity summary'!$D$14="Yes",IF(COUNTBLANK('Capacity summary'!$H204:$BG204)&lt;52,IF('Capacity summary'!AL204&lt;&gt;"",IF(LOWER('Capacity summary'!AL204)="x",$BI85*AL85,VALUE('Capacity summary'!AL204)),0),AL85*$BI85),AL85*$BI85),0)</f>
        <v>0</v>
      </c>
      <c r="CP85" s="311">
        <f>IF($BI85&lt;&gt;"",IF('Capacity summary'!$D$14="Yes",IF(COUNTBLANK('Capacity summary'!$H204:$BG204)&lt;52,IF('Capacity summary'!AM204&lt;&gt;"",IF(LOWER('Capacity summary'!AM204)="x",$BI85*AM85,VALUE('Capacity summary'!AM204)),0),AM85*$BI85),AM85*$BI85),0)</f>
        <v>0</v>
      </c>
      <c r="CQ85" s="311">
        <f>IF($BI85&lt;&gt;"",IF('Capacity summary'!$D$14="Yes",IF(COUNTBLANK('Capacity summary'!$H204:$BG204)&lt;52,IF('Capacity summary'!AN204&lt;&gt;"",IF(LOWER('Capacity summary'!AN204)="x",$BI85*AN85,VALUE('Capacity summary'!AN204)),0),AN85*$BI85),AN85*$BI85),0)</f>
        <v>0</v>
      </c>
      <c r="CR85" s="311">
        <f>IF($BI85&lt;&gt;"",IF('Capacity summary'!$D$14="Yes",IF(COUNTBLANK('Capacity summary'!$H204:$BG204)&lt;52,IF('Capacity summary'!AO204&lt;&gt;"",IF(LOWER('Capacity summary'!AO204)="x",$BI85*AO85,VALUE('Capacity summary'!AO204)),0),AO85*$BI85),AO85*$BI85),0)</f>
        <v>0</v>
      </c>
      <c r="CS85" s="311">
        <f>IF($BI85&lt;&gt;"",IF('Capacity summary'!$D$14="Yes",IF(COUNTBLANK('Capacity summary'!$H204:$BG204)&lt;52,IF('Capacity summary'!AP204&lt;&gt;"",IF(LOWER('Capacity summary'!AP204)="x",$BI85*AP85,VALUE('Capacity summary'!AP204)),0),AP85*$BI85),AP85*$BI85),0)</f>
        <v>0</v>
      </c>
      <c r="CT85" s="311">
        <f>IF($BI85&lt;&gt;"",IF('Capacity summary'!$D$14="Yes",IF(COUNTBLANK('Capacity summary'!$H204:$BG204)&lt;52,IF('Capacity summary'!AQ204&lt;&gt;"",IF(LOWER('Capacity summary'!AQ204)="x",$BI85*AQ85,VALUE('Capacity summary'!AQ204)),0),AQ85*$BI85),AQ85*$BI85),0)</f>
        <v>0</v>
      </c>
      <c r="CU85" s="311">
        <f>IF($BI85&lt;&gt;"",IF('Capacity summary'!$D$14="Yes",IF(COUNTBLANK('Capacity summary'!$H204:$BG204)&lt;52,IF('Capacity summary'!AR204&lt;&gt;"",IF(LOWER('Capacity summary'!AR204)="x",$BI85*AR85,VALUE('Capacity summary'!AR204)),0),AR85*$BI85),AR85*$BI85),0)</f>
        <v>0</v>
      </c>
      <c r="CV85" s="311">
        <f>IF($BI85&lt;&gt;"",IF('Capacity summary'!$D$14="Yes",IF(COUNTBLANK('Capacity summary'!$H204:$BG204)&lt;52,IF('Capacity summary'!AS204&lt;&gt;"",IF(LOWER('Capacity summary'!AS204)="x",$BI85*AS85,VALUE('Capacity summary'!AS204)),0),AS85*$BI85),AS85*$BI85),0)</f>
        <v>0</v>
      </c>
      <c r="CW85" s="311">
        <f>IF($BI85&lt;&gt;"",IF('Capacity summary'!$D$14="Yes",IF(COUNTBLANK('Capacity summary'!$H204:$BG204)&lt;52,IF('Capacity summary'!AT204&lt;&gt;"",IF(LOWER('Capacity summary'!AT204)="x",$BI85*AT85,VALUE('Capacity summary'!AT204)),0),AT85*$BI85),AT85*$BI85),0)</f>
        <v>0</v>
      </c>
      <c r="CX85" s="311">
        <f>IF($BI85&lt;&gt;"",IF('Capacity summary'!$D$14="Yes",IF(COUNTBLANK('Capacity summary'!$H204:$BG204)&lt;52,IF('Capacity summary'!AU204&lt;&gt;"",IF(LOWER('Capacity summary'!AU204)="x",$BI85*AU85,VALUE('Capacity summary'!AU204)),0),AU85*$BI85),AU85*$BI85),0)</f>
        <v>0</v>
      </c>
      <c r="CY85" s="311">
        <f>IF($BI85&lt;&gt;"",IF('Capacity summary'!$D$14="Yes",IF(COUNTBLANK('Capacity summary'!$H204:$BG204)&lt;52,IF('Capacity summary'!AV204&lt;&gt;"",IF(LOWER('Capacity summary'!AV204)="x",$BI85*AV85,VALUE('Capacity summary'!AV204)),0),AV85*$BI85),AV85*$BI85),0)</f>
        <v>0</v>
      </c>
      <c r="CZ85" s="311">
        <f>IF($BI85&lt;&gt;"",IF('Capacity summary'!$D$14="Yes",IF(COUNTBLANK('Capacity summary'!$H204:$BG204)&lt;52,IF('Capacity summary'!AW204&lt;&gt;"",IF(LOWER('Capacity summary'!AW204)="x",$BI85*AW85,VALUE('Capacity summary'!AW204)),0),AW85*$BI85),AW85*$BI85),0)</f>
        <v>0</v>
      </c>
      <c r="DA85" s="311">
        <f>IF($BI85&lt;&gt;"",IF('Capacity summary'!$D$14="Yes",IF(COUNTBLANK('Capacity summary'!$H204:$BG204)&lt;52,IF('Capacity summary'!AX204&lt;&gt;"",IF(LOWER('Capacity summary'!AX204)="x",$BI85*AX85,VALUE('Capacity summary'!AX204)),0),AX85*$BI85),AX85*$BI85),0)</f>
        <v>0</v>
      </c>
      <c r="DB85" s="311">
        <f>IF($BI85&lt;&gt;"",IF('Capacity summary'!$D$14="Yes",IF(COUNTBLANK('Capacity summary'!$H204:$BG204)&lt;52,IF('Capacity summary'!AY204&lt;&gt;"",IF(LOWER('Capacity summary'!AY204)="x",$BI85*AY85,VALUE('Capacity summary'!AY204)),0),AY85*$BI85),AY85*$BI85),0)</f>
        <v>0</v>
      </c>
      <c r="DC85" s="311">
        <f>IF($BI85&lt;&gt;"",IF('Capacity summary'!$D$14="Yes",IF(COUNTBLANK('Capacity summary'!$H204:$BG204)&lt;52,IF('Capacity summary'!AZ204&lt;&gt;"",IF(LOWER('Capacity summary'!AZ204)="x",$BI85*AZ85,VALUE('Capacity summary'!AZ204)),0),AZ85*$BI85),AZ85*$BI85),0)</f>
        <v>0</v>
      </c>
      <c r="DD85" s="311">
        <f>IF($BI85&lt;&gt;"",IF('Capacity summary'!$D$14="Yes",IF(COUNTBLANK('Capacity summary'!$H204:$BG204)&lt;52,IF('Capacity summary'!BA204&lt;&gt;"",IF(LOWER('Capacity summary'!BA204)="x",$BI85*BA85,VALUE('Capacity summary'!BA204)),0),BA85*$BI85),BA85*$BI85),0)</f>
        <v>0</v>
      </c>
      <c r="DE85" s="311">
        <f>IF($BI85&lt;&gt;"",IF('Capacity summary'!$D$14="Yes",IF(COUNTBLANK('Capacity summary'!$H204:$BG204)&lt;52,IF('Capacity summary'!BB204&lt;&gt;"",IF(LOWER('Capacity summary'!BB204)="x",$BI85*BB85,VALUE('Capacity summary'!BB204)),0),BB85*$BI85),BB85*$BI85),0)</f>
        <v>0</v>
      </c>
      <c r="DF85" s="311">
        <f>IF($BI85&lt;&gt;"",IF('Capacity summary'!$D$14="Yes",IF(COUNTBLANK('Capacity summary'!$H204:$BG204)&lt;52,IF('Capacity summary'!BC204&lt;&gt;"",IF(LOWER('Capacity summary'!BC204)="x",$BI85*BC85,VALUE('Capacity summary'!BC204)),0),BC85*$BI85),BC85*$BI85),0)</f>
        <v>0</v>
      </c>
      <c r="DG85" s="311">
        <f>IF($BI85&lt;&gt;"",IF('Capacity summary'!$D$14="Yes",IF(COUNTBLANK('Capacity summary'!$H204:$BG204)&lt;52,IF('Capacity summary'!BD204&lt;&gt;"",IF(LOWER('Capacity summary'!BD204)="x",$BI85*BD85,VALUE('Capacity summary'!BD204)),0),BD85*$BI85),BD85*$BI85),0)</f>
        <v>0</v>
      </c>
      <c r="DH85" s="311">
        <f>IF($BI85&lt;&gt;"",IF('Capacity summary'!$D$14="Yes",IF(COUNTBLANK('Capacity summary'!$H204:$BG204)&lt;52,IF('Capacity summary'!BE204&lt;&gt;"",IF(LOWER('Capacity summary'!BE204)="x",$BI85*BE85,VALUE('Capacity summary'!BE204)),0),BE85*$BI85),BE85*$BI85),0)</f>
        <v>0</v>
      </c>
      <c r="DI85" s="311">
        <f>IF($BI85&lt;&gt;"",IF('Capacity summary'!$D$14="Yes",IF(COUNTBLANK('Capacity summary'!$H204:$BG204)&lt;52,IF('Capacity summary'!BF204&lt;&gt;"",IF(LOWER('Capacity summary'!BF204)="x",$BI85*BF85,VALUE('Capacity summary'!BF204)),0),BF85*$BI85),BF85*$BI85),0)</f>
        <v>0</v>
      </c>
      <c r="DJ85" s="311">
        <f>IF($BI85&lt;&gt;"",IF('Capacity summary'!$D$14="Yes",IF(COUNTBLANK('Capacity summary'!$H204:$BG204)&lt;52,IF('Capacity summary'!BG204&lt;&gt;"",IF(LOWER('Capacity summary'!BG204)="x",$BI85*BG85,VALUE('Capacity summary'!BG204)),0),BG85*$BI85),BG85*$BI85),0)</f>
        <v>0</v>
      </c>
      <c r="DK85" s="391">
        <f t="shared" si="4"/>
        <v>0</v>
      </c>
      <c r="DL85" s="136">
        <f t="shared" si="5"/>
        <v>0</v>
      </c>
      <c r="DM85" s="311" t="str">
        <f>Capacity!H97</f>
        <v/>
      </c>
    </row>
    <row r="86" spans="1:117" x14ac:dyDescent="0.2">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1">
        <f>IF($BI86&lt;&gt;"",IF('Capacity summary'!$D$14="Yes",IF(COUNTBLANK('Capacity summary'!$H205:$BG205)&lt;52,IF('Capacity summary'!H205&lt;&gt;"",IF(LOWER('Capacity summary'!H205)="x",$BI86*H86,VALUE('Capacity summary'!H205)),0),H86*$BI86),H86*$BI86),0)</f>
        <v>0</v>
      </c>
      <c r="BL86" s="311">
        <f>IF($BI86&lt;&gt;"",IF('Capacity summary'!$D$14="Yes",IF(COUNTBLANK('Capacity summary'!$H205:$BG205)&lt;52,IF('Capacity summary'!I205&lt;&gt;"",IF(LOWER('Capacity summary'!I205)="x",$BI86*I86,VALUE('Capacity summary'!I205)),0),I86*$BI86),I86*$BI86),0)</f>
        <v>0</v>
      </c>
      <c r="BM86" s="311">
        <f>IF($BI86&lt;&gt;"",IF('Capacity summary'!$D$14="Yes",IF(COUNTBLANK('Capacity summary'!$H205:$BG205)&lt;52,IF('Capacity summary'!J205&lt;&gt;"",IF(LOWER('Capacity summary'!J205)="x",$BI86*J86,VALUE('Capacity summary'!J205)),0),J86*$BI86),J86*$BI86),0)</f>
        <v>0</v>
      </c>
      <c r="BN86" s="311">
        <f>IF($BI86&lt;&gt;"",IF('Capacity summary'!$D$14="Yes",IF(COUNTBLANK('Capacity summary'!$H205:$BG205)&lt;52,IF('Capacity summary'!K205&lt;&gt;"",IF(LOWER('Capacity summary'!K205)="x",$BI86*K86,VALUE('Capacity summary'!K205)),0),K86*$BI86),K86*$BI86),0)</f>
        <v>0</v>
      </c>
      <c r="BO86" s="311">
        <f>IF($BI86&lt;&gt;"",IF('Capacity summary'!$D$14="Yes",IF(COUNTBLANK('Capacity summary'!$H205:$BG205)&lt;52,IF('Capacity summary'!L205&lt;&gt;"",IF(LOWER('Capacity summary'!L205)="x",$BI86*L86,VALUE('Capacity summary'!L205)),0),L86*$BI86),L86*$BI86),0)</f>
        <v>0</v>
      </c>
      <c r="BP86" s="311">
        <f>IF($BI86&lt;&gt;"",IF('Capacity summary'!$D$14="Yes",IF(COUNTBLANK('Capacity summary'!$H205:$BG205)&lt;52,IF('Capacity summary'!M205&lt;&gt;"",IF(LOWER('Capacity summary'!M205)="x",$BI86*M86,VALUE('Capacity summary'!M205)),0),M86*$BI86),M86*$BI86),0)</f>
        <v>0</v>
      </c>
      <c r="BQ86" s="311">
        <f>IF($BI86&lt;&gt;"",IF('Capacity summary'!$D$14="Yes",IF(COUNTBLANK('Capacity summary'!$H205:$BG205)&lt;52,IF('Capacity summary'!N205&lt;&gt;"",IF(LOWER('Capacity summary'!N205)="x",$BI86*N86,VALUE('Capacity summary'!N205)),0),N86*$BI86),N86*$BI86),0)</f>
        <v>0</v>
      </c>
      <c r="BR86" s="311">
        <f>IF($BI86&lt;&gt;"",IF('Capacity summary'!$D$14="Yes",IF(COUNTBLANK('Capacity summary'!$H205:$BG205)&lt;52,IF('Capacity summary'!O205&lt;&gt;"",IF(LOWER('Capacity summary'!O205)="x",$BI86*O86,VALUE('Capacity summary'!O205)),0),O86*$BI86),O86*$BI86),0)</f>
        <v>0</v>
      </c>
      <c r="BS86" s="311">
        <f>IF($BI86&lt;&gt;"",IF('Capacity summary'!$D$14="Yes",IF(COUNTBLANK('Capacity summary'!$H205:$BG205)&lt;52,IF('Capacity summary'!P205&lt;&gt;"",IF(LOWER('Capacity summary'!P205)="x",$BI86*P86,VALUE('Capacity summary'!P205)),0),P86*$BI86),P86*$BI86),0)</f>
        <v>0</v>
      </c>
      <c r="BT86" s="311">
        <f>IF($BI86&lt;&gt;"",IF('Capacity summary'!$D$14="Yes",IF(COUNTBLANK('Capacity summary'!$H205:$BG205)&lt;52,IF('Capacity summary'!Q205&lt;&gt;"",IF(LOWER('Capacity summary'!Q205)="x",$BI86*Q86,VALUE('Capacity summary'!Q205)),0),Q86*$BI86),Q86*$BI86),0)</f>
        <v>0</v>
      </c>
      <c r="BU86" s="311">
        <f>IF($BI86&lt;&gt;"",IF('Capacity summary'!$D$14="Yes",IF(COUNTBLANK('Capacity summary'!$H205:$BG205)&lt;52,IF('Capacity summary'!R205&lt;&gt;"",IF(LOWER('Capacity summary'!R205)="x",$BI86*R86,VALUE('Capacity summary'!R205)),0),R86*$BI86),R86*$BI86),0)</f>
        <v>0</v>
      </c>
      <c r="BV86" s="311">
        <f>IF($BI86&lt;&gt;"",IF('Capacity summary'!$D$14="Yes",IF(COUNTBLANK('Capacity summary'!$H205:$BG205)&lt;52,IF('Capacity summary'!S205&lt;&gt;"",IF(LOWER('Capacity summary'!S205)="x",$BI86*S86,VALUE('Capacity summary'!S205)),0),S86*$BI86),S86*$BI86),0)</f>
        <v>0</v>
      </c>
      <c r="BW86" s="311">
        <f>IF($BI86&lt;&gt;"",IF('Capacity summary'!$D$14="Yes",IF(COUNTBLANK('Capacity summary'!$H205:$BG205)&lt;52,IF('Capacity summary'!T205&lt;&gt;"",IF(LOWER('Capacity summary'!T205)="x",$BI86*T86,VALUE('Capacity summary'!T205)),0),T86*$BI86),T86*$BI86),0)</f>
        <v>0</v>
      </c>
      <c r="BX86" s="311">
        <f>IF($BI86&lt;&gt;"",IF('Capacity summary'!$D$14="Yes",IF(COUNTBLANK('Capacity summary'!$H205:$BG205)&lt;52,IF('Capacity summary'!U205&lt;&gt;"",IF(LOWER('Capacity summary'!U205)="x",$BI86*U86,VALUE('Capacity summary'!U205)),0),U86*$BI86),U86*$BI86),0)</f>
        <v>0</v>
      </c>
      <c r="BY86" s="311">
        <f>IF($BI86&lt;&gt;"",IF('Capacity summary'!$D$14="Yes",IF(COUNTBLANK('Capacity summary'!$H205:$BG205)&lt;52,IF('Capacity summary'!V205&lt;&gt;"",IF(LOWER('Capacity summary'!V205)="x",$BI86*V86,VALUE('Capacity summary'!V205)),0),V86*$BI86),V86*$BI86),0)</f>
        <v>0</v>
      </c>
      <c r="BZ86" s="311">
        <f>IF($BI86&lt;&gt;"",IF('Capacity summary'!$D$14="Yes",IF(COUNTBLANK('Capacity summary'!$H205:$BG205)&lt;52,IF('Capacity summary'!W205&lt;&gt;"",IF(LOWER('Capacity summary'!W205)="x",$BI86*W86,VALUE('Capacity summary'!W205)),0),W86*$BI86),W86*$BI86),0)</f>
        <v>0</v>
      </c>
      <c r="CA86" s="311">
        <f>IF($BI86&lt;&gt;"",IF('Capacity summary'!$D$14="Yes",IF(COUNTBLANK('Capacity summary'!$H205:$BG205)&lt;52,IF('Capacity summary'!X205&lt;&gt;"",IF(LOWER('Capacity summary'!X205)="x",$BI86*X86,VALUE('Capacity summary'!X205)),0),X86*$BI86),X86*$BI86),0)</f>
        <v>0</v>
      </c>
      <c r="CB86" s="311">
        <f>IF($BI86&lt;&gt;"",IF('Capacity summary'!$D$14="Yes",IF(COUNTBLANK('Capacity summary'!$H205:$BG205)&lt;52,IF('Capacity summary'!Y205&lt;&gt;"",IF(LOWER('Capacity summary'!Y205)="x",$BI86*Y86,VALUE('Capacity summary'!Y205)),0),Y86*$BI86),Y86*$BI86),0)</f>
        <v>0</v>
      </c>
      <c r="CC86" s="311">
        <f>IF($BI86&lt;&gt;"",IF('Capacity summary'!$D$14="Yes",IF(COUNTBLANK('Capacity summary'!$H205:$BG205)&lt;52,IF('Capacity summary'!Z205&lt;&gt;"",IF(LOWER('Capacity summary'!Z205)="x",$BI86*Z86,VALUE('Capacity summary'!Z205)),0),Z86*$BI86),Z86*$BI86),0)</f>
        <v>0</v>
      </c>
      <c r="CD86" s="311">
        <f>IF($BI86&lt;&gt;"",IF('Capacity summary'!$D$14="Yes",IF(COUNTBLANK('Capacity summary'!$H205:$BG205)&lt;52,IF('Capacity summary'!AA205&lt;&gt;"",IF(LOWER('Capacity summary'!AA205)="x",$BI86*AA86,VALUE('Capacity summary'!AA205)),0),AA86*$BI86),AA86*$BI86),0)</f>
        <v>0</v>
      </c>
      <c r="CE86" s="311">
        <f>IF($BI86&lt;&gt;"",IF('Capacity summary'!$D$14="Yes",IF(COUNTBLANK('Capacity summary'!$H205:$BG205)&lt;52,IF('Capacity summary'!AB205&lt;&gt;"",IF(LOWER('Capacity summary'!AB205)="x",$BI86*AB86,VALUE('Capacity summary'!AB205)),0),AB86*$BI86),AB86*$BI86),0)</f>
        <v>0</v>
      </c>
      <c r="CF86" s="311">
        <f>IF($BI86&lt;&gt;"",IF('Capacity summary'!$D$14="Yes",IF(COUNTBLANK('Capacity summary'!$H205:$BG205)&lt;52,IF('Capacity summary'!AC205&lt;&gt;"",IF(LOWER('Capacity summary'!AC205)="x",$BI86*AC86,VALUE('Capacity summary'!AC205)),0),AC86*$BI86),AC86*$BI86),0)</f>
        <v>0</v>
      </c>
      <c r="CG86" s="311">
        <f>IF($BI86&lt;&gt;"",IF('Capacity summary'!$D$14="Yes",IF(COUNTBLANK('Capacity summary'!$H205:$BG205)&lt;52,IF('Capacity summary'!AD205&lt;&gt;"",IF(LOWER('Capacity summary'!AD205)="x",$BI86*AD86,VALUE('Capacity summary'!AD205)),0),AD86*$BI86),AD86*$BI86),0)</f>
        <v>0</v>
      </c>
      <c r="CH86" s="311">
        <f>IF($BI86&lt;&gt;"",IF('Capacity summary'!$D$14="Yes",IF(COUNTBLANK('Capacity summary'!$H205:$BG205)&lt;52,IF('Capacity summary'!AE205&lt;&gt;"",IF(LOWER('Capacity summary'!AE205)="x",$BI86*AE86,VALUE('Capacity summary'!AE205)),0),AE86*$BI86),AE86*$BI86),0)</f>
        <v>0</v>
      </c>
      <c r="CI86" s="311">
        <f>IF($BI86&lt;&gt;"",IF('Capacity summary'!$D$14="Yes",IF(COUNTBLANK('Capacity summary'!$H205:$BG205)&lt;52,IF('Capacity summary'!AF205&lt;&gt;"",IF(LOWER('Capacity summary'!AF205)="x",$BI86*AF86,VALUE('Capacity summary'!AF205)),0),AF86*$BI86),AF86*$BI86),0)</f>
        <v>0</v>
      </c>
      <c r="CJ86" s="311">
        <f>IF($BI86&lt;&gt;"",IF('Capacity summary'!$D$14="Yes",IF(COUNTBLANK('Capacity summary'!$H205:$BG205)&lt;52,IF('Capacity summary'!AG205&lt;&gt;"",IF(LOWER('Capacity summary'!AG205)="x",$BI86*AG86,VALUE('Capacity summary'!AG205)),0),AG86*$BI86),AG86*$BI86),0)</f>
        <v>0</v>
      </c>
      <c r="CK86" s="311">
        <f>IF($BI86&lt;&gt;"",IF('Capacity summary'!$D$14="Yes",IF(COUNTBLANK('Capacity summary'!$H205:$BG205)&lt;52,IF('Capacity summary'!AH205&lt;&gt;"",IF(LOWER('Capacity summary'!AH205)="x",$BI86*AH86,VALUE('Capacity summary'!AH205)),0),AH86*$BI86),AH86*$BI86),0)</f>
        <v>0</v>
      </c>
      <c r="CL86" s="311">
        <f>IF($BI86&lt;&gt;"",IF('Capacity summary'!$D$14="Yes",IF(COUNTBLANK('Capacity summary'!$H205:$BG205)&lt;52,IF('Capacity summary'!AI205&lt;&gt;"",IF(LOWER('Capacity summary'!AI205)="x",$BI86*AI86,VALUE('Capacity summary'!AI205)),0),AI86*$BI86),AI86*$BI86),0)</f>
        <v>0</v>
      </c>
      <c r="CM86" s="311">
        <f>IF($BI86&lt;&gt;"",IF('Capacity summary'!$D$14="Yes",IF(COUNTBLANK('Capacity summary'!$H205:$BG205)&lt;52,IF('Capacity summary'!AJ205&lt;&gt;"",IF(LOWER('Capacity summary'!AJ205)="x",$BI86*AJ86,VALUE('Capacity summary'!AJ205)),0),AJ86*$BI86),AJ86*$BI86),0)</f>
        <v>0</v>
      </c>
      <c r="CN86" s="311">
        <f>IF($BI86&lt;&gt;"",IF('Capacity summary'!$D$14="Yes",IF(COUNTBLANK('Capacity summary'!$H205:$BG205)&lt;52,IF('Capacity summary'!AK205&lt;&gt;"",IF(LOWER('Capacity summary'!AK205)="x",$BI86*AK86,VALUE('Capacity summary'!AK205)),0),AK86*$BI86),AK86*$BI86),0)</f>
        <v>0</v>
      </c>
      <c r="CO86" s="311">
        <f>IF($BI86&lt;&gt;"",IF('Capacity summary'!$D$14="Yes",IF(COUNTBLANK('Capacity summary'!$H205:$BG205)&lt;52,IF('Capacity summary'!AL205&lt;&gt;"",IF(LOWER('Capacity summary'!AL205)="x",$BI86*AL86,VALUE('Capacity summary'!AL205)),0),AL86*$BI86),AL86*$BI86),0)</f>
        <v>0</v>
      </c>
      <c r="CP86" s="311">
        <f>IF($BI86&lt;&gt;"",IF('Capacity summary'!$D$14="Yes",IF(COUNTBLANK('Capacity summary'!$H205:$BG205)&lt;52,IF('Capacity summary'!AM205&lt;&gt;"",IF(LOWER('Capacity summary'!AM205)="x",$BI86*AM86,VALUE('Capacity summary'!AM205)),0),AM86*$BI86),AM86*$BI86),0)</f>
        <v>0</v>
      </c>
      <c r="CQ86" s="311">
        <f>IF($BI86&lt;&gt;"",IF('Capacity summary'!$D$14="Yes",IF(COUNTBLANK('Capacity summary'!$H205:$BG205)&lt;52,IF('Capacity summary'!AN205&lt;&gt;"",IF(LOWER('Capacity summary'!AN205)="x",$BI86*AN86,VALUE('Capacity summary'!AN205)),0),AN86*$BI86),AN86*$BI86),0)</f>
        <v>0</v>
      </c>
      <c r="CR86" s="311">
        <f>IF($BI86&lt;&gt;"",IF('Capacity summary'!$D$14="Yes",IF(COUNTBLANK('Capacity summary'!$H205:$BG205)&lt;52,IF('Capacity summary'!AO205&lt;&gt;"",IF(LOWER('Capacity summary'!AO205)="x",$BI86*AO86,VALUE('Capacity summary'!AO205)),0),AO86*$BI86),AO86*$BI86),0)</f>
        <v>0</v>
      </c>
      <c r="CS86" s="311">
        <f>IF($BI86&lt;&gt;"",IF('Capacity summary'!$D$14="Yes",IF(COUNTBLANK('Capacity summary'!$H205:$BG205)&lt;52,IF('Capacity summary'!AP205&lt;&gt;"",IF(LOWER('Capacity summary'!AP205)="x",$BI86*AP86,VALUE('Capacity summary'!AP205)),0),AP86*$BI86),AP86*$BI86),0)</f>
        <v>0</v>
      </c>
      <c r="CT86" s="311">
        <f>IF($BI86&lt;&gt;"",IF('Capacity summary'!$D$14="Yes",IF(COUNTBLANK('Capacity summary'!$H205:$BG205)&lt;52,IF('Capacity summary'!AQ205&lt;&gt;"",IF(LOWER('Capacity summary'!AQ205)="x",$BI86*AQ86,VALUE('Capacity summary'!AQ205)),0),AQ86*$BI86),AQ86*$BI86),0)</f>
        <v>0</v>
      </c>
      <c r="CU86" s="311">
        <f>IF($BI86&lt;&gt;"",IF('Capacity summary'!$D$14="Yes",IF(COUNTBLANK('Capacity summary'!$H205:$BG205)&lt;52,IF('Capacity summary'!AR205&lt;&gt;"",IF(LOWER('Capacity summary'!AR205)="x",$BI86*AR86,VALUE('Capacity summary'!AR205)),0),AR86*$BI86),AR86*$BI86),0)</f>
        <v>0</v>
      </c>
      <c r="CV86" s="311">
        <f>IF($BI86&lt;&gt;"",IF('Capacity summary'!$D$14="Yes",IF(COUNTBLANK('Capacity summary'!$H205:$BG205)&lt;52,IF('Capacity summary'!AS205&lt;&gt;"",IF(LOWER('Capacity summary'!AS205)="x",$BI86*AS86,VALUE('Capacity summary'!AS205)),0),AS86*$BI86),AS86*$BI86),0)</f>
        <v>0</v>
      </c>
      <c r="CW86" s="311">
        <f>IF($BI86&lt;&gt;"",IF('Capacity summary'!$D$14="Yes",IF(COUNTBLANK('Capacity summary'!$H205:$BG205)&lt;52,IF('Capacity summary'!AT205&lt;&gt;"",IF(LOWER('Capacity summary'!AT205)="x",$BI86*AT86,VALUE('Capacity summary'!AT205)),0),AT86*$BI86),AT86*$BI86),0)</f>
        <v>0</v>
      </c>
      <c r="CX86" s="311">
        <f>IF($BI86&lt;&gt;"",IF('Capacity summary'!$D$14="Yes",IF(COUNTBLANK('Capacity summary'!$H205:$BG205)&lt;52,IF('Capacity summary'!AU205&lt;&gt;"",IF(LOWER('Capacity summary'!AU205)="x",$BI86*AU86,VALUE('Capacity summary'!AU205)),0),AU86*$BI86),AU86*$BI86),0)</f>
        <v>0</v>
      </c>
      <c r="CY86" s="311">
        <f>IF($BI86&lt;&gt;"",IF('Capacity summary'!$D$14="Yes",IF(COUNTBLANK('Capacity summary'!$H205:$BG205)&lt;52,IF('Capacity summary'!AV205&lt;&gt;"",IF(LOWER('Capacity summary'!AV205)="x",$BI86*AV86,VALUE('Capacity summary'!AV205)),0),AV86*$BI86),AV86*$BI86),0)</f>
        <v>0</v>
      </c>
      <c r="CZ86" s="311">
        <f>IF($BI86&lt;&gt;"",IF('Capacity summary'!$D$14="Yes",IF(COUNTBLANK('Capacity summary'!$H205:$BG205)&lt;52,IF('Capacity summary'!AW205&lt;&gt;"",IF(LOWER('Capacity summary'!AW205)="x",$BI86*AW86,VALUE('Capacity summary'!AW205)),0),AW86*$BI86),AW86*$BI86),0)</f>
        <v>0</v>
      </c>
      <c r="DA86" s="311">
        <f>IF($BI86&lt;&gt;"",IF('Capacity summary'!$D$14="Yes",IF(COUNTBLANK('Capacity summary'!$H205:$BG205)&lt;52,IF('Capacity summary'!AX205&lt;&gt;"",IF(LOWER('Capacity summary'!AX205)="x",$BI86*AX86,VALUE('Capacity summary'!AX205)),0),AX86*$BI86),AX86*$BI86),0)</f>
        <v>0</v>
      </c>
      <c r="DB86" s="311">
        <f>IF($BI86&lt;&gt;"",IF('Capacity summary'!$D$14="Yes",IF(COUNTBLANK('Capacity summary'!$H205:$BG205)&lt;52,IF('Capacity summary'!AY205&lt;&gt;"",IF(LOWER('Capacity summary'!AY205)="x",$BI86*AY86,VALUE('Capacity summary'!AY205)),0),AY86*$BI86),AY86*$BI86),0)</f>
        <v>0</v>
      </c>
      <c r="DC86" s="311">
        <f>IF($BI86&lt;&gt;"",IF('Capacity summary'!$D$14="Yes",IF(COUNTBLANK('Capacity summary'!$H205:$BG205)&lt;52,IF('Capacity summary'!AZ205&lt;&gt;"",IF(LOWER('Capacity summary'!AZ205)="x",$BI86*AZ86,VALUE('Capacity summary'!AZ205)),0),AZ86*$BI86),AZ86*$BI86),0)</f>
        <v>0</v>
      </c>
      <c r="DD86" s="311">
        <f>IF($BI86&lt;&gt;"",IF('Capacity summary'!$D$14="Yes",IF(COUNTBLANK('Capacity summary'!$H205:$BG205)&lt;52,IF('Capacity summary'!BA205&lt;&gt;"",IF(LOWER('Capacity summary'!BA205)="x",$BI86*BA86,VALUE('Capacity summary'!BA205)),0),BA86*$BI86),BA86*$BI86),0)</f>
        <v>0</v>
      </c>
      <c r="DE86" s="311">
        <f>IF($BI86&lt;&gt;"",IF('Capacity summary'!$D$14="Yes",IF(COUNTBLANK('Capacity summary'!$H205:$BG205)&lt;52,IF('Capacity summary'!BB205&lt;&gt;"",IF(LOWER('Capacity summary'!BB205)="x",$BI86*BB86,VALUE('Capacity summary'!BB205)),0),BB86*$BI86),BB86*$BI86),0)</f>
        <v>0</v>
      </c>
      <c r="DF86" s="311">
        <f>IF($BI86&lt;&gt;"",IF('Capacity summary'!$D$14="Yes",IF(COUNTBLANK('Capacity summary'!$H205:$BG205)&lt;52,IF('Capacity summary'!BC205&lt;&gt;"",IF(LOWER('Capacity summary'!BC205)="x",$BI86*BC86,VALUE('Capacity summary'!BC205)),0),BC86*$BI86),BC86*$BI86),0)</f>
        <v>0</v>
      </c>
      <c r="DG86" s="311">
        <f>IF($BI86&lt;&gt;"",IF('Capacity summary'!$D$14="Yes",IF(COUNTBLANK('Capacity summary'!$H205:$BG205)&lt;52,IF('Capacity summary'!BD205&lt;&gt;"",IF(LOWER('Capacity summary'!BD205)="x",$BI86*BD86,VALUE('Capacity summary'!BD205)),0),BD86*$BI86),BD86*$BI86),0)</f>
        <v>0</v>
      </c>
      <c r="DH86" s="311">
        <f>IF($BI86&lt;&gt;"",IF('Capacity summary'!$D$14="Yes",IF(COUNTBLANK('Capacity summary'!$H205:$BG205)&lt;52,IF('Capacity summary'!BE205&lt;&gt;"",IF(LOWER('Capacity summary'!BE205)="x",$BI86*BE86,VALUE('Capacity summary'!BE205)),0),BE86*$BI86),BE86*$BI86),0)</f>
        <v>0</v>
      </c>
      <c r="DI86" s="311">
        <f>IF($BI86&lt;&gt;"",IF('Capacity summary'!$D$14="Yes",IF(COUNTBLANK('Capacity summary'!$H205:$BG205)&lt;52,IF('Capacity summary'!BF205&lt;&gt;"",IF(LOWER('Capacity summary'!BF205)="x",$BI86*BF86,VALUE('Capacity summary'!BF205)),0),BF86*$BI86),BF86*$BI86),0)</f>
        <v>0</v>
      </c>
      <c r="DJ86" s="311">
        <f>IF($BI86&lt;&gt;"",IF('Capacity summary'!$D$14="Yes",IF(COUNTBLANK('Capacity summary'!$H205:$BG205)&lt;52,IF('Capacity summary'!BG205&lt;&gt;"",IF(LOWER('Capacity summary'!BG205)="x",$BI86*BG86,VALUE('Capacity summary'!BG205)),0),BG86*$BI86),BG86*$BI86),0)</f>
        <v>0</v>
      </c>
      <c r="DK86" s="391">
        <f t="shared" si="4"/>
        <v>0</v>
      </c>
      <c r="DL86" s="136">
        <f t="shared" si="5"/>
        <v>0</v>
      </c>
      <c r="DM86" s="311" t="str">
        <f>Capacity!H98</f>
        <v/>
      </c>
    </row>
    <row r="87" spans="1:117" x14ac:dyDescent="0.2">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1">
        <f>IF($BI87&lt;&gt;"",IF('Capacity summary'!$D$14="Yes",IF(COUNTBLANK('Capacity summary'!$H206:$BG206)&lt;52,IF('Capacity summary'!H206&lt;&gt;"",IF(LOWER('Capacity summary'!H206)="x",$BI87*H87,VALUE('Capacity summary'!H206)),0),H87*$BI87),H87*$BI87),0)</f>
        <v>0</v>
      </c>
      <c r="BL87" s="311">
        <f>IF($BI87&lt;&gt;"",IF('Capacity summary'!$D$14="Yes",IF(COUNTBLANK('Capacity summary'!$H206:$BG206)&lt;52,IF('Capacity summary'!I206&lt;&gt;"",IF(LOWER('Capacity summary'!I206)="x",$BI87*I87,VALUE('Capacity summary'!I206)),0),I87*$BI87),I87*$BI87),0)</f>
        <v>0</v>
      </c>
      <c r="BM87" s="311">
        <f>IF($BI87&lt;&gt;"",IF('Capacity summary'!$D$14="Yes",IF(COUNTBLANK('Capacity summary'!$H206:$BG206)&lt;52,IF('Capacity summary'!J206&lt;&gt;"",IF(LOWER('Capacity summary'!J206)="x",$BI87*J87,VALUE('Capacity summary'!J206)),0),J87*$BI87),J87*$BI87),0)</f>
        <v>0</v>
      </c>
      <c r="BN87" s="311">
        <f>IF($BI87&lt;&gt;"",IF('Capacity summary'!$D$14="Yes",IF(COUNTBLANK('Capacity summary'!$H206:$BG206)&lt;52,IF('Capacity summary'!K206&lt;&gt;"",IF(LOWER('Capacity summary'!K206)="x",$BI87*K87,VALUE('Capacity summary'!K206)),0),K87*$BI87),K87*$BI87),0)</f>
        <v>0</v>
      </c>
      <c r="BO87" s="311">
        <f>IF($BI87&lt;&gt;"",IF('Capacity summary'!$D$14="Yes",IF(COUNTBLANK('Capacity summary'!$H206:$BG206)&lt;52,IF('Capacity summary'!L206&lt;&gt;"",IF(LOWER('Capacity summary'!L206)="x",$BI87*L87,VALUE('Capacity summary'!L206)),0),L87*$BI87),L87*$BI87),0)</f>
        <v>0</v>
      </c>
      <c r="BP87" s="311">
        <f>IF($BI87&lt;&gt;"",IF('Capacity summary'!$D$14="Yes",IF(COUNTBLANK('Capacity summary'!$H206:$BG206)&lt;52,IF('Capacity summary'!M206&lt;&gt;"",IF(LOWER('Capacity summary'!M206)="x",$BI87*M87,VALUE('Capacity summary'!M206)),0),M87*$BI87),M87*$BI87),0)</f>
        <v>0</v>
      </c>
      <c r="BQ87" s="311">
        <f>IF($BI87&lt;&gt;"",IF('Capacity summary'!$D$14="Yes",IF(COUNTBLANK('Capacity summary'!$H206:$BG206)&lt;52,IF('Capacity summary'!N206&lt;&gt;"",IF(LOWER('Capacity summary'!N206)="x",$BI87*N87,VALUE('Capacity summary'!N206)),0),N87*$BI87),N87*$BI87),0)</f>
        <v>0</v>
      </c>
      <c r="BR87" s="311">
        <f>IF($BI87&lt;&gt;"",IF('Capacity summary'!$D$14="Yes",IF(COUNTBLANK('Capacity summary'!$H206:$BG206)&lt;52,IF('Capacity summary'!O206&lt;&gt;"",IF(LOWER('Capacity summary'!O206)="x",$BI87*O87,VALUE('Capacity summary'!O206)),0),O87*$BI87),O87*$BI87),0)</f>
        <v>0</v>
      </c>
      <c r="BS87" s="311">
        <f>IF($BI87&lt;&gt;"",IF('Capacity summary'!$D$14="Yes",IF(COUNTBLANK('Capacity summary'!$H206:$BG206)&lt;52,IF('Capacity summary'!P206&lt;&gt;"",IF(LOWER('Capacity summary'!P206)="x",$BI87*P87,VALUE('Capacity summary'!P206)),0),P87*$BI87),P87*$BI87),0)</f>
        <v>0</v>
      </c>
      <c r="BT87" s="311">
        <f>IF($BI87&lt;&gt;"",IF('Capacity summary'!$D$14="Yes",IF(COUNTBLANK('Capacity summary'!$H206:$BG206)&lt;52,IF('Capacity summary'!Q206&lt;&gt;"",IF(LOWER('Capacity summary'!Q206)="x",$BI87*Q87,VALUE('Capacity summary'!Q206)),0),Q87*$BI87),Q87*$BI87),0)</f>
        <v>0</v>
      </c>
      <c r="BU87" s="311">
        <f>IF($BI87&lt;&gt;"",IF('Capacity summary'!$D$14="Yes",IF(COUNTBLANK('Capacity summary'!$H206:$BG206)&lt;52,IF('Capacity summary'!R206&lt;&gt;"",IF(LOWER('Capacity summary'!R206)="x",$BI87*R87,VALUE('Capacity summary'!R206)),0),R87*$BI87),R87*$BI87),0)</f>
        <v>0</v>
      </c>
      <c r="BV87" s="311">
        <f>IF($BI87&lt;&gt;"",IF('Capacity summary'!$D$14="Yes",IF(COUNTBLANK('Capacity summary'!$H206:$BG206)&lt;52,IF('Capacity summary'!S206&lt;&gt;"",IF(LOWER('Capacity summary'!S206)="x",$BI87*S87,VALUE('Capacity summary'!S206)),0),S87*$BI87),S87*$BI87),0)</f>
        <v>0</v>
      </c>
      <c r="BW87" s="311">
        <f>IF($BI87&lt;&gt;"",IF('Capacity summary'!$D$14="Yes",IF(COUNTBLANK('Capacity summary'!$H206:$BG206)&lt;52,IF('Capacity summary'!T206&lt;&gt;"",IF(LOWER('Capacity summary'!T206)="x",$BI87*T87,VALUE('Capacity summary'!T206)),0),T87*$BI87),T87*$BI87),0)</f>
        <v>0</v>
      </c>
      <c r="BX87" s="311">
        <f>IF($BI87&lt;&gt;"",IF('Capacity summary'!$D$14="Yes",IF(COUNTBLANK('Capacity summary'!$H206:$BG206)&lt;52,IF('Capacity summary'!U206&lt;&gt;"",IF(LOWER('Capacity summary'!U206)="x",$BI87*U87,VALUE('Capacity summary'!U206)),0),U87*$BI87),U87*$BI87),0)</f>
        <v>0</v>
      </c>
      <c r="BY87" s="311">
        <f>IF($BI87&lt;&gt;"",IF('Capacity summary'!$D$14="Yes",IF(COUNTBLANK('Capacity summary'!$H206:$BG206)&lt;52,IF('Capacity summary'!V206&lt;&gt;"",IF(LOWER('Capacity summary'!V206)="x",$BI87*V87,VALUE('Capacity summary'!V206)),0),V87*$BI87),V87*$BI87),0)</f>
        <v>0</v>
      </c>
      <c r="BZ87" s="311">
        <f>IF($BI87&lt;&gt;"",IF('Capacity summary'!$D$14="Yes",IF(COUNTBLANK('Capacity summary'!$H206:$BG206)&lt;52,IF('Capacity summary'!W206&lt;&gt;"",IF(LOWER('Capacity summary'!W206)="x",$BI87*W87,VALUE('Capacity summary'!W206)),0),W87*$BI87),W87*$BI87),0)</f>
        <v>0</v>
      </c>
      <c r="CA87" s="311">
        <f>IF($BI87&lt;&gt;"",IF('Capacity summary'!$D$14="Yes",IF(COUNTBLANK('Capacity summary'!$H206:$BG206)&lt;52,IF('Capacity summary'!X206&lt;&gt;"",IF(LOWER('Capacity summary'!X206)="x",$BI87*X87,VALUE('Capacity summary'!X206)),0),X87*$BI87),X87*$BI87),0)</f>
        <v>0</v>
      </c>
      <c r="CB87" s="311">
        <f>IF($BI87&lt;&gt;"",IF('Capacity summary'!$D$14="Yes",IF(COUNTBLANK('Capacity summary'!$H206:$BG206)&lt;52,IF('Capacity summary'!Y206&lt;&gt;"",IF(LOWER('Capacity summary'!Y206)="x",$BI87*Y87,VALUE('Capacity summary'!Y206)),0),Y87*$BI87),Y87*$BI87),0)</f>
        <v>0</v>
      </c>
      <c r="CC87" s="311">
        <f>IF($BI87&lt;&gt;"",IF('Capacity summary'!$D$14="Yes",IF(COUNTBLANK('Capacity summary'!$H206:$BG206)&lt;52,IF('Capacity summary'!Z206&lt;&gt;"",IF(LOWER('Capacity summary'!Z206)="x",$BI87*Z87,VALUE('Capacity summary'!Z206)),0),Z87*$BI87),Z87*$BI87),0)</f>
        <v>0</v>
      </c>
      <c r="CD87" s="311">
        <f>IF($BI87&lt;&gt;"",IF('Capacity summary'!$D$14="Yes",IF(COUNTBLANK('Capacity summary'!$H206:$BG206)&lt;52,IF('Capacity summary'!AA206&lt;&gt;"",IF(LOWER('Capacity summary'!AA206)="x",$BI87*AA87,VALUE('Capacity summary'!AA206)),0),AA87*$BI87),AA87*$BI87),0)</f>
        <v>0</v>
      </c>
      <c r="CE87" s="311">
        <f>IF($BI87&lt;&gt;"",IF('Capacity summary'!$D$14="Yes",IF(COUNTBLANK('Capacity summary'!$H206:$BG206)&lt;52,IF('Capacity summary'!AB206&lt;&gt;"",IF(LOWER('Capacity summary'!AB206)="x",$BI87*AB87,VALUE('Capacity summary'!AB206)),0),AB87*$BI87),AB87*$BI87),0)</f>
        <v>0</v>
      </c>
      <c r="CF87" s="311">
        <f>IF($BI87&lt;&gt;"",IF('Capacity summary'!$D$14="Yes",IF(COUNTBLANK('Capacity summary'!$H206:$BG206)&lt;52,IF('Capacity summary'!AC206&lt;&gt;"",IF(LOWER('Capacity summary'!AC206)="x",$BI87*AC87,VALUE('Capacity summary'!AC206)),0),AC87*$BI87),AC87*$BI87),0)</f>
        <v>0</v>
      </c>
      <c r="CG87" s="311">
        <f>IF($BI87&lt;&gt;"",IF('Capacity summary'!$D$14="Yes",IF(COUNTBLANK('Capacity summary'!$H206:$BG206)&lt;52,IF('Capacity summary'!AD206&lt;&gt;"",IF(LOWER('Capacity summary'!AD206)="x",$BI87*AD87,VALUE('Capacity summary'!AD206)),0),AD87*$BI87),AD87*$BI87),0)</f>
        <v>0</v>
      </c>
      <c r="CH87" s="311">
        <f>IF($BI87&lt;&gt;"",IF('Capacity summary'!$D$14="Yes",IF(COUNTBLANK('Capacity summary'!$H206:$BG206)&lt;52,IF('Capacity summary'!AE206&lt;&gt;"",IF(LOWER('Capacity summary'!AE206)="x",$BI87*AE87,VALUE('Capacity summary'!AE206)),0),AE87*$BI87),AE87*$BI87),0)</f>
        <v>0</v>
      </c>
      <c r="CI87" s="311">
        <f>IF($BI87&lt;&gt;"",IF('Capacity summary'!$D$14="Yes",IF(COUNTBLANK('Capacity summary'!$H206:$BG206)&lt;52,IF('Capacity summary'!AF206&lt;&gt;"",IF(LOWER('Capacity summary'!AF206)="x",$BI87*AF87,VALUE('Capacity summary'!AF206)),0),AF87*$BI87),AF87*$BI87),0)</f>
        <v>0</v>
      </c>
      <c r="CJ87" s="311">
        <f>IF($BI87&lt;&gt;"",IF('Capacity summary'!$D$14="Yes",IF(COUNTBLANK('Capacity summary'!$H206:$BG206)&lt;52,IF('Capacity summary'!AG206&lt;&gt;"",IF(LOWER('Capacity summary'!AG206)="x",$BI87*AG87,VALUE('Capacity summary'!AG206)),0),AG87*$BI87),AG87*$BI87),0)</f>
        <v>0</v>
      </c>
      <c r="CK87" s="311">
        <f>IF($BI87&lt;&gt;"",IF('Capacity summary'!$D$14="Yes",IF(COUNTBLANK('Capacity summary'!$H206:$BG206)&lt;52,IF('Capacity summary'!AH206&lt;&gt;"",IF(LOWER('Capacity summary'!AH206)="x",$BI87*AH87,VALUE('Capacity summary'!AH206)),0),AH87*$BI87),AH87*$BI87),0)</f>
        <v>0</v>
      </c>
      <c r="CL87" s="311">
        <f>IF($BI87&lt;&gt;"",IF('Capacity summary'!$D$14="Yes",IF(COUNTBLANK('Capacity summary'!$H206:$BG206)&lt;52,IF('Capacity summary'!AI206&lt;&gt;"",IF(LOWER('Capacity summary'!AI206)="x",$BI87*AI87,VALUE('Capacity summary'!AI206)),0),AI87*$BI87),AI87*$BI87),0)</f>
        <v>0</v>
      </c>
      <c r="CM87" s="311">
        <f>IF($BI87&lt;&gt;"",IF('Capacity summary'!$D$14="Yes",IF(COUNTBLANK('Capacity summary'!$H206:$BG206)&lt;52,IF('Capacity summary'!AJ206&lt;&gt;"",IF(LOWER('Capacity summary'!AJ206)="x",$BI87*AJ87,VALUE('Capacity summary'!AJ206)),0),AJ87*$BI87),AJ87*$BI87),0)</f>
        <v>0</v>
      </c>
      <c r="CN87" s="311">
        <f>IF($BI87&lt;&gt;"",IF('Capacity summary'!$D$14="Yes",IF(COUNTBLANK('Capacity summary'!$H206:$BG206)&lt;52,IF('Capacity summary'!AK206&lt;&gt;"",IF(LOWER('Capacity summary'!AK206)="x",$BI87*AK87,VALUE('Capacity summary'!AK206)),0),AK87*$BI87),AK87*$BI87),0)</f>
        <v>0</v>
      </c>
      <c r="CO87" s="311">
        <f>IF($BI87&lt;&gt;"",IF('Capacity summary'!$D$14="Yes",IF(COUNTBLANK('Capacity summary'!$H206:$BG206)&lt;52,IF('Capacity summary'!AL206&lt;&gt;"",IF(LOWER('Capacity summary'!AL206)="x",$BI87*AL87,VALUE('Capacity summary'!AL206)),0),AL87*$BI87),AL87*$BI87),0)</f>
        <v>0</v>
      </c>
      <c r="CP87" s="311">
        <f>IF($BI87&lt;&gt;"",IF('Capacity summary'!$D$14="Yes",IF(COUNTBLANK('Capacity summary'!$H206:$BG206)&lt;52,IF('Capacity summary'!AM206&lt;&gt;"",IF(LOWER('Capacity summary'!AM206)="x",$BI87*AM87,VALUE('Capacity summary'!AM206)),0),AM87*$BI87),AM87*$BI87),0)</f>
        <v>0</v>
      </c>
      <c r="CQ87" s="311">
        <f>IF($BI87&lt;&gt;"",IF('Capacity summary'!$D$14="Yes",IF(COUNTBLANK('Capacity summary'!$H206:$BG206)&lt;52,IF('Capacity summary'!AN206&lt;&gt;"",IF(LOWER('Capacity summary'!AN206)="x",$BI87*AN87,VALUE('Capacity summary'!AN206)),0),AN87*$BI87),AN87*$BI87),0)</f>
        <v>0</v>
      </c>
      <c r="CR87" s="311">
        <f>IF($BI87&lt;&gt;"",IF('Capacity summary'!$D$14="Yes",IF(COUNTBLANK('Capacity summary'!$H206:$BG206)&lt;52,IF('Capacity summary'!AO206&lt;&gt;"",IF(LOWER('Capacity summary'!AO206)="x",$BI87*AO87,VALUE('Capacity summary'!AO206)),0),AO87*$BI87),AO87*$BI87),0)</f>
        <v>0</v>
      </c>
      <c r="CS87" s="311">
        <f>IF($BI87&lt;&gt;"",IF('Capacity summary'!$D$14="Yes",IF(COUNTBLANK('Capacity summary'!$H206:$BG206)&lt;52,IF('Capacity summary'!AP206&lt;&gt;"",IF(LOWER('Capacity summary'!AP206)="x",$BI87*AP87,VALUE('Capacity summary'!AP206)),0),AP87*$BI87),AP87*$BI87),0)</f>
        <v>0</v>
      </c>
      <c r="CT87" s="311">
        <f>IF($BI87&lt;&gt;"",IF('Capacity summary'!$D$14="Yes",IF(COUNTBLANK('Capacity summary'!$H206:$BG206)&lt;52,IF('Capacity summary'!AQ206&lt;&gt;"",IF(LOWER('Capacity summary'!AQ206)="x",$BI87*AQ87,VALUE('Capacity summary'!AQ206)),0),AQ87*$BI87),AQ87*$BI87),0)</f>
        <v>0</v>
      </c>
      <c r="CU87" s="311">
        <f>IF($BI87&lt;&gt;"",IF('Capacity summary'!$D$14="Yes",IF(COUNTBLANK('Capacity summary'!$H206:$BG206)&lt;52,IF('Capacity summary'!AR206&lt;&gt;"",IF(LOWER('Capacity summary'!AR206)="x",$BI87*AR87,VALUE('Capacity summary'!AR206)),0),AR87*$BI87),AR87*$BI87),0)</f>
        <v>0</v>
      </c>
      <c r="CV87" s="311">
        <f>IF($BI87&lt;&gt;"",IF('Capacity summary'!$D$14="Yes",IF(COUNTBLANK('Capacity summary'!$H206:$BG206)&lt;52,IF('Capacity summary'!AS206&lt;&gt;"",IF(LOWER('Capacity summary'!AS206)="x",$BI87*AS87,VALUE('Capacity summary'!AS206)),0),AS87*$BI87),AS87*$BI87),0)</f>
        <v>0</v>
      </c>
      <c r="CW87" s="311">
        <f>IF($BI87&lt;&gt;"",IF('Capacity summary'!$D$14="Yes",IF(COUNTBLANK('Capacity summary'!$H206:$BG206)&lt;52,IF('Capacity summary'!AT206&lt;&gt;"",IF(LOWER('Capacity summary'!AT206)="x",$BI87*AT87,VALUE('Capacity summary'!AT206)),0),AT87*$BI87),AT87*$BI87),0)</f>
        <v>0</v>
      </c>
      <c r="CX87" s="311">
        <f>IF($BI87&lt;&gt;"",IF('Capacity summary'!$D$14="Yes",IF(COUNTBLANK('Capacity summary'!$H206:$BG206)&lt;52,IF('Capacity summary'!AU206&lt;&gt;"",IF(LOWER('Capacity summary'!AU206)="x",$BI87*AU87,VALUE('Capacity summary'!AU206)),0),AU87*$BI87),AU87*$BI87),0)</f>
        <v>0</v>
      </c>
      <c r="CY87" s="311">
        <f>IF($BI87&lt;&gt;"",IF('Capacity summary'!$D$14="Yes",IF(COUNTBLANK('Capacity summary'!$H206:$BG206)&lt;52,IF('Capacity summary'!AV206&lt;&gt;"",IF(LOWER('Capacity summary'!AV206)="x",$BI87*AV87,VALUE('Capacity summary'!AV206)),0),AV87*$BI87),AV87*$BI87),0)</f>
        <v>0</v>
      </c>
      <c r="CZ87" s="311">
        <f>IF($BI87&lt;&gt;"",IF('Capacity summary'!$D$14="Yes",IF(COUNTBLANK('Capacity summary'!$H206:$BG206)&lt;52,IF('Capacity summary'!AW206&lt;&gt;"",IF(LOWER('Capacity summary'!AW206)="x",$BI87*AW87,VALUE('Capacity summary'!AW206)),0),AW87*$BI87),AW87*$BI87),0)</f>
        <v>0</v>
      </c>
      <c r="DA87" s="311">
        <f>IF($BI87&lt;&gt;"",IF('Capacity summary'!$D$14="Yes",IF(COUNTBLANK('Capacity summary'!$H206:$BG206)&lt;52,IF('Capacity summary'!AX206&lt;&gt;"",IF(LOWER('Capacity summary'!AX206)="x",$BI87*AX87,VALUE('Capacity summary'!AX206)),0),AX87*$BI87),AX87*$BI87),0)</f>
        <v>0</v>
      </c>
      <c r="DB87" s="311">
        <f>IF($BI87&lt;&gt;"",IF('Capacity summary'!$D$14="Yes",IF(COUNTBLANK('Capacity summary'!$H206:$BG206)&lt;52,IF('Capacity summary'!AY206&lt;&gt;"",IF(LOWER('Capacity summary'!AY206)="x",$BI87*AY87,VALUE('Capacity summary'!AY206)),0),AY87*$BI87),AY87*$BI87),0)</f>
        <v>0</v>
      </c>
      <c r="DC87" s="311">
        <f>IF($BI87&lt;&gt;"",IF('Capacity summary'!$D$14="Yes",IF(COUNTBLANK('Capacity summary'!$H206:$BG206)&lt;52,IF('Capacity summary'!AZ206&lt;&gt;"",IF(LOWER('Capacity summary'!AZ206)="x",$BI87*AZ87,VALUE('Capacity summary'!AZ206)),0),AZ87*$BI87),AZ87*$BI87),0)</f>
        <v>0</v>
      </c>
      <c r="DD87" s="311">
        <f>IF($BI87&lt;&gt;"",IF('Capacity summary'!$D$14="Yes",IF(COUNTBLANK('Capacity summary'!$H206:$BG206)&lt;52,IF('Capacity summary'!BA206&lt;&gt;"",IF(LOWER('Capacity summary'!BA206)="x",$BI87*BA87,VALUE('Capacity summary'!BA206)),0),BA87*$BI87),BA87*$BI87),0)</f>
        <v>0</v>
      </c>
      <c r="DE87" s="311">
        <f>IF($BI87&lt;&gt;"",IF('Capacity summary'!$D$14="Yes",IF(COUNTBLANK('Capacity summary'!$H206:$BG206)&lt;52,IF('Capacity summary'!BB206&lt;&gt;"",IF(LOWER('Capacity summary'!BB206)="x",$BI87*BB87,VALUE('Capacity summary'!BB206)),0),BB87*$BI87),BB87*$BI87),0)</f>
        <v>0</v>
      </c>
      <c r="DF87" s="311">
        <f>IF($BI87&lt;&gt;"",IF('Capacity summary'!$D$14="Yes",IF(COUNTBLANK('Capacity summary'!$H206:$BG206)&lt;52,IF('Capacity summary'!BC206&lt;&gt;"",IF(LOWER('Capacity summary'!BC206)="x",$BI87*BC87,VALUE('Capacity summary'!BC206)),0),BC87*$BI87),BC87*$BI87),0)</f>
        <v>0</v>
      </c>
      <c r="DG87" s="311">
        <f>IF($BI87&lt;&gt;"",IF('Capacity summary'!$D$14="Yes",IF(COUNTBLANK('Capacity summary'!$H206:$BG206)&lt;52,IF('Capacity summary'!BD206&lt;&gt;"",IF(LOWER('Capacity summary'!BD206)="x",$BI87*BD87,VALUE('Capacity summary'!BD206)),0),BD87*$BI87),BD87*$BI87),0)</f>
        <v>0</v>
      </c>
      <c r="DH87" s="311">
        <f>IF($BI87&lt;&gt;"",IF('Capacity summary'!$D$14="Yes",IF(COUNTBLANK('Capacity summary'!$H206:$BG206)&lt;52,IF('Capacity summary'!BE206&lt;&gt;"",IF(LOWER('Capacity summary'!BE206)="x",$BI87*BE87,VALUE('Capacity summary'!BE206)),0),BE87*$BI87),BE87*$BI87),0)</f>
        <v>0</v>
      </c>
      <c r="DI87" s="311">
        <f>IF($BI87&lt;&gt;"",IF('Capacity summary'!$D$14="Yes",IF(COUNTBLANK('Capacity summary'!$H206:$BG206)&lt;52,IF('Capacity summary'!BF206&lt;&gt;"",IF(LOWER('Capacity summary'!BF206)="x",$BI87*BF87,VALUE('Capacity summary'!BF206)),0),BF87*$BI87),BF87*$BI87),0)</f>
        <v>0</v>
      </c>
      <c r="DJ87" s="311">
        <f>IF($BI87&lt;&gt;"",IF('Capacity summary'!$D$14="Yes",IF(COUNTBLANK('Capacity summary'!$H206:$BG206)&lt;52,IF('Capacity summary'!BG206&lt;&gt;"",IF(LOWER('Capacity summary'!BG206)="x",$BI87*BG87,VALUE('Capacity summary'!BG206)),0),BG87*$BI87),BG87*$BI87),0)</f>
        <v>0</v>
      </c>
      <c r="DK87" s="391">
        <f t="shared" si="4"/>
        <v>0</v>
      </c>
      <c r="DL87" s="136">
        <f t="shared" si="5"/>
        <v>0</v>
      </c>
      <c r="DM87" s="311" t="str">
        <f>Capacity!H99</f>
        <v/>
      </c>
    </row>
    <row r="88" spans="1:117" x14ac:dyDescent="0.2">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1">
        <f>IF($BI88&lt;&gt;"",IF('Capacity summary'!$D$14="Yes",IF(COUNTBLANK('Capacity summary'!$H207:$BG207)&lt;52,IF('Capacity summary'!H207&lt;&gt;"",IF(LOWER('Capacity summary'!H207)="x",$BI88*H88,VALUE('Capacity summary'!H207)),0),H88*$BI88),H88*$BI88),0)</f>
        <v>0</v>
      </c>
      <c r="BL88" s="311">
        <f>IF($BI88&lt;&gt;"",IF('Capacity summary'!$D$14="Yes",IF(COUNTBLANK('Capacity summary'!$H207:$BG207)&lt;52,IF('Capacity summary'!I207&lt;&gt;"",IF(LOWER('Capacity summary'!I207)="x",$BI88*I88,VALUE('Capacity summary'!I207)),0),I88*$BI88),I88*$BI88),0)</f>
        <v>0</v>
      </c>
      <c r="BM88" s="311">
        <f>IF($BI88&lt;&gt;"",IF('Capacity summary'!$D$14="Yes",IF(COUNTBLANK('Capacity summary'!$H207:$BG207)&lt;52,IF('Capacity summary'!J207&lt;&gt;"",IF(LOWER('Capacity summary'!J207)="x",$BI88*J88,VALUE('Capacity summary'!J207)),0),J88*$BI88),J88*$BI88),0)</f>
        <v>0</v>
      </c>
      <c r="BN88" s="311">
        <f>IF($BI88&lt;&gt;"",IF('Capacity summary'!$D$14="Yes",IF(COUNTBLANK('Capacity summary'!$H207:$BG207)&lt;52,IF('Capacity summary'!K207&lt;&gt;"",IF(LOWER('Capacity summary'!K207)="x",$BI88*K88,VALUE('Capacity summary'!K207)),0),K88*$BI88),K88*$BI88),0)</f>
        <v>0</v>
      </c>
      <c r="BO88" s="311">
        <f>IF($BI88&lt;&gt;"",IF('Capacity summary'!$D$14="Yes",IF(COUNTBLANK('Capacity summary'!$H207:$BG207)&lt;52,IF('Capacity summary'!L207&lt;&gt;"",IF(LOWER('Capacity summary'!L207)="x",$BI88*L88,VALUE('Capacity summary'!L207)),0),L88*$BI88),L88*$BI88),0)</f>
        <v>0</v>
      </c>
      <c r="BP88" s="311">
        <f>IF($BI88&lt;&gt;"",IF('Capacity summary'!$D$14="Yes",IF(COUNTBLANK('Capacity summary'!$H207:$BG207)&lt;52,IF('Capacity summary'!M207&lt;&gt;"",IF(LOWER('Capacity summary'!M207)="x",$BI88*M88,VALUE('Capacity summary'!M207)),0),M88*$BI88),M88*$BI88),0)</f>
        <v>0</v>
      </c>
      <c r="BQ88" s="311">
        <f>IF($BI88&lt;&gt;"",IF('Capacity summary'!$D$14="Yes",IF(COUNTBLANK('Capacity summary'!$H207:$BG207)&lt;52,IF('Capacity summary'!N207&lt;&gt;"",IF(LOWER('Capacity summary'!N207)="x",$BI88*N88,VALUE('Capacity summary'!N207)),0),N88*$BI88),N88*$BI88),0)</f>
        <v>0</v>
      </c>
      <c r="BR88" s="311">
        <f>IF($BI88&lt;&gt;"",IF('Capacity summary'!$D$14="Yes",IF(COUNTBLANK('Capacity summary'!$H207:$BG207)&lt;52,IF('Capacity summary'!O207&lt;&gt;"",IF(LOWER('Capacity summary'!O207)="x",$BI88*O88,VALUE('Capacity summary'!O207)),0),O88*$BI88),O88*$BI88),0)</f>
        <v>0</v>
      </c>
      <c r="BS88" s="311">
        <f>IF($BI88&lt;&gt;"",IF('Capacity summary'!$D$14="Yes",IF(COUNTBLANK('Capacity summary'!$H207:$BG207)&lt;52,IF('Capacity summary'!P207&lt;&gt;"",IF(LOWER('Capacity summary'!P207)="x",$BI88*P88,VALUE('Capacity summary'!P207)),0),P88*$BI88),P88*$BI88),0)</f>
        <v>0</v>
      </c>
      <c r="BT88" s="311">
        <f>IF($BI88&lt;&gt;"",IF('Capacity summary'!$D$14="Yes",IF(COUNTBLANK('Capacity summary'!$H207:$BG207)&lt;52,IF('Capacity summary'!Q207&lt;&gt;"",IF(LOWER('Capacity summary'!Q207)="x",$BI88*Q88,VALUE('Capacity summary'!Q207)),0),Q88*$BI88),Q88*$BI88),0)</f>
        <v>0</v>
      </c>
      <c r="BU88" s="311">
        <f>IF($BI88&lt;&gt;"",IF('Capacity summary'!$D$14="Yes",IF(COUNTBLANK('Capacity summary'!$H207:$BG207)&lt;52,IF('Capacity summary'!R207&lt;&gt;"",IF(LOWER('Capacity summary'!R207)="x",$BI88*R88,VALUE('Capacity summary'!R207)),0),R88*$BI88),R88*$BI88),0)</f>
        <v>0</v>
      </c>
      <c r="BV88" s="311">
        <f>IF($BI88&lt;&gt;"",IF('Capacity summary'!$D$14="Yes",IF(COUNTBLANK('Capacity summary'!$H207:$BG207)&lt;52,IF('Capacity summary'!S207&lt;&gt;"",IF(LOWER('Capacity summary'!S207)="x",$BI88*S88,VALUE('Capacity summary'!S207)),0),S88*$BI88),S88*$BI88),0)</f>
        <v>0</v>
      </c>
      <c r="BW88" s="311">
        <f>IF($BI88&lt;&gt;"",IF('Capacity summary'!$D$14="Yes",IF(COUNTBLANK('Capacity summary'!$H207:$BG207)&lt;52,IF('Capacity summary'!T207&lt;&gt;"",IF(LOWER('Capacity summary'!T207)="x",$BI88*T88,VALUE('Capacity summary'!T207)),0),T88*$BI88),T88*$BI88),0)</f>
        <v>0</v>
      </c>
      <c r="BX88" s="311">
        <f>IF($BI88&lt;&gt;"",IF('Capacity summary'!$D$14="Yes",IF(COUNTBLANK('Capacity summary'!$H207:$BG207)&lt;52,IF('Capacity summary'!U207&lt;&gt;"",IF(LOWER('Capacity summary'!U207)="x",$BI88*U88,VALUE('Capacity summary'!U207)),0),U88*$BI88),U88*$BI88),0)</f>
        <v>0</v>
      </c>
      <c r="BY88" s="311">
        <f>IF($BI88&lt;&gt;"",IF('Capacity summary'!$D$14="Yes",IF(COUNTBLANK('Capacity summary'!$H207:$BG207)&lt;52,IF('Capacity summary'!V207&lt;&gt;"",IF(LOWER('Capacity summary'!V207)="x",$BI88*V88,VALUE('Capacity summary'!V207)),0),V88*$BI88),V88*$BI88),0)</f>
        <v>0</v>
      </c>
      <c r="BZ88" s="311">
        <f>IF($BI88&lt;&gt;"",IF('Capacity summary'!$D$14="Yes",IF(COUNTBLANK('Capacity summary'!$H207:$BG207)&lt;52,IF('Capacity summary'!W207&lt;&gt;"",IF(LOWER('Capacity summary'!W207)="x",$BI88*W88,VALUE('Capacity summary'!W207)),0),W88*$BI88),W88*$BI88),0)</f>
        <v>0</v>
      </c>
      <c r="CA88" s="311">
        <f>IF($BI88&lt;&gt;"",IF('Capacity summary'!$D$14="Yes",IF(COUNTBLANK('Capacity summary'!$H207:$BG207)&lt;52,IF('Capacity summary'!X207&lt;&gt;"",IF(LOWER('Capacity summary'!X207)="x",$BI88*X88,VALUE('Capacity summary'!X207)),0),X88*$BI88),X88*$BI88),0)</f>
        <v>0</v>
      </c>
      <c r="CB88" s="311">
        <f>IF($BI88&lt;&gt;"",IF('Capacity summary'!$D$14="Yes",IF(COUNTBLANK('Capacity summary'!$H207:$BG207)&lt;52,IF('Capacity summary'!Y207&lt;&gt;"",IF(LOWER('Capacity summary'!Y207)="x",$BI88*Y88,VALUE('Capacity summary'!Y207)),0),Y88*$BI88),Y88*$BI88),0)</f>
        <v>0</v>
      </c>
      <c r="CC88" s="311">
        <f>IF($BI88&lt;&gt;"",IF('Capacity summary'!$D$14="Yes",IF(COUNTBLANK('Capacity summary'!$H207:$BG207)&lt;52,IF('Capacity summary'!Z207&lt;&gt;"",IF(LOWER('Capacity summary'!Z207)="x",$BI88*Z88,VALUE('Capacity summary'!Z207)),0),Z88*$BI88),Z88*$BI88),0)</f>
        <v>0</v>
      </c>
      <c r="CD88" s="311">
        <f>IF($BI88&lt;&gt;"",IF('Capacity summary'!$D$14="Yes",IF(COUNTBLANK('Capacity summary'!$H207:$BG207)&lt;52,IF('Capacity summary'!AA207&lt;&gt;"",IF(LOWER('Capacity summary'!AA207)="x",$BI88*AA88,VALUE('Capacity summary'!AA207)),0),AA88*$BI88),AA88*$BI88),0)</f>
        <v>0</v>
      </c>
      <c r="CE88" s="311">
        <f>IF($BI88&lt;&gt;"",IF('Capacity summary'!$D$14="Yes",IF(COUNTBLANK('Capacity summary'!$H207:$BG207)&lt;52,IF('Capacity summary'!AB207&lt;&gt;"",IF(LOWER('Capacity summary'!AB207)="x",$BI88*AB88,VALUE('Capacity summary'!AB207)),0),AB88*$BI88),AB88*$BI88),0)</f>
        <v>0</v>
      </c>
      <c r="CF88" s="311">
        <f>IF($BI88&lt;&gt;"",IF('Capacity summary'!$D$14="Yes",IF(COUNTBLANK('Capacity summary'!$H207:$BG207)&lt;52,IF('Capacity summary'!AC207&lt;&gt;"",IF(LOWER('Capacity summary'!AC207)="x",$BI88*AC88,VALUE('Capacity summary'!AC207)),0),AC88*$BI88),AC88*$BI88),0)</f>
        <v>0</v>
      </c>
      <c r="CG88" s="311">
        <f>IF($BI88&lt;&gt;"",IF('Capacity summary'!$D$14="Yes",IF(COUNTBLANK('Capacity summary'!$H207:$BG207)&lt;52,IF('Capacity summary'!AD207&lt;&gt;"",IF(LOWER('Capacity summary'!AD207)="x",$BI88*AD88,VALUE('Capacity summary'!AD207)),0),AD88*$BI88),AD88*$BI88),0)</f>
        <v>0</v>
      </c>
      <c r="CH88" s="311">
        <f>IF($BI88&lt;&gt;"",IF('Capacity summary'!$D$14="Yes",IF(COUNTBLANK('Capacity summary'!$H207:$BG207)&lt;52,IF('Capacity summary'!AE207&lt;&gt;"",IF(LOWER('Capacity summary'!AE207)="x",$BI88*AE88,VALUE('Capacity summary'!AE207)),0),AE88*$BI88),AE88*$BI88),0)</f>
        <v>0</v>
      </c>
      <c r="CI88" s="311">
        <f>IF($BI88&lt;&gt;"",IF('Capacity summary'!$D$14="Yes",IF(COUNTBLANK('Capacity summary'!$H207:$BG207)&lt;52,IF('Capacity summary'!AF207&lt;&gt;"",IF(LOWER('Capacity summary'!AF207)="x",$BI88*AF88,VALUE('Capacity summary'!AF207)),0),AF88*$BI88),AF88*$BI88),0)</f>
        <v>0</v>
      </c>
      <c r="CJ88" s="311">
        <f>IF($BI88&lt;&gt;"",IF('Capacity summary'!$D$14="Yes",IF(COUNTBLANK('Capacity summary'!$H207:$BG207)&lt;52,IF('Capacity summary'!AG207&lt;&gt;"",IF(LOWER('Capacity summary'!AG207)="x",$BI88*AG88,VALUE('Capacity summary'!AG207)),0),AG88*$BI88),AG88*$BI88),0)</f>
        <v>0</v>
      </c>
      <c r="CK88" s="311">
        <f>IF($BI88&lt;&gt;"",IF('Capacity summary'!$D$14="Yes",IF(COUNTBLANK('Capacity summary'!$H207:$BG207)&lt;52,IF('Capacity summary'!AH207&lt;&gt;"",IF(LOWER('Capacity summary'!AH207)="x",$BI88*AH88,VALUE('Capacity summary'!AH207)),0),AH88*$BI88),AH88*$BI88),0)</f>
        <v>0</v>
      </c>
      <c r="CL88" s="311">
        <f>IF($BI88&lt;&gt;"",IF('Capacity summary'!$D$14="Yes",IF(COUNTBLANK('Capacity summary'!$H207:$BG207)&lt;52,IF('Capacity summary'!AI207&lt;&gt;"",IF(LOWER('Capacity summary'!AI207)="x",$BI88*AI88,VALUE('Capacity summary'!AI207)),0),AI88*$BI88),AI88*$BI88),0)</f>
        <v>0</v>
      </c>
      <c r="CM88" s="311">
        <f>IF($BI88&lt;&gt;"",IF('Capacity summary'!$D$14="Yes",IF(COUNTBLANK('Capacity summary'!$H207:$BG207)&lt;52,IF('Capacity summary'!AJ207&lt;&gt;"",IF(LOWER('Capacity summary'!AJ207)="x",$BI88*AJ88,VALUE('Capacity summary'!AJ207)),0),AJ88*$BI88),AJ88*$BI88),0)</f>
        <v>0</v>
      </c>
      <c r="CN88" s="311">
        <f>IF($BI88&lt;&gt;"",IF('Capacity summary'!$D$14="Yes",IF(COUNTBLANK('Capacity summary'!$H207:$BG207)&lt;52,IF('Capacity summary'!AK207&lt;&gt;"",IF(LOWER('Capacity summary'!AK207)="x",$BI88*AK88,VALUE('Capacity summary'!AK207)),0),AK88*$BI88),AK88*$BI88),0)</f>
        <v>0</v>
      </c>
      <c r="CO88" s="311">
        <f>IF($BI88&lt;&gt;"",IF('Capacity summary'!$D$14="Yes",IF(COUNTBLANK('Capacity summary'!$H207:$BG207)&lt;52,IF('Capacity summary'!AL207&lt;&gt;"",IF(LOWER('Capacity summary'!AL207)="x",$BI88*AL88,VALUE('Capacity summary'!AL207)),0),AL88*$BI88),AL88*$BI88),0)</f>
        <v>0</v>
      </c>
      <c r="CP88" s="311">
        <f>IF($BI88&lt;&gt;"",IF('Capacity summary'!$D$14="Yes",IF(COUNTBLANK('Capacity summary'!$H207:$BG207)&lt;52,IF('Capacity summary'!AM207&lt;&gt;"",IF(LOWER('Capacity summary'!AM207)="x",$BI88*AM88,VALUE('Capacity summary'!AM207)),0),AM88*$BI88),AM88*$BI88),0)</f>
        <v>0</v>
      </c>
      <c r="CQ88" s="311">
        <f>IF($BI88&lt;&gt;"",IF('Capacity summary'!$D$14="Yes",IF(COUNTBLANK('Capacity summary'!$H207:$BG207)&lt;52,IF('Capacity summary'!AN207&lt;&gt;"",IF(LOWER('Capacity summary'!AN207)="x",$BI88*AN88,VALUE('Capacity summary'!AN207)),0),AN88*$BI88),AN88*$BI88),0)</f>
        <v>0</v>
      </c>
      <c r="CR88" s="311">
        <f>IF($BI88&lt;&gt;"",IF('Capacity summary'!$D$14="Yes",IF(COUNTBLANK('Capacity summary'!$H207:$BG207)&lt;52,IF('Capacity summary'!AO207&lt;&gt;"",IF(LOWER('Capacity summary'!AO207)="x",$BI88*AO88,VALUE('Capacity summary'!AO207)),0),AO88*$BI88),AO88*$BI88),0)</f>
        <v>0</v>
      </c>
      <c r="CS88" s="311">
        <f>IF($BI88&lt;&gt;"",IF('Capacity summary'!$D$14="Yes",IF(COUNTBLANK('Capacity summary'!$H207:$BG207)&lt;52,IF('Capacity summary'!AP207&lt;&gt;"",IF(LOWER('Capacity summary'!AP207)="x",$BI88*AP88,VALUE('Capacity summary'!AP207)),0),AP88*$BI88),AP88*$BI88),0)</f>
        <v>0</v>
      </c>
      <c r="CT88" s="311">
        <f>IF($BI88&lt;&gt;"",IF('Capacity summary'!$D$14="Yes",IF(COUNTBLANK('Capacity summary'!$H207:$BG207)&lt;52,IF('Capacity summary'!AQ207&lt;&gt;"",IF(LOWER('Capacity summary'!AQ207)="x",$BI88*AQ88,VALUE('Capacity summary'!AQ207)),0),AQ88*$BI88),AQ88*$BI88),0)</f>
        <v>0</v>
      </c>
      <c r="CU88" s="311">
        <f>IF($BI88&lt;&gt;"",IF('Capacity summary'!$D$14="Yes",IF(COUNTBLANK('Capacity summary'!$H207:$BG207)&lt;52,IF('Capacity summary'!AR207&lt;&gt;"",IF(LOWER('Capacity summary'!AR207)="x",$BI88*AR88,VALUE('Capacity summary'!AR207)),0),AR88*$BI88),AR88*$BI88),0)</f>
        <v>0</v>
      </c>
      <c r="CV88" s="311">
        <f>IF($BI88&lt;&gt;"",IF('Capacity summary'!$D$14="Yes",IF(COUNTBLANK('Capacity summary'!$H207:$BG207)&lt;52,IF('Capacity summary'!AS207&lt;&gt;"",IF(LOWER('Capacity summary'!AS207)="x",$BI88*AS88,VALUE('Capacity summary'!AS207)),0),AS88*$BI88),AS88*$BI88),0)</f>
        <v>0</v>
      </c>
      <c r="CW88" s="311">
        <f>IF($BI88&lt;&gt;"",IF('Capacity summary'!$D$14="Yes",IF(COUNTBLANK('Capacity summary'!$H207:$BG207)&lt;52,IF('Capacity summary'!AT207&lt;&gt;"",IF(LOWER('Capacity summary'!AT207)="x",$BI88*AT88,VALUE('Capacity summary'!AT207)),0),AT88*$BI88),AT88*$BI88),0)</f>
        <v>0</v>
      </c>
      <c r="CX88" s="311">
        <f>IF($BI88&lt;&gt;"",IF('Capacity summary'!$D$14="Yes",IF(COUNTBLANK('Capacity summary'!$H207:$BG207)&lt;52,IF('Capacity summary'!AU207&lt;&gt;"",IF(LOWER('Capacity summary'!AU207)="x",$BI88*AU88,VALUE('Capacity summary'!AU207)),0),AU88*$BI88),AU88*$BI88),0)</f>
        <v>0</v>
      </c>
      <c r="CY88" s="311">
        <f>IF($BI88&lt;&gt;"",IF('Capacity summary'!$D$14="Yes",IF(COUNTBLANK('Capacity summary'!$H207:$BG207)&lt;52,IF('Capacity summary'!AV207&lt;&gt;"",IF(LOWER('Capacity summary'!AV207)="x",$BI88*AV88,VALUE('Capacity summary'!AV207)),0),AV88*$BI88),AV88*$BI88),0)</f>
        <v>0</v>
      </c>
      <c r="CZ88" s="311">
        <f>IF($BI88&lt;&gt;"",IF('Capacity summary'!$D$14="Yes",IF(COUNTBLANK('Capacity summary'!$H207:$BG207)&lt;52,IF('Capacity summary'!AW207&lt;&gt;"",IF(LOWER('Capacity summary'!AW207)="x",$BI88*AW88,VALUE('Capacity summary'!AW207)),0),AW88*$BI88),AW88*$BI88),0)</f>
        <v>0</v>
      </c>
      <c r="DA88" s="311">
        <f>IF($BI88&lt;&gt;"",IF('Capacity summary'!$D$14="Yes",IF(COUNTBLANK('Capacity summary'!$H207:$BG207)&lt;52,IF('Capacity summary'!AX207&lt;&gt;"",IF(LOWER('Capacity summary'!AX207)="x",$BI88*AX88,VALUE('Capacity summary'!AX207)),0),AX88*$BI88),AX88*$BI88),0)</f>
        <v>0</v>
      </c>
      <c r="DB88" s="311">
        <f>IF($BI88&lt;&gt;"",IF('Capacity summary'!$D$14="Yes",IF(COUNTBLANK('Capacity summary'!$H207:$BG207)&lt;52,IF('Capacity summary'!AY207&lt;&gt;"",IF(LOWER('Capacity summary'!AY207)="x",$BI88*AY88,VALUE('Capacity summary'!AY207)),0),AY88*$BI88),AY88*$BI88),0)</f>
        <v>0</v>
      </c>
      <c r="DC88" s="311">
        <f>IF($BI88&lt;&gt;"",IF('Capacity summary'!$D$14="Yes",IF(COUNTBLANK('Capacity summary'!$H207:$BG207)&lt;52,IF('Capacity summary'!AZ207&lt;&gt;"",IF(LOWER('Capacity summary'!AZ207)="x",$BI88*AZ88,VALUE('Capacity summary'!AZ207)),0),AZ88*$BI88),AZ88*$BI88),0)</f>
        <v>0</v>
      </c>
      <c r="DD88" s="311">
        <f>IF($BI88&lt;&gt;"",IF('Capacity summary'!$D$14="Yes",IF(COUNTBLANK('Capacity summary'!$H207:$BG207)&lt;52,IF('Capacity summary'!BA207&lt;&gt;"",IF(LOWER('Capacity summary'!BA207)="x",$BI88*BA88,VALUE('Capacity summary'!BA207)),0),BA88*$BI88),BA88*$BI88),0)</f>
        <v>0</v>
      </c>
      <c r="DE88" s="311">
        <f>IF($BI88&lt;&gt;"",IF('Capacity summary'!$D$14="Yes",IF(COUNTBLANK('Capacity summary'!$H207:$BG207)&lt;52,IF('Capacity summary'!BB207&lt;&gt;"",IF(LOWER('Capacity summary'!BB207)="x",$BI88*BB88,VALUE('Capacity summary'!BB207)),0),BB88*$BI88),BB88*$BI88),0)</f>
        <v>0</v>
      </c>
      <c r="DF88" s="311">
        <f>IF($BI88&lt;&gt;"",IF('Capacity summary'!$D$14="Yes",IF(COUNTBLANK('Capacity summary'!$H207:$BG207)&lt;52,IF('Capacity summary'!BC207&lt;&gt;"",IF(LOWER('Capacity summary'!BC207)="x",$BI88*BC88,VALUE('Capacity summary'!BC207)),0),BC88*$BI88),BC88*$BI88),0)</f>
        <v>0</v>
      </c>
      <c r="DG88" s="311">
        <f>IF($BI88&lt;&gt;"",IF('Capacity summary'!$D$14="Yes",IF(COUNTBLANK('Capacity summary'!$H207:$BG207)&lt;52,IF('Capacity summary'!BD207&lt;&gt;"",IF(LOWER('Capacity summary'!BD207)="x",$BI88*BD88,VALUE('Capacity summary'!BD207)),0),BD88*$BI88),BD88*$BI88),0)</f>
        <v>0</v>
      </c>
      <c r="DH88" s="311">
        <f>IF($BI88&lt;&gt;"",IF('Capacity summary'!$D$14="Yes",IF(COUNTBLANK('Capacity summary'!$H207:$BG207)&lt;52,IF('Capacity summary'!BE207&lt;&gt;"",IF(LOWER('Capacity summary'!BE207)="x",$BI88*BE88,VALUE('Capacity summary'!BE207)),0),BE88*$BI88),BE88*$BI88),0)</f>
        <v>0</v>
      </c>
      <c r="DI88" s="311">
        <f>IF($BI88&lt;&gt;"",IF('Capacity summary'!$D$14="Yes",IF(COUNTBLANK('Capacity summary'!$H207:$BG207)&lt;52,IF('Capacity summary'!BF207&lt;&gt;"",IF(LOWER('Capacity summary'!BF207)="x",$BI88*BF88,VALUE('Capacity summary'!BF207)),0),BF88*$BI88),BF88*$BI88),0)</f>
        <v>0</v>
      </c>
      <c r="DJ88" s="311">
        <f>IF($BI88&lt;&gt;"",IF('Capacity summary'!$D$14="Yes",IF(COUNTBLANK('Capacity summary'!$H207:$BG207)&lt;52,IF('Capacity summary'!BG207&lt;&gt;"",IF(LOWER('Capacity summary'!BG207)="x",$BI88*BG88,VALUE('Capacity summary'!BG207)),0),BG88*$BI88),BG88*$BI88),0)</f>
        <v>0</v>
      </c>
      <c r="DK88" s="391">
        <f t="shared" si="4"/>
        <v>0</v>
      </c>
      <c r="DL88" s="136">
        <f t="shared" si="5"/>
        <v>0</v>
      </c>
      <c r="DM88" s="311" t="str">
        <f>Capacity!H100</f>
        <v/>
      </c>
    </row>
    <row r="89" spans="1:117" x14ac:dyDescent="0.2">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1">
        <f>IF($BI89&lt;&gt;"",IF('Capacity summary'!$D$14="Yes",IF(COUNTBLANK('Capacity summary'!$H208:$BG208)&lt;52,IF('Capacity summary'!H208&lt;&gt;"",IF(LOWER('Capacity summary'!H208)="x",$BI89*H89,VALUE('Capacity summary'!H208)),0),H89*$BI89),H89*$BI89),0)</f>
        <v>0</v>
      </c>
      <c r="BL89" s="311">
        <f>IF($BI89&lt;&gt;"",IF('Capacity summary'!$D$14="Yes",IF(COUNTBLANK('Capacity summary'!$H208:$BG208)&lt;52,IF('Capacity summary'!I208&lt;&gt;"",IF(LOWER('Capacity summary'!I208)="x",$BI89*I89,VALUE('Capacity summary'!I208)),0),I89*$BI89),I89*$BI89),0)</f>
        <v>0</v>
      </c>
      <c r="BM89" s="311">
        <f>IF($BI89&lt;&gt;"",IF('Capacity summary'!$D$14="Yes",IF(COUNTBLANK('Capacity summary'!$H208:$BG208)&lt;52,IF('Capacity summary'!J208&lt;&gt;"",IF(LOWER('Capacity summary'!J208)="x",$BI89*J89,VALUE('Capacity summary'!J208)),0),J89*$BI89),J89*$BI89),0)</f>
        <v>0</v>
      </c>
      <c r="BN89" s="311">
        <f>IF($BI89&lt;&gt;"",IF('Capacity summary'!$D$14="Yes",IF(COUNTBLANK('Capacity summary'!$H208:$BG208)&lt;52,IF('Capacity summary'!K208&lt;&gt;"",IF(LOWER('Capacity summary'!K208)="x",$BI89*K89,VALUE('Capacity summary'!K208)),0),K89*$BI89),K89*$BI89),0)</f>
        <v>0</v>
      </c>
      <c r="BO89" s="311">
        <f>IF($BI89&lt;&gt;"",IF('Capacity summary'!$D$14="Yes",IF(COUNTBLANK('Capacity summary'!$H208:$BG208)&lt;52,IF('Capacity summary'!L208&lt;&gt;"",IF(LOWER('Capacity summary'!L208)="x",$BI89*L89,VALUE('Capacity summary'!L208)),0),L89*$BI89),L89*$BI89),0)</f>
        <v>0</v>
      </c>
      <c r="BP89" s="311">
        <f>IF($BI89&lt;&gt;"",IF('Capacity summary'!$D$14="Yes",IF(COUNTBLANK('Capacity summary'!$H208:$BG208)&lt;52,IF('Capacity summary'!M208&lt;&gt;"",IF(LOWER('Capacity summary'!M208)="x",$BI89*M89,VALUE('Capacity summary'!M208)),0),M89*$BI89),M89*$BI89),0)</f>
        <v>0</v>
      </c>
      <c r="BQ89" s="311">
        <f>IF($BI89&lt;&gt;"",IF('Capacity summary'!$D$14="Yes",IF(COUNTBLANK('Capacity summary'!$H208:$BG208)&lt;52,IF('Capacity summary'!N208&lt;&gt;"",IF(LOWER('Capacity summary'!N208)="x",$BI89*N89,VALUE('Capacity summary'!N208)),0),N89*$BI89),N89*$BI89),0)</f>
        <v>0</v>
      </c>
      <c r="BR89" s="311">
        <f>IF($BI89&lt;&gt;"",IF('Capacity summary'!$D$14="Yes",IF(COUNTBLANK('Capacity summary'!$H208:$BG208)&lt;52,IF('Capacity summary'!O208&lt;&gt;"",IF(LOWER('Capacity summary'!O208)="x",$BI89*O89,VALUE('Capacity summary'!O208)),0),O89*$BI89),O89*$BI89),0)</f>
        <v>0</v>
      </c>
      <c r="BS89" s="311">
        <f>IF($BI89&lt;&gt;"",IF('Capacity summary'!$D$14="Yes",IF(COUNTBLANK('Capacity summary'!$H208:$BG208)&lt;52,IF('Capacity summary'!P208&lt;&gt;"",IF(LOWER('Capacity summary'!P208)="x",$BI89*P89,VALUE('Capacity summary'!P208)),0),P89*$BI89),P89*$BI89),0)</f>
        <v>0</v>
      </c>
      <c r="BT89" s="311">
        <f>IF($BI89&lt;&gt;"",IF('Capacity summary'!$D$14="Yes",IF(COUNTBLANK('Capacity summary'!$H208:$BG208)&lt;52,IF('Capacity summary'!Q208&lt;&gt;"",IF(LOWER('Capacity summary'!Q208)="x",$BI89*Q89,VALUE('Capacity summary'!Q208)),0),Q89*$BI89),Q89*$BI89),0)</f>
        <v>0</v>
      </c>
      <c r="BU89" s="311">
        <f>IF($BI89&lt;&gt;"",IF('Capacity summary'!$D$14="Yes",IF(COUNTBLANK('Capacity summary'!$H208:$BG208)&lt;52,IF('Capacity summary'!R208&lt;&gt;"",IF(LOWER('Capacity summary'!R208)="x",$BI89*R89,VALUE('Capacity summary'!R208)),0),R89*$BI89),R89*$BI89),0)</f>
        <v>0</v>
      </c>
      <c r="BV89" s="311">
        <f>IF($BI89&lt;&gt;"",IF('Capacity summary'!$D$14="Yes",IF(COUNTBLANK('Capacity summary'!$H208:$BG208)&lt;52,IF('Capacity summary'!S208&lt;&gt;"",IF(LOWER('Capacity summary'!S208)="x",$BI89*S89,VALUE('Capacity summary'!S208)),0),S89*$BI89),S89*$BI89),0)</f>
        <v>0</v>
      </c>
      <c r="BW89" s="311">
        <f>IF($BI89&lt;&gt;"",IF('Capacity summary'!$D$14="Yes",IF(COUNTBLANK('Capacity summary'!$H208:$BG208)&lt;52,IF('Capacity summary'!T208&lt;&gt;"",IF(LOWER('Capacity summary'!T208)="x",$BI89*T89,VALUE('Capacity summary'!T208)),0),T89*$BI89),T89*$BI89),0)</f>
        <v>0</v>
      </c>
      <c r="BX89" s="311">
        <f>IF($BI89&lt;&gt;"",IF('Capacity summary'!$D$14="Yes",IF(COUNTBLANK('Capacity summary'!$H208:$BG208)&lt;52,IF('Capacity summary'!U208&lt;&gt;"",IF(LOWER('Capacity summary'!U208)="x",$BI89*U89,VALUE('Capacity summary'!U208)),0),U89*$BI89),U89*$BI89),0)</f>
        <v>0</v>
      </c>
      <c r="BY89" s="311">
        <f>IF($BI89&lt;&gt;"",IF('Capacity summary'!$D$14="Yes",IF(COUNTBLANK('Capacity summary'!$H208:$BG208)&lt;52,IF('Capacity summary'!V208&lt;&gt;"",IF(LOWER('Capacity summary'!V208)="x",$BI89*V89,VALUE('Capacity summary'!V208)),0),V89*$BI89),V89*$BI89),0)</f>
        <v>0</v>
      </c>
      <c r="BZ89" s="311">
        <f>IF($BI89&lt;&gt;"",IF('Capacity summary'!$D$14="Yes",IF(COUNTBLANK('Capacity summary'!$H208:$BG208)&lt;52,IF('Capacity summary'!W208&lt;&gt;"",IF(LOWER('Capacity summary'!W208)="x",$BI89*W89,VALUE('Capacity summary'!W208)),0),W89*$BI89),W89*$BI89),0)</f>
        <v>0</v>
      </c>
      <c r="CA89" s="311">
        <f>IF($BI89&lt;&gt;"",IF('Capacity summary'!$D$14="Yes",IF(COUNTBLANK('Capacity summary'!$H208:$BG208)&lt;52,IF('Capacity summary'!X208&lt;&gt;"",IF(LOWER('Capacity summary'!X208)="x",$BI89*X89,VALUE('Capacity summary'!X208)),0),X89*$BI89),X89*$BI89),0)</f>
        <v>0</v>
      </c>
      <c r="CB89" s="311">
        <f>IF($BI89&lt;&gt;"",IF('Capacity summary'!$D$14="Yes",IF(COUNTBLANK('Capacity summary'!$H208:$BG208)&lt;52,IF('Capacity summary'!Y208&lt;&gt;"",IF(LOWER('Capacity summary'!Y208)="x",$BI89*Y89,VALUE('Capacity summary'!Y208)),0),Y89*$BI89),Y89*$BI89),0)</f>
        <v>0</v>
      </c>
      <c r="CC89" s="311">
        <f>IF($BI89&lt;&gt;"",IF('Capacity summary'!$D$14="Yes",IF(COUNTBLANK('Capacity summary'!$H208:$BG208)&lt;52,IF('Capacity summary'!Z208&lt;&gt;"",IF(LOWER('Capacity summary'!Z208)="x",$BI89*Z89,VALUE('Capacity summary'!Z208)),0),Z89*$BI89),Z89*$BI89),0)</f>
        <v>0</v>
      </c>
      <c r="CD89" s="311">
        <f>IF($BI89&lt;&gt;"",IF('Capacity summary'!$D$14="Yes",IF(COUNTBLANK('Capacity summary'!$H208:$BG208)&lt;52,IF('Capacity summary'!AA208&lt;&gt;"",IF(LOWER('Capacity summary'!AA208)="x",$BI89*AA89,VALUE('Capacity summary'!AA208)),0),AA89*$BI89),AA89*$BI89),0)</f>
        <v>0</v>
      </c>
      <c r="CE89" s="311">
        <f>IF($BI89&lt;&gt;"",IF('Capacity summary'!$D$14="Yes",IF(COUNTBLANK('Capacity summary'!$H208:$BG208)&lt;52,IF('Capacity summary'!AB208&lt;&gt;"",IF(LOWER('Capacity summary'!AB208)="x",$BI89*AB89,VALUE('Capacity summary'!AB208)),0),AB89*$BI89),AB89*$BI89),0)</f>
        <v>0</v>
      </c>
      <c r="CF89" s="311">
        <f>IF($BI89&lt;&gt;"",IF('Capacity summary'!$D$14="Yes",IF(COUNTBLANK('Capacity summary'!$H208:$BG208)&lt;52,IF('Capacity summary'!AC208&lt;&gt;"",IF(LOWER('Capacity summary'!AC208)="x",$BI89*AC89,VALUE('Capacity summary'!AC208)),0),AC89*$BI89),AC89*$BI89),0)</f>
        <v>0</v>
      </c>
      <c r="CG89" s="311">
        <f>IF($BI89&lt;&gt;"",IF('Capacity summary'!$D$14="Yes",IF(COUNTBLANK('Capacity summary'!$H208:$BG208)&lt;52,IF('Capacity summary'!AD208&lt;&gt;"",IF(LOWER('Capacity summary'!AD208)="x",$BI89*AD89,VALUE('Capacity summary'!AD208)),0),AD89*$BI89),AD89*$BI89),0)</f>
        <v>0</v>
      </c>
      <c r="CH89" s="311">
        <f>IF($BI89&lt;&gt;"",IF('Capacity summary'!$D$14="Yes",IF(COUNTBLANK('Capacity summary'!$H208:$BG208)&lt;52,IF('Capacity summary'!AE208&lt;&gt;"",IF(LOWER('Capacity summary'!AE208)="x",$BI89*AE89,VALUE('Capacity summary'!AE208)),0),AE89*$BI89),AE89*$BI89),0)</f>
        <v>0</v>
      </c>
      <c r="CI89" s="311">
        <f>IF($BI89&lt;&gt;"",IF('Capacity summary'!$D$14="Yes",IF(COUNTBLANK('Capacity summary'!$H208:$BG208)&lt;52,IF('Capacity summary'!AF208&lt;&gt;"",IF(LOWER('Capacity summary'!AF208)="x",$BI89*AF89,VALUE('Capacity summary'!AF208)),0),AF89*$BI89),AF89*$BI89),0)</f>
        <v>0</v>
      </c>
      <c r="CJ89" s="311">
        <f>IF($BI89&lt;&gt;"",IF('Capacity summary'!$D$14="Yes",IF(COUNTBLANK('Capacity summary'!$H208:$BG208)&lt;52,IF('Capacity summary'!AG208&lt;&gt;"",IF(LOWER('Capacity summary'!AG208)="x",$BI89*AG89,VALUE('Capacity summary'!AG208)),0),AG89*$BI89),AG89*$BI89),0)</f>
        <v>0</v>
      </c>
      <c r="CK89" s="311">
        <f>IF($BI89&lt;&gt;"",IF('Capacity summary'!$D$14="Yes",IF(COUNTBLANK('Capacity summary'!$H208:$BG208)&lt;52,IF('Capacity summary'!AH208&lt;&gt;"",IF(LOWER('Capacity summary'!AH208)="x",$BI89*AH89,VALUE('Capacity summary'!AH208)),0),AH89*$BI89),AH89*$BI89),0)</f>
        <v>0</v>
      </c>
      <c r="CL89" s="311">
        <f>IF($BI89&lt;&gt;"",IF('Capacity summary'!$D$14="Yes",IF(COUNTBLANK('Capacity summary'!$H208:$BG208)&lt;52,IF('Capacity summary'!AI208&lt;&gt;"",IF(LOWER('Capacity summary'!AI208)="x",$BI89*AI89,VALUE('Capacity summary'!AI208)),0),AI89*$BI89),AI89*$BI89),0)</f>
        <v>0</v>
      </c>
      <c r="CM89" s="311">
        <f>IF($BI89&lt;&gt;"",IF('Capacity summary'!$D$14="Yes",IF(COUNTBLANK('Capacity summary'!$H208:$BG208)&lt;52,IF('Capacity summary'!AJ208&lt;&gt;"",IF(LOWER('Capacity summary'!AJ208)="x",$BI89*AJ89,VALUE('Capacity summary'!AJ208)),0),AJ89*$BI89),AJ89*$BI89),0)</f>
        <v>0</v>
      </c>
      <c r="CN89" s="311">
        <f>IF($BI89&lt;&gt;"",IF('Capacity summary'!$D$14="Yes",IF(COUNTBLANK('Capacity summary'!$H208:$BG208)&lt;52,IF('Capacity summary'!AK208&lt;&gt;"",IF(LOWER('Capacity summary'!AK208)="x",$BI89*AK89,VALUE('Capacity summary'!AK208)),0),AK89*$BI89),AK89*$BI89),0)</f>
        <v>0</v>
      </c>
      <c r="CO89" s="311">
        <f>IF($BI89&lt;&gt;"",IF('Capacity summary'!$D$14="Yes",IF(COUNTBLANK('Capacity summary'!$H208:$BG208)&lt;52,IF('Capacity summary'!AL208&lt;&gt;"",IF(LOWER('Capacity summary'!AL208)="x",$BI89*AL89,VALUE('Capacity summary'!AL208)),0),AL89*$BI89),AL89*$BI89),0)</f>
        <v>0</v>
      </c>
      <c r="CP89" s="311">
        <f>IF($BI89&lt;&gt;"",IF('Capacity summary'!$D$14="Yes",IF(COUNTBLANK('Capacity summary'!$H208:$BG208)&lt;52,IF('Capacity summary'!AM208&lt;&gt;"",IF(LOWER('Capacity summary'!AM208)="x",$BI89*AM89,VALUE('Capacity summary'!AM208)),0),AM89*$BI89),AM89*$BI89),0)</f>
        <v>0</v>
      </c>
      <c r="CQ89" s="311">
        <f>IF($BI89&lt;&gt;"",IF('Capacity summary'!$D$14="Yes",IF(COUNTBLANK('Capacity summary'!$H208:$BG208)&lt;52,IF('Capacity summary'!AN208&lt;&gt;"",IF(LOWER('Capacity summary'!AN208)="x",$BI89*AN89,VALUE('Capacity summary'!AN208)),0),AN89*$BI89),AN89*$BI89),0)</f>
        <v>0</v>
      </c>
      <c r="CR89" s="311">
        <f>IF($BI89&lt;&gt;"",IF('Capacity summary'!$D$14="Yes",IF(COUNTBLANK('Capacity summary'!$H208:$BG208)&lt;52,IF('Capacity summary'!AO208&lt;&gt;"",IF(LOWER('Capacity summary'!AO208)="x",$BI89*AO89,VALUE('Capacity summary'!AO208)),0),AO89*$BI89),AO89*$BI89),0)</f>
        <v>0</v>
      </c>
      <c r="CS89" s="311">
        <f>IF($BI89&lt;&gt;"",IF('Capacity summary'!$D$14="Yes",IF(COUNTBLANK('Capacity summary'!$H208:$BG208)&lt;52,IF('Capacity summary'!AP208&lt;&gt;"",IF(LOWER('Capacity summary'!AP208)="x",$BI89*AP89,VALUE('Capacity summary'!AP208)),0),AP89*$BI89),AP89*$BI89),0)</f>
        <v>0</v>
      </c>
      <c r="CT89" s="311">
        <f>IF($BI89&lt;&gt;"",IF('Capacity summary'!$D$14="Yes",IF(COUNTBLANK('Capacity summary'!$H208:$BG208)&lt;52,IF('Capacity summary'!AQ208&lt;&gt;"",IF(LOWER('Capacity summary'!AQ208)="x",$BI89*AQ89,VALUE('Capacity summary'!AQ208)),0),AQ89*$BI89),AQ89*$BI89),0)</f>
        <v>0</v>
      </c>
      <c r="CU89" s="311">
        <f>IF($BI89&lt;&gt;"",IF('Capacity summary'!$D$14="Yes",IF(COUNTBLANK('Capacity summary'!$H208:$BG208)&lt;52,IF('Capacity summary'!AR208&lt;&gt;"",IF(LOWER('Capacity summary'!AR208)="x",$BI89*AR89,VALUE('Capacity summary'!AR208)),0),AR89*$BI89),AR89*$BI89),0)</f>
        <v>0</v>
      </c>
      <c r="CV89" s="311">
        <f>IF($BI89&lt;&gt;"",IF('Capacity summary'!$D$14="Yes",IF(COUNTBLANK('Capacity summary'!$H208:$BG208)&lt;52,IF('Capacity summary'!AS208&lt;&gt;"",IF(LOWER('Capacity summary'!AS208)="x",$BI89*AS89,VALUE('Capacity summary'!AS208)),0),AS89*$BI89),AS89*$BI89),0)</f>
        <v>0</v>
      </c>
      <c r="CW89" s="311">
        <f>IF($BI89&lt;&gt;"",IF('Capacity summary'!$D$14="Yes",IF(COUNTBLANK('Capacity summary'!$H208:$BG208)&lt;52,IF('Capacity summary'!AT208&lt;&gt;"",IF(LOWER('Capacity summary'!AT208)="x",$BI89*AT89,VALUE('Capacity summary'!AT208)),0),AT89*$BI89),AT89*$BI89),0)</f>
        <v>0</v>
      </c>
      <c r="CX89" s="311">
        <f>IF($BI89&lt;&gt;"",IF('Capacity summary'!$D$14="Yes",IF(COUNTBLANK('Capacity summary'!$H208:$BG208)&lt;52,IF('Capacity summary'!AU208&lt;&gt;"",IF(LOWER('Capacity summary'!AU208)="x",$BI89*AU89,VALUE('Capacity summary'!AU208)),0),AU89*$BI89),AU89*$BI89),0)</f>
        <v>0</v>
      </c>
      <c r="CY89" s="311">
        <f>IF($BI89&lt;&gt;"",IF('Capacity summary'!$D$14="Yes",IF(COUNTBLANK('Capacity summary'!$H208:$BG208)&lt;52,IF('Capacity summary'!AV208&lt;&gt;"",IF(LOWER('Capacity summary'!AV208)="x",$BI89*AV89,VALUE('Capacity summary'!AV208)),0),AV89*$BI89),AV89*$BI89),0)</f>
        <v>0</v>
      </c>
      <c r="CZ89" s="311">
        <f>IF($BI89&lt;&gt;"",IF('Capacity summary'!$D$14="Yes",IF(COUNTBLANK('Capacity summary'!$H208:$BG208)&lt;52,IF('Capacity summary'!AW208&lt;&gt;"",IF(LOWER('Capacity summary'!AW208)="x",$BI89*AW89,VALUE('Capacity summary'!AW208)),0),AW89*$BI89),AW89*$BI89),0)</f>
        <v>0</v>
      </c>
      <c r="DA89" s="311">
        <f>IF($BI89&lt;&gt;"",IF('Capacity summary'!$D$14="Yes",IF(COUNTBLANK('Capacity summary'!$H208:$BG208)&lt;52,IF('Capacity summary'!AX208&lt;&gt;"",IF(LOWER('Capacity summary'!AX208)="x",$BI89*AX89,VALUE('Capacity summary'!AX208)),0),AX89*$BI89),AX89*$BI89),0)</f>
        <v>0</v>
      </c>
      <c r="DB89" s="311">
        <f>IF($BI89&lt;&gt;"",IF('Capacity summary'!$D$14="Yes",IF(COUNTBLANK('Capacity summary'!$H208:$BG208)&lt;52,IF('Capacity summary'!AY208&lt;&gt;"",IF(LOWER('Capacity summary'!AY208)="x",$BI89*AY89,VALUE('Capacity summary'!AY208)),0),AY89*$BI89),AY89*$BI89),0)</f>
        <v>0</v>
      </c>
      <c r="DC89" s="311">
        <f>IF($BI89&lt;&gt;"",IF('Capacity summary'!$D$14="Yes",IF(COUNTBLANK('Capacity summary'!$H208:$BG208)&lt;52,IF('Capacity summary'!AZ208&lt;&gt;"",IF(LOWER('Capacity summary'!AZ208)="x",$BI89*AZ89,VALUE('Capacity summary'!AZ208)),0),AZ89*$BI89),AZ89*$BI89),0)</f>
        <v>0</v>
      </c>
      <c r="DD89" s="311">
        <f>IF($BI89&lt;&gt;"",IF('Capacity summary'!$D$14="Yes",IF(COUNTBLANK('Capacity summary'!$H208:$BG208)&lt;52,IF('Capacity summary'!BA208&lt;&gt;"",IF(LOWER('Capacity summary'!BA208)="x",$BI89*BA89,VALUE('Capacity summary'!BA208)),0),BA89*$BI89),BA89*$BI89),0)</f>
        <v>0</v>
      </c>
      <c r="DE89" s="311">
        <f>IF($BI89&lt;&gt;"",IF('Capacity summary'!$D$14="Yes",IF(COUNTBLANK('Capacity summary'!$H208:$BG208)&lt;52,IF('Capacity summary'!BB208&lt;&gt;"",IF(LOWER('Capacity summary'!BB208)="x",$BI89*BB89,VALUE('Capacity summary'!BB208)),0),BB89*$BI89),BB89*$BI89),0)</f>
        <v>0</v>
      </c>
      <c r="DF89" s="311">
        <f>IF($BI89&lt;&gt;"",IF('Capacity summary'!$D$14="Yes",IF(COUNTBLANK('Capacity summary'!$H208:$BG208)&lt;52,IF('Capacity summary'!BC208&lt;&gt;"",IF(LOWER('Capacity summary'!BC208)="x",$BI89*BC89,VALUE('Capacity summary'!BC208)),0),BC89*$BI89),BC89*$BI89),0)</f>
        <v>0</v>
      </c>
      <c r="DG89" s="311">
        <f>IF($BI89&lt;&gt;"",IF('Capacity summary'!$D$14="Yes",IF(COUNTBLANK('Capacity summary'!$H208:$BG208)&lt;52,IF('Capacity summary'!BD208&lt;&gt;"",IF(LOWER('Capacity summary'!BD208)="x",$BI89*BD89,VALUE('Capacity summary'!BD208)),0),BD89*$BI89),BD89*$BI89),0)</f>
        <v>0</v>
      </c>
      <c r="DH89" s="311">
        <f>IF($BI89&lt;&gt;"",IF('Capacity summary'!$D$14="Yes",IF(COUNTBLANK('Capacity summary'!$H208:$BG208)&lt;52,IF('Capacity summary'!BE208&lt;&gt;"",IF(LOWER('Capacity summary'!BE208)="x",$BI89*BE89,VALUE('Capacity summary'!BE208)),0),BE89*$BI89),BE89*$BI89),0)</f>
        <v>0</v>
      </c>
      <c r="DI89" s="311">
        <f>IF($BI89&lt;&gt;"",IF('Capacity summary'!$D$14="Yes",IF(COUNTBLANK('Capacity summary'!$H208:$BG208)&lt;52,IF('Capacity summary'!BF208&lt;&gt;"",IF(LOWER('Capacity summary'!BF208)="x",$BI89*BF89,VALUE('Capacity summary'!BF208)),0),BF89*$BI89),BF89*$BI89),0)</f>
        <v>0</v>
      </c>
      <c r="DJ89" s="311">
        <f>IF($BI89&lt;&gt;"",IF('Capacity summary'!$D$14="Yes",IF(COUNTBLANK('Capacity summary'!$H208:$BG208)&lt;52,IF('Capacity summary'!BG208&lt;&gt;"",IF(LOWER('Capacity summary'!BG208)="x",$BI89*BG89,VALUE('Capacity summary'!BG208)),0),BG89*$BI89),BG89*$BI89),0)</f>
        <v>0</v>
      </c>
      <c r="DK89" s="391">
        <f t="shared" si="4"/>
        <v>0</v>
      </c>
      <c r="DL89" s="136">
        <f t="shared" si="5"/>
        <v>0</v>
      </c>
      <c r="DM89" s="311" t="str">
        <f>Capacity!H101</f>
        <v/>
      </c>
    </row>
    <row r="90" spans="1:117" x14ac:dyDescent="0.2">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1">
        <f>IF($BI90&lt;&gt;"",IF('Capacity summary'!$D$14="Yes",IF(COUNTBLANK('Capacity summary'!$H209:$BG209)&lt;52,IF('Capacity summary'!H209&lt;&gt;"",IF(LOWER('Capacity summary'!H209)="x",$BI90*H90,VALUE('Capacity summary'!H209)),0),H90*$BI90),H90*$BI90),0)</f>
        <v>0</v>
      </c>
      <c r="BL90" s="311">
        <f>IF($BI90&lt;&gt;"",IF('Capacity summary'!$D$14="Yes",IF(COUNTBLANK('Capacity summary'!$H209:$BG209)&lt;52,IF('Capacity summary'!I209&lt;&gt;"",IF(LOWER('Capacity summary'!I209)="x",$BI90*I90,VALUE('Capacity summary'!I209)),0),I90*$BI90),I90*$BI90),0)</f>
        <v>0</v>
      </c>
      <c r="BM90" s="311">
        <f>IF($BI90&lt;&gt;"",IF('Capacity summary'!$D$14="Yes",IF(COUNTBLANK('Capacity summary'!$H209:$BG209)&lt;52,IF('Capacity summary'!J209&lt;&gt;"",IF(LOWER('Capacity summary'!J209)="x",$BI90*J90,VALUE('Capacity summary'!J209)),0),J90*$BI90),J90*$BI90),0)</f>
        <v>0</v>
      </c>
      <c r="BN90" s="311">
        <f>IF($BI90&lt;&gt;"",IF('Capacity summary'!$D$14="Yes",IF(COUNTBLANK('Capacity summary'!$H209:$BG209)&lt;52,IF('Capacity summary'!K209&lt;&gt;"",IF(LOWER('Capacity summary'!K209)="x",$BI90*K90,VALUE('Capacity summary'!K209)),0),K90*$BI90),K90*$BI90),0)</f>
        <v>0</v>
      </c>
      <c r="BO90" s="311">
        <f>IF($BI90&lt;&gt;"",IF('Capacity summary'!$D$14="Yes",IF(COUNTBLANK('Capacity summary'!$H209:$BG209)&lt;52,IF('Capacity summary'!L209&lt;&gt;"",IF(LOWER('Capacity summary'!L209)="x",$BI90*L90,VALUE('Capacity summary'!L209)),0),L90*$BI90),L90*$BI90),0)</f>
        <v>0</v>
      </c>
      <c r="BP90" s="311">
        <f>IF($BI90&lt;&gt;"",IF('Capacity summary'!$D$14="Yes",IF(COUNTBLANK('Capacity summary'!$H209:$BG209)&lt;52,IF('Capacity summary'!M209&lt;&gt;"",IF(LOWER('Capacity summary'!M209)="x",$BI90*M90,VALUE('Capacity summary'!M209)),0),M90*$BI90),M90*$BI90),0)</f>
        <v>0</v>
      </c>
      <c r="BQ90" s="311">
        <f>IF($BI90&lt;&gt;"",IF('Capacity summary'!$D$14="Yes",IF(COUNTBLANK('Capacity summary'!$H209:$BG209)&lt;52,IF('Capacity summary'!N209&lt;&gt;"",IF(LOWER('Capacity summary'!N209)="x",$BI90*N90,VALUE('Capacity summary'!N209)),0),N90*$BI90),N90*$BI90),0)</f>
        <v>0</v>
      </c>
      <c r="BR90" s="311">
        <f>IF($BI90&lt;&gt;"",IF('Capacity summary'!$D$14="Yes",IF(COUNTBLANK('Capacity summary'!$H209:$BG209)&lt;52,IF('Capacity summary'!O209&lt;&gt;"",IF(LOWER('Capacity summary'!O209)="x",$BI90*O90,VALUE('Capacity summary'!O209)),0),O90*$BI90),O90*$BI90),0)</f>
        <v>0</v>
      </c>
      <c r="BS90" s="311">
        <f>IF($BI90&lt;&gt;"",IF('Capacity summary'!$D$14="Yes",IF(COUNTBLANK('Capacity summary'!$H209:$BG209)&lt;52,IF('Capacity summary'!P209&lt;&gt;"",IF(LOWER('Capacity summary'!P209)="x",$BI90*P90,VALUE('Capacity summary'!P209)),0),P90*$BI90),P90*$BI90),0)</f>
        <v>0</v>
      </c>
      <c r="BT90" s="311">
        <f>IF($BI90&lt;&gt;"",IF('Capacity summary'!$D$14="Yes",IF(COUNTBLANK('Capacity summary'!$H209:$BG209)&lt;52,IF('Capacity summary'!Q209&lt;&gt;"",IF(LOWER('Capacity summary'!Q209)="x",$BI90*Q90,VALUE('Capacity summary'!Q209)),0),Q90*$BI90),Q90*$BI90),0)</f>
        <v>0</v>
      </c>
      <c r="BU90" s="311">
        <f>IF($BI90&lt;&gt;"",IF('Capacity summary'!$D$14="Yes",IF(COUNTBLANK('Capacity summary'!$H209:$BG209)&lt;52,IF('Capacity summary'!R209&lt;&gt;"",IF(LOWER('Capacity summary'!R209)="x",$BI90*R90,VALUE('Capacity summary'!R209)),0),R90*$BI90),R90*$BI90),0)</f>
        <v>0</v>
      </c>
      <c r="BV90" s="311">
        <f>IF($BI90&lt;&gt;"",IF('Capacity summary'!$D$14="Yes",IF(COUNTBLANK('Capacity summary'!$H209:$BG209)&lt;52,IF('Capacity summary'!S209&lt;&gt;"",IF(LOWER('Capacity summary'!S209)="x",$BI90*S90,VALUE('Capacity summary'!S209)),0),S90*$BI90),S90*$BI90),0)</f>
        <v>0</v>
      </c>
      <c r="BW90" s="311">
        <f>IF($BI90&lt;&gt;"",IF('Capacity summary'!$D$14="Yes",IF(COUNTBLANK('Capacity summary'!$H209:$BG209)&lt;52,IF('Capacity summary'!T209&lt;&gt;"",IF(LOWER('Capacity summary'!T209)="x",$BI90*T90,VALUE('Capacity summary'!T209)),0),T90*$BI90),T90*$BI90),0)</f>
        <v>0</v>
      </c>
      <c r="BX90" s="311">
        <f>IF($BI90&lt;&gt;"",IF('Capacity summary'!$D$14="Yes",IF(COUNTBLANK('Capacity summary'!$H209:$BG209)&lt;52,IF('Capacity summary'!U209&lt;&gt;"",IF(LOWER('Capacity summary'!U209)="x",$BI90*U90,VALUE('Capacity summary'!U209)),0),U90*$BI90),U90*$BI90),0)</f>
        <v>0</v>
      </c>
      <c r="BY90" s="311">
        <f>IF($BI90&lt;&gt;"",IF('Capacity summary'!$D$14="Yes",IF(COUNTBLANK('Capacity summary'!$H209:$BG209)&lt;52,IF('Capacity summary'!V209&lt;&gt;"",IF(LOWER('Capacity summary'!V209)="x",$BI90*V90,VALUE('Capacity summary'!V209)),0),V90*$BI90),V90*$BI90),0)</f>
        <v>0</v>
      </c>
      <c r="BZ90" s="311">
        <f>IF($BI90&lt;&gt;"",IF('Capacity summary'!$D$14="Yes",IF(COUNTBLANK('Capacity summary'!$H209:$BG209)&lt;52,IF('Capacity summary'!W209&lt;&gt;"",IF(LOWER('Capacity summary'!W209)="x",$BI90*W90,VALUE('Capacity summary'!W209)),0),W90*$BI90),W90*$BI90),0)</f>
        <v>0</v>
      </c>
      <c r="CA90" s="311">
        <f>IF($BI90&lt;&gt;"",IF('Capacity summary'!$D$14="Yes",IF(COUNTBLANK('Capacity summary'!$H209:$BG209)&lt;52,IF('Capacity summary'!X209&lt;&gt;"",IF(LOWER('Capacity summary'!X209)="x",$BI90*X90,VALUE('Capacity summary'!X209)),0),X90*$BI90),X90*$BI90),0)</f>
        <v>0</v>
      </c>
      <c r="CB90" s="311">
        <f>IF($BI90&lt;&gt;"",IF('Capacity summary'!$D$14="Yes",IF(COUNTBLANK('Capacity summary'!$H209:$BG209)&lt;52,IF('Capacity summary'!Y209&lt;&gt;"",IF(LOWER('Capacity summary'!Y209)="x",$BI90*Y90,VALUE('Capacity summary'!Y209)),0),Y90*$BI90),Y90*$BI90),0)</f>
        <v>0</v>
      </c>
      <c r="CC90" s="311">
        <f>IF($BI90&lt;&gt;"",IF('Capacity summary'!$D$14="Yes",IF(COUNTBLANK('Capacity summary'!$H209:$BG209)&lt;52,IF('Capacity summary'!Z209&lt;&gt;"",IF(LOWER('Capacity summary'!Z209)="x",$BI90*Z90,VALUE('Capacity summary'!Z209)),0),Z90*$BI90),Z90*$BI90),0)</f>
        <v>0</v>
      </c>
      <c r="CD90" s="311">
        <f>IF($BI90&lt;&gt;"",IF('Capacity summary'!$D$14="Yes",IF(COUNTBLANK('Capacity summary'!$H209:$BG209)&lt;52,IF('Capacity summary'!AA209&lt;&gt;"",IF(LOWER('Capacity summary'!AA209)="x",$BI90*AA90,VALUE('Capacity summary'!AA209)),0),AA90*$BI90),AA90*$BI90),0)</f>
        <v>0</v>
      </c>
      <c r="CE90" s="311">
        <f>IF($BI90&lt;&gt;"",IF('Capacity summary'!$D$14="Yes",IF(COUNTBLANK('Capacity summary'!$H209:$BG209)&lt;52,IF('Capacity summary'!AB209&lt;&gt;"",IF(LOWER('Capacity summary'!AB209)="x",$BI90*AB90,VALUE('Capacity summary'!AB209)),0),AB90*$BI90),AB90*$BI90),0)</f>
        <v>0</v>
      </c>
      <c r="CF90" s="311">
        <f>IF($BI90&lt;&gt;"",IF('Capacity summary'!$D$14="Yes",IF(COUNTBLANK('Capacity summary'!$H209:$BG209)&lt;52,IF('Capacity summary'!AC209&lt;&gt;"",IF(LOWER('Capacity summary'!AC209)="x",$BI90*AC90,VALUE('Capacity summary'!AC209)),0),AC90*$BI90),AC90*$BI90),0)</f>
        <v>0</v>
      </c>
      <c r="CG90" s="311">
        <f>IF($BI90&lt;&gt;"",IF('Capacity summary'!$D$14="Yes",IF(COUNTBLANK('Capacity summary'!$H209:$BG209)&lt;52,IF('Capacity summary'!AD209&lt;&gt;"",IF(LOWER('Capacity summary'!AD209)="x",$BI90*AD90,VALUE('Capacity summary'!AD209)),0),AD90*$BI90),AD90*$BI90),0)</f>
        <v>0</v>
      </c>
      <c r="CH90" s="311">
        <f>IF($BI90&lt;&gt;"",IF('Capacity summary'!$D$14="Yes",IF(COUNTBLANK('Capacity summary'!$H209:$BG209)&lt;52,IF('Capacity summary'!AE209&lt;&gt;"",IF(LOWER('Capacity summary'!AE209)="x",$BI90*AE90,VALUE('Capacity summary'!AE209)),0),AE90*$BI90),AE90*$BI90),0)</f>
        <v>0</v>
      </c>
      <c r="CI90" s="311">
        <f>IF($BI90&lt;&gt;"",IF('Capacity summary'!$D$14="Yes",IF(COUNTBLANK('Capacity summary'!$H209:$BG209)&lt;52,IF('Capacity summary'!AF209&lt;&gt;"",IF(LOWER('Capacity summary'!AF209)="x",$BI90*AF90,VALUE('Capacity summary'!AF209)),0),AF90*$BI90),AF90*$BI90),0)</f>
        <v>0</v>
      </c>
      <c r="CJ90" s="311">
        <f>IF($BI90&lt;&gt;"",IF('Capacity summary'!$D$14="Yes",IF(COUNTBLANK('Capacity summary'!$H209:$BG209)&lt;52,IF('Capacity summary'!AG209&lt;&gt;"",IF(LOWER('Capacity summary'!AG209)="x",$BI90*AG90,VALUE('Capacity summary'!AG209)),0),AG90*$BI90),AG90*$BI90),0)</f>
        <v>0</v>
      </c>
      <c r="CK90" s="311">
        <f>IF($BI90&lt;&gt;"",IF('Capacity summary'!$D$14="Yes",IF(COUNTBLANK('Capacity summary'!$H209:$BG209)&lt;52,IF('Capacity summary'!AH209&lt;&gt;"",IF(LOWER('Capacity summary'!AH209)="x",$BI90*AH90,VALUE('Capacity summary'!AH209)),0),AH90*$BI90),AH90*$BI90),0)</f>
        <v>0</v>
      </c>
      <c r="CL90" s="311">
        <f>IF($BI90&lt;&gt;"",IF('Capacity summary'!$D$14="Yes",IF(COUNTBLANK('Capacity summary'!$H209:$BG209)&lt;52,IF('Capacity summary'!AI209&lt;&gt;"",IF(LOWER('Capacity summary'!AI209)="x",$BI90*AI90,VALUE('Capacity summary'!AI209)),0),AI90*$BI90),AI90*$BI90),0)</f>
        <v>0</v>
      </c>
      <c r="CM90" s="311">
        <f>IF($BI90&lt;&gt;"",IF('Capacity summary'!$D$14="Yes",IF(COUNTBLANK('Capacity summary'!$H209:$BG209)&lt;52,IF('Capacity summary'!AJ209&lt;&gt;"",IF(LOWER('Capacity summary'!AJ209)="x",$BI90*AJ90,VALUE('Capacity summary'!AJ209)),0),AJ90*$BI90),AJ90*$BI90),0)</f>
        <v>0</v>
      </c>
      <c r="CN90" s="311">
        <f>IF($BI90&lt;&gt;"",IF('Capacity summary'!$D$14="Yes",IF(COUNTBLANK('Capacity summary'!$H209:$BG209)&lt;52,IF('Capacity summary'!AK209&lt;&gt;"",IF(LOWER('Capacity summary'!AK209)="x",$BI90*AK90,VALUE('Capacity summary'!AK209)),0),AK90*$BI90),AK90*$BI90),0)</f>
        <v>0</v>
      </c>
      <c r="CO90" s="311">
        <f>IF($BI90&lt;&gt;"",IF('Capacity summary'!$D$14="Yes",IF(COUNTBLANK('Capacity summary'!$H209:$BG209)&lt;52,IF('Capacity summary'!AL209&lt;&gt;"",IF(LOWER('Capacity summary'!AL209)="x",$BI90*AL90,VALUE('Capacity summary'!AL209)),0),AL90*$BI90),AL90*$BI90),0)</f>
        <v>0</v>
      </c>
      <c r="CP90" s="311">
        <f>IF($BI90&lt;&gt;"",IF('Capacity summary'!$D$14="Yes",IF(COUNTBLANK('Capacity summary'!$H209:$BG209)&lt;52,IF('Capacity summary'!AM209&lt;&gt;"",IF(LOWER('Capacity summary'!AM209)="x",$BI90*AM90,VALUE('Capacity summary'!AM209)),0),AM90*$BI90),AM90*$BI90),0)</f>
        <v>0</v>
      </c>
      <c r="CQ90" s="311">
        <f>IF($BI90&lt;&gt;"",IF('Capacity summary'!$D$14="Yes",IF(COUNTBLANK('Capacity summary'!$H209:$BG209)&lt;52,IF('Capacity summary'!AN209&lt;&gt;"",IF(LOWER('Capacity summary'!AN209)="x",$BI90*AN90,VALUE('Capacity summary'!AN209)),0),AN90*$BI90),AN90*$BI90),0)</f>
        <v>0</v>
      </c>
      <c r="CR90" s="311">
        <f>IF($BI90&lt;&gt;"",IF('Capacity summary'!$D$14="Yes",IF(COUNTBLANK('Capacity summary'!$H209:$BG209)&lt;52,IF('Capacity summary'!AO209&lt;&gt;"",IF(LOWER('Capacity summary'!AO209)="x",$BI90*AO90,VALUE('Capacity summary'!AO209)),0),AO90*$BI90),AO90*$BI90),0)</f>
        <v>0</v>
      </c>
      <c r="CS90" s="311">
        <f>IF($BI90&lt;&gt;"",IF('Capacity summary'!$D$14="Yes",IF(COUNTBLANK('Capacity summary'!$H209:$BG209)&lt;52,IF('Capacity summary'!AP209&lt;&gt;"",IF(LOWER('Capacity summary'!AP209)="x",$BI90*AP90,VALUE('Capacity summary'!AP209)),0),AP90*$BI90),AP90*$BI90),0)</f>
        <v>0</v>
      </c>
      <c r="CT90" s="311">
        <f>IF($BI90&lt;&gt;"",IF('Capacity summary'!$D$14="Yes",IF(COUNTBLANK('Capacity summary'!$H209:$BG209)&lt;52,IF('Capacity summary'!AQ209&lt;&gt;"",IF(LOWER('Capacity summary'!AQ209)="x",$BI90*AQ90,VALUE('Capacity summary'!AQ209)),0),AQ90*$BI90),AQ90*$BI90),0)</f>
        <v>0</v>
      </c>
      <c r="CU90" s="311">
        <f>IF($BI90&lt;&gt;"",IF('Capacity summary'!$D$14="Yes",IF(COUNTBLANK('Capacity summary'!$H209:$BG209)&lt;52,IF('Capacity summary'!AR209&lt;&gt;"",IF(LOWER('Capacity summary'!AR209)="x",$BI90*AR90,VALUE('Capacity summary'!AR209)),0),AR90*$BI90),AR90*$BI90),0)</f>
        <v>0</v>
      </c>
      <c r="CV90" s="311">
        <f>IF($BI90&lt;&gt;"",IF('Capacity summary'!$D$14="Yes",IF(COUNTBLANK('Capacity summary'!$H209:$BG209)&lt;52,IF('Capacity summary'!AS209&lt;&gt;"",IF(LOWER('Capacity summary'!AS209)="x",$BI90*AS90,VALUE('Capacity summary'!AS209)),0),AS90*$BI90),AS90*$BI90),0)</f>
        <v>0</v>
      </c>
      <c r="CW90" s="311">
        <f>IF($BI90&lt;&gt;"",IF('Capacity summary'!$D$14="Yes",IF(COUNTBLANK('Capacity summary'!$H209:$BG209)&lt;52,IF('Capacity summary'!AT209&lt;&gt;"",IF(LOWER('Capacity summary'!AT209)="x",$BI90*AT90,VALUE('Capacity summary'!AT209)),0),AT90*$BI90),AT90*$BI90),0)</f>
        <v>0</v>
      </c>
      <c r="CX90" s="311">
        <f>IF($BI90&lt;&gt;"",IF('Capacity summary'!$D$14="Yes",IF(COUNTBLANK('Capacity summary'!$H209:$BG209)&lt;52,IF('Capacity summary'!AU209&lt;&gt;"",IF(LOWER('Capacity summary'!AU209)="x",$BI90*AU90,VALUE('Capacity summary'!AU209)),0),AU90*$BI90),AU90*$BI90),0)</f>
        <v>0</v>
      </c>
      <c r="CY90" s="311">
        <f>IF($BI90&lt;&gt;"",IF('Capacity summary'!$D$14="Yes",IF(COUNTBLANK('Capacity summary'!$H209:$BG209)&lt;52,IF('Capacity summary'!AV209&lt;&gt;"",IF(LOWER('Capacity summary'!AV209)="x",$BI90*AV90,VALUE('Capacity summary'!AV209)),0),AV90*$BI90),AV90*$BI90),0)</f>
        <v>0</v>
      </c>
      <c r="CZ90" s="311">
        <f>IF($BI90&lt;&gt;"",IF('Capacity summary'!$D$14="Yes",IF(COUNTBLANK('Capacity summary'!$H209:$BG209)&lt;52,IF('Capacity summary'!AW209&lt;&gt;"",IF(LOWER('Capacity summary'!AW209)="x",$BI90*AW90,VALUE('Capacity summary'!AW209)),0),AW90*$BI90),AW90*$BI90),0)</f>
        <v>0</v>
      </c>
      <c r="DA90" s="311">
        <f>IF($BI90&lt;&gt;"",IF('Capacity summary'!$D$14="Yes",IF(COUNTBLANK('Capacity summary'!$H209:$BG209)&lt;52,IF('Capacity summary'!AX209&lt;&gt;"",IF(LOWER('Capacity summary'!AX209)="x",$BI90*AX90,VALUE('Capacity summary'!AX209)),0),AX90*$BI90),AX90*$BI90),0)</f>
        <v>0</v>
      </c>
      <c r="DB90" s="311">
        <f>IF($BI90&lt;&gt;"",IF('Capacity summary'!$D$14="Yes",IF(COUNTBLANK('Capacity summary'!$H209:$BG209)&lt;52,IF('Capacity summary'!AY209&lt;&gt;"",IF(LOWER('Capacity summary'!AY209)="x",$BI90*AY90,VALUE('Capacity summary'!AY209)),0),AY90*$BI90),AY90*$BI90),0)</f>
        <v>0</v>
      </c>
      <c r="DC90" s="311">
        <f>IF($BI90&lt;&gt;"",IF('Capacity summary'!$D$14="Yes",IF(COUNTBLANK('Capacity summary'!$H209:$BG209)&lt;52,IF('Capacity summary'!AZ209&lt;&gt;"",IF(LOWER('Capacity summary'!AZ209)="x",$BI90*AZ90,VALUE('Capacity summary'!AZ209)),0),AZ90*$BI90),AZ90*$BI90),0)</f>
        <v>0</v>
      </c>
      <c r="DD90" s="311">
        <f>IF($BI90&lt;&gt;"",IF('Capacity summary'!$D$14="Yes",IF(COUNTBLANK('Capacity summary'!$H209:$BG209)&lt;52,IF('Capacity summary'!BA209&lt;&gt;"",IF(LOWER('Capacity summary'!BA209)="x",$BI90*BA90,VALUE('Capacity summary'!BA209)),0),BA90*$BI90),BA90*$BI90),0)</f>
        <v>0</v>
      </c>
      <c r="DE90" s="311">
        <f>IF($BI90&lt;&gt;"",IF('Capacity summary'!$D$14="Yes",IF(COUNTBLANK('Capacity summary'!$H209:$BG209)&lt;52,IF('Capacity summary'!BB209&lt;&gt;"",IF(LOWER('Capacity summary'!BB209)="x",$BI90*BB90,VALUE('Capacity summary'!BB209)),0),BB90*$BI90),BB90*$BI90),0)</f>
        <v>0</v>
      </c>
      <c r="DF90" s="311">
        <f>IF($BI90&lt;&gt;"",IF('Capacity summary'!$D$14="Yes",IF(COUNTBLANK('Capacity summary'!$H209:$BG209)&lt;52,IF('Capacity summary'!BC209&lt;&gt;"",IF(LOWER('Capacity summary'!BC209)="x",$BI90*BC90,VALUE('Capacity summary'!BC209)),0),BC90*$BI90),BC90*$BI90),0)</f>
        <v>0</v>
      </c>
      <c r="DG90" s="311">
        <f>IF($BI90&lt;&gt;"",IF('Capacity summary'!$D$14="Yes",IF(COUNTBLANK('Capacity summary'!$H209:$BG209)&lt;52,IF('Capacity summary'!BD209&lt;&gt;"",IF(LOWER('Capacity summary'!BD209)="x",$BI90*BD90,VALUE('Capacity summary'!BD209)),0),BD90*$BI90),BD90*$BI90),0)</f>
        <v>0</v>
      </c>
      <c r="DH90" s="311">
        <f>IF($BI90&lt;&gt;"",IF('Capacity summary'!$D$14="Yes",IF(COUNTBLANK('Capacity summary'!$H209:$BG209)&lt;52,IF('Capacity summary'!BE209&lt;&gt;"",IF(LOWER('Capacity summary'!BE209)="x",$BI90*BE90,VALUE('Capacity summary'!BE209)),0),BE90*$BI90),BE90*$BI90),0)</f>
        <v>0</v>
      </c>
      <c r="DI90" s="311">
        <f>IF($BI90&lt;&gt;"",IF('Capacity summary'!$D$14="Yes",IF(COUNTBLANK('Capacity summary'!$H209:$BG209)&lt;52,IF('Capacity summary'!BF209&lt;&gt;"",IF(LOWER('Capacity summary'!BF209)="x",$BI90*BF90,VALUE('Capacity summary'!BF209)),0),BF90*$BI90),BF90*$BI90),0)</f>
        <v>0</v>
      </c>
      <c r="DJ90" s="311">
        <f>IF($BI90&lt;&gt;"",IF('Capacity summary'!$D$14="Yes",IF(COUNTBLANK('Capacity summary'!$H209:$BG209)&lt;52,IF('Capacity summary'!BG209&lt;&gt;"",IF(LOWER('Capacity summary'!BG209)="x",$BI90*BG90,VALUE('Capacity summary'!BG209)),0),BG90*$BI90),BG90*$BI90),0)</f>
        <v>0</v>
      </c>
      <c r="DK90" s="391">
        <f t="shared" si="4"/>
        <v>0</v>
      </c>
      <c r="DL90" s="136">
        <f t="shared" si="5"/>
        <v>0</v>
      </c>
      <c r="DM90" s="311" t="str">
        <f>Capacity!H102</f>
        <v/>
      </c>
    </row>
    <row r="91" spans="1:117" x14ac:dyDescent="0.2">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1">
        <f>IF($BI91&lt;&gt;"",IF('Capacity summary'!$D$14="Yes",IF(COUNTBLANK('Capacity summary'!$H210:$BG210)&lt;52,IF('Capacity summary'!H210&lt;&gt;"",IF(LOWER('Capacity summary'!H210)="x",$BI91*H91,VALUE('Capacity summary'!H210)),0),H91*$BI91),H91*$BI91),0)</f>
        <v>0</v>
      </c>
      <c r="BL91" s="311">
        <f>IF($BI91&lt;&gt;"",IF('Capacity summary'!$D$14="Yes",IF(COUNTBLANK('Capacity summary'!$H210:$BG210)&lt;52,IF('Capacity summary'!I210&lt;&gt;"",IF(LOWER('Capacity summary'!I210)="x",$BI91*I91,VALUE('Capacity summary'!I210)),0),I91*$BI91),I91*$BI91),0)</f>
        <v>0</v>
      </c>
      <c r="BM91" s="311">
        <f>IF($BI91&lt;&gt;"",IF('Capacity summary'!$D$14="Yes",IF(COUNTBLANK('Capacity summary'!$H210:$BG210)&lt;52,IF('Capacity summary'!J210&lt;&gt;"",IF(LOWER('Capacity summary'!J210)="x",$BI91*J91,VALUE('Capacity summary'!J210)),0),J91*$BI91),J91*$BI91),0)</f>
        <v>0</v>
      </c>
      <c r="BN91" s="311">
        <f>IF($BI91&lt;&gt;"",IF('Capacity summary'!$D$14="Yes",IF(COUNTBLANK('Capacity summary'!$H210:$BG210)&lt;52,IF('Capacity summary'!K210&lt;&gt;"",IF(LOWER('Capacity summary'!K210)="x",$BI91*K91,VALUE('Capacity summary'!K210)),0),K91*$BI91),K91*$BI91),0)</f>
        <v>0</v>
      </c>
      <c r="BO91" s="311">
        <f>IF($BI91&lt;&gt;"",IF('Capacity summary'!$D$14="Yes",IF(COUNTBLANK('Capacity summary'!$H210:$BG210)&lt;52,IF('Capacity summary'!L210&lt;&gt;"",IF(LOWER('Capacity summary'!L210)="x",$BI91*L91,VALUE('Capacity summary'!L210)),0),L91*$BI91),L91*$BI91),0)</f>
        <v>0</v>
      </c>
      <c r="BP91" s="311">
        <f>IF($BI91&lt;&gt;"",IF('Capacity summary'!$D$14="Yes",IF(COUNTBLANK('Capacity summary'!$H210:$BG210)&lt;52,IF('Capacity summary'!M210&lt;&gt;"",IF(LOWER('Capacity summary'!M210)="x",$BI91*M91,VALUE('Capacity summary'!M210)),0),M91*$BI91),M91*$BI91),0)</f>
        <v>0</v>
      </c>
      <c r="BQ91" s="311">
        <f>IF($BI91&lt;&gt;"",IF('Capacity summary'!$D$14="Yes",IF(COUNTBLANK('Capacity summary'!$H210:$BG210)&lt;52,IF('Capacity summary'!N210&lt;&gt;"",IF(LOWER('Capacity summary'!N210)="x",$BI91*N91,VALUE('Capacity summary'!N210)),0),N91*$BI91),N91*$BI91),0)</f>
        <v>0</v>
      </c>
      <c r="BR91" s="311">
        <f>IF($BI91&lt;&gt;"",IF('Capacity summary'!$D$14="Yes",IF(COUNTBLANK('Capacity summary'!$H210:$BG210)&lt;52,IF('Capacity summary'!O210&lt;&gt;"",IF(LOWER('Capacity summary'!O210)="x",$BI91*O91,VALUE('Capacity summary'!O210)),0),O91*$BI91),O91*$BI91),0)</f>
        <v>0</v>
      </c>
      <c r="BS91" s="311">
        <f>IF($BI91&lt;&gt;"",IF('Capacity summary'!$D$14="Yes",IF(COUNTBLANK('Capacity summary'!$H210:$BG210)&lt;52,IF('Capacity summary'!P210&lt;&gt;"",IF(LOWER('Capacity summary'!P210)="x",$BI91*P91,VALUE('Capacity summary'!P210)),0),P91*$BI91),P91*$BI91),0)</f>
        <v>0</v>
      </c>
      <c r="BT91" s="311">
        <f>IF($BI91&lt;&gt;"",IF('Capacity summary'!$D$14="Yes",IF(COUNTBLANK('Capacity summary'!$H210:$BG210)&lt;52,IF('Capacity summary'!Q210&lt;&gt;"",IF(LOWER('Capacity summary'!Q210)="x",$BI91*Q91,VALUE('Capacity summary'!Q210)),0),Q91*$BI91),Q91*$BI91),0)</f>
        <v>0</v>
      </c>
      <c r="BU91" s="311">
        <f>IF($BI91&lt;&gt;"",IF('Capacity summary'!$D$14="Yes",IF(COUNTBLANK('Capacity summary'!$H210:$BG210)&lt;52,IF('Capacity summary'!R210&lt;&gt;"",IF(LOWER('Capacity summary'!R210)="x",$BI91*R91,VALUE('Capacity summary'!R210)),0),R91*$BI91),R91*$BI91),0)</f>
        <v>0</v>
      </c>
      <c r="BV91" s="311">
        <f>IF($BI91&lt;&gt;"",IF('Capacity summary'!$D$14="Yes",IF(COUNTBLANK('Capacity summary'!$H210:$BG210)&lt;52,IF('Capacity summary'!S210&lt;&gt;"",IF(LOWER('Capacity summary'!S210)="x",$BI91*S91,VALUE('Capacity summary'!S210)),0),S91*$BI91),S91*$BI91),0)</f>
        <v>0</v>
      </c>
      <c r="BW91" s="311">
        <f>IF($BI91&lt;&gt;"",IF('Capacity summary'!$D$14="Yes",IF(COUNTBLANK('Capacity summary'!$H210:$BG210)&lt;52,IF('Capacity summary'!T210&lt;&gt;"",IF(LOWER('Capacity summary'!T210)="x",$BI91*T91,VALUE('Capacity summary'!T210)),0),T91*$BI91),T91*$BI91),0)</f>
        <v>0</v>
      </c>
      <c r="BX91" s="311">
        <f>IF($BI91&lt;&gt;"",IF('Capacity summary'!$D$14="Yes",IF(COUNTBLANK('Capacity summary'!$H210:$BG210)&lt;52,IF('Capacity summary'!U210&lt;&gt;"",IF(LOWER('Capacity summary'!U210)="x",$BI91*U91,VALUE('Capacity summary'!U210)),0),U91*$BI91),U91*$BI91),0)</f>
        <v>0</v>
      </c>
      <c r="BY91" s="311">
        <f>IF($BI91&lt;&gt;"",IF('Capacity summary'!$D$14="Yes",IF(COUNTBLANK('Capacity summary'!$H210:$BG210)&lt;52,IF('Capacity summary'!V210&lt;&gt;"",IF(LOWER('Capacity summary'!V210)="x",$BI91*V91,VALUE('Capacity summary'!V210)),0),V91*$BI91),V91*$BI91),0)</f>
        <v>0</v>
      </c>
      <c r="BZ91" s="311">
        <f>IF($BI91&lt;&gt;"",IF('Capacity summary'!$D$14="Yes",IF(COUNTBLANK('Capacity summary'!$H210:$BG210)&lt;52,IF('Capacity summary'!W210&lt;&gt;"",IF(LOWER('Capacity summary'!W210)="x",$BI91*W91,VALUE('Capacity summary'!W210)),0),W91*$BI91),W91*$BI91),0)</f>
        <v>0</v>
      </c>
      <c r="CA91" s="311">
        <f>IF($BI91&lt;&gt;"",IF('Capacity summary'!$D$14="Yes",IF(COUNTBLANK('Capacity summary'!$H210:$BG210)&lt;52,IF('Capacity summary'!X210&lt;&gt;"",IF(LOWER('Capacity summary'!X210)="x",$BI91*X91,VALUE('Capacity summary'!X210)),0),X91*$BI91),X91*$BI91),0)</f>
        <v>0</v>
      </c>
      <c r="CB91" s="311">
        <f>IF($BI91&lt;&gt;"",IF('Capacity summary'!$D$14="Yes",IF(COUNTBLANK('Capacity summary'!$H210:$BG210)&lt;52,IF('Capacity summary'!Y210&lt;&gt;"",IF(LOWER('Capacity summary'!Y210)="x",$BI91*Y91,VALUE('Capacity summary'!Y210)),0),Y91*$BI91),Y91*$BI91),0)</f>
        <v>0</v>
      </c>
      <c r="CC91" s="311">
        <f>IF($BI91&lt;&gt;"",IF('Capacity summary'!$D$14="Yes",IF(COUNTBLANK('Capacity summary'!$H210:$BG210)&lt;52,IF('Capacity summary'!Z210&lt;&gt;"",IF(LOWER('Capacity summary'!Z210)="x",$BI91*Z91,VALUE('Capacity summary'!Z210)),0),Z91*$BI91),Z91*$BI91),0)</f>
        <v>0</v>
      </c>
      <c r="CD91" s="311">
        <f>IF($BI91&lt;&gt;"",IF('Capacity summary'!$D$14="Yes",IF(COUNTBLANK('Capacity summary'!$H210:$BG210)&lt;52,IF('Capacity summary'!AA210&lt;&gt;"",IF(LOWER('Capacity summary'!AA210)="x",$BI91*AA91,VALUE('Capacity summary'!AA210)),0),AA91*$BI91),AA91*$BI91),0)</f>
        <v>0</v>
      </c>
      <c r="CE91" s="311">
        <f>IF($BI91&lt;&gt;"",IF('Capacity summary'!$D$14="Yes",IF(COUNTBLANK('Capacity summary'!$H210:$BG210)&lt;52,IF('Capacity summary'!AB210&lt;&gt;"",IF(LOWER('Capacity summary'!AB210)="x",$BI91*AB91,VALUE('Capacity summary'!AB210)),0),AB91*$BI91),AB91*$BI91),0)</f>
        <v>0</v>
      </c>
      <c r="CF91" s="311">
        <f>IF($BI91&lt;&gt;"",IF('Capacity summary'!$D$14="Yes",IF(COUNTBLANK('Capacity summary'!$H210:$BG210)&lt;52,IF('Capacity summary'!AC210&lt;&gt;"",IF(LOWER('Capacity summary'!AC210)="x",$BI91*AC91,VALUE('Capacity summary'!AC210)),0),AC91*$BI91),AC91*$BI91),0)</f>
        <v>0</v>
      </c>
      <c r="CG91" s="311">
        <f>IF($BI91&lt;&gt;"",IF('Capacity summary'!$D$14="Yes",IF(COUNTBLANK('Capacity summary'!$H210:$BG210)&lt;52,IF('Capacity summary'!AD210&lt;&gt;"",IF(LOWER('Capacity summary'!AD210)="x",$BI91*AD91,VALUE('Capacity summary'!AD210)),0),AD91*$BI91),AD91*$BI91),0)</f>
        <v>0</v>
      </c>
      <c r="CH91" s="311">
        <f>IF($BI91&lt;&gt;"",IF('Capacity summary'!$D$14="Yes",IF(COUNTBLANK('Capacity summary'!$H210:$BG210)&lt;52,IF('Capacity summary'!AE210&lt;&gt;"",IF(LOWER('Capacity summary'!AE210)="x",$BI91*AE91,VALUE('Capacity summary'!AE210)),0),AE91*$BI91),AE91*$BI91),0)</f>
        <v>0</v>
      </c>
      <c r="CI91" s="311">
        <f>IF($BI91&lt;&gt;"",IF('Capacity summary'!$D$14="Yes",IF(COUNTBLANK('Capacity summary'!$H210:$BG210)&lt;52,IF('Capacity summary'!AF210&lt;&gt;"",IF(LOWER('Capacity summary'!AF210)="x",$BI91*AF91,VALUE('Capacity summary'!AF210)),0),AF91*$BI91),AF91*$BI91),0)</f>
        <v>0</v>
      </c>
      <c r="CJ91" s="311">
        <f>IF($BI91&lt;&gt;"",IF('Capacity summary'!$D$14="Yes",IF(COUNTBLANK('Capacity summary'!$H210:$BG210)&lt;52,IF('Capacity summary'!AG210&lt;&gt;"",IF(LOWER('Capacity summary'!AG210)="x",$BI91*AG91,VALUE('Capacity summary'!AG210)),0),AG91*$BI91),AG91*$BI91),0)</f>
        <v>0</v>
      </c>
      <c r="CK91" s="311">
        <f>IF($BI91&lt;&gt;"",IF('Capacity summary'!$D$14="Yes",IF(COUNTBLANK('Capacity summary'!$H210:$BG210)&lt;52,IF('Capacity summary'!AH210&lt;&gt;"",IF(LOWER('Capacity summary'!AH210)="x",$BI91*AH91,VALUE('Capacity summary'!AH210)),0),AH91*$BI91),AH91*$BI91),0)</f>
        <v>0</v>
      </c>
      <c r="CL91" s="311">
        <f>IF($BI91&lt;&gt;"",IF('Capacity summary'!$D$14="Yes",IF(COUNTBLANK('Capacity summary'!$H210:$BG210)&lt;52,IF('Capacity summary'!AI210&lt;&gt;"",IF(LOWER('Capacity summary'!AI210)="x",$BI91*AI91,VALUE('Capacity summary'!AI210)),0),AI91*$BI91),AI91*$BI91),0)</f>
        <v>0</v>
      </c>
      <c r="CM91" s="311">
        <f>IF($BI91&lt;&gt;"",IF('Capacity summary'!$D$14="Yes",IF(COUNTBLANK('Capacity summary'!$H210:$BG210)&lt;52,IF('Capacity summary'!AJ210&lt;&gt;"",IF(LOWER('Capacity summary'!AJ210)="x",$BI91*AJ91,VALUE('Capacity summary'!AJ210)),0),AJ91*$BI91),AJ91*$BI91),0)</f>
        <v>0</v>
      </c>
      <c r="CN91" s="311">
        <f>IF($BI91&lt;&gt;"",IF('Capacity summary'!$D$14="Yes",IF(COUNTBLANK('Capacity summary'!$H210:$BG210)&lt;52,IF('Capacity summary'!AK210&lt;&gt;"",IF(LOWER('Capacity summary'!AK210)="x",$BI91*AK91,VALUE('Capacity summary'!AK210)),0),AK91*$BI91),AK91*$BI91),0)</f>
        <v>0</v>
      </c>
      <c r="CO91" s="311">
        <f>IF($BI91&lt;&gt;"",IF('Capacity summary'!$D$14="Yes",IF(COUNTBLANK('Capacity summary'!$H210:$BG210)&lt;52,IF('Capacity summary'!AL210&lt;&gt;"",IF(LOWER('Capacity summary'!AL210)="x",$BI91*AL91,VALUE('Capacity summary'!AL210)),0),AL91*$BI91),AL91*$BI91),0)</f>
        <v>0</v>
      </c>
      <c r="CP91" s="311">
        <f>IF($BI91&lt;&gt;"",IF('Capacity summary'!$D$14="Yes",IF(COUNTBLANK('Capacity summary'!$H210:$BG210)&lt;52,IF('Capacity summary'!AM210&lt;&gt;"",IF(LOWER('Capacity summary'!AM210)="x",$BI91*AM91,VALUE('Capacity summary'!AM210)),0),AM91*$BI91),AM91*$BI91),0)</f>
        <v>0</v>
      </c>
      <c r="CQ91" s="311">
        <f>IF($BI91&lt;&gt;"",IF('Capacity summary'!$D$14="Yes",IF(COUNTBLANK('Capacity summary'!$H210:$BG210)&lt;52,IF('Capacity summary'!AN210&lt;&gt;"",IF(LOWER('Capacity summary'!AN210)="x",$BI91*AN91,VALUE('Capacity summary'!AN210)),0),AN91*$BI91),AN91*$BI91),0)</f>
        <v>0</v>
      </c>
      <c r="CR91" s="311">
        <f>IF($BI91&lt;&gt;"",IF('Capacity summary'!$D$14="Yes",IF(COUNTBLANK('Capacity summary'!$H210:$BG210)&lt;52,IF('Capacity summary'!AO210&lt;&gt;"",IF(LOWER('Capacity summary'!AO210)="x",$BI91*AO91,VALUE('Capacity summary'!AO210)),0),AO91*$BI91),AO91*$BI91),0)</f>
        <v>0</v>
      </c>
      <c r="CS91" s="311">
        <f>IF($BI91&lt;&gt;"",IF('Capacity summary'!$D$14="Yes",IF(COUNTBLANK('Capacity summary'!$H210:$BG210)&lt;52,IF('Capacity summary'!AP210&lt;&gt;"",IF(LOWER('Capacity summary'!AP210)="x",$BI91*AP91,VALUE('Capacity summary'!AP210)),0),AP91*$BI91),AP91*$BI91),0)</f>
        <v>0</v>
      </c>
      <c r="CT91" s="311">
        <f>IF($BI91&lt;&gt;"",IF('Capacity summary'!$D$14="Yes",IF(COUNTBLANK('Capacity summary'!$H210:$BG210)&lt;52,IF('Capacity summary'!AQ210&lt;&gt;"",IF(LOWER('Capacity summary'!AQ210)="x",$BI91*AQ91,VALUE('Capacity summary'!AQ210)),0),AQ91*$BI91),AQ91*$BI91),0)</f>
        <v>0</v>
      </c>
      <c r="CU91" s="311">
        <f>IF($BI91&lt;&gt;"",IF('Capacity summary'!$D$14="Yes",IF(COUNTBLANK('Capacity summary'!$H210:$BG210)&lt;52,IF('Capacity summary'!AR210&lt;&gt;"",IF(LOWER('Capacity summary'!AR210)="x",$BI91*AR91,VALUE('Capacity summary'!AR210)),0),AR91*$BI91),AR91*$BI91),0)</f>
        <v>0</v>
      </c>
      <c r="CV91" s="311">
        <f>IF($BI91&lt;&gt;"",IF('Capacity summary'!$D$14="Yes",IF(COUNTBLANK('Capacity summary'!$H210:$BG210)&lt;52,IF('Capacity summary'!AS210&lt;&gt;"",IF(LOWER('Capacity summary'!AS210)="x",$BI91*AS91,VALUE('Capacity summary'!AS210)),0),AS91*$BI91),AS91*$BI91),0)</f>
        <v>0</v>
      </c>
      <c r="CW91" s="311">
        <f>IF($BI91&lt;&gt;"",IF('Capacity summary'!$D$14="Yes",IF(COUNTBLANK('Capacity summary'!$H210:$BG210)&lt;52,IF('Capacity summary'!AT210&lt;&gt;"",IF(LOWER('Capacity summary'!AT210)="x",$BI91*AT91,VALUE('Capacity summary'!AT210)),0),AT91*$BI91),AT91*$BI91),0)</f>
        <v>0</v>
      </c>
      <c r="CX91" s="311">
        <f>IF($BI91&lt;&gt;"",IF('Capacity summary'!$D$14="Yes",IF(COUNTBLANK('Capacity summary'!$H210:$BG210)&lt;52,IF('Capacity summary'!AU210&lt;&gt;"",IF(LOWER('Capacity summary'!AU210)="x",$BI91*AU91,VALUE('Capacity summary'!AU210)),0),AU91*$BI91),AU91*$BI91),0)</f>
        <v>0</v>
      </c>
      <c r="CY91" s="311">
        <f>IF($BI91&lt;&gt;"",IF('Capacity summary'!$D$14="Yes",IF(COUNTBLANK('Capacity summary'!$H210:$BG210)&lt;52,IF('Capacity summary'!AV210&lt;&gt;"",IF(LOWER('Capacity summary'!AV210)="x",$BI91*AV91,VALUE('Capacity summary'!AV210)),0),AV91*$BI91),AV91*$BI91),0)</f>
        <v>0</v>
      </c>
      <c r="CZ91" s="311">
        <f>IF($BI91&lt;&gt;"",IF('Capacity summary'!$D$14="Yes",IF(COUNTBLANK('Capacity summary'!$H210:$BG210)&lt;52,IF('Capacity summary'!AW210&lt;&gt;"",IF(LOWER('Capacity summary'!AW210)="x",$BI91*AW91,VALUE('Capacity summary'!AW210)),0),AW91*$BI91),AW91*$BI91),0)</f>
        <v>0</v>
      </c>
      <c r="DA91" s="311">
        <f>IF($BI91&lt;&gt;"",IF('Capacity summary'!$D$14="Yes",IF(COUNTBLANK('Capacity summary'!$H210:$BG210)&lt;52,IF('Capacity summary'!AX210&lt;&gt;"",IF(LOWER('Capacity summary'!AX210)="x",$BI91*AX91,VALUE('Capacity summary'!AX210)),0),AX91*$BI91),AX91*$BI91),0)</f>
        <v>0</v>
      </c>
      <c r="DB91" s="311">
        <f>IF($BI91&lt;&gt;"",IF('Capacity summary'!$D$14="Yes",IF(COUNTBLANK('Capacity summary'!$H210:$BG210)&lt;52,IF('Capacity summary'!AY210&lt;&gt;"",IF(LOWER('Capacity summary'!AY210)="x",$BI91*AY91,VALUE('Capacity summary'!AY210)),0),AY91*$BI91),AY91*$BI91),0)</f>
        <v>0</v>
      </c>
      <c r="DC91" s="311">
        <f>IF($BI91&lt;&gt;"",IF('Capacity summary'!$D$14="Yes",IF(COUNTBLANK('Capacity summary'!$H210:$BG210)&lt;52,IF('Capacity summary'!AZ210&lt;&gt;"",IF(LOWER('Capacity summary'!AZ210)="x",$BI91*AZ91,VALUE('Capacity summary'!AZ210)),0),AZ91*$BI91),AZ91*$BI91),0)</f>
        <v>0</v>
      </c>
      <c r="DD91" s="311">
        <f>IF($BI91&lt;&gt;"",IF('Capacity summary'!$D$14="Yes",IF(COUNTBLANK('Capacity summary'!$H210:$BG210)&lt;52,IF('Capacity summary'!BA210&lt;&gt;"",IF(LOWER('Capacity summary'!BA210)="x",$BI91*BA91,VALUE('Capacity summary'!BA210)),0),BA91*$BI91),BA91*$BI91),0)</f>
        <v>0</v>
      </c>
      <c r="DE91" s="311">
        <f>IF($BI91&lt;&gt;"",IF('Capacity summary'!$D$14="Yes",IF(COUNTBLANK('Capacity summary'!$H210:$BG210)&lt;52,IF('Capacity summary'!BB210&lt;&gt;"",IF(LOWER('Capacity summary'!BB210)="x",$BI91*BB91,VALUE('Capacity summary'!BB210)),0),BB91*$BI91),BB91*$BI91),0)</f>
        <v>0</v>
      </c>
      <c r="DF91" s="311">
        <f>IF($BI91&lt;&gt;"",IF('Capacity summary'!$D$14="Yes",IF(COUNTBLANK('Capacity summary'!$H210:$BG210)&lt;52,IF('Capacity summary'!BC210&lt;&gt;"",IF(LOWER('Capacity summary'!BC210)="x",$BI91*BC91,VALUE('Capacity summary'!BC210)),0),BC91*$BI91),BC91*$BI91),0)</f>
        <v>0</v>
      </c>
      <c r="DG91" s="311">
        <f>IF($BI91&lt;&gt;"",IF('Capacity summary'!$D$14="Yes",IF(COUNTBLANK('Capacity summary'!$H210:$BG210)&lt;52,IF('Capacity summary'!BD210&lt;&gt;"",IF(LOWER('Capacity summary'!BD210)="x",$BI91*BD91,VALUE('Capacity summary'!BD210)),0),BD91*$BI91),BD91*$BI91),0)</f>
        <v>0</v>
      </c>
      <c r="DH91" s="311">
        <f>IF($BI91&lt;&gt;"",IF('Capacity summary'!$D$14="Yes",IF(COUNTBLANK('Capacity summary'!$H210:$BG210)&lt;52,IF('Capacity summary'!BE210&lt;&gt;"",IF(LOWER('Capacity summary'!BE210)="x",$BI91*BE91,VALUE('Capacity summary'!BE210)),0),BE91*$BI91),BE91*$BI91),0)</f>
        <v>0</v>
      </c>
      <c r="DI91" s="311">
        <f>IF($BI91&lt;&gt;"",IF('Capacity summary'!$D$14="Yes",IF(COUNTBLANK('Capacity summary'!$H210:$BG210)&lt;52,IF('Capacity summary'!BF210&lt;&gt;"",IF(LOWER('Capacity summary'!BF210)="x",$BI91*BF91,VALUE('Capacity summary'!BF210)),0),BF91*$BI91),BF91*$BI91),0)</f>
        <v>0</v>
      </c>
      <c r="DJ91" s="311">
        <f>IF($BI91&lt;&gt;"",IF('Capacity summary'!$D$14="Yes",IF(COUNTBLANK('Capacity summary'!$H210:$BG210)&lt;52,IF('Capacity summary'!BG210&lt;&gt;"",IF(LOWER('Capacity summary'!BG210)="x",$BI91*BG91,VALUE('Capacity summary'!BG210)),0),BG91*$BI91),BG91*$BI91),0)</f>
        <v>0</v>
      </c>
      <c r="DK91" s="391">
        <f t="shared" si="4"/>
        <v>0</v>
      </c>
      <c r="DL91" s="136">
        <f t="shared" si="5"/>
        <v>0</v>
      </c>
      <c r="DM91" s="311" t="str">
        <f>Capacity!H103</f>
        <v/>
      </c>
    </row>
    <row r="92" spans="1:117" x14ac:dyDescent="0.2">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1">
        <f>IF($BI92&lt;&gt;"",IF('Capacity summary'!$D$14="Yes",IF(COUNTBLANK('Capacity summary'!$H211:$BG211)&lt;52,IF('Capacity summary'!H211&lt;&gt;"",IF(LOWER('Capacity summary'!H211)="x",$BI92*H92,VALUE('Capacity summary'!H211)),0),H92*$BI92),H92*$BI92),0)</f>
        <v>0</v>
      </c>
      <c r="BL92" s="311">
        <f>IF($BI92&lt;&gt;"",IF('Capacity summary'!$D$14="Yes",IF(COUNTBLANK('Capacity summary'!$H211:$BG211)&lt;52,IF('Capacity summary'!I211&lt;&gt;"",IF(LOWER('Capacity summary'!I211)="x",$BI92*I92,VALUE('Capacity summary'!I211)),0),I92*$BI92),I92*$BI92),0)</f>
        <v>0</v>
      </c>
      <c r="BM92" s="311">
        <f>IF($BI92&lt;&gt;"",IF('Capacity summary'!$D$14="Yes",IF(COUNTBLANK('Capacity summary'!$H211:$BG211)&lt;52,IF('Capacity summary'!J211&lt;&gt;"",IF(LOWER('Capacity summary'!J211)="x",$BI92*J92,VALUE('Capacity summary'!J211)),0),J92*$BI92),J92*$BI92),0)</f>
        <v>0</v>
      </c>
      <c r="BN92" s="311">
        <f>IF($BI92&lt;&gt;"",IF('Capacity summary'!$D$14="Yes",IF(COUNTBLANK('Capacity summary'!$H211:$BG211)&lt;52,IF('Capacity summary'!K211&lt;&gt;"",IF(LOWER('Capacity summary'!K211)="x",$BI92*K92,VALUE('Capacity summary'!K211)),0),K92*$BI92),K92*$BI92),0)</f>
        <v>0</v>
      </c>
      <c r="BO92" s="311">
        <f>IF($BI92&lt;&gt;"",IF('Capacity summary'!$D$14="Yes",IF(COUNTBLANK('Capacity summary'!$H211:$BG211)&lt;52,IF('Capacity summary'!L211&lt;&gt;"",IF(LOWER('Capacity summary'!L211)="x",$BI92*L92,VALUE('Capacity summary'!L211)),0),L92*$BI92),L92*$BI92),0)</f>
        <v>0</v>
      </c>
      <c r="BP92" s="311">
        <f>IF($BI92&lt;&gt;"",IF('Capacity summary'!$D$14="Yes",IF(COUNTBLANK('Capacity summary'!$H211:$BG211)&lt;52,IF('Capacity summary'!M211&lt;&gt;"",IF(LOWER('Capacity summary'!M211)="x",$BI92*M92,VALUE('Capacity summary'!M211)),0),M92*$BI92),M92*$BI92),0)</f>
        <v>0</v>
      </c>
      <c r="BQ92" s="311">
        <f>IF($BI92&lt;&gt;"",IF('Capacity summary'!$D$14="Yes",IF(COUNTBLANK('Capacity summary'!$H211:$BG211)&lt;52,IF('Capacity summary'!N211&lt;&gt;"",IF(LOWER('Capacity summary'!N211)="x",$BI92*N92,VALUE('Capacity summary'!N211)),0),N92*$BI92),N92*$BI92),0)</f>
        <v>0</v>
      </c>
      <c r="BR92" s="311">
        <f>IF($BI92&lt;&gt;"",IF('Capacity summary'!$D$14="Yes",IF(COUNTBLANK('Capacity summary'!$H211:$BG211)&lt;52,IF('Capacity summary'!O211&lt;&gt;"",IF(LOWER('Capacity summary'!O211)="x",$BI92*O92,VALUE('Capacity summary'!O211)),0),O92*$BI92),O92*$BI92),0)</f>
        <v>0</v>
      </c>
      <c r="BS92" s="311">
        <f>IF($BI92&lt;&gt;"",IF('Capacity summary'!$D$14="Yes",IF(COUNTBLANK('Capacity summary'!$H211:$BG211)&lt;52,IF('Capacity summary'!P211&lt;&gt;"",IF(LOWER('Capacity summary'!P211)="x",$BI92*P92,VALUE('Capacity summary'!P211)),0),P92*$BI92),P92*$BI92),0)</f>
        <v>0</v>
      </c>
      <c r="BT92" s="311">
        <f>IF($BI92&lt;&gt;"",IF('Capacity summary'!$D$14="Yes",IF(COUNTBLANK('Capacity summary'!$H211:$BG211)&lt;52,IF('Capacity summary'!Q211&lt;&gt;"",IF(LOWER('Capacity summary'!Q211)="x",$BI92*Q92,VALUE('Capacity summary'!Q211)),0),Q92*$BI92),Q92*$BI92),0)</f>
        <v>0</v>
      </c>
      <c r="BU92" s="311">
        <f>IF($BI92&lt;&gt;"",IF('Capacity summary'!$D$14="Yes",IF(COUNTBLANK('Capacity summary'!$H211:$BG211)&lt;52,IF('Capacity summary'!R211&lt;&gt;"",IF(LOWER('Capacity summary'!R211)="x",$BI92*R92,VALUE('Capacity summary'!R211)),0),R92*$BI92),R92*$BI92),0)</f>
        <v>0</v>
      </c>
      <c r="BV92" s="311">
        <f>IF($BI92&lt;&gt;"",IF('Capacity summary'!$D$14="Yes",IF(COUNTBLANK('Capacity summary'!$H211:$BG211)&lt;52,IF('Capacity summary'!S211&lt;&gt;"",IF(LOWER('Capacity summary'!S211)="x",$BI92*S92,VALUE('Capacity summary'!S211)),0),S92*$BI92),S92*$BI92),0)</f>
        <v>0</v>
      </c>
      <c r="BW92" s="311">
        <f>IF($BI92&lt;&gt;"",IF('Capacity summary'!$D$14="Yes",IF(COUNTBLANK('Capacity summary'!$H211:$BG211)&lt;52,IF('Capacity summary'!T211&lt;&gt;"",IF(LOWER('Capacity summary'!T211)="x",$BI92*T92,VALUE('Capacity summary'!T211)),0),T92*$BI92),T92*$BI92),0)</f>
        <v>0</v>
      </c>
      <c r="BX92" s="311">
        <f>IF($BI92&lt;&gt;"",IF('Capacity summary'!$D$14="Yes",IF(COUNTBLANK('Capacity summary'!$H211:$BG211)&lt;52,IF('Capacity summary'!U211&lt;&gt;"",IF(LOWER('Capacity summary'!U211)="x",$BI92*U92,VALUE('Capacity summary'!U211)),0),U92*$BI92),U92*$BI92),0)</f>
        <v>0</v>
      </c>
      <c r="BY92" s="311">
        <f>IF($BI92&lt;&gt;"",IF('Capacity summary'!$D$14="Yes",IF(COUNTBLANK('Capacity summary'!$H211:$BG211)&lt;52,IF('Capacity summary'!V211&lt;&gt;"",IF(LOWER('Capacity summary'!V211)="x",$BI92*V92,VALUE('Capacity summary'!V211)),0),V92*$BI92),V92*$BI92),0)</f>
        <v>0</v>
      </c>
      <c r="BZ92" s="311">
        <f>IF($BI92&lt;&gt;"",IF('Capacity summary'!$D$14="Yes",IF(COUNTBLANK('Capacity summary'!$H211:$BG211)&lt;52,IF('Capacity summary'!W211&lt;&gt;"",IF(LOWER('Capacity summary'!W211)="x",$BI92*W92,VALUE('Capacity summary'!W211)),0),W92*$BI92),W92*$BI92),0)</f>
        <v>0</v>
      </c>
      <c r="CA92" s="311">
        <f>IF($BI92&lt;&gt;"",IF('Capacity summary'!$D$14="Yes",IF(COUNTBLANK('Capacity summary'!$H211:$BG211)&lt;52,IF('Capacity summary'!X211&lt;&gt;"",IF(LOWER('Capacity summary'!X211)="x",$BI92*X92,VALUE('Capacity summary'!X211)),0),X92*$BI92),X92*$BI92),0)</f>
        <v>0</v>
      </c>
      <c r="CB92" s="311">
        <f>IF($BI92&lt;&gt;"",IF('Capacity summary'!$D$14="Yes",IF(COUNTBLANK('Capacity summary'!$H211:$BG211)&lt;52,IF('Capacity summary'!Y211&lt;&gt;"",IF(LOWER('Capacity summary'!Y211)="x",$BI92*Y92,VALUE('Capacity summary'!Y211)),0),Y92*$BI92),Y92*$BI92),0)</f>
        <v>0</v>
      </c>
      <c r="CC92" s="311">
        <f>IF($BI92&lt;&gt;"",IF('Capacity summary'!$D$14="Yes",IF(COUNTBLANK('Capacity summary'!$H211:$BG211)&lt;52,IF('Capacity summary'!Z211&lt;&gt;"",IF(LOWER('Capacity summary'!Z211)="x",$BI92*Z92,VALUE('Capacity summary'!Z211)),0),Z92*$BI92),Z92*$BI92),0)</f>
        <v>0</v>
      </c>
      <c r="CD92" s="311">
        <f>IF($BI92&lt;&gt;"",IF('Capacity summary'!$D$14="Yes",IF(COUNTBLANK('Capacity summary'!$H211:$BG211)&lt;52,IF('Capacity summary'!AA211&lt;&gt;"",IF(LOWER('Capacity summary'!AA211)="x",$BI92*AA92,VALUE('Capacity summary'!AA211)),0),AA92*$BI92),AA92*$BI92),0)</f>
        <v>0</v>
      </c>
      <c r="CE92" s="311">
        <f>IF($BI92&lt;&gt;"",IF('Capacity summary'!$D$14="Yes",IF(COUNTBLANK('Capacity summary'!$H211:$BG211)&lt;52,IF('Capacity summary'!AB211&lt;&gt;"",IF(LOWER('Capacity summary'!AB211)="x",$BI92*AB92,VALUE('Capacity summary'!AB211)),0),AB92*$BI92),AB92*$BI92),0)</f>
        <v>0</v>
      </c>
      <c r="CF92" s="311">
        <f>IF($BI92&lt;&gt;"",IF('Capacity summary'!$D$14="Yes",IF(COUNTBLANK('Capacity summary'!$H211:$BG211)&lt;52,IF('Capacity summary'!AC211&lt;&gt;"",IF(LOWER('Capacity summary'!AC211)="x",$BI92*AC92,VALUE('Capacity summary'!AC211)),0),AC92*$BI92),AC92*$BI92),0)</f>
        <v>0</v>
      </c>
      <c r="CG92" s="311">
        <f>IF($BI92&lt;&gt;"",IF('Capacity summary'!$D$14="Yes",IF(COUNTBLANK('Capacity summary'!$H211:$BG211)&lt;52,IF('Capacity summary'!AD211&lt;&gt;"",IF(LOWER('Capacity summary'!AD211)="x",$BI92*AD92,VALUE('Capacity summary'!AD211)),0),AD92*$BI92),AD92*$BI92),0)</f>
        <v>0</v>
      </c>
      <c r="CH92" s="311">
        <f>IF($BI92&lt;&gt;"",IF('Capacity summary'!$D$14="Yes",IF(COUNTBLANK('Capacity summary'!$H211:$BG211)&lt;52,IF('Capacity summary'!AE211&lt;&gt;"",IF(LOWER('Capacity summary'!AE211)="x",$BI92*AE92,VALUE('Capacity summary'!AE211)),0),AE92*$BI92),AE92*$BI92),0)</f>
        <v>0</v>
      </c>
      <c r="CI92" s="311">
        <f>IF($BI92&lt;&gt;"",IF('Capacity summary'!$D$14="Yes",IF(COUNTBLANK('Capacity summary'!$H211:$BG211)&lt;52,IF('Capacity summary'!AF211&lt;&gt;"",IF(LOWER('Capacity summary'!AF211)="x",$BI92*AF92,VALUE('Capacity summary'!AF211)),0),AF92*$BI92),AF92*$BI92),0)</f>
        <v>0</v>
      </c>
      <c r="CJ92" s="311">
        <f>IF($BI92&lt;&gt;"",IF('Capacity summary'!$D$14="Yes",IF(COUNTBLANK('Capacity summary'!$H211:$BG211)&lt;52,IF('Capacity summary'!AG211&lt;&gt;"",IF(LOWER('Capacity summary'!AG211)="x",$BI92*AG92,VALUE('Capacity summary'!AG211)),0),AG92*$BI92),AG92*$BI92),0)</f>
        <v>0</v>
      </c>
      <c r="CK92" s="311">
        <f>IF($BI92&lt;&gt;"",IF('Capacity summary'!$D$14="Yes",IF(COUNTBLANK('Capacity summary'!$H211:$BG211)&lt;52,IF('Capacity summary'!AH211&lt;&gt;"",IF(LOWER('Capacity summary'!AH211)="x",$BI92*AH92,VALUE('Capacity summary'!AH211)),0),AH92*$BI92),AH92*$BI92),0)</f>
        <v>0</v>
      </c>
      <c r="CL92" s="311">
        <f>IF($BI92&lt;&gt;"",IF('Capacity summary'!$D$14="Yes",IF(COUNTBLANK('Capacity summary'!$H211:$BG211)&lt;52,IF('Capacity summary'!AI211&lt;&gt;"",IF(LOWER('Capacity summary'!AI211)="x",$BI92*AI92,VALUE('Capacity summary'!AI211)),0),AI92*$BI92),AI92*$BI92),0)</f>
        <v>0</v>
      </c>
      <c r="CM92" s="311">
        <f>IF($BI92&lt;&gt;"",IF('Capacity summary'!$D$14="Yes",IF(COUNTBLANK('Capacity summary'!$H211:$BG211)&lt;52,IF('Capacity summary'!AJ211&lt;&gt;"",IF(LOWER('Capacity summary'!AJ211)="x",$BI92*AJ92,VALUE('Capacity summary'!AJ211)),0),AJ92*$BI92),AJ92*$BI92),0)</f>
        <v>0</v>
      </c>
      <c r="CN92" s="311">
        <f>IF($BI92&lt;&gt;"",IF('Capacity summary'!$D$14="Yes",IF(COUNTBLANK('Capacity summary'!$H211:$BG211)&lt;52,IF('Capacity summary'!AK211&lt;&gt;"",IF(LOWER('Capacity summary'!AK211)="x",$BI92*AK92,VALUE('Capacity summary'!AK211)),0),AK92*$BI92),AK92*$BI92),0)</f>
        <v>0</v>
      </c>
      <c r="CO92" s="311">
        <f>IF($BI92&lt;&gt;"",IF('Capacity summary'!$D$14="Yes",IF(COUNTBLANK('Capacity summary'!$H211:$BG211)&lt;52,IF('Capacity summary'!AL211&lt;&gt;"",IF(LOWER('Capacity summary'!AL211)="x",$BI92*AL92,VALUE('Capacity summary'!AL211)),0),AL92*$BI92),AL92*$BI92),0)</f>
        <v>0</v>
      </c>
      <c r="CP92" s="311">
        <f>IF($BI92&lt;&gt;"",IF('Capacity summary'!$D$14="Yes",IF(COUNTBLANK('Capacity summary'!$H211:$BG211)&lt;52,IF('Capacity summary'!AM211&lt;&gt;"",IF(LOWER('Capacity summary'!AM211)="x",$BI92*AM92,VALUE('Capacity summary'!AM211)),0),AM92*$BI92),AM92*$BI92),0)</f>
        <v>0</v>
      </c>
      <c r="CQ92" s="311">
        <f>IF($BI92&lt;&gt;"",IF('Capacity summary'!$D$14="Yes",IF(COUNTBLANK('Capacity summary'!$H211:$BG211)&lt;52,IF('Capacity summary'!AN211&lt;&gt;"",IF(LOWER('Capacity summary'!AN211)="x",$BI92*AN92,VALUE('Capacity summary'!AN211)),0),AN92*$BI92),AN92*$BI92),0)</f>
        <v>0</v>
      </c>
      <c r="CR92" s="311">
        <f>IF($BI92&lt;&gt;"",IF('Capacity summary'!$D$14="Yes",IF(COUNTBLANK('Capacity summary'!$H211:$BG211)&lt;52,IF('Capacity summary'!AO211&lt;&gt;"",IF(LOWER('Capacity summary'!AO211)="x",$BI92*AO92,VALUE('Capacity summary'!AO211)),0),AO92*$BI92),AO92*$BI92),0)</f>
        <v>0</v>
      </c>
      <c r="CS92" s="311">
        <f>IF($BI92&lt;&gt;"",IF('Capacity summary'!$D$14="Yes",IF(COUNTBLANK('Capacity summary'!$H211:$BG211)&lt;52,IF('Capacity summary'!AP211&lt;&gt;"",IF(LOWER('Capacity summary'!AP211)="x",$BI92*AP92,VALUE('Capacity summary'!AP211)),0),AP92*$BI92),AP92*$BI92),0)</f>
        <v>0</v>
      </c>
      <c r="CT92" s="311">
        <f>IF($BI92&lt;&gt;"",IF('Capacity summary'!$D$14="Yes",IF(COUNTBLANK('Capacity summary'!$H211:$BG211)&lt;52,IF('Capacity summary'!AQ211&lt;&gt;"",IF(LOWER('Capacity summary'!AQ211)="x",$BI92*AQ92,VALUE('Capacity summary'!AQ211)),0),AQ92*$BI92),AQ92*$BI92),0)</f>
        <v>0</v>
      </c>
      <c r="CU92" s="311">
        <f>IF($BI92&lt;&gt;"",IF('Capacity summary'!$D$14="Yes",IF(COUNTBLANK('Capacity summary'!$H211:$BG211)&lt;52,IF('Capacity summary'!AR211&lt;&gt;"",IF(LOWER('Capacity summary'!AR211)="x",$BI92*AR92,VALUE('Capacity summary'!AR211)),0),AR92*$BI92),AR92*$BI92),0)</f>
        <v>0</v>
      </c>
      <c r="CV92" s="311">
        <f>IF($BI92&lt;&gt;"",IF('Capacity summary'!$D$14="Yes",IF(COUNTBLANK('Capacity summary'!$H211:$BG211)&lt;52,IF('Capacity summary'!AS211&lt;&gt;"",IF(LOWER('Capacity summary'!AS211)="x",$BI92*AS92,VALUE('Capacity summary'!AS211)),0),AS92*$BI92),AS92*$BI92),0)</f>
        <v>0</v>
      </c>
      <c r="CW92" s="311">
        <f>IF($BI92&lt;&gt;"",IF('Capacity summary'!$D$14="Yes",IF(COUNTBLANK('Capacity summary'!$H211:$BG211)&lt;52,IF('Capacity summary'!AT211&lt;&gt;"",IF(LOWER('Capacity summary'!AT211)="x",$BI92*AT92,VALUE('Capacity summary'!AT211)),0),AT92*$BI92),AT92*$BI92),0)</f>
        <v>0</v>
      </c>
      <c r="CX92" s="311">
        <f>IF($BI92&lt;&gt;"",IF('Capacity summary'!$D$14="Yes",IF(COUNTBLANK('Capacity summary'!$H211:$BG211)&lt;52,IF('Capacity summary'!AU211&lt;&gt;"",IF(LOWER('Capacity summary'!AU211)="x",$BI92*AU92,VALUE('Capacity summary'!AU211)),0),AU92*$BI92),AU92*$BI92),0)</f>
        <v>0</v>
      </c>
      <c r="CY92" s="311">
        <f>IF($BI92&lt;&gt;"",IF('Capacity summary'!$D$14="Yes",IF(COUNTBLANK('Capacity summary'!$H211:$BG211)&lt;52,IF('Capacity summary'!AV211&lt;&gt;"",IF(LOWER('Capacity summary'!AV211)="x",$BI92*AV92,VALUE('Capacity summary'!AV211)),0),AV92*$BI92),AV92*$BI92),0)</f>
        <v>0</v>
      </c>
      <c r="CZ92" s="311">
        <f>IF($BI92&lt;&gt;"",IF('Capacity summary'!$D$14="Yes",IF(COUNTBLANK('Capacity summary'!$H211:$BG211)&lt;52,IF('Capacity summary'!AW211&lt;&gt;"",IF(LOWER('Capacity summary'!AW211)="x",$BI92*AW92,VALUE('Capacity summary'!AW211)),0),AW92*$BI92),AW92*$BI92),0)</f>
        <v>0</v>
      </c>
      <c r="DA92" s="311">
        <f>IF($BI92&lt;&gt;"",IF('Capacity summary'!$D$14="Yes",IF(COUNTBLANK('Capacity summary'!$H211:$BG211)&lt;52,IF('Capacity summary'!AX211&lt;&gt;"",IF(LOWER('Capacity summary'!AX211)="x",$BI92*AX92,VALUE('Capacity summary'!AX211)),0),AX92*$BI92),AX92*$BI92),0)</f>
        <v>0</v>
      </c>
      <c r="DB92" s="311">
        <f>IF($BI92&lt;&gt;"",IF('Capacity summary'!$D$14="Yes",IF(COUNTBLANK('Capacity summary'!$H211:$BG211)&lt;52,IF('Capacity summary'!AY211&lt;&gt;"",IF(LOWER('Capacity summary'!AY211)="x",$BI92*AY92,VALUE('Capacity summary'!AY211)),0),AY92*$BI92),AY92*$BI92),0)</f>
        <v>0</v>
      </c>
      <c r="DC92" s="311">
        <f>IF($BI92&lt;&gt;"",IF('Capacity summary'!$D$14="Yes",IF(COUNTBLANK('Capacity summary'!$H211:$BG211)&lt;52,IF('Capacity summary'!AZ211&lt;&gt;"",IF(LOWER('Capacity summary'!AZ211)="x",$BI92*AZ92,VALUE('Capacity summary'!AZ211)),0),AZ92*$BI92),AZ92*$BI92),0)</f>
        <v>0</v>
      </c>
      <c r="DD92" s="311">
        <f>IF($BI92&lt;&gt;"",IF('Capacity summary'!$D$14="Yes",IF(COUNTBLANK('Capacity summary'!$H211:$BG211)&lt;52,IF('Capacity summary'!BA211&lt;&gt;"",IF(LOWER('Capacity summary'!BA211)="x",$BI92*BA92,VALUE('Capacity summary'!BA211)),0),BA92*$BI92),BA92*$BI92),0)</f>
        <v>0</v>
      </c>
      <c r="DE92" s="311">
        <f>IF($BI92&lt;&gt;"",IF('Capacity summary'!$D$14="Yes",IF(COUNTBLANK('Capacity summary'!$H211:$BG211)&lt;52,IF('Capacity summary'!BB211&lt;&gt;"",IF(LOWER('Capacity summary'!BB211)="x",$BI92*BB92,VALUE('Capacity summary'!BB211)),0),BB92*$BI92),BB92*$BI92),0)</f>
        <v>0</v>
      </c>
      <c r="DF92" s="311">
        <f>IF($BI92&lt;&gt;"",IF('Capacity summary'!$D$14="Yes",IF(COUNTBLANK('Capacity summary'!$H211:$BG211)&lt;52,IF('Capacity summary'!BC211&lt;&gt;"",IF(LOWER('Capacity summary'!BC211)="x",$BI92*BC92,VALUE('Capacity summary'!BC211)),0),BC92*$BI92),BC92*$BI92),0)</f>
        <v>0</v>
      </c>
      <c r="DG92" s="311">
        <f>IF($BI92&lt;&gt;"",IF('Capacity summary'!$D$14="Yes",IF(COUNTBLANK('Capacity summary'!$H211:$BG211)&lt;52,IF('Capacity summary'!BD211&lt;&gt;"",IF(LOWER('Capacity summary'!BD211)="x",$BI92*BD92,VALUE('Capacity summary'!BD211)),0),BD92*$BI92),BD92*$BI92),0)</f>
        <v>0</v>
      </c>
      <c r="DH92" s="311">
        <f>IF($BI92&lt;&gt;"",IF('Capacity summary'!$D$14="Yes",IF(COUNTBLANK('Capacity summary'!$H211:$BG211)&lt;52,IF('Capacity summary'!BE211&lt;&gt;"",IF(LOWER('Capacity summary'!BE211)="x",$BI92*BE92,VALUE('Capacity summary'!BE211)),0),BE92*$BI92),BE92*$BI92),0)</f>
        <v>0</v>
      </c>
      <c r="DI92" s="311">
        <f>IF($BI92&lt;&gt;"",IF('Capacity summary'!$D$14="Yes",IF(COUNTBLANK('Capacity summary'!$H211:$BG211)&lt;52,IF('Capacity summary'!BF211&lt;&gt;"",IF(LOWER('Capacity summary'!BF211)="x",$BI92*BF92,VALUE('Capacity summary'!BF211)),0),BF92*$BI92),BF92*$BI92),0)</f>
        <v>0</v>
      </c>
      <c r="DJ92" s="311">
        <f>IF($BI92&lt;&gt;"",IF('Capacity summary'!$D$14="Yes",IF(COUNTBLANK('Capacity summary'!$H211:$BG211)&lt;52,IF('Capacity summary'!BG211&lt;&gt;"",IF(LOWER('Capacity summary'!BG211)="x",$BI92*BG92,VALUE('Capacity summary'!BG211)),0),BG92*$BI92),BG92*$BI92),0)</f>
        <v>0</v>
      </c>
      <c r="DK92" s="391">
        <f t="shared" si="4"/>
        <v>0</v>
      </c>
      <c r="DL92" s="136">
        <f t="shared" si="5"/>
        <v>0</v>
      </c>
      <c r="DM92" s="311" t="str">
        <f>Capacity!H104</f>
        <v/>
      </c>
    </row>
    <row r="93" spans="1:117" x14ac:dyDescent="0.2">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1">
        <f>IF($BI93&lt;&gt;"",IF('Capacity summary'!$D$14="Yes",IF(COUNTBLANK('Capacity summary'!$H212:$BG212)&lt;52,IF('Capacity summary'!H212&lt;&gt;"",IF(LOWER('Capacity summary'!H212)="x",$BI93*H93,VALUE('Capacity summary'!H212)),0),H93*$BI93),H93*$BI93),0)</f>
        <v>0</v>
      </c>
      <c r="BL93" s="311">
        <f>IF($BI93&lt;&gt;"",IF('Capacity summary'!$D$14="Yes",IF(COUNTBLANK('Capacity summary'!$H212:$BG212)&lt;52,IF('Capacity summary'!I212&lt;&gt;"",IF(LOWER('Capacity summary'!I212)="x",$BI93*I93,VALUE('Capacity summary'!I212)),0),I93*$BI93),I93*$BI93),0)</f>
        <v>0</v>
      </c>
      <c r="BM93" s="311">
        <f>IF($BI93&lt;&gt;"",IF('Capacity summary'!$D$14="Yes",IF(COUNTBLANK('Capacity summary'!$H212:$BG212)&lt;52,IF('Capacity summary'!J212&lt;&gt;"",IF(LOWER('Capacity summary'!J212)="x",$BI93*J93,VALUE('Capacity summary'!J212)),0),J93*$BI93),J93*$BI93),0)</f>
        <v>0</v>
      </c>
      <c r="BN93" s="311">
        <f>IF($BI93&lt;&gt;"",IF('Capacity summary'!$D$14="Yes",IF(COUNTBLANK('Capacity summary'!$H212:$BG212)&lt;52,IF('Capacity summary'!K212&lt;&gt;"",IF(LOWER('Capacity summary'!K212)="x",$BI93*K93,VALUE('Capacity summary'!K212)),0),K93*$BI93),K93*$BI93),0)</f>
        <v>0</v>
      </c>
      <c r="BO93" s="311">
        <f>IF($BI93&lt;&gt;"",IF('Capacity summary'!$D$14="Yes",IF(COUNTBLANK('Capacity summary'!$H212:$BG212)&lt;52,IF('Capacity summary'!L212&lt;&gt;"",IF(LOWER('Capacity summary'!L212)="x",$BI93*L93,VALUE('Capacity summary'!L212)),0),L93*$BI93),L93*$BI93),0)</f>
        <v>0</v>
      </c>
      <c r="BP93" s="311">
        <f>IF($BI93&lt;&gt;"",IF('Capacity summary'!$D$14="Yes",IF(COUNTBLANK('Capacity summary'!$H212:$BG212)&lt;52,IF('Capacity summary'!M212&lt;&gt;"",IF(LOWER('Capacity summary'!M212)="x",$BI93*M93,VALUE('Capacity summary'!M212)),0),M93*$BI93),M93*$BI93),0)</f>
        <v>0</v>
      </c>
      <c r="BQ93" s="311">
        <f>IF($BI93&lt;&gt;"",IF('Capacity summary'!$D$14="Yes",IF(COUNTBLANK('Capacity summary'!$H212:$BG212)&lt;52,IF('Capacity summary'!N212&lt;&gt;"",IF(LOWER('Capacity summary'!N212)="x",$BI93*N93,VALUE('Capacity summary'!N212)),0),N93*$BI93),N93*$BI93),0)</f>
        <v>0</v>
      </c>
      <c r="BR93" s="311">
        <f>IF($BI93&lt;&gt;"",IF('Capacity summary'!$D$14="Yes",IF(COUNTBLANK('Capacity summary'!$H212:$BG212)&lt;52,IF('Capacity summary'!O212&lt;&gt;"",IF(LOWER('Capacity summary'!O212)="x",$BI93*O93,VALUE('Capacity summary'!O212)),0),O93*$BI93),O93*$BI93),0)</f>
        <v>0</v>
      </c>
      <c r="BS93" s="311">
        <f>IF($BI93&lt;&gt;"",IF('Capacity summary'!$D$14="Yes",IF(COUNTBLANK('Capacity summary'!$H212:$BG212)&lt;52,IF('Capacity summary'!P212&lt;&gt;"",IF(LOWER('Capacity summary'!P212)="x",$BI93*P93,VALUE('Capacity summary'!P212)),0),P93*$BI93),P93*$BI93),0)</f>
        <v>0</v>
      </c>
      <c r="BT93" s="311">
        <f>IF($BI93&lt;&gt;"",IF('Capacity summary'!$D$14="Yes",IF(COUNTBLANK('Capacity summary'!$H212:$BG212)&lt;52,IF('Capacity summary'!Q212&lt;&gt;"",IF(LOWER('Capacity summary'!Q212)="x",$BI93*Q93,VALUE('Capacity summary'!Q212)),0),Q93*$BI93),Q93*$BI93),0)</f>
        <v>0</v>
      </c>
      <c r="BU93" s="311">
        <f>IF($BI93&lt;&gt;"",IF('Capacity summary'!$D$14="Yes",IF(COUNTBLANK('Capacity summary'!$H212:$BG212)&lt;52,IF('Capacity summary'!R212&lt;&gt;"",IF(LOWER('Capacity summary'!R212)="x",$BI93*R93,VALUE('Capacity summary'!R212)),0),R93*$BI93),R93*$BI93),0)</f>
        <v>0</v>
      </c>
      <c r="BV93" s="311">
        <f>IF($BI93&lt;&gt;"",IF('Capacity summary'!$D$14="Yes",IF(COUNTBLANK('Capacity summary'!$H212:$BG212)&lt;52,IF('Capacity summary'!S212&lt;&gt;"",IF(LOWER('Capacity summary'!S212)="x",$BI93*S93,VALUE('Capacity summary'!S212)),0),S93*$BI93),S93*$BI93),0)</f>
        <v>0</v>
      </c>
      <c r="BW93" s="311">
        <f>IF($BI93&lt;&gt;"",IF('Capacity summary'!$D$14="Yes",IF(COUNTBLANK('Capacity summary'!$H212:$BG212)&lt;52,IF('Capacity summary'!T212&lt;&gt;"",IF(LOWER('Capacity summary'!T212)="x",$BI93*T93,VALUE('Capacity summary'!T212)),0),T93*$BI93),T93*$BI93),0)</f>
        <v>0</v>
      </c>
      <c r="BX93" s="311">
        <f>IF($BI93&lt;&gt;"",IF('Capacity summary'!$D$14="Yes",IF(COUNTBLANK('Capacity summary'!$H212:$BG212)&lt;52,IF('Capacity summary'!U212&lt;&gt;"",IF(LOWER('Capacity summary'!U212)="x",$BI93*U93,VALUE('Capacity summary'!U212)),0),U93*$BI93),U93*$BI93),0)</f>
        <v>0</v>
      </c>
      <c r="BY93" s="311">
        <f>IF($BI93&lt;&gt;"",IF('Capacity summary'!$D$14="Yes",IF(COUNTBLANK('Capacity summary'!$H212:$BG212)&lt;52,IF('Capacity summary'!V212&lt;&gt;"",IF(LOWER('Capacity summary'!V212)="x",$BI93*V93,VALUE('Capacity summary'!V212)),0),V93*$BI93),V93*$BI93),0)</f>
        <v>0</v>
      </c>
      <c r="BZ93" s="311">
        <f>IF($BI93&lt;&gt;"",IF('Capacity summary'!$D$14="Yes",IF(COUNTBLANK('Capacity summary'!$H212:$BG212)&lt;52,IF('Capacity summary'!W212&lt;&gt;"",IF(LOWER('Capacity summary'!W212)="x",$BI93*W93,VALUE('Capacity summary'!W212)),0),W93*$BI93),W93*$BI93),0)</f>
        <v>0</v>
      </c>
      <c r="CA93" s="311">
        <f>IF($BI93&lt;&gt;"",IF('Capacity summary'!$D$14="Yes",IF(COUNTBLANK('Capacity summary'!$H212:$BG212)&lt;52,IF('Capacity summary'!X212&lt;&gt;"",IF(LOWER('Capacity summary'!X212)="x",$BI93*X93,VALUE('Capacity summary'!X212)),0),X93*$BI93),X93*$BI93),0)</f>
        <v>0</v>
      </c>
      <c r="CB93" s="311">
        <f>IF($BI93&lt;&gt;"",IF('Capacity summary'!$D$14="Yes",IF(COUNTBLANK('Capacity summary'!$H212:$BG212)&lt;52,IF('Capacity summary'!Y212&lt;&gt;"",IF(LOWER('Capacity summary'!Y212)="x",$BI93*Y93,VALUE('Capacity summary'!Y212)),0),Y93*$BI93),Y93*$BI93),0)</f>
        <v>0</v>
      </c>
      <c r="CC93" s="311">
        <f>IF($BI93&lt;&gt;"",IF('Capacity summary'!$D$14="Yes",IF(COUNTBLANK('Capacity summary'!$H212:$BG212)&lt;52,IF('Capacity summary'!Z212&lt;&gt;"",IF(LOWER('Capacity summary'!Z212)="x",$BI93*Z93,VALUE('Capacity summary'!Z212)),0),Z93*$BI93),Z93*$BI93),0)</f>
        <v>0</v>
      </c>
      <c r="CD93" s="311">
        <f>IF($BI93&lt;&gt;"",IF('Capacity summary'!$D$14="Yes",IF(COUNTBLANK('Capacity summary'!$H212:$BG212)&lt;52,IF('Capacity summary'!AA212&lt;&gt;"",IF(LOWER('Capacity summary'!AA212)="x",$BI93*AA93,VALUE('Capacity summary'!AA212)),0),AA93*$BI93),AA93*$BI93),0)</f>
        <v>0</v>
      </c>
      <c r="CE93" s="311">
        <f>IF($BI93&lt;&gt;"",IF('Capacity summary'!$D$14="Yes",IF(COUNTBLANK('Capacity summary'!$H212:$BG212)&lt;52,IF('Capacity summary'!AB212&lt;&gt;"",IF(LOWER('Capacity summary'!AB212)="x",$BI93*AB93,VALUE('Capacity summary'!AB212)),0),AB93*$BI93),AB93*$BI93),0)</f>
        <v>0</v>
      </c>
      <c r="CF93" s="311">
        <f>IF($BI93&lt;&gt;"",IF('Capacity summary'!$D$14="Yes",IF(COUNTBLANK('Capacity summary'!$H212:$BG212)&lt;52,IF('Capacity summary'!AC212&lt;&gt;"",IF(LOWER('Capacity summary'!AC212)="x",$BI93*AC93,VALUE('Capacity summary'!AC212)),0),AC93*$BI93),AC93*$BI93),0)</f>
        <v>0</v>
      </c>
      <c r="CG93" s="311">
        <f>IF($BI93&lt;&gt;"",IF('Capacity summary'!$D$14="Yes",IF(COUNTBLANK('Capacity summary'!$H212:$BG212)&lt;52,IF('Capacity summary'!AD212&lt;&gt;"",IF(LOWER('Capacity summary'!AD212)="x",$BI93*AD93,VALUE('Capacity summary'!AD212)),0),AD93*$BI93),AD93*$BI93),0)</f>
        <v>0</v>
      </c>
      <c r="CH93" s="311">
        <f>IF($BI93&lt;&gt;"",IF('Capacity summary'!$D$14="Yes",IF(COUNTBLANK('Capacity summary'!$H212:$BG212)&lt;52,IF('Capacity summary'!AE212&lt;&gt;"",IF(LOWER('Capacity summary'!AE212)="x",$BI93*AE93,VALUE('Capacity summary'!AE212)),0),AE93*$BI93),AE93*$BI93),0)</f>
        <v>0</v>
      </c>
      <c r="CI93" s="311">
        <f>IF($BI93&lt;&gt;"",IF('Capacity summary'!$D$14="Yes",IF(COUNTBLANK('Capacity summary'!$H212:$BG212)&lt;52,IF('Capacity summary'!AF212&lt;&gt;"",IF(LOWER('Capacity summary'!AF212)="x",$BI93*AF93,VALUE('Capacity summary'!AF212)),0),AF93*$BI93),AF93*$BI93),0)</f>
        <v>0</v>
      </c>
      <c r="CJ93" s="311">
        <f>IF($BI93&lt;&gt;"",IF('Capacity summary'!$D$14="Yes",IF(COUNTBLANK('Capacity summary'!$H212:$BG212)&lt;52,IF('Capacity summary'!AG212&lt;&gt;"",IF(LOWER('Capacity summary'!AG212)="x",$BI93*AG93,VALUE('Capacity summary'!AG212)),0),AG93*$BI93),AG93*$BI93),0)</f>
        <v>0</v>
      </c>
      <c r="CK93" s="311">
        <f>IF($BI93&lt;&gt;"",IF('Capacity summary'!$D$14="Yes",IF(COUNTBLANK('Capacity summary'!$H212:$BG212)&lt;52,IF('Capacity summary'!AH212&lt;&gt;"",IF(LOWER('Capacity summary'!AH212)="x",$BI93*AH93,VALUE('Capacity summary'!AH212)),0),AH93*$BI93),AH93*$BI93),0)</f>
        <v>0</v>
      </c>
      <c r="CL93" s="311">
        <f>IF($BI93&lt;&gt;"",IF('Capacity summary'!$D$14="Yes",IF(COUNTBLANK('Capacity summary'!$H212:$BG212)&lt;52,IF('Capacity summary'!AI212&lt;&gt;"",IF(LOWER('Capacity summary'!AI212)="x",$BI93*AI93,VALUE('Capacity summary'!AI212)),0),AI93*$BI93),AI93*$BI93),0)</f>
        <v>0</v>
      </c>
      <c r="CM93" s="311">
        <f>IF($BI93&lt;&gt;"",IF('Capacity summary'!$D$14="Yes",IF(COUNTBLANK('Capacity summary'!$H212:$BG212)&lt;52,IF('Capacity summary'!AJ212&lt;&gt;"",IF(LOWER('Capacity summary'!AJ212)="x",$BI93*AJ93,VALUE('Capacity summary'!AJ212)),0),AJ93*$BI93),AJ93*$BI93),0)</f>
        <v>0</v>
      </c>
      <c r="CN93" s="311">
        <f>IF($BI93&lt;&gt;"",IF('Capacity summary'!$D$14="Yes",IF(COUNTBLANK('Capacity summary'!$H212:$BG212)&lt;52,IF('Capacity summary'!AK212&lt;&gt;"",IF(LOWER('Capacity summary'!AK212)="x",$BI93*AK93,VALUE('Capacity summary'!AK212)),0),AK93*$BI93),AK93*$BI93),0)</f>
        <v>0</v>
      </c>
      <c r="CO93" s="311">
        <f>IF($BI93&lt;&gt;"",IF('Capacity summary'!$D$14="Yes",IF(COUNTBLANK('Capacity summary'!$H212:$BG212)&lt;52,IF('Capacity summary'!AL212&lt;&gt;"",IF(LOWER('Capacity summary'!AL212)="x",$BI93*AL93,VALUE('Capacity summary'!AL212)),0),AL93*$BI93),AL93*$BI93),0)</f>
        <v>0</v>
      </c>
      <c r="CP93" s="311">
        <f>IF($BI93&lt;&gt;"",IF('Capacity summary'!$D$14="Yes",IF(COUNTBLANK('Capacity summary'!$H212:$BG212)&lt;52,IF('Capacity summary'!AM212&lt;&gt;"",IF(LOWER('Capacity summary'!AM212)="x",$BI93*AM93,VALUE('Capacity summary'!AM212)),0),AM93*$BI93),AM93*$BI93),0)</f>
        <v>0</v>
      </c>
      <c r="CQ93" s="311">
        <f>IF($BI93&lt;&gt;"",IF('Capacity summary'!$D$14="Yes",IF(COUNTBLANK('Capacity summary'!$H212:$BG212)&lt;52,IF('Capacity summary'!AN212&lt;&gt;"",IF(LOWER('Capacity summary'!AN212)="x",$BI93*AN93,VALUE('Capacity summary'!AN212)),0),AN93*$BI93),AN93*$BI93),0)</f>
        <v>0</v>
      </c>
      <c r="CR93" s="311">
        <f>IF($BI93&lt;&gt;"",IF('Capacity summary'!$D$14="Yes",IF(COUNTBLANK('Capacity summary'!$H212:$BG212)&lt;52,IF('Capacity summary'!AO212&lt;&gt;"",IF(LOWER('Capacity summary'!AO212)="x",$BI93*AO93,VALUE('Capacity summary'!AO212)),0),AO93*$BI93),AO93*$BI93),0)</f>
        <v>0</v>
      </c>
      <c r="CS93" s="311">
        <f>IF($BI93&lt;&gt;"",IF('Capacity summary'!$D$14="Yes",IF(COUNTBLANK('Capacity summary'!$H212:$BG212)&lt;52,IF('Capacity summary'!AP212&lt;&gt;"",IF(LOWER('Capacity summary'!AP212)="x",$BI93*AP93,VALUE('Capacity summary'!AP212)),0),AP93*$BI93),AP93*$BI93),0)</f>
        <v>0</v>
      </c>
      <c r="CT93" s="311">
        <f>IF($BI93&lt;&gt;"",IF('Capacity summary'!$D$14="Yes",IF(COUNTBLANK('Capacity summary'!$H212:$BG212)&lt;52,IF('Capacity summary'!AQ212&lt;&gt;"",IF(LOWER('Capacity summary'!AQ212)="x",$BI93*AQ93,VALUE('Capacity summary'!AQ212)),0),AQ93*$BI93),AQ93*$BI93),0)</f>
        <v>0</v>
      </c>
      <c r="CU93" s="311">
        <f>IF($BI93&lt;&gt;"",IF('Capacity summary'!$D$14="Yes",IF(COUNTBLANK('Capacity summary'!$H212:$BG212)&lt;52,IF('Capacity summary'!AR212&lt;&gt;"",IF(LOWER('Capacity summary'!AR212)="x",$BI93*AR93,VALUE('Capacity summary'!AR212)),0),AR93*$BI93),AR93*$BI93),0)</f>
        <v>0</v>
      </c>
      <c r="CV93" s="311">
        <f>IF($BI93&lt;&gt;"",IF('Capacity summary'!$D$14="Yes",IF(COUNTBLANK('Capacity summary'!$H212:$BG212)&lt;52,IF('Capacity summary'!AS212&lt;&gt;"",IF(LOWER('Capacity summary'!AS212)="x",$BI93*AS93,VALUE('Capacity summary'!AS212)),0),AS93*$BI93),AS93*$BI93),0)</f>
        <v>0</v>
      </c>
      <c r="CW93" s="311">
        <f>IF($BI93&lt;&gt;"",IF('Capacity summary'!$D$14="Yes",IF(COUNTBLANK('Capacity summary'!$H212:$BG212)&lt;52,IF('Capacity summary'!AT212&lt;&gt;"",IF(LOWER('Capacity summary'!AT212)="x",$BI93*AT93,VALUE('Capacity summary'!AT212)),0),AT93*$BI93),AT93*$BI93),0)</f>
        <v>0</v>
      </c>
      <c r="CX93" s="311">
        <f>IF($BI93&lt;&gt;"",IF('Capacity summary'!$D$14="Yes",IF(COUNTBLANK('Capacity summary'!$H212:$BG212)&lt;52,IF('Capacity summary'!AU212&lt;&gt;"",IF(LOWER('Capacity summary'!AU212)="x",$BI93*AU93,VALUE('Capacity summary'!AU212)),0),AU93*$BI93),AU93*$BI93),0)</f>
        <v>0</v>
      </c>
      <c r="CY93" s="311">
        <f>IF($BI93&lt;&gt;"",IF('Capacity summary'!$D$14="Yes",IF(COUNTBLANK('Capacity summary'!$H212:$BG212)&lt;52,IF('Capacity summary'!AV212&lt;&gt;"",IF(LOWER('Capacity summary'!AV212)="x",$BI93*AV93,VALUE('Capacity summary'!AV212)),0),AV93*$BI93),AV93*$BI93),0)</f>
        <v>0</v>
      </c>
      <c r="CZ93" s="311">
        <f>IF($BI93&lt;&gt;"",IF('Capacity summary'!$D$14="Yes",IF(COUNTBLANK('Capacity summary'!$H212:$BG212)&lt;52,IF('Capacity summary'!AW212&lt;&gt;"",IF(LOWER('Capacity summary'!AW212)="x",$BI93*AW93,VALUE('Capacity summary'!AW212)),0),AW93*$BI93),AW93*$BI93),0)</f>
        <v>0</v>
      </c>
      <c r="DA93" s="311">
        <f>IF($BI93&lt;&gt;"",IF('Capacity summary'!$D$14="Yes",IF(COUNTBLANK('Capacity summary'!$H212:$BG212)&lt;52,IF('Capacity summary'!AX212&lt;&gt;"",IF(LOWER('Capacity summary'!AX212)="x",$BI93*AX93,VALUE('Capacity summary'!AX212)),0),AX93*$BI93),AX93*$BI93),0)</f>
        <v>0</v>
      </c>
      <c r="DB93" s="311">
        <f>IF($BI93&lt;&gt;"",IF('Capacity summary'!$D$14="Yes",IF(COUNTBLANK('Capacity summary'!$H212:$BG212)&lt;52,IF('Capacity summary'!AY212&lt;&gt;"",IF(LOWER('Capacity summary'!AY212)="x",$BI93*AY93,VALUE('Capacity summary'!AY212)),0),AY93*$BI93),AY93*$BI93),0)</f>
        <v>0</v>
      </c>
      <c r="DC93" s="311">
        <f>IF($BI93&lt;&gt;"",IF('Capacity summary'!$D$14="Yes",IF(COUNTBLANK('Capacity summary'!$H212:$BG212)&lt;52,IF('Capacity summary'!AZ212&lt;&gt;"",IF(LOWER('Capacity summary'!AZ212)="x",$BI93*AZ93,VALUE('Capacity summary'!AZ212)),0),AZ93*$BI93),AZ93*$BI93),0)</f>
        <v>0</v>
      </c>
      <c r="DD93" s="311">
        <f>IF($BI93&lt;&gt;"",IF('Capacity summary'!$D$14="Yes",IF(COUNTBLANK('Capacity summary'!$H212:$BG212)&lt;52,IF('Capacity summary'!BA212&lt;&gt;"",IF(LOWER('Capacity summary'!BA212)="x",$BI93*BA93,VALUE('Capacity summary'!BA212)),0),BA93*$BI93),BA93*$BI93),0)</f>
        <v>0</v>
      </c>
      <c r="DE93" s="311">
        <f>IF($BI93&lt;&gt;"",IF('Capacity summary'!$D$14="Yes",IF(COUNTBLANK('Capacity summary'!$H212:$BG212)&lt;52,IF('Capacity summary'!BB212&lt;&gt;"",IF(LOWER('Capacity summary'!BB212)="x",$BI93*BB93,VALUE('Capacity summary'!BB212)),0),BB93*$BI93),BB93*$BI93),0)</f>
        <v>0</v>
      </c>
      <c r="DF93" s="311">
        <f>IF($BI93&lt;&gt;"",IF('Capacity summary'!$D$14="Yes",IF(COUNTBLANK('Capacity summary'!$H212:$BG212)&lt;52,IF('Capacity summary'!BC212&lt;&gt;"",IF(LOWER('Capacity summary'!BC212)="x",$BI93*BC93,VALUE('Capacity summary'!BC212)),0),BC93*$BI93),BC93*$BI93),0)</f>
        <v>0</v>
      </c>
      <c r="DG93" s="311">
        <f>IF($BI93&lt;&gt;"",IF('Capacity summary'!$D$14="Yes",IF(COUNTBLANK('Capacity summary'!$H212:$BG212)&lt;52,IF('Capacity summary'!BD212&lt;&gt;"",IF(LOWER('Capacity summary'!BD212)="x",$BI93*BD93,VALUE('Capacity summary'!BD212)),0),BD93*$BI93),BD93*$BI93),0)</f>
        <v>0</v>
      </c>
      <c r="DH93" s="311">
        <f>IF($BI93&lt;&gt;"",IF('Capacity summary'!$D$14="Yes",IF(COUNTBLANK('Capacity summary'!$H212:$BG212)&lt;52,IF('Capacity summary'!BE212&lt;&gt;"",IF(LOWER('Capacity summary'!BE212)="x",$BI93*BE93,VALUE('Capacity summary'!BE212)),0),BE93*$BI93),BE93*$BI93),0)</f>
        <v>0</v>
      </c>
      <c r="DI93" s="311">
        <f>IF($BI93&lt;&gt;"",IF('Capacity summary'!$D$14="Yes",IF(COUNTBLANK('Capacity summary'!$H212:$BG212)&lt;52,IF('Capacity summary'!BF212&lt;&gt;"",IF(LOWER('Capacity summary'!BF212)="x",$BI93*BF93,VALUE('Capacity summary'!BF212)),0),BF93*$BI93),BF93*$BI93),0)</f>
        <v>0</v>
      </c>
      <c r="DJ93" s="311">
        <f>IF($BI93&lt;&gt;"",IF('Capacity summary'!$D$14="Yes",IF(COUNTBLANK('Capacity summary'!$H212:$BG212)&lt;52,IF('Capacity summary'!BG212&lt;&gt;"",IF(LOWER('Capacity summary'!BG212)="x",$BI93*BG93,VALUE('Capacity summary'!BG212)),0),BG93*$BI93),BG93*$BI93),0)</f>
        <v>0</v>
      </c>
      <c r="DK93" s="391">
        <f t="shared" si="4"/>
        <v>0</v>
      </c>
      <c r="DL93" s="136">
        <f t="shared" si="5"/>
        <v>0</v>
      </c>
      <c r="DM93" s="311" t="str">
        <f>Capacity!H105</f>
        <v/>
      </c>
    </row>
    <row r="94" spans="1:117" x14ac:dyDescent="0.2">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1">
        <f>IF($BI94&lt;&gt;"",IF('Capacity summary'!$D$14="Yes",IF(COUNTBLANK('Capacity summary'!$H213:$BG213)&lt;52,IF('Capacity summary'!H213&lt;&gt;"",IF(LOWER('Capacity summary'!H213)="x",$BI94*H94,VALUE('Capacity summary'!H213)),0),H94*$BI94),H94*$BI94),0)</f>
        <v>0</v>
      </c>
      <c r="BL94" s="311">
        <f>IF($BI94&lt;&gt;"",IF('Capacity summary'!$D$14="Yes",IF(COUNTBLANK('Capacity summary'!$H213:$BG213)&lt;52,IF('Capacity summary'!I213&lt;&gt;"",IF(LOWER('Capacity summary'!I213)="x",$BI94*I94,VALUE('Capacity summary'!I213)),0),I94*$BI94),I94*$BI94),0)</f>
        <v>0</v>
      </c>
      <c r="BM94" s="311">
        <f>IF($BI94&lt;&gt;"",IF('Capacity summary'!$D$14="Yes",IF(COUNTBLANK('Capacity summary'!$H213:$BG213)&lt;52,IF('Capacity summary'!J213&lt;&gt;"",IF(LOWER('Capacity summary'!J213)="x",$BI94*J94,VALUE('Capacity summary'!J213)),0),J94*$BI94),J94*$BI94),0)</f>
        <v>0</v>
      </c>
      <c r="BN94" s="311">
        <f>IF($BI94&lt;&gt;"",IF('Capacity summary'!$D$14="Yes",IF(COUNTBLANK('Capacity summary'!$H213:$BG213)&lt;52,IF('Capacity summary'!K213&lt;&gt;"",IF(LOWER('Capacity summary'!K213)="x",$BI94*K94,VALUE('Capacity summary'!K213)),0),K94*$BI94),K94*$BI94),0)</f>
        <v>0</v>
      </c>
      <c r="BO94" s="311">
        <f>IF($BI94&lt;&gt;"",IF('Capacity summary'!$D$14="Yes",IF(COUNTBLANK('Capacity summary'!$H213:$BG213)&lt;52,IF('Capacity summary'!L213&lt;&gt;"",IF(LOWER('Capacity summary'!L213)="x",$BI94*L94,VALUE('Capacity summary'!L213)),0),L94*$BI94),L94*$BI94),0)</f>
        <v>0</v>
      </c>
      <c r="BP94" s="311">
        <f>IF($BI94&lt;&gt;"",IF('Capacity summary'!$D$14="Yes",IF(COUNTBLANK('Capacity summary'!$H213:$BG213)&lt;52,IF('Capacity summary'!M213&lt;&gt;"",IF(LOWER('Capacity summary'!M213)="x",$BI94*M94,VALUE('Capacity summary'!M213)),0),M94*$BI94),M94*$BI94),0)</f>
        <v>0</v>
      </c>
      <c r="BQ94" s="311">
        <f>IF($BI94&lt;&gt;"",IF('Capacity summary'!$D$14="Yes",IF(COUNTBLANK('Capacity summary'!$H213:$BG213)&lt;52,IF('Capacity summary'!N213&lt;&gt;"",IF(LOWER('Capacity summary'!N213)="x",$BI94*N94,VALUE('Capacity summary'!N213)),0),N94*$BI94),N94*$BI94),0)</f>
        <v>0</v>
      </c>
      <c r="BR94" s="311">
        <f>IF($BI94&lt;&gt;"",IF('Capacity summary'!$D$14="Yes",IF(COUNTBLANK('Capacity summary'!$H213:$BG213)&lt;52,IF('Capacity summary'!O213&lt;&gt;"",IF(LOWER('Capacity summary'!O213)="x",$BI94*O94,VALUE('Capacity summary'!O213)),0),O94*$BI94),O94*$BI94),0)</f>
        <v>0</v>
      </c>
      <c r="BS94" s="311">
        <f>IF($BI94&lt;&gt;"",IF('Capacity summary'!$D$14="Yes",IF(COUNTBLANK('Capacity summary'!$H213:$BG213)&lt;52,IF('Capacity summary'!P213&lt;&gt;"",IF(LOWER('Capacity summary'!P213)="x",$BI94*P94,VALUE('Capacity summary'!P213)),0),P94*$BI94),P94*$BI94),0)</f>
        <v>0</v>
      </c>
      <c r="BT94" s="311">
        <f>IF($BI94&lt;&gt;"",IF('Capacity summary'!$D$14="Yes",IF(COUNTBLANK('Capacity summary'!$H213:$BG213)&lt;52,IF('Capacity summary'!Q213&lt;&gt;"",IF(LOWER('Capacity summary'!Q213)="x",$BI94*Q94,VALUE('Capacity summary'!Q213)),0),Q94*$BI94),Q94*$BI94),0)</f>
        <v>0</v>
      </c>
      <c r="BU94" s="311">
        <f>IF($BI94&lt;&gt;"",IF('Capacity summary'!$D$14="Yes",IF(COUNTBLANK('Capacity summary'!$H213:$BG213)&lt;52,IF('Capacity summary'!R213&lt;&gt;"",IF(LOWER('Capacity summary'!R213)="x",$BI94*R94,VALUE('Capacity summary'!R213)),0),R94*$BI94),R94*$BI94),0)</f>
        <v>0</v>
      </c>
      <c r="BV94" s="311">
        <f>IF($BI94&lt;&gt;"",IF('Capacity summary'!$D$14="Yes",IF(COUNTBLANK('Capacity summary'!$H213:$BG213)&lt;52,IF('Capacity summary'!S213&lt;&gt;"",IF(LOWER('Capacity summary'!S213)="x",$BI94*S94,VALUE('Capacity summary'!S213)),0),S94*$BI94),S94*$BI94),0)</f>
        <v>0</v>
      </c>
      <c r="BW94" s="311">
        <f>IF($BI94&lt;&gt;"",IF('Capacity summary'!$D$14="Yes",IF(COUNTBLANK('Capacity summary'!$H213:$BG213)&lt;52,IF('Capacity summary'!T213&lt;&gt;"",IF(LOWER('Capacity summary'!T213)="x",$BI94*T94,VALUE('Capacity summary'!T213)),0),T94*$BI94),T94*$BI94),0)</f>
        <v>0</v>
      </c>
      <c r="BX94" s="311">
        <f>IF($BI94&lt;&gt;"",IF('Capacity summary'!$D$14="Yes",IF(COUNTBLANK('Capacity summary'!$H213:$BG213)&lt;52,IF('Capacity summary'!U213&lt;&gt;"",IF(LOWER('Capacity summary'!U213)="x",$BI94*U94,VALUE('Capacity summary'!U213)),0),U94*$BI94),U94*$BI94),0)</f>
        <v>0</v>
      </c>
      <c r="BY94" s="311">
        <f>IF($BI94&lt;&gt;"",IF('Capacity summary'!$D$14="Yes",IF(COUNTBLANK('Capacity summary'!$H213:$BG213)&lt;52,IF('Capacity summary'!V213&lt;&gt;"",IF(LOWER('Capacity summary'!V213)="x",$BI94*V94,VALUE('Capacity summary'!V213)),0),V94*$BI94),V94*$BI94),0)</f>
        <v>0</v>
      </c>
      <c r="BZ94" s="311">
        <f>IF($BI94&lt;&gt;"",IF('Capacity summary'!$D$14="Yes",IF(COUNTBLANK('Capacity summary'!$H213:$BG213)&lt;52,IF('Capacity summary'!W213&lt;&gt;"",IF(LOWER('Capacity summary'!W213)="x",$BI94*W94,VALUE('Capacity summary'!W213)),0),W94*$BI94),W94*$BI94),0)</f>
        <v>0</v>
      </c>
      <c r="CA94" s="311">
        <f>IF($BI94&lt;&gt;"",IF('Capacity summary'!$D$14="Yes",IF(COUNTBLANK('Capacity summary'!$H213:$BG213)&lt;52,IF('Capacity summary'!X213&lt;&gt;"",IF(LOWER('Capacity summary'!X213)="x",$BI94*X94,VALUE('Capacity summary'!X213)),0),X94*$BI94),X94*$BI94),0)</f>
        <v>0</v>
      </c>
      <c r="CB94" s="311">
        <f>IF($BI94&lt;&gt;"",IF('Capacity summary'!$D$14="Yes",IF(COUNTBLANK('Capacity summary'!$H213:$BG213)&lt;52,IF('Capacity summary'!Y213&lt;&gt;"",IF(LOWER('Capacity summary'!Y213)="x",$BI94*Y94,VALUE('Capacity summary'!Y213)),0),Y94*$BI94),Y94*$BI94),0)</f>
        <v>0</v>
      </c>
      <c r="CC94" s="311">
        <f>IF($BI94&lt;&gt;"",IF('Capacity summary'!$D$14="Yes",IF(COUNTBLANK('Capacity summary'!$H213:$BG213)&lt;52,IF('Capacity summary'!Z213&lt;&gt;"",IF(LOWER('Capacity summary'!Z213)="x",$BI94*Z94,VALUE('Capacity summary'!Z213)),0),Z94*$BI94),Z94*$BI94),0)</f>
        <v>0</v>
      </c>
      <c r="CD94" s="311">
        <f>IF($BI94&lt;&gt;"",IF('Capacity summary'!$D$14="Yes",IF(COUNTBLANK('Capacity summary'!$H213:$BG213)&lt;52,IF('Capacity summary'!AA213&lt;&gt;"",IF(LOWER('Capacity summary'!AA213)="x",$BI94*AA94,VALUE('Capacity summary'!AA213)),0),AA94*$BI94),AA94*$BI94),0)</f>
        <v>0</v>
      </c>
      <c r="CE94" s="311">
        <f>IF($BI94&lt;&gt;"",IF('Capacity summary'!$D$14="Yes",IF(COUNTBLANK('Capacity summary'!$H213:$BG213)&lt;52,IF('Capacity summary'!AB213&lt;&gt;"",IF(LOWER('Capacity summary'!AB213)="x",$BI94*AB94,VALUE('Capacity summary'!AB213)),0),AB94*$BI94),AB94*$BI94),0)</f>
        <v>0</v>
      </c>
      <c r="CF94" s="311">
        <f>IF($BI94&lt;&gt;"",IF('Capacity summary'!$D$14="Yes",IF(COUNTBLANK('Capacity summary'!$H213:$BG213)&lt;52,IF('Capacity summary'!AC213&lt;&gt;"",IF(LOWER('Capacity summary'!AC213)="x",$BI94*AC94,VALUE('Capacity summary'!AC213)),0),AC94*$BI94),AC94*$BI94),0)</f>
        <v>0</v>
      </c>
      <c r="CG94" s="311">
        <f>IF($BI94&lt;&gt;"",IF('Capacity summary'!$D$14="Yes",IF(COUNTBLANK('Capacity summary'!$H213:$BG213)&lt;52,IF('Capacity summary'!AD213&lt;&gt;"",IF(LOWER('Capacity summary'!AD213)="x",$BI94*AD94,VALUE('Capacity summary'!AD213)),0),AD94*$BI94),AD94*$BI94),0)</f>
        <v>0</v>
      </c>
      <c r="CH94" s="311">
        <f>IF($BI94&lt;&gt;"",IF('Capacity summary'!$D$14="Yes",IF(COUNTBLANK('Capacity summary'!$H213:$BG213)&lt;52,IF('Capacity summary'!AE213&lt;&gt;"",IF(LOWER('Capacity summary'!AE213)="x",$BI94*AE94,VALUE('Capacity summary'!AE213)),0),AE94*$BI94),AE94*$BI94),0)</f>
        <v>0</v>
      </c>
      <c r="CI94" s="311">
        <f>IF($BI94&lt;&gt;"",IF('Capacity summary'!$D$14="Yes",IF(COUNTBLANK('Capacity summary'!$H213:$BG213)&lt;52,IF('Capacity summary'!AF213&lt;&gt;"",IF(LOWER('Capacity summary'!AF213)="x",$BI94*AF94,VALUE('Capacity summary'!AF213)),0),AF94*$BI94),AF94*$BI94),0)</f>
        <v>0</v>
      </c>
      <c r="CJ94" s="311">
        <f>IF($BI94&lt;&gt;"",IF('Capacity summary'!$D$14="Yes",IF(COUNTBLANK('Capacity summary'!$H213:$BG213)&lt;52,IF('Capacity summary'!AG213&lt;&gt;"",IF(LOWER('Capacity summary'!AG213)="x",$BI94*AG94,VALUE('Capacity summary'!AG213)),0),AG94*$BI94),AG94*$BI94),0)</f>
        <v>0</v>
      </c>
      <c r="CK94" s="311">
        <f>IF($BI94&lt;&gt;"",IF('Capacity summary'!$D$14="Yes",IF(COUNTBLANK('Capacity summary'!$H213:$BG213)&lt;52,IF('Capacity summary'!AH213&lt;&gt;"",IF(LOWER('Capacity summary'!AH213)="x",$BI94*AH94,VALUE('Capacity summary'!AH213)),0),AH94*$BI94),AH94*$BI94),0)</f>
        <v>0</v>
      </c>
      <c r="CL94" s="311">
        <f>IF($BI94&lt;&gt;"",IF('Capacity summary'!$D$14="Yes",IF(COUNTBLANK('Capacity summary'!$H213:$BG213)&lt;52,IF('Capacity summary'!AI213&lt;&gt;"",IF(LOWER('Capacity summary'!AI213)="x",$BI94*AI94,VALUE('Capacity summary'!AI213)),0),AI94*$BI94),AI94*$BI94),0)</f>
        <v>0</v>
      </c>
      <c r="CM94" s="311">
        <f>IF($BI94&lt;&gt;"",IF('Capacity summary'!$D$14="Yes",IF(COUNTBLANK('Capacity summary'!$H213:$BG213)&lt;52,IF('Capacity summary'!AJ213&lt;&gt;"",IF(LOWER('Capacity summary'!AJ213)="x",$BI94*AJ94,VALUE('Capacity summary'!AJ213)),0),AJ94*$BI94),AJ94*$BI94),0)</f>
        <v>0</v>
      </c>
      <c r="CN94" s="311">
        <f>IF($BI94&lt;&gt;"",IF('Capacity summary'!$D$14="Yes",IF(COUNTBLANK('Capacity summary'!$H213:$BG213)&lt;52,IF('Capacity summary'!AK213&lt;&gt;"",IF(LOWER('Capacity summary'!AK213)="x",$BI94*AK94,VALUE('Capacity summary'!AK213)),0),AK94*$BI94),AK94*$BI94),0)</f>
        <v>0</v>
      </c>
      <c r="CO94" s="311">
        <f>IF($BI94&lt;&gt;"",IF('Capacity summary'!$D$14="Yes",IF(COUNTBLANK('Capacity summary'!$H213:$BG213)&lt;52,IF('Capacity summary'!AL213&lt;&gt;"",IF(LOWER('Capacity summary'!AL213)="x",$BI94*AL94,VALUE('Capacity summary'!AL213)),0),AL94*$BI94),AL94*$BI94),0)</f>
        <v>0</v>
      </c>
      <c r="CP94" s="311">
        <f>IF($BI94&lt;&gt;"",IF('Capacity summary'!$D$14="Yes",IF(COUNTBLANK('Capacity summary'!$H213:$BG213)&lt;52,IF('Capacity summary'!AM213&lt;&gt;"",IF(LOWER('Capacity summary'!AM213)="x",$BI94*AM94,VALUE('Capacity summary'!AM213)),0),AM94*$BI94),AM94*$BI94),0)</f>
        <v>0</v>
      </c>
      <c r="CQ94" s="311">
        <f>IF($BI94&lt;&gt;"",IF('Capacity summary'!$D$14="Yes",IF(COUNTBLANK('Capacity summary'!$H213:$BG213)&lt;52,IF('Capacity summary'!AN213&lt;&gt;"",IF(LOWER('Capacity summary'!AN213)="x",$BI94*AN94,VALUE('Capacity summary'!AN213)),0),AN94*$BI94),AN94*$BI94),0)</f>
        <v>0</v>
      </c>
      <c r="CR94" s="311">
        <f>IF($BI94&lt;&gt;"",IF('Capacity summary'!$D$14="Yes",IF(COUNTBLANK('Capacity summary'!$H213:$BG213)&lt;52,IF('Capacity summary'!AO213&lt;&gt;"",IF(LOWER('Capacity summary'!AO213)="x",$BI94*AO94,VALUE('Capacity summary'!AO213)),0),AO94*$BI94),AO94*$BI94),0)</f>
        <v>0</v>
      </c>
      <c r="CS94" s="311">
        <f>IF($BI94&lt;&gt;"",IF('Capacity summary'!$D$14="Yes",IF(COUNTBLANK('Capacity summary'!$H213:$BG213)&lt;52,IF('Capacity summary'!AP213&lt;&gt;"",IF(LOWER('Capacity summary'!AP213)="x",$BI94*AP94,VALUE('Capacity summary'!AP213)),0),AP94*$BI94),AP94*$BI94),0)</f>
        <v>0</v>
      </c>
      <c r="CT94" s="311">
        <f>IF($BI94&lt;&gt;"",IF('Capacity summary'!$D$14="Yes",IF(COUNTBLANK('Capacity summary'!$H213:$BG213)&lt;52,IF('Capacity summary'!AQ213&lt;&gt;"",IF(LOWER('Capacity summary'!AQ213)="x",$BI94*AQ94,VALUE('Capacity summary'!AQ213)),0),AQ94*$BI94),AQ94*$BI94),0)</f>
        <v>0</v>
      </c>
      <c r="CU94" s="311">
        <f>IF($BI94&lt;&gt;"",IF('Capacity summary'!$D$14="Yes",IF(COUNTBLANK('Capacity summary'!$H213:$BG213)&lt;52,IF('Capacity summary'!AR213&lt;&gt;"",IF(LOWER('Capacity summary'!AR213)="x",$BI94*AR94,VALUE('Capacity summary'!AR213)),0),AR94*$BI94),AR94*$BI94),0)</f>
        <v>0</v>
      </c>
      <c r="CV94" s="311">
        <f>IF($BI94&lt;&gt;"",IF('Capacity summary'!$D$14="Yes",IF(COUNTBLANK('Capacity summary'!$H213:$BG213)&lt;52,IF('Capacity summary'!AS213&lt;&gt;"",IF(LOWER('Capacity summary'!AS213)="x",$BI94*AS94,VALUE('Capacity summary'!AS213)),0),AS94*$BI94),AS94*$BI94),0)</f>
        <v>0</v>
      </c>
      <c r="CW94" s="311">
        <f>IF($BI94&lt;&gt;"",IF('Capacity summary'!$D$14="Yes",IF(COUNTBLANK('Capacity summary'!$H213:$BG213)&lt;52,IF('Capacity summary'!AT213&lt;&gt;"",IF(LOWER('Capacity summary'!AT213)="x",$BI94*AT94,VALUE('Capacity summary'!AT213)),0),AT94*$BI94),AT94*$BI94),0)</f>
        <v>0</v>
      </c>
      <c r="CX94" s="311">
        <f>IF($BI94&lt;&gt;"",IF('Capacity summary'!$D$14="Yes",IF(COUNTBLANK('Capacity summary'!$H213:$BG213)&lt;52,IF('Capacity summary'!AU213&lt;&gt;"",IF(LOWER('Capacity summary'!AU213)="x",$BI94*AU94,VALUE('Capacity summary'!AU213)),0),AU94*$BI94),AU94*$BI94),0)</f>
        <v>0</v>
      </c>
      <c r="CY94" s="311">
        <f>IF($BI94&lt;&gt;"",IF('Capacity summary'!$D$14="Yes",IF(COUNTBLANK('Capacity summary'!$H213:$BG213)&lt;52,IF('Capacity summary'!AV213&lt;&gt;"",IF(LOWER('Capacity summary'!AV213)="x",$BI94*AV94,VALUE('Capacity summary'!AV213)),0),AV94*$BI94),AV94*$BI94),0)</f>
        <v>0</v>
      </c>
      <c r="CZ94" s="311">
        <f>IF($BI94&lt;&gt;"",IF('Capacity summary'!$D$14="Yes",IF(COUNTBLANK('Capacity summary'!$H213:$BG213)&lt;52,IF('Capacity summary'!AW213&lt;&gt;"",IF(LOWER('Capacity summary'!AW213)="x",$BI94*AW94,VALUE('Capacity summary'!AW213)),0),AW94*$BI94),AW94*$BI94),0)</f>
        <v>0</v>
      </c>
      <c r="DA94" s="311">
        <f>IF($BI94&lt;&gt;"",IF('Capacity summary'!$D$14="Yes",IF(COUNTBLANK('Capacity summary'!$H213:$BG213)&lt;52,IF('Capacity summary'!AX213&lt;&gt;"",IF(LOWER('Capacity summary'!AX213)="x",$BI94*AX94,VALUE('Capacity summary'!AX213)),0),AX94*$BI94),AX94*$BI94),0)</f>
        <v>0</v>
      </c>
      <c r="DB94" s="311">
        <f>IF($BI94&lt;&gt;"",IF('Capacity summary'!$D$14="Yes",IF(COUNTBLANK('Capacity summary'!$H213:$BG213)&lt;52,IF('Capacity summary'!AY213&lt;&gt;"",IF(LOWER('Capacity summary'!AY213)="x",$BI94*AY94,VALUE('Capacity summary'!AY213)),0),AY94*$BI94),AY94*$BI94),0)</f>
        <v>0</v>
      </c>
      <c r="DC94" s="311">
        <f>IF($BI94&lt;&gt;"",IF('Capacity summary'!$D$14="Yes",IF(COUNTBLANK('Capacity summary'!$H213:$BG213)&lt;52,IF('Capacity summary'!AZ213&lt;&gt;"",IF(LOWER('Capacity summary'!AZ213)="x",$BI94*AZ94,VALUE('Capacity summary'!AZ213)),0),AZ94*$BI94),AZ94*$BI94),0)</f>
        <v>0</v>
      </c>
      <c r="DD94" s="311">
        <f>IF($BI94&lt;&gt;"",IF('Capacity summary'!$D$14="Yes",IF(COUNTBLANK('Capacity summary'!$H213:$BG213)&lt;52,IF('Capacity summary'!BA213&lt;&gt;"",IF(LOWER('Capacity summary'!BA213)="x",$BI94*BA94,VALUE('Capacity summary'!BA213)),0),BA94*$BI94),BA94*$BI94),0)</f>
        <v>0</v>
      </c>
      <c r="DE94" s="311">
        <f>IF($BI94&lt;&gt;"",IF('Capacity summary'!$D$14="Yes",IF(COUNTBLANK('Capacity summary'!$H213:$BG213)&lt;52,IF('Capacity summary'!BB213&lt;&gt;"",IF(LOWER('Capacity summary'!BB213)="x",$BI94*BB94,VALUE('Capacity summary'!BB213)),0),BB94*$BI94),BB94*$BI94),0)</f>
        <v>0</v>
      </c>
      <c r="DF94" s="311">
        <f>IF($BI94&lt;&gt;"",IF('Capacity summary'!$D$14="Yes",IF(COUNTBLANK('Capacity summary'!$H213:$BG213)&lt;52,IF('Capacity summary'!BC213&lt;&gt;"",IF(LOWER('Capacity summary'!BC213)="x",$BI94*BC94,VALUE('Capacity summary'!BC213)),0),BC94*$BI94),BC94*$BI94),0)</f>
        <v>0</v>
      </c>
      <c r="DG94" s="311">
        <f>IF($BI94&lt;&gt;"",IF('Capacity summary'!$D$14="Yes",IF(COUNTBLANK('Capacity summary'!$H213:$BG213)&lt;52,IF('Capacity summary'!BD213&lt;&gt;"",IF(LOWER('Capacity summary'!BD213)="x",$BI94*BD94,VALUE('Capacity summary'!BD213)),0),BD94*$BI94),BD94*$BI94),0)</f>
        <v>0</v>
      </c>
      <c r="DH94" s="311">
        <f>IF($BI94&lt;&gt;"",IF('Capacity summary'!$D$14="Yes",IF(COUNTBLANK('Capacity summary'!$H213:$BG213)&lt;52,IF('Capacity summary'!BE213&lt;&gt;"",IF(LOWER('Capacity summary'!BE213)="x",$BI94*BE94,VALUE('Capacity summary'!BE213)),0),BE94*$BI94),BE94*$BI94),0)</f>
        <v>0</v>
      </c>
      <c r="DI94" s="311">
        <f>IF($BI94&lt;&gt;"",IF('Capacity summary'!$D$14="Yes",IF(COUNTBLANK('Capacity summary'!$H213:$BG213)&lt;52,IF('Capacity summary'!BF213&lt;&gt;"",IF(LOWER('Capacity summary'!BF213)="x",$BI94*BF94,VALUE('Capacity summary'!BF213)),0),BF94*$BI94),BF94*$BI94),0)</f>
        <v>0</v>
      </c>
      <c r="DJ94" s="311">
        <f>IF($BI94&lt;&gt;"",IF('Capacity summary'!$D$14="Yes",IF(COUNTBLANK('Capacity summary'!$H213:$BG213)&lt;52,IF('Capacity summary'!BG213&lt;&gt;"",IF(LOWER('Capacity summary'!BG213)="x",$BI94*BG94,VALUE('Capacity summary'!BG213)),0),BG94*$BI94),BG94*$BI94),0)</f>
        <v>0</v>
      </c>
      <c r="DK94" s="391">
        <f t="shared" si="4"/>
        <v>0</v>
      </c>
      <c r="DL94" s="136">
        <f t="shared" si="5"/>
        <v>0</v>
      </c>
      <c r="DM94" s="311" t="str">
        <f>Capacity!H106</f>
        <v/>
      </c>
    </row>
    <row r="95" spans="1:117" x14ac:dyDescent="0.2">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1">
        <f>IF($BI95&lt;&gt;"",IF('Capacity summary'!$D$14="Yes",IF(COUNTBLANK('Capacity summary'!$H214:$BG214)&lt;52,IF('Capacity summary'!H214&lt;&gt;"",IF(LOWER('Capacity summary'!H214)="x",$BI95*H95,VALUE('Capacity summary'!H214)),0),H95*$BI95),H95*$BI95),0)</f>
        <v>0</v>
      </c>
      <c r="BL95" s="311">
        <f>IF($BI95&lt;&gt;"",IF('Capacity summary'!$D$14="Yes",IF(COUNTBLANK('Capacity summary'!$H214:$BG214)&lt;52,IF('Capacity summary'!I214&lt;&gt;"",IF(LOWER('Capacity summary'!I214)="x",$BI95*I95,VALUE('Capacity summary'!I214)),0),I95*$BI95),I95*$BI95),0)</f>
        <v>0</v>
      </c>
      <c r="BM95" s="311">
        <f>IF($BI95&lt;&gt;"",IF('Capacity summary'!$D$14="Yes",IF(COUNTBLANK('Capacity summary'!$H214:$BG214)&lt;52,IF('Capacity summary'!J214&lt;&gt;"",IF(LOWER('Capacity summary'!J214)="x",$BI95*J95,VALUE('Capacity summary'!J214)),0),J95*$BI95),J95*$BI95),0)</f>
        <v>0</v>
      </c>
      <c r="BN95" s="311">
        <f>IF($BI95&lt;&gt;"",IF('Capacity summary'!$D$14="Yes",IF(COUNTBLANK('Capacity summary'!$H214:$BG214)&lt;52,IF('Capacity summary'!K214&lt;&gt;"",IF(LOWER('Capacity summary'!K214)="x",$BI95*K95,VALUE('Capacity summary'!K214)),0),K95*$BI95),K95*$BI95),0)</f>
        <v>0</v>
      </c>
      <c r="BO95" s="311">
        <f>IF($BI95&lt;&gt;"",IF('Capacity summary'!$D$14="Yes",IF(COUNTBLANK('Capacity summary'!$H214:$BG214)&lt;52,IF('Capacity summary'!L214&lt;&gt;"",IF(LOWER('Capacity summary'!L214)="x",$BI95*L95,VALUE('Capacity summary'!L214)),0),L95*$BI95),L95*$BI95),0)</f>
        <v>0</v>
      </c>
      <c r="BP95" s="311">
        <f>IF($BI95&lt;&gt;"",IF('Capacity summary'!$D$14="Yes",IF(COUNTBLANK('Capacity summary'!$H214:$BG214)&lt;52,IF('Capacity summary'!M214&lt;&gt;"",IF(LOWER('Capacity summary'!M214)="x",$BI95*M95,VALUE('Capacity summary'!M214)),0),M95*$BI95),M95*$BI95),0)</f>
        <v>0</v>
      </c>
      <c r="BQ95" s="311">
        <f>IF($BI95&lt;&gt;"",IF('Capacity summary'!$D$14="Yes",IF(COUNTBLANK('Capacity summary'!$H214:$BG214)&lt;52,IF('Capacity summary'!N214&lt;&gt;"",IF(LOWER('Capacity summary'!N214)="x",$BI95*N95,VALUE('Capacity summary'!N214)),0),N95*$BI95),N95*$BI95),0)</f>
        <v>0</v>
      </c>
      <c r="BR95" s="311">
        <f>IF($BI95&lt;&gt;"",IF('Capacity summary'!$D$14="Yes",IF(COUNTBLANK('Capacity summary'!$H214:$BG214)&lt;52,IF('Capacity summary'!O214&lt;&gt;"",IF(LOWER('Capacity summary'!O214)="x",$BI95*O95,VALUE('Capacity summary'!O214)),0),O95*$BI95),O95*$BI95),0)</f>
        <v>0</v>
      </c>
      <c r="BS95" s="311">
        <f>IF($BI95&lt;&gt;"",IF('Capacity summary'!$D$14="Yes",IF(COUNTBLANK('Capacity summary'!$H214:$BG214)&lt;52,IF('Capacity summary'!P214&lt;&gt;"",IF(LOWER('Capacity summary'!P214)="x",$BI95*P95,VALUE('Capacity summary'!P214)),0),P95*$BI95),P95*$BI95),0)</f>
        <v>0</v>
      </c>
      <c r="BT95" s="311">
        <f>IF($BI95&lt;&gt;"",IF('Capacity summary'!$D$14="Yes",IF(COUNTBLANK('Capacity summary'!$H214:$BG214)&lt;52,IF('Capacity summary'!Q214&lt;&gt;"",IF(LOWER('Capacity summary'!Q214)="x",$BI95*Q95,VALUE('Capacity summary'!Q214)),0),Q95*$BI95),Q95*$BI95),0)</f>
        <v>0</v>
      </c>
      <c r="BU95" s="311">
        <f>IF($BI95&lt;&gt;"",IF('Capacity summary'!$D$14="Yes",IF(COUNTBLANK('Capacity summary'!$H214:$BG214)&lt;52,IF('Capacity summary'!R214&lt;&gt;"",IF(LOWER('Capacity summary'!R214)="x",$BI95*R95,VALUE('Capacity summary'!R214)),0),R95*$BI95),R95*$BI95),0)</f>
        <v>0</v>
      </c>
      <c r="BV95" s="311">
        <f>IF($BI95&lt;&gt;"",IF('Capacity summary'!$D$14="Yes",IF(COUNTBLANK('Capacity summary'!$H214:$BG214)&lt;52,IF('Capacity summary'!S214&lt;&gt;"",IF(LOWER('Capacity summary'!S214)="x",$BI95*S95,VALUE('Capacity summary'!S214)),0),S95*$BI95),S95*$BI95),0)</f>
        <v>0</v>
      </c>
      <c r="BW95" s="311">
        <f>IF($BI95&lt;&gt;"",IF('Capacity summary'!$D$14="Yes",IF(COUNTBLANK('Capacity summary'!$H214:$BG214)&lt;52,IF('Capacity summary'!T214&lt;&gt;"",IF(LOWER('Capacity summary'!T214)="x",$BI95*T95,VALUE('Capacity summary'!T214)),0),T95*$BI95),T95*$BI95),0)</f>
        <v>0</v>
      </c>
      <c r="BX95" s="311">
        <f>IF($BI95&lt;&gt;"",IF('Capacity summary'!$D$14="Yes",IF(COUNTBLANK('Capacity summary'!$H214:$BG214)&lt;52,IF('Capacity summary'!U214&lt;&gt;"",IF(LOWER('Capacity summary'!U214)="x",$BI95*U95,VALUE('Capacity summary'!U214)),0),U95*$BI95),U95*$BI95),0)</f>
        <v>0</v>
      </c>
      <c r="BY95" s="311">
        <f>IF($BI95&lt;&gt;"",IF('Capacity summary'!$D$14="Yes",IF(COUNTBLANK('Capacity summary'!$H214:$BG214)&lt;52,IF('Capacity summary'!V214&lt;&gt;"",IF(LOWER('Capacity summary'!V214)="x",$BI95*V95,VALUE('Capacity summary'!V214)),0),V95*$BI95),V95*$BI95),0)</f>
        <v>0</v>
      </c>
      <c r="BZ95" s="311">
        <f>IF($BI95&lt;&gt;"",IF('Capacity summary'!$D$14="Yes",IF(COUNTBLANK('Capacity summary'!$H214:$BG214)&lt;52,IF('Capacity summary'!W214&lt;&gt;"",IF(LOWER('Capacity summary'!W214)="x",$BI95*W95,VALUE('Capacity summary'!W214)),0),W95*$BI95),W95*$BI95),0)</f>
        <v>0</v>
      </c>
      <c r="CA95" s="311">
        <f>IF($BI95&lt;&gt;"",IF('Capacity summary'!$D$14="Yes",IF(COUNTBLANK('Capacity summary'!$H214:$BG214)&lt;52,IF('Capacity summary'!X214&lt;&gt;"",IF(LOWER('Capacity summary'!X214)="x",$BI95*X95,VALUE('Capacity summary'!X214)),0),X95*$BI95),X95*$BI95),0)</f>
        <v>0</v>
      </c>
      <c r="CB95" s="311">
        <f>IF($BI95&lt;&gt;"",IF('Capacity summary'!$D$14="Yes",IF(COUNTBLANK('Capacity summary'!$H214:$BG214)&lt;52,IF('Capacity summary'!Y214&lt;&gt;"",IF(LOWER('Capacity summary'!Y214)="x",$BI95*Y95,VALUE('Capacity summary'!Y214)),0),Y95*$BI95),Y95*$BI95),0)</f>
        <v>0</v>
      </c>
      <c r="CC95" s="311">
        <f>IF($BI95&lt;&gt;"",IF('Capacity summary'!$D$14="Yes",IF(COUNTBLANK('Capacity summary'!$H214:$BG214)&lt;52,IF('Capacity summary'!Z214&lt;&gt;"",IF(LOWER('Capacity summary'!Z214)="x",$BI95*Z95,VALUE('Capacity summary'!Z214)),0),Z95*$BI95),Z95*$BI95),0)</f>
        <v>0</v>
      </c>
      <c r="CD95" s="311">
        <f>IF($BI95&lt;&gt;"",IF('Capacity summary'!$D$14="Yes",IF(COUNTBLANK('Capacity summary'!$H214:$BG214)&lt;52,IF('Capacity summary'!AA214&lt;&gt;"",IF(LOWER('Capacity summary'!AA214)="x",$BI95*AA95,VALUE('Capacity summary'!AA214)),0),AA95*$BI95),AA95*$BI95),0)</f>
        <v>0</v>
      </c>
      <c r="CE95" s="311">
        <f>IF($BI95&lt;&gt;"",IF('Capacity summary'!$D$14="Yes",IF(COUNTBLANK('Capacity summary'!$H214:$BG214)&lt;52,IF('Capacity summary'!AB214&lt;&gt;"",IF(LOWER('Capacity summary'!AB214)="x",$BI95*AB95,VALUE('Capacity summary'!AB214)),0),AB95*$BI95),AB95*$BI95),0)</f>
        <v>0</v>
      </c>
      <c r="CF95" s="311">
        <f>IF($BI95&lt;&gt;"",IF('Capacity summary'!$D$14="Yes",IF(COUNTBLANK('Capacity summary'!$H214:$BG214)&lt;52,IF('Capacity summary'!AC214&lt;&gt;"",IF(LOWER('Capacity summary'!AC214)="x",$BI95*AC95,VALUE('Capacity summary'!AC214)),0),AC95*$BI95),AC95*$BI95),0)</f>
        <v>0</v>
      </c>
      <c r="CG95" s="311">
        <f>IF($BI95&lt;&gt;"",IF('Capacity summary'!$D$14="Yes",IF(COUNTBLANK('Capacity summary'!$H214:$BG214)&lt;52,IF('Capacity summary'!AD214&lt;&gt;"",IF(LOWER('Capacity summary'!AD214)="x",$BI95*AD95,VALUE('Capacity summary'!AD214)),0),AD95*$BI95),AD95*$BI95),0)</f>
        <v>0</v>
      </c>
      <c r="CH95" s="311">
        <f>IF($BI95&lt;&gt;"",IF('Capacity summary'!$D$14="Yes",IF(COUNTBLANK('Capacity summary'!$H214:$BG214)&lt;52,IF('Capacity summary'!AE214&lt;&gt;"",IF(LOWER('Capacity summary'!AE214)="x",$BI95*AE95,VALUE('Capacity summary'!AE214)),0),AE95*$BI95),AE95*$BI95),0)</f>
        <v>0</v>
      </c>
      <c r="CI95" s="311">
        <f>IF($BI95&lt;&gt;"",IF('Capacity summary'!$D$14="Yes",IF(COUNTBLANK('Capacity summary'!$H214:$BG214)&lt;52,IF('Capacity summary'!AF214&lt;&gt;"",IF(LOWER('Capacity summary'!AF214)="x",$BI95*AF95,VALUE('Capacity summary'!AF214)),0),AF95*$BI95),AF95*$BI95),0)</f>
        <v>0</v>
      </c>
      <c r="CJ95" s="311">
        <f>IF($BI95&lt;&gt;"",IF('Capacity summary'!$D$14="Yes",IF(COUNTBLANK('Capacity summary'!$H214:$BG214)&lt;52,IF('Capacity summary'!AG214&lt;&gt;"",IF(LOWER('Capacity summary'!AG214)="x",$BI95*AG95,VALUE('Capacity summary'!AG214)),0),AG95*$BI95),AG95*$BI95),0)</f>
        <v>0</v>
      </c>
      <c r="CK95" s="311">
        <f>IF($BI95&lt;&gt;"",IF('Capacity summary'!$D$14="Yes",IF(COUNTBLANK('Capacity summary'!$H214:$BG214)&lt;52,IF('Capacity summary'!AH214&lt;&gt;"",IF(LOWER('Capacity summary'!AH214)="x",$BI95*AH95,VALUE('Capacity summary'!AH214)),0),AH95*$BI95),AH95*$BI95),0)</f>
        <v>0</v>
      </c>
      <c r="CL95" s="311">
        <f>IF($BI95&lt;&gt;"",IF('Capacity summary'!$D$14="Yes",IF(COUNTBLANK('Capacity summary'!$H214:$BG214)&lt;52,IF('Capacity summary'!AI214&lt;&gt;"",IF(LOWER('Capacity summary'!AI214)="x",$BI95*AI95,VALUE('Capacity summary'!AI214)),0),AI95*$BI95),AI95*$BI95),0)</f>
        <v>0</v>
      </c>
      <c r="CM95" s="311">
        <f>IF($BI95&lt;&gt;"",IF('Capacity summary'!$D$14="Yes",IF(COUNTBLANK('Capacity summary'!$H214:$BG214)&lt;52,IF('Capacity summary'!AJ214&lt;&gt;"",IF(LOWER('Capacity summary'!AJ214)="x",$BI95*AJ95,VALUE('Capacity summary'!AJ214)),0),AJ95*$BI95),AJ95*$BI95),0)</f>
        <v>0</v>
      </c>
      <c r="CN95" s="311">
        <f>IF($BI95&lt;&gt;"",IF('Capacity summary'!$D$14="Yes",IF(COUNTBLANK('Capacity summary'!$H214:$BG214)&lt;52,IF('Capacity summary'!AK214&lt;&gt;"",IF(LOWER('Capacity summary'!AK214)="x",$BI95*AK95,VALUE('Capacity summary'!AK214)),0),AK95*$BI95),AK95*$BI95),0)</f>
        <v>0</v>
      </c>
      <c r="CO95" s="311">
        <f>IF($BI95&lt;&gt;"",IF('Capacity summary'!$D$14="Yes",IF(COUNTBLANK('Capacity summary'!$H214:$BG214)&lt;52,IF('Capacity summary'!AL214&lt;&gt;"",IF(LOWER('Capacity summary'!AL214)="x",$BI95*AL95,VALUE('Capacity summary'!AL214)),0),AL95*$BI95),AL95*$BI95),0)</f>
        <v>0</v>
      </c>
      <c r="CP95" s="311">
        <f>IF($BI95&lt;&gt;"",IF('Capacity summary'!$D$14="Yes",IF(COUNTBLANK('Capacity summary'!$H214:$BG214)&lt;52,IF('Capacity summary'!AM214&lt;&gt;"",IF(LOWER('Capacity summary'!AM214)="x",$BI95*AM95,VALUE('Capacity summary'!AM214)),0),AM95*$BI95),AM95*$BI95),0)</f>
        <v>0</v>
      </c>
      <c r="CQ95" s="311">
        <f>IF($BI95&lt;&gt;"",IF('Capacity summary'!$D$14="Yes",IF(COUNTBLANK('Capacity summary'!$H214:$BG214)&lt;52,IF('Capacity summary'!AN214&lt;&gt;"",IF(LOWER('Capacity summary'!AN214)="x",$BI95*AN95,VALUE('Capacity summary'!AN214)),0),AN95*$BI95),AN95*$BI95),0)</f>
        <v>0</v>
      </c>
      <c r="CR95" s="311">
        <f>IF($BI95&lt;&gt;"",IF('Capacity summary'!$D$14="Yes",IF(COUNTBLANK('Capacity summary'!$H214:$BG214)&lt;52,IF('Capacity summary'!AO214&lt;&gt;"",IF(LOWER('Capacity summary'!AO214)="x",$BI95*AO95,VALUE('Capacity summary'!AO214)),0),AO95*$BI95),AO95*$BI95),0)</f>
        <v>0</v>
      </c>
      <c r="CS95" s="311">
        <f>IF($BI95&lt;&gt;"",IF('Capacity summary'!$D$14="Yes",IF(COUNTBLANK('Capacity summary'!$H214:$BG214)&lt;52,IF('Capacity summary'!AP214&lt;&gt;"",IF(LOWER('Capacity summary'!AP214)="x",$BI95*AP95,VALUE('Capacity summary'!AP214)),0),AP95*$BI95),AP95*$BI95),0)</f>
        <v>0</v>
      </c>
      <c r="CT95" s="311">
        <f>IF($BI95&lt;&gt;"",IF('Capacity summary'!$D$14="Yes",IF(COUNTBLANK('Capacity summary'!$H214:$BG214)&lt;52,IF('Capacity summary'!AQ214&lt;&gt;"",IF(LOWER('Capacity summary'!AQ214)="x",$BI95*AQ95,VALUE('Capacity summary'!AQ214)),0),AQ95*$BI95),AQ95*$BI95),0)</f>
        <v>0</v>
      </c>
      <c r="CU95" s="311">
        <f>IF($BI95&lt;&gt;"",IF('Capacity summary'!$D$14="Yes",IF(COUNTBLANK('Capacity summary'!$H214:$BG214)&lt;52,IF('Capacity summary'!AR214&lt;&gt;"",IF(LOWER('Capacity summary'!AR214)="x",$BI95*AR95,VALUE('Capacity summary'!AR214)),0),AR95*$BI95),AR95*$BI95),0)</f>
        <v>0</v>
      </c>
      <c r="CV95" s="311">
        <f>IF($BI95&lt;&gt;"",IF('Capacity summary'!$D$14="Yes",IF(COUNTBLANK('Capacity summary'!$H214:$BG214)&lt;52,IF('Capacity summary'!AS214&lt;&gt;"",IF(LOWER('Capacity summary'!AS214)="x",$BI95*AS95,VALUE('Capacity summary'!AS214)),0),AS95*$BI95),AS95*$BI95),0)</f>
        <v>0</v>
      </c>
      <c r="CW95" s="311">
        <f>IF($BI95&lt;&gt;"",IF('Capacity summary'!$D$14="Yes",IF(COUNTBLANK('Capacity summary'!$H214:$BG214)&lt;52,IF('Capacity summary'!AT214&lt;&gt;"",IF(LOWER('Capacity summary'!AT214)="x",$BI95*AT95,VALUE('Capacity summary'!AT214)),0),AT95*$BI95),AT95*$BI95),0)</f>
        <v>0</v>
      </c>
      <c r="CX95" s="311">
        <f>IF($BI95&lt;&gt;"",IF('Capacity summary'!$D$14="Yes",IF(COUNTBLANK('Capacity summary'!$H214:$BG214)&lt;52,IF('Capacity summary'!AU214&lt;&gt;"",IF(LOWER('Capacity summary'!AU214)="x",$BI95*AU95,VALUE('Capacity summary'!AU214)),0),AU95*$BI95),AU95*$BI95),0)</f>
        <v>0</v>
      </c>
      <c r="CY95" s="311">
        <f>IF($BI95&lt;&gt;"",IF('Capacity summary'!$D$14="Yes",IF(COUNTBLANK('Capacity summary'!$H214:$BG214)&lt;52,IF('Capacity summary'!AV214&lt;&gt;"",IF(LOWER('Capacity summary'!AV214)="x",$BI95*AV95,VALUE('Capacity summary'!AV214)),0),AV95*$BI95),AV95*$BI95),0)</f>
        <v>0</v>
      </c>
      <c r="CZ95" s="311">
        <f>IF($BI95&lt;&gt;"",IF('Capacity summary'!$D$14="Yes",IF(COUNTBLANK('Capacity summary'!$H214:$BG214)&lt;52,IF('Capacity summary'!AW214&lt;&gt;"",IF(LOWER('Capacity summary'!AW214)="x",$BI95*AW95,VALUE('Capacity summary'!AW214)),0),AW95*$BI95),AW95*$BI95),0)</f>
        <v>0</v>
      </c>
      <c r="DA95" s="311">
        <f>IF($BI95&lt;&gt;"",IF('Capacity summary'!$D$14="Yes",IF(COUNTBLANK('Capacity summary'!$H214:$BG214)&lt;52,IF('Capacity summary'!AX214&lt;&gt;"",IF(LOWER('Capacity summary'!AX214)="x",$BI95*AX95,VALUE('Capacity summary'!AX214)),0),AX95*$BI95),AX95*$BI95),0)</f>
        <v>0</v>
      </c>
      <c r="DB95" s="311">
        <f>IF($BI95&lt;&gt;"",IF('Capacity summary'!$D$14="Yes",IF(COUNTBLANK('Capacity summary'!$H214:$BG214)&lt;52,IF('Capacity summary'!AY214&lt;&gt;"",IF(LOWER('Capacity summary'!AY214)="x",$BI95*AY95,VALUE('Capacity summary'!AY214)),0),AY95*$BI95),AY95*$BI95),0)</f>
        <v>0</v>
      </c>
      <c r="DC95" s="311">
        <f>IF($BI95&lt;&gt;"",IF('Capacity summary'!$D$14="Yes",IF(COUNTBLANK('Capacity summary'!$H214:$BG214)&lt;52,IF('Capacity summary'!AZ214&lt;&gt;"",IF(LOWER('Capacity summary'!AZ214)="x",$BI95*AZ95,VALUE('Capacity summary'!AZ214)),0),AZ95*$BI95),AZ95*$BI95),0)</f>
        <v>0</v>
      </c>
      <c r="DD95" s="311">
        <f>IF($BI95&lt;&gt;"",IF('Capacity summary'!$D$14="Yes",IF(COUNTBLANK('Capacity summary'!$H214:$BG214)&lt;52,IF('Capacity summary'!BA214&lt;&gt;"",IF(LOWER('Capacity summary'!BA214)="x",$BI95*BA95,VALUE('Capacity summary'!BA214)),0),BA95*$BI95),BA95*$BI95),0)</f>
        <v>0</v>
      </c>
      <c r="DE95" s="311">
        <f>IF($BI95&lt;&gt;"",IF('Capacity summary'!$D$14="Yes",IF(COUNTBLANK('Capacity summary'!$H214:$BG214)&lt;52,IF('Capacity summary'!BB214&lt;&gt;"",IF(LOWER('Capacity summary'!BB214)="x",$BI95*BB95,VALUE('Capacity summary'!BB214)),0),BB95*$BI95),BB95*$BI95),0)</f>
        <v>0</v>
      </c>
      <c r="DF95" s="311">
        <f>IF($BI95&lt;&gt;"",IF('Capacity summary'!$D$14="Yes",IF(COUNTBLANK('Capacity summary'!$H214:$BG214)&lt;52,IF('Capacity summary'!BC214&lt;&gt;"",IF(LOWER('Capacity summary'!BC214)="x",$BI95*BC95,VALUE('Capacity summary'!BC214)),0),BC95*$BI95),BC95*$BI95),0)</f>
        <v>0</v>
      </c>
      <c r="DG95" s="311">
        <f>IF($BI95&lt;&gt;"",IF('Capacity summary'!$D$14="Yes",IF(COUNTBLANK('Capacity summary'!$H214:$BG214)&lt;52,IF('Capacity summary'!BD214&lt;&gt;"",IF(LOWER('Capacity summary'!BD214)="x",$BI95*BD95,VALUE('Capacity summary'!BD214)),0),BD95*$BI95),BD95*$BI95),0)</f>
        <v>0</v>
      </c>
      <c r="DH95" s="311">
        <f>IF($BI95&lt;&gt;"",IF('Capacity summary'!$D$14="Yes",IF(COUNTBLANK('Capacity summary'!$H214:$BG214)&lt;52,IF('Capacity summary'!BE214&lt;&gt;"",IF(LOWER('Capacity summary'!BE214)="x",$BI95*BE95,VALUE('Capacity summary'!BE214)),0),BE95*$BI95),BE95*$BI95),0)</f>
        <v>0</v>
      </c>
      <c r="DI95" s="311">
        <f>IF($BI95&lt;&gt;"",IF('Capacity summary'!$D$14="Yes",IF(COUNTBLANK('Capacity summary'!$H214:$BG214)&lt;52,IF('Capacity summary'!BF214&lt;&gt;"",IF(LOWER('Capacity summary'!BF214)="x",$BI95*BF95,VALUE('Capacity summary'!BF214)),0),BF95*$BI95),BF95*$BI95),0)</f>
        <v>0</v>
      </c>
      <c r="DJ95" s="311">
        <f>IF($BI95&lt;&gt;"",IF('Capacity summary'!$D$14="Yes",IF(COUNTBLANK('Capacity summary'!$H214:$BG214)&lt;52,IF('Capacity summary'!BG214&lt;&gt;"",IF(LOWER('Capacity summary'!BG214)="x",$BI95*BG95,VALUE('Capacity summary'!BG214)),0),BG95*$BI95),BG95*$BI95),0)</f>
        <v>0</v>
      </c>
      <c r="DK95" s="391">
        <f t="shared" si="4"/>
        <v>0</v>
      </c>
      <c r="DL95" s="136">
        <f t="shared" si="5"/>
        <v>0</v>
      </c>
      <c r="DM95" s="311" t="str">
        <f>Capacity!H107</f>
        <v/>
      </c>
    </row>
    <row r="96" spans="1:117" x14ac:dyDescent="0.2">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1">
        <f>IF($BI96&lt;&gt;"",IF('Capacity summary'!$D$14="Yes",IF(COUNTBLANK('Capacity summary'!$H215:$BG215)&lt;52,IF('Capacity summary'!H215&lt;&gt;"",IF(LOWER('Capacity summary'!H215)="x",$BI96*H96,VALUE('Capacity summary'!H215)),0),H96*$BI96),H96*$BI96),0)</f>
        <v>0</v>
      </c>
      <c r="BL96" s="311">
        <f>IF($BI96&lt;&gt;"",IF('Capacity summary'!$D$14="Yes",IF(COUNTBLANK('Capacity summary'!$H215:$BG215)&lt;52,IF('Capacity summary'!I215&lt;&gt;"",IF(LOWER('Capacity summary'!I215)="x",$BI96*I96,VALUE('Capacity summary'!I215)),0),I96*$BI96),I96*$BI96),0)</f>
        <v>0</v>
      </c>
      <c r="BM96" s="311">
        <f>IF($BI96&lt;&gt;"",IF('Capacity summary'!$D$14="Yes",IF(COUNTBLANK('Capacity summary'!$H215:$BG215)&lt;52,IF('Capacity summary'!J215&lt;&gt;"",IF(LOWER('Capacity summary'!J215)="x",$BI96*J96,VALUE('Capacity summary'!J215)),0),J96*$BI96),J96*$BI96),0)</f>
        <v>0</v>
      </c>
      <c r="BN96" s="311">
        <f>IF($BI96&lt;&gt;"",IF('Capacity summary'!$D$14="Yes",IF(COUNTBLANK('Capacity summary'!$H215:$BG215)&lt;52,IF('Capacity summary'!K215&lt;&gt;"",IF(LOWER('Capacity summary'!K215)="x",$BI96*K96,VALUE('Capacity summary'!K215)),0),K96*$BI96),K96*$BI96),0)</f>
        <v>0</v>
      </c>
      <c r="BO96" s="311">
        <f>IF($BI96&lt;&gt;"",IF('Capacity summary'!$D$14="Yes",IF(COUNTBLANK('Capacity summary'!$H215:$BG215)&lt;52,IF('Capacity summary'!L215&lt;&gt;"",IF(LOWER('Capacity summary'!L215)="x",$BI96*L96,VALUE('Capacity summary'!L215)),0),L96*$BI96),L96*$BI96),0)</f>
        <v>0</v>
      </c>
      <c r="BP96" s="311">
        <f>IF($BI96&lt;&gt;"",IF('Capacity summary'!$D$14="Yes",IF(COUNTBLANK('Capacity summary'!$H215:$BG215)&lt;52,IF('Capacity summary'!M215&lt;&gt;"",IF(LOWER('Capacity summary'!M215)="x",$BI96*M96,VALUE('Capacity summary'!M215)),0),M96*$BI96),M96*$BI96),0)</f>
        <v>0</v>
      </c>
      <c r="BQ96" s="311">
        <f>IF($BI96&lt;&gt;"",IF('Capacity summary'!$D$14="Yes",IF(COUNTBLANK('Capacity summary'!$H215:$BG215)&lt;52,IF('Capacity summary'!N215&lt;&gt;"",IF(LOWER('Capacity summary'!N215)="x",$BI96*N96,VALUE('Capacity summary'!N215)),0),N96*$BI96),N96*$BI96),0)</f>
        <v>0</v>
      </c>
      <c r="BR96" s="311">
        <f>IF($BI96&lt;&gt;"",IF('Capacity summary'!$D$14="Yes",IF(COUNTBLANK('Capacity summary'!$H215:$BG215)&lt;52,IF('Capacity summary'!O215&lt;&gt;"",IF(LOWER('Capacity summary'!O215)="x",$BI96*O96,VALUE('Capacity summary'!O215)),0),O96*$BI96),O96*$BI96),0)</f>
        <v>0</v>
      </c>
      <c r="BS96" s="311">
        <f>IF($BI96&lt;&gt;"",IF('Capacity summary'!$D$14="Yes",IF(COUNTBLANK('Capacity summary'!$H215:$BG215)&lt;52,IF('Capacity summary'!P215&lt;&gt;"",IF(LOWER('Capacity summary'!P215)="x",$BI96*P96,VALUE('Capacity summary'!P215)),0),P96*$BI96),P96*$BI96),0)</f>
        <v>0</v>
      </c>
      <c r="BT96" s="311">
        <f>IF($BI96&lt;&gt;"",IF('Capacity summary'!$D$14="Yes",IF(COUNTBLANK('Capacity summary'!$H215:$BG215)&lt;52,IF('Capacity summary'!Q215&lt;&gt;"",IF(LOWER('Capacity summary'!Q215)="x",$BI96*Q96,VALUE('Capacity summary'!Q215)),0),Q96*$BI96),Q96*$BI96),0)</f>
        <v>0</v>
      </c>
      <c r="BU96" s="311">
        <f>IF($BI96&lt;&gt;"",IF('Capacity summary'!$D$14="Yes",IF(COUNTBLANK('Capacity summary'!$H215:$BG215)&lt;52,IF('Capacity summary'!R215&lt;&gt;"",IF(LOWER('Capacity summary'!R215)="x",$BI96*R96,VALUE('Capacity summary'!R215)),0),R96*$BI96),R96*$BI96),0)</f>
        <v>0</v>
      </c>
      <c r="BV96" s="311">
        <f>IF($BI96&lt;&gt;"",IF('Capacity summary'!$D$14="Yes",IF(COUNTBLANK('Capacity summary'!$H215:$BG215)&lt;52,IF('Capacity summary'!S215&lt;&gt;"",IF(LOWER('Capacity summary'!S215)="x",$BI96*S96,VALUE('Capacity summary'!S215)),0),S96*$BI96),S96*$BI96),0)</f>
        <v>0</v>
      </c>
      <c r="BW96" s="311">
        <f>IF($BI96&lt;&gt;"",IF('Capacity summary'!$D$14="Yes",IF(COUNTBLANK('Capacity summary'!$H215:$BG215)&lt;52,IF('Capacity summary'!T215&lt;&gt;"",IF(LOWER('Capacity summary'!T215)="x",$BI96*T96,VALUE('Capacity summary'!T215)),0),T96*$BI96),T96*$BI96),0)</f>
        <v>0</v>
      </c>
      <c r="BX96" s="311">
        <f>IF($BI96&lt;&gt;"",IF('Capacity summary'!$D$14="Yes",IF(COUNTBLANK('Capacity summary'!$H215:$BG215)&lt;52,IF('Capacity summary'!U215&lt;&gt;"",IF(LOWER('Capacity summary'!U215)="x",$BI96*U96,VALUE('Capacity summary'!U215)),0),U96*$BI96),U96*$BI96),0)</f>
        <v>0</v>
      </c>
      <c r="BY96" s="311">
        <f>IF($BI96&lt;&gt;"",IF('Capacity summary'!$D$14="Yes",IF(COUNTBLANK('Capacity summary'!$H215:$BG215)&lt;52,IF('Capacity summary'!V215&lt;&gt;"",IF(LOWER('Capacity summary'!V215)="x",$BI96*V96,VALUE('Capacity summary'!V215)),0),V96*$BI96),V96*$BI96),0)</f>
        <v>0</v>
      </c>
      <c r="BZ96" s="311">
        <f>IF($BI96&lt;&gt;"",IF('Capacity summary'!$D$14="Yes",IF(COUNTBLANK('Capacity summary'!$H215:$BG215)&lt;52,IF('Capacity summary'!W215&lt;&gt;"",IF(LOWER('Capacity summary'!W215)="x",$BI96*W96,VALUE('Capacity summary'!W215)),0),W96*$BI96),W96*$BI96),0)</f>
        <v>0</v>
      </c>
      <c r="CA96" s="311">
        <f>IF($BI96&lt;&gt;"",IF('Capacity summary'!$D$14="Yes",IF(COUNTBLANK('Capacity summary'!$H215:$BG215)&lt;52,IF('Capacity summary'!X215&lt;&gt;"",IF(LOWER('Capacity summary'!X215)="x",$BI96*X96,VALUE('Capacity summary'!X215)),0),X96*$BI96),X96*$BI96),0)</f>
        <v>0</v>
      </c>
      <c r="CB96" s="311">
        <f>IF($BI96&lt;&gt;"",IF('Capacity summary'!$D$14="Yes",IF(COUNTBLANK('Capacity summary'!$H215:$BG215)&lt;52,IF('Capacity summary'!Y215&lt;&gt;"",IF(LOWER('Capacity summary'!Y215)="x",$BI96*Y96,VALUE('Capacity summary'!Y215)),0),Y96*$BI96),Y96*$BI96),0)</f>
        <v>0</v>
      </c>
      <c r="CC96" s="311">
        <f>IF($BI96&lt;&gt;"",IF('Capacity summary'!$D$14="Yes",IF(COUNTBLANK('Capacity summary'!$H215:$BG215)&lt;52,IF('Capacity summary'!Z215&lt;&gt;"",IF(LOWER('Capacity summary'!Z215)="x",$BI96*Z96,VALUE('Capacity summary'!Z215)),0),Z96*$BI96),Z96*$BI96),0)</f>
        <v>0</v>
      </c>
      <c r="CD96" s="311">
        <f>IF($BI96&lt;&gt;"",IF('Capacity summary'!$D$14="Yes",IF(COUNTBLANK('Capacity summary'!$H215:$BG215)&lt;52,IF('Capacity summary'!AA215&lt;&gt;"",IF(LOWER('Capacity summary'!AA215)="x",$BI96*AA96,VALUE('Capacity summary'!AA215)),0),AA96*$BI96),AA96*$BI96),0)</f>
        <v>0</v>
      </c>
      <c r="CE96" s="311">
        <f>IF($BI96&lt;&gt;"",IF('Capacity summary'!$D$14="Yes",IF(COUNTBLANK('Capacity summary'!$H215:$BG215)&lt;52,IF('Capacity summary'!AB215&lt;&gt;"",IF(LOWER('Capacity summary'!AB215)="x",$BI96*AB96,VALUE('Capacity summary'!AB215)),0),AB96*$BI96),AB96*$BI96),0)</f>
        <v>0</v>
      </c>
      <c r="CF96" s="311">
        <f>IF($BI96&lt;&gt;"",IF('Capacity summary'!$D$14="Yes",IF(COUNTBLANK('Capacity summary'!$H215:$BG215)&lt;52,IF('Capacity summary'!AC215&lt;&gt;"",IF(LOWER('Capacity summary'!AC215)="x",$BI96*AC96,VALUE('Capacity summary'!AC215)),0),AC96*$BI96),AC96*$BI96),0)</f>
        <v>0</v>
      </c>
      <c r="CG96" s="311">
        <f>IF($BI96&lt;&gt;"",IF('Capacity summary'!$D$14="Yes",IF(COUNTBLANK('Capacity summary'!$H215:$BG215)&lt;52,IF('Capacity summary'!AD215&lt;&gt;"",IF(LOWER('Capacity summary'!AD215)="x",$BI96*AD96,VALUE('Capacity summary'!AD215)),0),AD96*$BI96),AD96*$BI96),0)</f>
        <v>0</v>
      </c>
      <c r="CH96" s="311">
        <f>IF($BI96&lt;&gt;"",IF('Capacity summary'!$D$14="Yes",IF(COUNTBLANK('Capacity summary'!$H215:$BG215)&lt;52,IF('Capacity summary'!AE215&lt;&gt;"",IF(LOWER('Capacity summary'!AE215)="x",$BI96*AE96,VALUE('Capacity summary'!AE215)),0),AE96*$BI96),AE96*$BI96),0)</f>
        <v>0</v>
      </c>
      <c r="CI96" s="311">
        <f>IF($BI96&lt;&gt;"",IF('Capacity summary'!$D$14="Yes",IF(COUNTBLANK('Capacity summary'!$H215:$BG215)&lt;52,IF('Capacity summary'!AF215&lt;&gt;"",IF(LOWER('Capacity summary'!AF215)="x",$BI96*AF96,VALUE('Capacity summary'!AF215)),0),AF96*$BI96),AF96*$BI96),0)</f>
        <v>0</v>
      </c>
      <c r="CJ96" s="311">
        <f>IF($BI96&lt;&gt;"",IF('Capacity summary'!$D$14="Yes",IF(COUNTBLANK('Capacity summary'!$H215:$BG215)&lt;52,IF('Capacity summary'!AG215&lt;&gt;"",IF(LOWER('Capacity summary'!AG215)="x",$BI96*AG96,VALUE('Capacity summary'!AG215)),0),AG96*$BI96),AG96*$BI96),0)</f>
        <v>0</v>
      </c>
      <c r="CK96" s="311">
        <f>IF($BI96&lt;&gt;"",IF('Capacity summary'!$D$14="Yes",IF(COUNTBLANK('Capacity summary'!$H215:$BG215)&lt;52,IF('Capacity summary'!AH215&lt;&gt;"",IF(LOWER('Capacity summary'!AH215)="x",$BI96*AH96,VALUE('Capacity summary'!AH215)),0),AH96*$BI96),AH96*$BI96),0)</f>
        <v>0</v>
      </c>
      <c r="CL96" s="311">
        <f>IF($BI96&lt;&gt;"",IF('Capacity summary'!$D$14="Yes",IF(COUNTBLANK('Capacity summary'!$H215:$BG215)&lt;52,IF('Capacity summary'!AI215&lt;&gt;"",IF(LOWER('Capacity summary'!AI215)="x",$BI96*AI96,VALUE('Capacity summary'!AI215)),0),AI96*$BI96),AI96*$BI96),0)</f>
        <v>0</v>
      </c>
      <c r="CM96" s="311">
        <f>IF($BI96&lt;&gt;"",IF('Capacity summary'!$D$14="Yes",IF(COUNTBLANK('Capacity summary'!$H215:$BG215)&lt;52,IF('Capacity summary'!AJ215&lt;&gt;"",IF(LOWER('Capacity summary'!AJ215)="x",$BI96*AJ96,VALUE('Capacity summary'!AJ215)),0),AJ96*$BI96),AJ96*$BI96),0)</f>
        <v>0</v>
      </c>
      <c r="CN96" s="311">
        <f>IF($BI96&lt;&gt;"",IF('Capacity summary'!$D$14="Yes",IF(COUNTBLANK('Capacity summary'!$H215:$BG215)&lt;52,IF('Capacity summary'!AK215&lt;&gt;"",IF(LOWER('Capacity summary'!AK215)="x",$BI96*AK96,VALUE('Capacity summary'!AK215)),0),AK96*$BI96),AK96*$BI96),0)</f>
        <v>0</v>
      </c>
      <c r="CO96" s="311">
        <f>IF($BI96&lt;&gt;"",IF('Capacity summary'!$D$14="Yes",IF(COUNTBLANK('Capacity summary'!$H215:$BG215)&lt;52,IF('Capacity summary'!AL215&lt;&gt;"",IF(LOWER('Capacity summary'!AL215)="x",$BI96*AL96,VALUE('Capacity summary'!AL215)),0),AL96*$BI96),AL96*$BI96),0)</f>
        <v>0</v>
      </c>
      <c r="CP96" s="311">
        <f>IF($BI96&lt;&gt;"",IF('Capacity summary'!$D$14="Yes",IF(COUNTBLANK('Capacity summary'!$H215:$BG215)&lt;52,IF('Capacity summary'!AM215&lt;&gt;"",IF(LOWER('Capacity summary'!AM215)="x",$BI96*AM96,VALUE('Capacity summary'!AM215)),0),AM96*$BI96),AM96*$BI96),0)</f>
        <v>0</v>
      </c>
      <c r="CQ96" s="311">
        <f>IF($BI96&lt;&gt;"",IF('Capacity summary'!$D$14="Yes",IF(COUNTBLANK('Capacity summary'!$H215:$BG215)&lt;52,IF('Capacity summary'!AN215&lt;&gt;"",IF(LOWER('Capacity summary'!AN215)="x",$BI96*AN96,VALUE('Capacity summary'!AN215)),0),AN96*$BI96),AN96*$BI96),0)</f>
        <v>0</v>
      </c>
      <c r="CR96" s="311">
        <f>IF($BI96&lt;&gt;"",IF('Capacity summary'!$D$14="Yes",IF(COUNTBLANK('Capacity summary'!$H215:$BG215)&lt;52,IF('Capacity summary'!AO215&lt;&gt;"",IF(LOWER('Capacity summary'!AO215)="x",$BI96*AO96,VALUE('Capacity summary'!AO215)),0),AO96*$BI96),AO96*$BI96),0)</f>
        <v>0</v>
      </c>
      <c r="CS96" s="311">
        <f>IF($BI96&lt;&gt;"",IF('Capacity summary'!$D$14="Yes",IF(COUNTBLANK('Capacity summary'!$H215:$BG215)&lt;52,IF('Capacity summary'!AP215&lt;&gt;"",IF(LOWER('Capacity summary'!AP215)="x",$BI96*AP96,VALUE('Capacity summary'!AP215)),0),AP96*$BI96),AP96*$BI96),0)</f>
        <v>0</v>
      </c>
      <c r="CT96" s="311">
        <f>IF($BI96&lt;&gt;"",IF('Capacity summary'!$D$14="Yes",IF(COUNTBLANK('Capacity summary'!$H215:$BG215)&lt;52,IF('Capacity summary'!AQ215&lt;&gt;"",IF(LOWER('Capacity summary'!AQ215)="x",$BI96*AQ96,VALUE('Capacity summary'!AQ215)),0),AQ96*$BI96),AQ96*$BI96),0)</f>
        <v>0</v>
      </c>
      <c r="CU96" s="311">
        <f>IF($BI96&lt;&gt;"",IF('Capacity summary'!$D$14="Yes",IF(COUNTBLANK('Capacity summary'!$H215:$BG215)&lt;52,IF('Capacity summary'!AR215&lt;&gt;"",IF(LOWER('Capacity summary'!AR215)="x",$BI96*AR96,VALUE('Capacity summary'!AR215)),0),AR96*$BI96),AR96*$BI96),0)</f>
        <v>0</v>
      </c>
      <c r="CV96" s="311">
        <f>IF($BI96&lt;&gt;"",IF('Capacity summary'!$D$14="Yes",IF(COUNTBLANK('Capacity summary'!$H215:$BG215)&lt;52,IF('Capacity summary'!AS215&lt;&gt;"",IF(LOWER('Capacity summary'!AS215)="x",$BI96*AS96,VALUE('Capacity summary'!AS215)),0),AS96*$BI96),AS96*$BI96),0)</f>
        <v>0</v>
      </c>
      <c r="CW96" s="311">
        <f>IF($BI96&lt;&gt;"",IF('Capacity summary'!$D$14="Yes",IF(COUNTBLANK('Capacity summary'!$H215:$BG215)&lt;52,IF('Capacity summary'!AT215&lt;&gt;"",IF(LOWER('Capacity summary'!AT215)="x",$BI96*AT96,VALUE('Capacity summary'!AT215)),0),AT96*$BI96),AT96*$BI96),0)</f>
        <v>0</v>
      </c>
      <c r="CX96" s="311">
        <f>IF($BI96&lt;&gt;"",IF('Capacity summary'!$D$14="Yes",IF(COUNTBLANK('Capacity summary'!$H215:$BG215)&lt;52,IF('Capacity summary'!AU215&lt;&gt;"",IF(LOWER('Capacity summary'!AU215)="x",$BI96*AU96,VALUE('Capacity summary'!AU215)),0),AU96*$BI96),AU96*$BI96),0)</f>
        <v>0</v>
      </c>
      <c r="CY96" s="311">
        <f>IF($BI96&lt;&gt;"",IF('Capacity summary'!$D$14="Yes",IF(COUNTBLANK('Capacity summary'!$H215:$BG215)&lt;52,IF('Capacity summary'!AV215&lt;&gt;"",IF(LOWER('Capacity summary'!AV215)="x",$BI96*AV96,VALUE('Capacity summary'!AV215)),0),AV96*$BI96),AV96*$BI96),0)</f>
        <v>0</v>
      </c>
      <c r="CZ96" s="311">
        <f>IF($BI96&lt;&gt;"",IF('Capacity summary'!$D$14="Yes",IF(COUNTBLANK('Capacity summary'!$H215:$BG215)&lt;52,IF('Capacity summary'!AW215&lt;&gt;"",IF(LOWER('Capacity summary'!AW215)="x",$BI96*AW96,VALUE('Capacity summary'!AW215)),0),AW96*$BI96),AW96*$BI96),0)</f>
        <v>0</v>
      </c>
      <c r="DA96" s="311">
        <f>IF($BI96&lt;&gt;"",IF('Capacity summary'!$D$14="Yes",IF(COUNTBLANK('Capacity summary'!$H215:$BG215)&lt;52,IF('Capacity summary'!AX215&lt;&gt;"",IF(LOWER('Capacity summary'!AX215)="x",$BI96*AX96,VALUE('Capacity summary'!AX215)),0),AX96*$BI96),AX96*$BI96),0)</f>
        <v>0</v>
      </c>
      <c r="DB96" s="311">
        <f>IF($BI96&lt;&gt;"",IF('Capacity summary'!$D$14="Yes",IF(COUNTBLANK('Capacity summary'!$H215:$BG215)&lt;52,IF('Capacity summary'!AY215&lt;&gt;"",IF(LOWER('Capacity summary'!AY215)="x",$BI96*AY96,VALUE('Capacity summary'!AY215)),0),AY96*$BI96),AY96*$BI96),0)</f>
        <v>0</v>
      </c>
      <c r="DC96" s="311">
        <f>IF($BI96&lt;&gt;"",IF('Capacity summary'!$D$14="Yes",IF(COUNTBLANK('Capacity summary'!$H215:$BG215)&lt;52,IF('Capacity summary'!AZ215&lt;&gt;"",IF(LOWER('Capacity summary'!AZ215)="x",$BI96*AZ96,VALUE('Capacity summary'!AZ215)),0),AZ96*$BI96),AZ96*$BI96),0)</f>
        <v>0</v>
      </c>
      <c r="DD96" s="311">
        <f>IF($BI96&lt;&gt;"",IF('Capacity summary'!$D$14="Yes",IF(COUNTBLANK('Capacity summary'!$H215:$BG215)&lt;52,IF('Capacity summary'!BA215&lt;&gt;"",IF(LOWER('Capacity summary'!BA215)="x",$BI96*BA96,VALUE('Capacity summary'!BA215)),0),BA96*$BI96),BA96*$BI96),0)</f>
        <v>0</v>
      </c>
      <c r="DE96" s="311">
        <f>IF($BI96&lt;&gt;"",IF('Capacity summary'!$D$14="Yes",IF(COUNTBLANK('Capacity summary'!$H215:$BG215)&lt;52,IF('Capacity summary'!BB215&lt;&gt;"",IF(LOWER('Capacity summary'!BB215)="x",$BI96*BB96,VALUE('Capacity summary'!BB215)),0),BB96*$BI96),BB96*$BI96),0)</f>
        <v>0</v>
      </c>
      <c r="DF96" s="311">
        <f>IF($BI96&lt;&gt;"",IF('Capacity summary'!$D$14="Yes",IF(COUNTBLANK('Capacity summary'!$H215:$BG215)&lt;52,IF('Capacity summary'!BC215&lt;&gt;"",IF(LOWER('Capacity summary'!BC215)="x",$BI96*BC96,VALUE('Capacity summary'!BC215)),0),BC96*$BI96),BC96*$BI96),0)</f>
        <v>0</v>
      </c>
      <c r="DG96" s="311">
        <f>IF($BI96&lt;&gt;"",IF('Capacity summary'!$D$14="Yes",IF(COUNTBLANK('Capacity summary'!$H215:$BG215)&lt;52,IF('Capacity summary'!BD215&lt;&gt;"",IF(LOWER('Capacity summary'!BD215)="x",$BI96*BD96,VALUE('Capacity summary'!BD215)),0),BD96*$BI96),BD96*$BI96),0)</f>
        <v>0</v>
      </c>
      <c r="DH96" s="311">
        <f>IF($BI96&lt;&gt;"",IF('Capacity summary'!$D$14="Yes",IF(COUNTBLANK('Capacity summary'!$H215:$BG215)&lt;52,IF('Capacity summary'!BE215&lt;&gt;"",IF(LOWER('Capacity summary'!BE215)="x",$BI96*BE96,VALUE('Capacity summary'!BE215)),0),BE96*$BI96),BE96*$BI96),0)</f>
        <v>0</v>
      </c>
      <c r="DI96" s="311">
        <f>IF($BI96&lt;&gt;"",IF('Capacity summary'!$D$14="Yes",IF(COUNTBLANK('Capacity summary'!$H215:$BG215)&lt;52,IF('Capacity summary'!BF215&lt;&gt;"",IF(LOWER('Capacity summary'!BF215)="x",$BI96*BF96,VALUE('Capacity summary'!BF215)),0),BF96*$BI96),BF96*$BI96),0)</f>
        <v>0</v>
      </c>
      <c r="DJ96" s="311">
        <f>IF($BI96&lt;&gt;"",IF('Capacity summary'!$D$14="Yes",IF(COUNTBLANK('Capacity summary'!$H215:$BG215)&lt;52,IF('Capacity summary'!BG215&lt;&gt;"",IF(LOWER('Capacity summary'!BG215)="x",$BI96*BG96,VALUE('Capacity summary'!BG215)),0),BG96*$BI96),BG96*$BI96),0)</f>
        <v>0</v>
      </c>
      <c r="DK96" s="391">
        <f t="shared" si="4"/>
        <v>0</v>
      </c>
      <c r="DL96" s="136">
        <f t="shared" si="5"/>
        <v>0</v>
      </c>
      <c r="DM96" s="311" t="str">
        <f>Capacity!H108</f>
        <v/>
      </c>
    </row>
    <row r="97" spans="1:117" x14ac:dyDescent="0.2">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1">
        <f>IF($BI97&lt;&gt;"",IF('Capacity summary'!$D$14="Yes",IF(COUNTBLANK('Capacity summary'!$H216:$BG216)&lt;52,IF('Capacity summary'!H216&lt;&gt;"",IF(LOWER('Capacity summary'!H216)="x",$BI97*H97,VALUE('Capacity summary'!H216)),0),H97*$BI97),H97*$BI97),0)</f>
        <v>0</v>
      </c>
      <c r="BL97" s="311">
        <f>IF($BI97&lt;&gt;"",IF('Capacity summary'!$D$14="Yes",IF(COUNTBLANK('Capacity summary'!$H216:$BG216)&lt;52,IF('Capacity summary'!I216&lt;&gt;"",IF(LOWER('Capacity summary'!I216)="x",$BI97*I97,VALUE('Capacity summary'!I216)),0),I97*$BI97),I97*$BI97),0)</f>
        <v>0</v>
      </c>
      <c r="BM97" s="311">
        <f>IF($BI97&lt;&gt;"",IF('Capacity summary'!$D$14="Yes",IF(COUNTBLANK('Capacity summary'!$H216:$BG216)&lt;52,IF('Capacity summary'!J216&lt;&gt;"",IF(LOWER('Capacity summary'!J216)="x",$BI97*J97,VALUE('Capacity summary'!J216)),0),J97*$BI97),J97*$BI97),0)</f>
        <v>0</v>
      </c>
      <c r="BN97" s="311">
        <f>IF($BI97&lt;&gt;"",IF('Capacity summary'!$D$14="Yes",IF(COUNTBLANK('Capacity summary'!$H216:$BG216)&lt;52,IF('Capacity summary'!K216&lt;&gt;"",IF(LOWER('Capacity summary'!K216)="x",$BI97*K97,VALUE('Capacity summary'!K216)),0),K97*$BI97),K97*$BI97),0)</f>
        <v>0</v>
      </c>
      <c r="BO97" s="311">
        <f>IF($BI97&lt;&gt;"",IF('Capacity summary'!$D$14="Yes",IF(COUNTBLANK('Capacity summary'!$H216:$BG216)&lt;52,IF('Capacity summary'!L216&lt;&gt;"",IF(LOWER('Capacity summary'!L216)="x",$BI97*L97,VALUE('Capacity summary'!L216)),0),L97*$BI97),L97*$BI97),0)</f>
        <v>0</v>
      </c>
      <c r="BP97" s="311">
        <f>IF($BI97&lt;&gt;"",IF('Capacity summary'!$D$14="Yes",IF(COUNTBLANK('Capacity summary'!$H216:$BG216)&lt;52,IF('Capacity summary'!M216&lt;&gt;"",IF(LOWER('Capacity summary'!M216)="x",$BI97*M97,VALUE('Capacity summary'!M216)),0),M97*$BI97),M97*$BI97),0)</f>
        <v>0</v>
      </c>
      <c r="BQ97" s="311">
        <f>IF($BI97&lt;&gt;"",IF('Capacity summary'!$D$14="Yes",IF(COUNTBLANK('Capacity summary'!$H216:$BG216)&lt;52,IF('Capacity summary'!N216&lt;&gt;"",IF(LOWER('Capacity summary'!N216)="x",$BI97*N97,VALUE('Capacity summary'!N216)),0),N97*$BI97),N97*$BI97),0)</f>
        <v>0</v>
      </c>
      <c r="BR97" s="311">
        <f>IF($BI97&lt;&gt;"",IF('Capacity summary'!$D$14="Yes",IF(COUNTBLANK('Capacity summary'!$H216:$BG216)&lt;52,IF('Capacity summary'!O216&lt;&gt;"",IF(LOWER('Capacity summary'!O216)="x",$BI97*O97,VALUE('Capacity summary'!O216)),0),O97*$BI97),O97*$BI97),0)</f>
        <v>0</v>
      </c>
      <c r="BS97" s="311">
        <f>IF($BI97&lt;&gt;"",IF('Capacity summary'!$D$14="Yes",IF(COUNTBLANK('Capacity summary'!$H216:$BG216)&lt;52,IF('Capacity summary'!P216&lt;&gt;"",IF(LOWER('Capacity summary'!P216)="x",$BI97*P97,VALUE('Capacity summary'!P216)),0),P97*$BI97),P97*$BI97),0)</f>
        <v>0</v>
      </c>
      <c r="BT97" s="311">
        <f>IF($BI97&lt;&gt;"",IF('Capacity summary'!$D$14="Yes",IF(COUNTBLANK('Capacity summary'!$H216:$BG216)&lt;52,IF('Capacity summary'!Q216&lt;&gt;"",IF(LOWER('Capacity summary'!Q216)="x",$BI97*Q97,VALUE('Capacity summary'!Q216)),0),Q97*$BI97),Q97*$BI97),0)</f>
        <v>0</v>
      </c>
      <c r="BU97" s="311">
        <f>IF($BI97&lt;&gt;"",IF('Capacity summary'!$D$14="Yes",IF(COUNTBLANK('Capacity summary'!$H216:$BG216)&lt;52,IF('Capacity summary'!R216&lt;&gt;"",IF(LOWER('Capacity summary'!R216)="x",$BI97*R97,VALUE('Capacity summary'!R216)),0),R97*$BI97),R97*$BI97),0)</f>
        <v>0</v>
      </c>
      <c r="BV97" s="311">
        <f>IF($BI97&lt;&gt;"",IF('Capacity summary'!$D$14="Yes",IF(COUNTBLANK('Capacity summary'!$H216:$BG216)&lt;52,IF('Capacity summary'!S216&lt;&gt;"",IF(LOWER('Capacity summary'!S216)="x",$BI97*S97,VALUE('Capacity summary'!S216)),0),S97*$BI97),S97*$BI97),0)</f>
        <v>0</v>
      </c>
      <c r="BW97" s="311">
        <f>IF($BI97&lt;&gt;"",IF('Capacity summary'!$D$14="Yes",IF(COUNTBLANK('Capacity summary'!$H216:$BG216)&lt;52,IF('Capacity summary'!T216&lt;&gt;"",IF(LOWER('Capacity summary'!T216)="x",$BI97*T97,VALUE('Capacity summary'!T216)),0),T97*$BI97),T97*$BI97),0)</f>
        <v>0</v>
      </c>
      <c r="BX97" s="311">
        <f>IF($BI97&lt;&gt;"",IF('Capacity summary'!$D$14="Yes",IF(COUNTBLANK('Capacity summary'!$H216:$BG216)&lt;52,IF('Capacity summary'!U216&lt;&gt;"",IF(LOWER('Capacity summary'!U216)="x",$BI97*U97,VALUE('Capacity summary'!U216)),0),U97*$BI97),U97*$BI97),0)</f>
        <v>0</v>
      </c>
      <c r="BY97" s="311">
        <f>IF($BI97&lt;&gt;"",IF('Capacity summary'!$D$14="Yes",IF(COUNTBLANK('Capacity summary'!$H216:$BG216)&lt;52,IF('Capacity summary'!V216&lt;&gt;"",IF(LOWER('Capacity summary'!V216)="x",$BI97*V97,VALUE('Capacity summary'!V216)),0),V97*$BI97),V97*$BI97),0)</f>
        <v>0</v>
      </c>
      <c r="BZ97" s="311">
        <f>IF($BI97&lt;&gt;"",IF('Capacity summary'!$D$14="Yes",IF(COUNTBLANK('Capacity summary'!$H216:$BG216)&lt;52,IF('Capacity summary'!W216&lt;&gt;"",IF(LOWER('Capacity summary'!W216)="x",$BI97*W97,VALUE('Capacity summary'!W216)),0),W97*$BI97),W97*$BI97),0)</f>
        <v>0</v>
      </c>
      <c r="CA97" s="311">
        <f>IF($BI97&lt;&gt;"",IF('Capacity summary'!$D$14="Yes",IF(COUNTBLANK('Capacity summary'!$H216:$BG216)&lt;52,IF('Capacity summary'!X216&lt;&gt;"",IF(LOWER('Capacity summary'!X216)="x",$BI97*X97,VALUE('Capacity summary'!X216)),0),X97*$BI97),X97*$BI97),0)</f>
        <v>0</v>
      </c>
      <c r="CB97" s="311">
        <f>IF($BI97&lt;&gt;"",IF('Capacity summary'!$D$14="Yes",IF(COUNTBLANK('Capacity summary'!$H216:$BG216)&lt;52,IF('Capacity summary'!Y216&lt;&gt;"",IF(LOWER('Capacity summary'!Y216)="x",$BI97*Y97,VALUE('Capacity summary'!Y216)),0),Y97*$BI97),Y97*$BI97),0)</f>
        <v>0</v>
      </c>
      <c r="CC97" s="311">
        <f>IF($BI97&lt;&gt;"",IF('Capacity summary'!$D$14="Yes",IF(COUNTBLANK('Capacity summary'!$H216:$BG216)&lt;52,IF('Capacity summary'!Z216&lt;&gt;"",IF(LOWER('Capacity summary'!Z216)="x",$BI97*Z97,VALUE('Capacity summary'!Z216)),0),Z97*$BI97),Z97*$BI97),0)</f>
        <v>0</v>
      </c>
      <c r="CD97" s="311">
        <f>IF($BI97&lt;&gt;"",IF('Capacity summary'!$D$14="Yes",IF(COUNTBLANK('Capacity summary'!$H216:$BG216)&lt;52,IF('Capacity summary'!AA216&lt;&gt;"",IF(LOWER('Capacity summary'!AA216)="x",$BI97*AA97,VALUE('Capacity summary'!AA216)),0),AA97*$BI97),AA97*$BI97),0)</f>
        <v>0</v>
      </c>
      <c r="CE97" s="311">
        <f>IF($BI97&lt;&gt;"",IF('Capacity summary'!$D$14="Yes",IF(COUNTBLANK('Capacity summary'!$H216:$BG216)&lt;52,IF('Capacity summary'!AB216&lt;&gt;"",IF(LOWER('Capacity summary'!AB216)="x",$BI97*AB97,VALUE('Capacity summary'!AB216)),0),AB97*$BI97),AB97*$BI97),0)</f>
        <v>0</v>
      </c>
      <c r="CF97" s="311">
        <f>IF($BI97&lt;&gt;"",IF('Capacity summary'!$D$14="Yes",IF(COUNTBLANK('Capacity summary'!$H216:$BG216)&lt;52,IF('Capacity summary'!AC216&lt;&gt;"",IF(LOWER('Capacity summary'!AC216)="x",$BI97*AC97,VALUE('Capacity summary'!AC216)),0),AC97*$BI97),AC97*$BI97),0)</f>
        <v>0</v>
      </c>
      <c r="CG97" s="311">
        <f>IF($BI97&lt;&gt;"",IF('Capacity summary'!$D$14="Yes",IF(COUNTBLANK('Capacity summary'!$H216:$BG216)&lt;52,IF('Capacity summary'!AD216&lt;&gt;"",IF(LOWER('Capacity summary'!AD216)="x",$BI97*AD97,VALUE('Capacity summary'!AD216)),0),AD97*$BI97),AD97*$BI97),0)</f>
        <v>0</v>
      </c>
      <c r="CH97" s="311">
        <f>IF($BI97&lt;&gt;"",IF('Capacity summary'!$D$14="Yes",IF(COUNTBLANK('Capacity summary'!$H216:$BG216)&lt;52,IF('Capacity summary'!AE216&lt;&gt;"",IF(LOWER('Capacity summary'!AE216)="x",$BI97*AE97,VALUE('Capacity summary'!AE216)),0),AE97*$BI97),AE97*$BI97),0)</f>
        <v>0</v>
      </c>
      <c r="CI97" s="311">
        <f>IF($BI97&lt;&gt;"",IF('Capacity summary'!$D$14="Yes",IF(COUNTBLANK('Capacity summary'!$H216:$BG216)&lt;52,IF('Capacity summary'!AF216&lt;&gt;"",IF(LOWER('Capacity summary'!AF216)="x",$BI97*AF97,VALUE('Capacity summary'!AF216)),0),AF97*$BI97),AF97*$BI97),0)</f>
        <v>0</v>
      </c>
      <c r="CJ97" s="311">
        <f>IF($BI97&lt;&gt;"",IF('Capacity summary'!$D$14="Yes",IF(COUNTBLANK('Capacity summary'!$H216:$BG216)&lt;52,IF('Capacity summary'!AG216&lt;&gt;"",IF(LOWER('Capacity summary'!AG216)="x",$BI97*AG97,VALUE('Capacity summary'!AG216)),0),AG97*$BI97),AG97*$BI97),0)</f>
        <v>0</v>
      </c>
      <c r="CK97" s="311">
        <f>IF($BI97&lt;&gt;"",IF('Capacity summary'!$D$14="Yes",IF(COUNTBLANK('Capacity summary'!$H216:$BG216)&lt;52,IF('Capacity summary'!AH216&lt;&gt;"",IF(LOWER('Capacity summary'!AH216)="x",$BI97*AH97,VALUE('Capacity summary'!AH216)),0),AH97*$BI97),AH97*$BI97),0)</f>
        <v>0</v>
      </c>
      <c r="CL97" s="311">
        <f>IF($BI97&lt;&gt;"",IF('Capacity summary'!$D$14="Yes",IF(COUNTBLANK('Capacity summary'!$H216:$BG216)&lt;52,IF('Capacity summary'!AI216&lt;&gt;"",IF(LOWER('Capacity summary'!AI216)="x",$BI97*AI97,VALUE('Capacity summary'!AI216)),0),AI97*$BI97),AI97*$BI97),0)</f>
        <v>0</v>
      </c>
      <c r="CM97" s="311">
        <f>IF($BI97&lt;&gt;"",IF('Capacity summary'!$D$14="Yes",IF(COUNTBLANK('Capacity summary'!$H216:$BG216)&lt;52,IF('Capacity summary'!AJ216&lt;&gt;"",IF(LOWER('Capacity summary'!AJ216)="x",$BI97*AJ97,VALUE('Capacity summary'!AJ216)),0),AJ97*$BI97),AJ97*$BI97),0)</f>
        <v>0</v>
      </c>
      <c r="CN97" s="311">
        <f>IF($BI97&lt;&gt;"",IF('Capacity summary'!$D$14="Yes",IF(COUNTBLANK('Capacity summary'!$H216:$BG216)&lt;52,IF('Capacity summary'!AK216&lt;&gt;"",IF(LOWER('Capacity summary'!AK216)="x",$BI97*AK97,VALUE('Capacity summary'!AK216)),0),AK97*$BI97),AK97*$BI97),0)</f>
        <v>0</v>
      </c>
      <c r="CO97" s="311">
        <f>IF($BI97&lt;&gt;"",IF('Capacity summary'!$D$14="Yes",IF(COUNTBLANK('Capacity summary'!$H216:$BG216)&lt;52,IF('Capacity summary'!AL216&lt;&gt;"",IF(LOWER('Capacity summary'!AL216)="x",$BI97*AL97,VALUE('Capacity summary'!AL216)),0),AL97*$BI97),AL97*$BI97),0)</f>
        <v>0</v>
      </c>
      <c r="CP97" s="311">
        <f>IF($BI97&lt;&gt;"",IF('Capacity summary'!$D$14="Yes",IF(COUNTBLANK('Capacity summary'!$H216:$BG216)&lt;52,IF('Capacity summary'!AM216&lt;&gt;"",IF(LOWER('Capacity summary'!AM216)="x",$BI97*AM97,VALUE('Capacity summary'!AM216)),0),AM97*$BI97),AM97*$BI97),0)</f>
        <v>0</v>
      </c>
      <c r="CQ97" s="311">
        <f>IF($BI97&lt;&gt;"",IF('Capacity summary'!$D$14="Yes",IF(COUNTBLANK('Capacity summary'!$H216:$BG216)&lt;52,IF('Capacity summary'!AN216&lt;&gt;"",IF(LOWER('Capacity summary'!AN216)="x",$BI97*AN97,VALUE('Capacity summary'!AN216)),0),AN97*$BI97),AN97*$BI97),0)</f>
        <v>0</v>
      </c>
      <c r="CR97" s="311">
        <f>IF($BI97&lt;&gt;"",IF('Capacity summary'!$D$14="Yes",IF(COUNTBLANK('Capacity summary'!$H216:$BG216)&lt;52,IF('Capacity summary'!AO216&lt;&gt;"",IF(LOWER('Capacity summary'!AO216)="x",$BI97*AO97,VALUE('Capacity summary'!AO216)),0),AO97*$BI97),AO97*$BI97),0)</f>
        <v>0</v>
      </c>
      <c r="CS97" s="311">
        <f>IF($BI97&lt;&gt;"",IF('Capacity summary'!$D$14="Yes",IF(COUNTBLANK('Capacity summary'!$H216:$BG216)&lt;52,IF('Capacity summary'!AP216&lt;&gt;"",IF(LOWER('Capacity summary'!AP216)="x",$BI97*AP97,VALUE('Capacity summary'!AP216)),0),AP97*$BI97),AP97*$BI97),0)</f>
        <v>0</v>
      </c>
      <c r="CT97" s="311">
        <f>IF($BI97&lt;&gt;"",IF('Capacity summary'!$D$14="Yes",IF(COUNTBLANK('Capacity summary'!$H216:$BG216)&lt;52,IF('Capacity summary'!AQ216&lt;&gt;"",IF(LOWER('Capacity summary'!AQ216)="x",$BI97*AQ97,VALUE('Capacity summary'!AQ216)),0),AQ97*$BI97),AQ97*$BI97),0)</f>
        <v>0</v>
      </c>
      <c r="CU97" s="311">
        <f>IF($BI97&lt;&gt;"",IF('Capacity summary'!$D$14="Yes",IF(COUNTBLANK('Capacity summary'!$H216:$BG216)&lt;52,IF('Capacity summary'!AR216&lt;&gt;"",IF(LOWER('Capacity summary'!AR216)="x",$BI97*AR97,VALUE('Capacity summary'!AR216)),0),AR97*$BI97),AR97*$BI97),0)</f>
        <v>0</v>
      </c>
      <c r="CV97" s="311">
        <f>IF($BI97&lt;&gt;"",IF('Capacity summary'!$D$14="Yes",IF(COUNTBLANK('Capacity summary'!$H216:$BG216)&lt;52,IF('Capacity summary'!AS216&lt;&gt;"",IF(LOWER('Capacity summary'!AS216)="x",$BI97*AS97,VALUE('Capacity summary'!AS216)),0),AS97*$BI97),AS97*$BI97),0)</f>
        <v>0</v>
      </c>
      <c r="CW97" s="311">
        <f>IF($BI97&lt;&gt;"",IF('Capacity summary'!$D$14="Yes",IF(COUNTBLANK('Capacity summary'!$H216:$BG216)&lt;52,IF('Capacity summary'!AT216&lt;&gt;"",IF(LOWER('Capacity summary'!AT216)="x",$BI97*AT97,VALUE('Capacity summary'!AT216)),0),AT97*$BI97),AT97*$BI97),0)</f>
        <v>0</v>
      </c>
      <c r="CX97" s="311">
        <f>IF($BI97&lt;&gt;"",IF('Capacity summary'!$D$14="Yes",IF(COUNTBLANK('Capacity summary'!$H216:$BG216)&lt;52,IF('Capacity summary'!AU216&lt;&gt;"",IF(LOWER('Capacity summary'!AU216)="x",$BI97*AU97,VALUE('Capacity summary'!AU216)),0),AU97*$BI97),AU97*$BI97),0)</f>
        <v>0</v>
      </c>
      <c r="CY97" s="311">
        <f>IF($BI97&lt;&gt;"",IF('Capacity summary'!$D$14="Yes",IF(COUNTBLANK('Capacity summary'!$H216:$BG216)&lt;52,IF('Capacity summary'!AV216&lt;&gt;"",IF(LOWER('Capacity summary'!AV216)="x",$BI97*AV97,VALUE('Capacity summary'!AV216)),0),AV97*$BI97),AV97*$BI97),0)</f>
        <v>0</v>
      </c>
      <c r="CZ97" s="311">
        <f>IF($BI97&lt;&gt;"",IF('Capacity summary'!$D$14="Yes",IF(COUNTBLANK('Capacity summary'!$H216:$BG216)&lt;52,IF('Capacity summary'!AW216&lt;&gt;"",IF(LOWER('Capacity summary'!AW216)="x",$BI97*AW97,VALUE('Capacity summary'!AW216)),0),AW97*$BI97),AW97*$BI97),0)</f>
        <v>0</v>
      </c>
      <c r="DA97" s="311">
        <f>IF($BI97&lt;&gt;"",IF('Capacity summary'!$D$14="Yes",IF(COUNTBLANK('Capacity summary'!$H216:$BG216)&lt;52,IF('Capacity summary'!AX216&lt;&gt;"",IF(LOWER('Capacity summary'!AX216)="x",$BI97*AX97,VALUE('Capacity summary'!AX216)),0),AX97*$BI97),AX97*$BI97),0)</f>
        <v>0</v>
      </c>
      <c r="DB97" s="311">
        <f>IF($BI97&lt;&gt;"",IF('Capacity summary'!$D$14="Yes",IF(COUNTBLANK('Capacity summary'!$H216:$BG216)&lt;52,IF('Capacity summary'!AY216&lt;&gt;"",IF(LOWER('Capacity summary'!AY216)="x",$BI97*AY97,VALUE('Capacity summary'!AY216)),0),AY97*$BI97),AY97*$BI97),0)</f>
        <v>0</v>
      </c>
      <c r="DC97" s="311">
        <f>IF($BI97&lt;&gt;"",IF('Capacity summary'!$D$14="Yes",IF(COUNTBLANK('Capacity summary'!$H216:$BG216)&lt;52,IF('Capacity summary'!AZ216&lt;&gt;"",IF(LOWER('Capacity summary'!AZ216)="x",$BI97*AZ97,VALUE('Capacity summary'!AZ216)),0),AZ97*$BI97),AZ97*$BI97),0)</f>
        <v>0</v>
      </c>
      <c r="DD97" s="311">
        <f>IF($BI97&lt;&gt;"",IF('Capacity summary'!$D$14="Yes",IF(COUNTBLANK('Capacity summary'!$H216:$BG216)&lt;52,IF('Capacity summary'!BA216&lt;&gt;"",IF(LOWER('Capacity summary'!BA216)="x",$BI97*BA97,VALUE('Capacity summary'!BA216)),0),BA97*$BI97),BA97*$BI97),0)</f>
        <v>0</v>
      </c>
      <c r="DE97" s="311">
        <f>IF($BI97&lt;&gt;"",IF('Capacity summary'!$D$14="Yes",IF(COUNTBLANK('Capacity summary'!$H216:$BG216)&lt;52,IF('Capacity summary'!BB216&lt;&gt;"",IF(LOWER('Capacity summary'!BB216)="x",$BI97*BB97,VALUE('Capacity summary'!BB216)),0),BB97*$BI97),BB97*$BI97),0)</f>
        <v>0</v>
      </c>
      <c r="DF97" s="311">
        <f>IF($BI97&lt;&gt;"",IF('Capacity summary'!$D$14="Yes",IF(COUNTBLANK('Capacity summary'!$H216:$BG216)&lt;52,IF('Capacity summary'!BC216&lt;&gt;"",IF(LOWER('Capacity summary'!BC216)="x",$BI97*BC97,VALUE('Capacity summary'!BC216)),0),BC97*$BI97),BC97*$BI97),0)</f>
        <v>0</v>
      </c>
      <c r="DG97" s="311">
        <f>IF($BI97&lt;&gt;"",IF('Capacity summary'!$D$14="Yes",IF(COUNTBLANK('Capacity summary'!$H216:$BG216)&lt;52,IF('Capacity summary'!BD216&lt;&gt;"",IF(LOWER('Capacity summary'!BD216)="x",$BI97*BD97,VALUE('Capacity summary'!BD216)),0),BD97*$BI97),BD97*$BI97),0)</f>
        <v>0</v>
      </c>
      <c r="DH97" s="311">
        <f>IF($BI97&lt;&gt;"",IF('Capacity summary'!$D$14="Yes",IF(COUNTBLANK('Capacity summary'!$H216:$BG216)&lt;52,IF('Capacity summary'!BE216&lt;&gt;"",IF(LOWER('Capacity summary'!BE216)="x",$BI97*BE97,VALUE('Capacity summary'!BE216)),0),BE97*$BI97),BE97*$BI97),0)</f>
        <v>0</v>
      </c>
      <c r="DI97" s="311">
        <f>IF($BI97&lt;&gt;"",IF('Capacity summary'!$D$14="Yes",IF(COUNTBLANK('Capacity summary'!$H216:$BG216)&lt;52,IF('Capacity summary'!BF216&lt;&gt;"",IF(LOWER('Capacity summary'!BF216)="x",$BI97*BF97,VALUE('Capacity summary'!BF216)),0),BF97*$BI97),BF97*$BI97),0)</f>
        <v>0</v>
      </c>
      <c r="DJ97" s="311">
        <f>IF($BI97&lt;&gt;"",IF('Capacity summary'!$D$14="Yes",IF(COUNTBLANK('Capacity summary'!$H216:$BG216)&lt;52,IF('Capacity summary'!BG216&lt;&gt;"",IF(LOWER('Capacity summary'!BG216)="x",$BI97*BG97,VALUE('Capacity summary'!BG216)),0),BG97*$BI97),BG97*$BI97),0)</f>
        <v>0</v>
      </c>
      <c r="DK97" s="391">
        <f t="shared" si="4"/>
        <v>0</v>
      </c>
      <c r="DL97" s="136">
        <f t="shared" si="5"/>
        <v>0</v>
      </c>
      <c r="DM97" s="311" t="str">
        <f>Capacity!H109</f>
        <v/>
      </c>
    </row>
    <row r="98" spans="1:117" x14ac:dyDescent="0.2">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1">
        <f>IF($BI98&lt;&gt;"",IF('Capacity summary'!$D$14="Yes",IF(COUNTBLANK('Capacity summary'!$H217:$BG217)&lt;52,IF('Capacity summary'!H217&lt;&gt;"",IF(LOWER('Capacity summary'!H217)="x",$BI98*H98,VALUE('Capacity summary'!H217)),0),H98*$BI98),H98*$BI98),0)</f>
        <v>0</v>
      </c>
      <c r="BL98" s="311">
        <f>IF($BI98&lt;&gt;"",IF('Capacity summary'!$D$14="Yes",IF(COUNTBLANK('Capacity summary'!$H217:$BG217)&lt;52,IF('Capacity summary'!I217&lt;&gt;"",IF(LOWER('Capacity summary'!I217)="x",$BI98*I98,VALUE('Capacity summary'!I217)),0),I98*$BI98),I98*$BI98),0)</f>
        <v>0</v>
      </c>
      <c r="BM98" s="311">
        <f>IF($BI98&lt;&gt;"",IF('Capacity summary'!$D$14="Yes",IF(COUNTBLANK('Capacity summary'!$H217:$BG217)&lt;52,IF('Capacity summary'!J217&lt;&gt;"",IF(LOWER('Capacity summary'!J217)="x",$BI98*J98,VALUE('Capacity summary'!J217)),0),J98*$BI98),J98*$BI98),0)</f>
        <v>0</v>
      </c>
      <c r="BN98" s="311">
        <f>IF($BI98&lt;&gt;"",IF('Capacity summary'!$D$14="Yes",IF(COUNTBLANK('Capacity summary'!$H217:$BG217)&lt;52,IF('Capacity summary'!K217&lt;&gt;"",IF(LOWER('Capacity summary'!K217)="x",$BI98*K98,VALUE('Capacity summary'!K217)),0),K98*$BI98),K98*$BI98),0)</f>
        <v>0</v>
      </c>
      <c r="BO98" s="311">
        <f>IF($BI98&lt;&gt;"",IF('Capacity summary'!$D$14="Yes",IF(COUNTBLANK('Capacity summary'!$H217:$BG217)&lt;52,IF('Capacity summary'!L217&lt;&gt;"",IF(LOWER('Capacity summary'!L217)="x",$BI98*L98,VALUE('Capacity summary'!L217)),0),L98*$BI98),L98*$BI98),0)</f>
        <v>0</v>
      </c>
      <c r="BP98" s="311">
        <f>IF($BI98&lt;&gt;"",IF('Capacity summary'!$D$14="Yes",IF(COUNTBLANK('Capacity summary'!$H217:$BG217)&lt;52,IF('Capacity summary'!M217&lt;&gt;"",IF(LOWER('Capacity summary'!M217)="x",$BI98*M98,VALUE('Capacity summary'!M217)),0),M98*$BI98),M98*$BI98),0)</f>
        <v>0</v>
      </c>
      <c r="BQ98" s="311">
        <f>IF($BI98&lt;&gt;"",IF('Capacity summary'!$D$14="Yes",IF(COUNTBLANK('Capacity summary'!$H217:$BG217)&lt;52,IF('Capacity summary'!N217&lt;&gt;"",IF(LOWER('Capacity summary'!N217)="x",$BI98*N98,VALUE('Capacity summary'!N217)),0),N98*$BI98),N98*$BI98),0)</f>
        <v>0</v>
      </c>
      <c r="BR98" s="311">
        <f>IF($BI98&lt;&gt;"",IF('Capacity summary'!$D$14="Yes",IF(COUNTBLANK('Capacity summary'!$H217:$BG217)&lt;52,IF('Capacity summary'!O217&lt;&gt;"",IF(LOWER('Capacity summary'!O217)="x",$BI98*O98,VALUE('Capacity summary'!O217)),0),O98*$BI98),O98*$BI98),0)</f>
        <v>0</v>
      </c>
      <c r="BS98" s="311">
        <f>IF($BI98&lt;&gt;"",IF('Capacity summary'!$D$14="Yes",IF(COUNTBLANK('Capacity summary'!$H217:$BG217)&lt;52,IF('Capacity summary'!P217&lt;&gt;"",IF(LOWER('Capacity summary'!P217)="x",$BI98*P98,VALUE('Capacity summary'!P217)),0),P98*$BI98),P98*$BI98),0)</f>
        <v>0</v>
      </c>
      <c r="BT98" s="311">
        <f>IF($BI98&lt;&gt;"",IF('Capacity summary'!$D$14="Yes",IF(COUNTBLANK('Capacity summary'!$H217:$BG217)&lt;52,IF('Capacity summary'!Q217&lt;&gt;"",IF(LOWER('Capacity summary'!Q217)="x",$BI98*Q98,VALUE('Capacity summary'!Q217)),0),Q98*$BI98),Q98*$BI98),0)</f>
        <v>0</v>
      </c>
      <c r="BU98" s="311">
        <f>IF($BI98&lt;&gt;"",IF('Capacity summary'!$D$14="Yes",IF(COUNTBLANK('Capacity summary'!$H217:$BG217)&lt;52,IF('Capacity summary'!R217&lt;&gt;"",IF(LOWER('Capacity summary'!R217)="x",$BI98*R98,VALUE('Capacity summary'!R217)),0),R98*$BI98),R98*$BI98),0)</f>
        <v>0</v>
      </c>
      <c r="BV98" s="311">
        <f>IF($BI98&lt;&gt;"",IF('Capacity summary'!$D$14="Yes",IF(COUNTBLANK('Capacity summary'!$H217:$BG217)&lt;52,IF('Capacity summary'!S217&lt;&gt;"",IF(LOWER('Capacity summary'!S217)="x",$BI98*S98,VALUE('Capacity summary'!S217)),0),S98*$BI98),S98*$BI98),0)</f>
        <v>0</v>
      </c>
      <c r="BW98" s="311">
        <f>IF($BI98&lt;&gt;"",IF('Capacity summary'!$D$14="Yes",IF(COUNTBLANK('Capacity summary'!$H217:$BG217)&lt;52,IF('Capacity summary'!T217&lt;&gt;"",IF(LOWER('Capacity summary'!T217)="x",$BI98*T98,VALUE('Capacity summary'!T217)),0),T98*$BI98),T98*$BI98),0)</f>
        <v>0</v>
      </c>
      <c r="BX98" s="311">
        <f>IF($BI98&lt;&gt;"",IF('Capacity summary'!$D$14="Yes",IF(COUNTBLANK('Capacity summary'!$H217:$BG217)&lt;52,IF('Capacity summary'!U217&lt;&gt;"",IF(LOWER('Capacity summary'!U217)="x",$BI98*U98,VALUE('Capacity summary'!U217)),0),U98*$BI98),U98*$BI98),0)</f>
        <v>0</v>
      </c>
      <c r="BY98" s="311">
        <f>IF($BI98&lt;&gt;"",IF('Capacity summary'!$D$14="Yes",IF(COUNTBLANK('Capacity summary'!$H217:$BG217)&lt;52,IF('Capacity summary'!V217&lt;&gt;"",IF(LOWER('Capacity summary'!V217)="x",$BI98*V98,VALUE('Capacity summary'!V217)),0),V98*$BI98),V98*$BI98),0)</f>
        <v>0</v>
      </c>
      <c r="BZ98" s="311">
        <f>IF($BI98&lt;&gt;"",IF('Capacity summary'!$D$14="Yes",IF(COUNTBLANK('Capacity summary'!$H217:$BG217)&lt;52,IF('Capacity summary'!W217&lt;&gt;"",IF(LOWER('Capacity summary'!W217)="x",$BI98*W98,VALUE('Capacity summary'!W217)),0),W98*$BI98),W98*$BI98),0)</f>
        <v>0</v>
      </c>
      <c r="CA98" s="311">
        <f>IF($BI98&lt;&gt;"",IF('Capacity summary'!$D$14="Yes",IF(COUNTBLANK('Capacity summary'!$H217:$BG217)&lt;52,IF('Capacity summary'!X217&lt;&gt;"",IF(LOWER('Capacity summary'!X217)="x",$BI98*X98,VALUE('Capacity summary'!X217)),0),X98*$BI98),X98*$BI98),0)</f>
        <v>0</v>
      </c>
      <c r="CB98" s="311">
        <f>IF($BI98&lt;&gt;"",IF('Capacity summary'!$D$14="Yes",IF(COUNTBLANK('Capacity summary'!$H217:$BG217)&lt;52,IF('Capacity summary'!Y217&lt;&gt;"",IF(LOWER('Capacity summary'!Y217)="x",$BI98*Y98,VALUE('Capacity summary'!Y217)),0),Y98*$BI98),Y98*$BI98),0)</f>
        <v>0</v>
      </c>
      <c r="CC98" s="311">
        <f>IF($BI98&lt;&gt;"",IF('Capacity summary'!$D$14="Yes",IF(COUNTBLANK('Capacity summary'!$H217:$BG217)&lt;52,IF('Capacity summary'!Z217&lt;&gt;"",IF(LOWER('Capacity summary'!Z217)="x",$BI98*Z98,VALUE('Capacity summary'!Z217)),0),Z98*$BI98),Z98*$BI98),0)</f>
        <v>0</v>
      </c>
      <c r="CD98" s="311">
        <f>IF($BI98&lt;&gt;"",IF('Capacity summary'!$D$14="Yes",IF(COUNTBLANK('Capacity summary'!$H217:$BG217)&lt;52,IF('Capacity summary'!AA217&lt;&gt;"",IF(LOWER('Capacity summary'!AA217)="x",$BI98*AA98,VALUE('Capacity summary'!AA217)),0),AA98*$BI98),AA98*$BI98),0)</f>
        <v>0</v>
      </c>
      <c r="CE98" s="311">
        <f>IF($BI98&lt;&gt;"",IF('Capacity summary'!$D$14="Yes",IF(COUNTBLANK('Capacity summary'!$H217:$BG217)&lt;52,IF('Capacity summary'!AB217&lt;&gt;"",IF(LOWER('Capacity summary'!AB217)="x",$BI98*AB98,VALUE('Capacity summary'!AB217)),0),AB98*$BI98),AB98*$BI98),0)</f>
        <v>0</v>
      </c>
      <c r="CF98" s="311">
        <f>IF($BI98&lt;&gt;"",IF('Capacity summary'!$D$14="Yes",IF(COUNTBLANK('Capacity summary'!$H217:$BG217)&lt;52,IF('Capacity summary'!AC217&lt;&gt;"",IF(LOWER('Capacity summary'!AC217)="x",$BI98*AC98,VALUE('Capacity summary'!AC217)),0),AC98*$BI98),AC98*$BI98),0)</f>
        <v>0</v>
      </c>
      <c r="CG98" s="311">
        <f>IF($BI98&lt;&gt;"",IF('Capacity summary'!$D$14="Yes",IF(COUNTBLANK('Capacity summary'!$H217:$BG217)&lt;52,IF('Capacity summary'!AD217&lt;&gt;"",IF(LOWER('Capacity summary'!AD217)="x",$BI98*AD98,VALUE('Capacity summary'!AD217)),0),AD98*$BI98),AD98*$BI98),0)</f>
        <v>0</v>
      </c>
      <c r="CH98" s="311">
        <f>IF($BI98&lt;&gt;"",IF('Capacity summary'!$D$14="Yes",IF(COUNTBLANK('Capacity summary'!$H217:$BG217)&lt;52,IF('Capacity summary'!AE217&lt;&gt;"",IF(LOWER('Capacity summary'!AE217)="x",$BI98*AE98,VALUE('Capacity summary'!AE217)),0),AE98*$BI98),AE98*$BI98),0)</f>
        <v>0</v>
      </c>
      <c r="CI98" s="311">
        <f>IF($BI98&lt;&gt;"",IF('Capacity summary'!$D$14="Yes",IF(COUNTBLANK('Capacity summary'!$H217:$BG217)&lt;52,IF('Capacity summary'!AF217&lt;&gt;"",IF(LOWER('Capacity summary'!AF217)="x",$BI98*AF98,VALUE('Capacity summary'!AF217)),0),AF98*$BI98),AF98*$BI98),0)</f>
        <v>0</v>
      </c>
      <c r="CJ98" s="311">
        <f>IF($BI98&lt;&gt;"",IF('Capacity summary'!$D$14="Yes",IF(COUNTBLANK('Capacity summary'!$H217:$BG217)&lt;52,IF('Capacity summary'!AG217&lt;&gt;"",IF(LOWER('Capacity summary'!AG217)="x",$BI98*AG98,VALUE('Capacity summary'!AG217)),0),AG98*$BI98),AG98*$BI98),0)</f>
        <v>0</v>
      </c>
      <c r="CK98" s="311">
        <f>IF($BI98&lt;&gt;"",IF('Capacity summary'!$D$14="Yes",IF(COUNTBLANK('Capacity summary'!$H217:$BG217)&lt;52,IF('Capacity summary'!AH217&lt;&gt;"",IF(LOWER('Capacity summary'!AH217)="x",$BI98*AH98,VALUE('Capacity summary'!AH217)),0),AH98*$BI98),AH98*$BI98),0)</f>
        <v>0</v>
      </c>
      <c r="CL98" s="311">
        <f>IF($BI98&lt;&gt;"",IF('Capacity summary'!$D$14="Yes",IF(COUNTBLANK('Capacity summary'!$H217:$BG217)&lt;52,IF('Capacity summary'!AI217&lt;&gt;"",IF(LOWER('Capacity summary'!AI217)="x",$BI98*AI98,VALUE('Capacity summary'!AI217)),0),AI98*$BI98),AI98*$BI98),0)</f>
        <v>0</v>
      </c>
      <c r="CM98" s="311">
        <f>IF($BI98&lt;&gt;"",IF('Capacity summary'!$D$14="Yes",IF(COUNTBLANK('Capacity summary'!$H217:$BG217)&lt;52,IF('Capacity summary'!AJ217&lt;&gt;"",IF(LOWER('Capacity summary'!AJ217)="x",$BI98*AJ98,VALUE('Capacity summary'!AJ217)),0),AJ98*$BI98),AJ98*$BI98),0)</f>
        <v>0</v>
      </c>
      <c r="CN98" s="311">
        <f>IF($BI98&lt;&gt;"",IF('Capacity summary'!$D$14="Yes",IF(COUNTBLANK('Capacity summary'!$H217:$BG217)&lt;52,IF('Capacity summary'!AK217&lt;&gt;"",IF(LOWER('Capacity summary'!AK217)="x",$BI98*AK98,VALUE('Capacity summary'!AK217)),0),AK98*$BI98),AK98*$BI98),0)</f>
        <v>0</v>
      </c>
      <c r="CO98" s="311">
        <f>IF($BI98&lt;&gt;"",IF('Capacity summary'!$D$14="Yes",IF(COUNTBLANK('Capacity summary'!$H217:$BG217)&lt;52,IF('Capacity summary'!AL217&lt;&gt;"",IF(LOWER('Capacity summary'!AL217)="x",$BI98*AL98,VALUE('Capacity summary'!AL217)),0),AL98*$BI98),AL98*$BI98),0)</f>
        <v>0</v>
      </c>
      <c r="CP98" s="311">
        <f>IF($BI98&lt;&gt;"",IF('Capacity summary'!$D$14="Yes",IF(COUNTBLANK('Capacity summary'!$H217:$BG217)&lt;52,IF('Capacity summary'!AM217&lt;&gt;"",IF(LOWER('Capacity summary'!AM217)="x",$BI98*AM98,VALUE('Capacity summary'!AM217)),0),AM98*$BI98),AM98*$BI98),0)</f>
        <v>0</v>
      </c>
      <c r="CQ98" s="311">
        <f>IF($BI98&lt;&gt;"",IF('Capacity summary'!$D$14="Yes",IF(COUNTBLANK('Capacity summary'!$H217:$BG217)&lt;52,IF('Capacity summary'!AN217&lt;&gt;"",IF(LOWER('Capacity summary'!AN217)="x",$BI98*AN98,VALUE('Capacity summary'!AN217)),0),AN98*$BI98),AN98*$BI98),0)</f>
        <v>0</v>
      </c>
      <c r="CR98" s="311">
        <f>IF($BI98&lt;&gt;"",IF('Capacity summary'!$D$14="Yes",IF(COUNTBLANK('Capacity summary'!$H217:$BG217)&lt;52,IF('Capacity summary'!AO217&lt;&gt;"",IF(LOWER('Capacity summary'!AO217)="x",$BI98*AO98,VALUE('Capacity summary'!AO217)),0),AO98*$BI98),AO98*$BI98),0)</f>
        <v>0</v>
      </c>
      <c r="CS98" s="311">
        <f>IF($BI98&lt;&gt;"",IF('Capacity summary'!$D$14="Yes",IF(COUNTBLANK('Capacity summary'!$H217:$BG217)&lt;52,IF('Capacity summary'!AP217&lt;&gt;"",IF(LOWER('Capacity summary'!AP217)="x",$BI98*AP98,VALUE('Capacity summary'!AP217)),0),AP98*$BI98),AP98*$BI98),0)</f>
        <v>0</v>
      </c>
      <c r="CT98" s="311">
        <f>IF($BI98&lt;&gt;"",IF('Capacity summary'!$D$14="Yes",IF(COUNTBLANK('Capacity summary'!$H217:$BG217)&lt;52,IF('Capacity summary'!AQ217&lt;&gt;"",IF(LOWER('Capacity summary'!AQ217)="x",$BI98*AQ98,VALUE('Capacity summary'!AQ217)),0),AQ98*$BI98),AQ98*$BI98),0)</f>
        <v>0</v>
      </c>
      <c r="CU98" s="311">
        <f>IF($BI98&lt;&gt;"",IF('Capacity summary'!$D$14="Yes",IF(COUNTBLANK('Capacity summary'!$H217:$BG217)&lt;52,IF('Capacity summary'!AR217&lt;&gt;"",IF(LOWER('Capacity summary'!AR217)="x",$BI98*AR98,VALUE('Capacity summary'!AR217)),0),AR98*$BI98),AR98*$BI98),0)</f>
        <v>0</v>
      </c>
      <c r="CV98" s="311">
        <f>IF($BI98&lt;&gt;"",IF('Capacity summary'!$D$14="Yes",IF(COUNTBLANK('Capacity summary'!$H217:$BG217)&lt;52,IF('Capacity summary'!AS217&lt;&gt;"",IF(LOWER('Capacity summary'!AS217)="x",$BI98*AS98,VALUE('Capacity summary'!AS217)),0),AS98*$BI98),AS98*$BI98),0)</f>
        <v>0</v>
      </c>
      <c r="CW98" s="311">
        <f>IF($BI98&lt;&gt;"",IF('Capacity summary'!$D$14="Yes",IF(COUNTBLANK('Capacity summary'!$H217:$BG217)&lt;52,IF('Capacity summary'!AT217&lt;&gt;"",IF(LOWER('Capacity summary'!AT217)="x",$BI98*AT98,VALUE('Capacity summary'!AT217)),0),AT98*$BI98),AT98*$BI98),0)</f>
        <v>0</v>
      </c>
      <c r="CX98" s="311">
        <f>IF($BI98&lt;&gt;"",IF('Capacity summary'!$D$14="Yes",IF(COUNTBLANK('Capacity summary'!$H217:$BG217)&lt;52,IF('Capacity summary'!AU217&lt;&gt;"",IF(LOWER('Capacity summary'!AU217)="x",$BI98*AU98,VALUE('Capacity summary'!AU217)),0),AU98*$BI98),AU98*$BI98),0)</f>
        <v>0</v>
      </c>
      <c r="CY98" s="311">
        <f>IF($BI98&lt;&gt;"",IF('Capacity summary'!$D$14="Yes",IF(COUNTBLANK('Capacity summary'!$H217:$BG217)&lt;52,IF('Capacity summary'!AV217&lt;&gt;"",IF(LOWER('Capacity summary'!AV217)="x",$BI98*AV98,VALUE('Capacity summary'!AV217)),0),AV98*$BI98),AV98*$BI98),0)</f>
        <v>0</v>
      </c>
      <c r="CZ98" s="311">
        <f>IF($BI98&lt;&gt;"",IF('Capacity summary'!$D$14="Yes",IF(COUNTBLANK('Capacity summary'!$H217:$BG217)&lt;52,IF('Capacity summary'!AW217&lt;&gt;"",IF(LOWER('Capacity summary'!AW217)="x",$BI98*AW98,VALUE('Capacity summary'!AW217)),0),AW98*$BI98),AW98*$BI98),0)</f>
        <v>0</v>
      </c>
      <c r="DA98" s="311">
        <f>IF($BI98&lt;&gt;"",IF('Capacity summary'!$D$14="Yes",IF(COUNTBLANK('Capacity summary'!$H217:$BG217)&lt;52,IF('Capacity summary'!AX217&lt;&gt;"",IF(LOWER('Capacity summary'!AX217)="x",$BI98*AX98,VALUE('Capacity summary'!AX217)),0),AX98*$BI98),AX98*$BI98),0)</f>
        <v>0</v>
      </c>
      <c r="DB98" s="311">
        <f>IF($BI98&lt;&gt;"",IF('Capacity summary'!$D$14="Yes",IF(COUNTBLANK('Capacity summary'!$H217:$BG217)&lt;52,IF('Capacity summary'!AY217&lt;&gt;"",IF(LOWER('Capacity summary'!AY217)="x",$BI98*AY98,VALUE('Capacity summary'!AY217)),0),AY98*$BI98),AY98*$BI98),0)</f>
        <v>0</v>
      </c>
      <c r="DC98" s="311">
        <f>IF($BI98&lt;&gt;"",IF('Capacity summary'!$D$14="Yes",IF(COUNTBLANK('Capacity summary'!$H217:$BG217)&lt;52,IF('Capacity summary'!AZ217&lt;&gt;"",IF(LOWER('Capacity summary'!AZ217)="x",$BI98*AZ98,VALUE('Capacity summary'!AZ217)),0),AZ98*$BI98),AZ98*$BI98),0)</f>
        <v>0</v>
      </c>
      <c r="DD98" s="311">
        <f>IF($BI98&lt;&gt;"",IF('Capacity summary'!$D$14="Yes",IF(COUNTBLANK('Capacity summary'!$H217:$BG217)&lt;52,IF('Capacity summary'!BA217&lt;&gt;"",IF(LOWER('Capacity summary'!BA217)="x",$BI98*BA98,VALUE('Capacity summary'!BA217)),0),BA98*$BI98),BA98*$BI98),0)</f>
        <v>0</v>
      </c>
      <c r="DE98" s="311">
        <f>IF($BI98&lt;&gt;"",IF('Capacity summary'!$D$14="Yes",IF(COUNTBLANK('Capacity summary'!$H217:$BG217)&lt;52,IF('Capacity summary'!BB217&lt;&gt;"",IF(LOWER('Capacity summary'!BB217)="x",$BI98*BB98,VALUE('Capacity summary'!BB217)),0),BB98*$BI98),BB98*$BI98),0)</f>
        <v>0</v>
      </c>
      <c r="DF98" s="311">
        <f>IF($BI98&lt;&gt;"",IF('Capacity summary'!$D$14="Yes",IF(COUNTBLANK('Capacity summary'!$H217:$BG217)&lt;52,IF('Capacity summary'!BC217&lt;&gt;"",IF(LOWER('Capacity summary'!BC217)="x",$BI98*BC98,VALUE('Capacity summary'!BC217)),0),BC98*$BI98),BC98*$BI98),0)</f>
        <v>0</v>
      </c>
      <c r="DG98" s="311">
        <f>IF($BI98&lt;&gt;"",IF('Capacity summary'!$D$14="Yes",IF(COUNTBLANK('Capacity summary'!$H217:$BG217)&lt;52,IF('Capacity summary'!BD217&lt;&gt;"",IF(LOWER('Capacity summary'!BD217)="x",$BI98*BD98,VALUE('Capacity summary'!BD217)),0),BD98*$BI98),BD98*$BI98),0)</f>
        <v>0</v>
      </c>
      <c r="DH98" s="311">
        <f>IF($BI98&lt;&gt;"",IF('Capacity summary'!$D$14="Yes",IF(COUNTBLANK('Capacity summary'!$H217:$BG217)&lt;52,IF('Capacity summary'!BE217&lt;&gt;"",IF(LOWER('Capacity summary'!BE217)="x",$BI98*BE98,VALUE('Capacity summary'!BE217)),0),BE98*$BI98),BE98*$BI98),0)</f>
        <v>0</v>
      </c>
      <c r="DI98" s="311">
        <f>IF($BI98&lt;&gt;"",IF('Capacity summary'!$D$14="Yes",IF(COUNTBLANK('Capacity summary'!$H217:$BG217)&lt;52,IF('Capacity summary'!BF217&lt;&gt;"",IF(LOWER('Capacity summary'!BF217)="x",$BI98*BF98,VALUE('Capacity summary'!BF217)),0),BF98*$BI98),BF98*$BI98),0)</f>
        <v>0</v>
      </c>
      <c r="DJ98" s="311">
        <f>IF($BI98&lt;&gt;"",IF('Capacity summary'!$D$14="Yes",IF(COUNTBLANK('Capacity summary'!$H217:$BG217)&lt;52,IF('Capacity summary'!BG217&lt;&gt;"",IF(LOWER('Capacity summary'!BG217)="x",$BI98*BG98,VALUE('Capacity summary'!BG217)),0),BG98*$BI98),BG98*$BI98),0)</f>
        <v>0</v>
      </c>
      <c r="DK98" s="391">
        <f t="shared" si="4"/>
        <v>0</v>
      </c>
      <c r="DL98" s="136">
        <f t="shared" si="5"/>
        <v>0</v>
      </c>
      <c r="DM98" s="311" t="str">
        <f>Capacity!H110</f>
        <v/>
      </c>
    </row>
    <row r="99" spans="1:117" x14ac:dyDescent="0.2">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1">
        <f>IF($BI99&lt;&gt;"",IF('Capacity summary'!$D$14="Yes",IF(COUNTBLANK('Capacity summary'!$H218:$BG218)&lt;52,IF('Capacity summary'!H218&lt;&gt;"",IF(LOWER('Capacity summary'!H218)="x",$BI99*H99,VALUE('Capacity summary'!H218)),0),H99*$BI99),H99*$BI99),0)</f>
        <v>0</v>
      </c>
      <c r="BL99" s="311">
        <f>IF($BI99&lt;&gt;"",IF('Capacity summary'!$D$14="Yes",IF(COUNTBLANK('Capacity summary'!$H218:$BG218)&lt;52,IF('Capacity summary'!I218&lt;&gt;"",IF(LOWER('Capacity summary'!I218)="x",$BI99*I99,VALUE('Capacity summary'!I218)),0),I99*$BI99),I99*$BI99),0)</f>
        <v>0</v>
      </c>
      <c r="BM99" s="311">
        <f>IF($BI99&lt;&gt;"",IF('Capacity summary'!$D$14="Yes",IF(COUNTBLANK('Capacity summary'!$H218:$BG218)&lt;52,IF('Capacity summary'!J218&lt;&gt;"",IF(LOWER('Capacity summary'!J218)="x",$BI99*J99,VALUE('Capacity summary'!J218)),0),J99*$BI99),J99*$BI99),0)</f>
        <v>0</v>
      </c>
      <c r="BN99" s="311">
        <f>IF($BI99&lt;&gt;"",IF('Capacity summary'!$D$14="Yes",IF(COUNTBLANK('Capacity summary'!$H218:$BG218)&lt;52,IF('Capacity summary'!K218&lt;&gt;"",IF(LOWER('Capacity summary'!K218)="x",$BI99*K99,VALUE('Capacity summary'!K218)),0),K99*$BI99),K99*$BI99),0)</f>
        <v>0</v>
      </c>
      <c r="BO99" s="311">
        <f>IF($BI99&lt;&gt;"",IF('Capacity summary'!$D$14="Yes",IF(COUNTBLANK('Capacity summary'!$H218:$BG218)&lt;52,IF('Capacity summary'!L218&lt;&gt;"",IF(LOWER('Capacity summary'!L218)="x",$BI99*L99,VALUE('Capacity summary'!L218)),0),L99*$BI99),L99*$BI99),0)</f>
        <v>0</v>
      </c>
      <c r="BP99" s="311">
        <f>IF($BI99&lt;&gt;"",IF('Capacity summary'!$D$14="Yes",IF(COUNTBLANK('Capacity summary'!$H218:$BG218)&lt;52,IF('Capacity summary'!M218&lt;&gt;"",IF(LOWER('Capacity summary'!M218)="x",$BI99*M99,VALUE('Capacity summary'!M218)),0),M99*$BI99),M99*$BI99),0)</f>
        <v>0</v>
      </c>
      <c r="BQ99" s="311">
        <f>IF($BI99&lt;&gt;"",IF('Capacity summary'!$D$14="Yes",IF(COUNTBLANK('Capacity summary'!$H218:$BG218)&lt;52,IF('Capacity summary'!N218&lt;&gt;"",IF(LOWER('Capacity summary'!N218)="x",$BI99*N99,VALUE('Capacity summary'!N218)),0),N99*$BI99),N99*$BI99),0)</f>
        <v>0</v>
      </c>
      <c r="BR99" s="311">
        <f>IF($BI99&lt;&gt;"",IF('Capacity summary'!$D$14="Yes",IF(COUNTBLANK('Capacity summary'!$H218:$BG218)&lt;52,IF('Capacity summary'!O218&lt;&gt;"",IF(LOWER('Capacity summary'!O218)="x",$BI99*O99,VALUE('Capacity summary'!O218)),0),O99*$BI99),O99*$BI99),0)</f>
        <v>0</v>
      </c>
      <c r="BS99" s="311">
        <f>IF($BI99&lt;&gt;"",IF('Capacity summary'!$D$14="Yes",IF(COUNTBLANK('Capacity summary'!$H218:$BG218)&lt;52,IF('Capacity summary'!P218&lt;&gt;"",IF(LOWER('Capacity summary'!P218)="x",$BI99*P99,VALUE('Capacity summary'!P218)),0),P99*$BI99),P99*$BI99),0)</f>
        <v>0</v>
      </c>
      <c r="BT99" s="311">
        <f>IF($BI99&lt;&gt;"",IF('Capacity summary'!$D$14="Yes",IF(COUNTBLANK('Capacity summary'!$H218:$BG218)&lt;52,IF('Capacity summary'!Q218&lt;&gt;"",IF(LOWER('Capacity summary'!Q218)="x",$BI99*Q99,VALUE('Capacity summary'!Q218)),0),Q99*$BI99),Q99*$BI99),0)</f>
        <v>0</v>
      </c>
      <c r="BU99" s="311">
        <f>IF($BI99&lt;&gt;"",IF('Capacity summary'!$D$14="Yes",IF(COUNTBLANK('Capacity summary'!$H218:$BG218)&lt;52,IF('Capacity summary'!R218&lt;&gt;"",IF(LOWER('Capacity summary'!R218)="x",$BI99*R99,VALUE('Capacity summary'!R218)),0),R99*$BI99),R99*$BI99),0)</f>
        <v>0</v>
      </c>
      <c r="BV99" s="311">
        <f>IF($BI99&lt;&gt;"",IF('Capacity summary'!$D$14="Yes",IF(COUNTBLANK('Capacity summary'!$H218:$BG218)&lt;52,IF('Capacity summary'!S218&lt;&gt;"",IF(LOWER('Capacity summary'!S218)="x",$BI99*S99,VALUE('Capacity summary'!S218)),0),S99*$BI99),S99*$BI99),0)</f>
        <v>0</v>
      </c>
      <c r="BW99" s="311">
        <f>IF($BI99&lt;&gt;"",IF('Capacity summary'!$D$14="Yes",IF(COUNTBLANK('Capacity summary'!$H218:$BG218)&lt;52,IF('Capacity summary'!T218&lt;&gt;"",IF(LOWER('Capacity summary'!T218)="x",$BI99*T99,VALUE('Capacity summary'!T218)),0),T99*$BI99),T99*$BI99),0)</f>
        <v>0</v>
      </c>
      <c r="BX99" s="311">
        <f>IF($BI99&lt;&gt;"",IF('Capacity summary'!$D$14="Yes",IF(COUNTBLANK('Capacity summary'!$H218:$BG218)&lt;52,IF('Capacity summary'!U218&lt;&gt;"",IF(LOWER('Capacity summary'!U218)="x",$BI99*U99,VALUE('Capacity summary'!U218)),0),U99*$BI99),U99*$BI99),0)</f>
        <v>0</v>
      </c>
      <c r="BY99" s="311">
        <f>IF($BI99&lt;&gt;"",IF('Capacity summary'!$D$14="Yes",IF(COUNTBLANK('Capacity summary'!$H218:$BG218)&lt;52,IF('Capacity summary'!V218&lt;&gt;"",IF(LOWER('Capacity summary'!V218)="x",$BI99*V99,VALUE('Capacity summary'!V218)),0),V99*$BI99),V99*$BI99),0)</f>
        <v>0</v>
      </c>
      <c r="BZ99" s="311">
        <f>IF($BI99&lt;&gt;"",IF('Capacity summary'!$D$14="Yes",IF(COUNTBLANK('Capacity summary'!$H218:$BG218)&lt;52,IF('Capacity summary'!W218&lt;&gt;"",IF(LOWER('Capacity summary'!W218)="x",$BI99*W99,VALUE('Capacity summary'!W218)),0),W99*$BI99),W99*$BI99),0)</f>
        <v>0</v>
      </c>
      <c r="CA99" s="311">
        <f>IF($BI99&lt;&gt;"",IF('Capacity summary'!$D$14="Yes",IF(COUNTBLANK('Capacity summary'!$H218:$BG218)&lt;52,IF('Capacity summary'!X218&lt;&gt;"",IF(LOWER('Capacity summary'!X218)="x",$BI99*X99,VALUE('Capacity summary'!X218)),0),X99*$BI99),X99*$BI99),0)</f>
        <v>0</v>
      </c>
      <c r="CB99" s="311">
        <f>IF($BI99&lt;&gt;"",IF('Capacity summary'!$D$14="Yes",IF(COUNTBLANK('Capacity summary'!$H218:$BG218)&lt;52,IF('Capacity summary'!Y218&lt;&gt;"",IF(LOWER('Capacity summary'!Y218)="x",$BI99*Y99,VALUE('Capacity summary'!Y218)),0),Y99*$BI99),Y99*$BI99),0)</f>
        <v>0</v>
      </c>
      <c r="CC99" s="311">
        <f>IF($BI99&lt;&gt;"",IF('Capacity summary'!$D$14="Yes",IF(COUNTBLANK('Capacity summary'!$H218:$BG218)&lt;52,IF('Capacity summary'!Z218&lt;&gt;"",IF(LOWER('Capacity summary'!Z218)="x",$BI99*Z99,VALUE('Capacity summary'!Z218)),0),Z99*$BI99),Z99*$BI99),0)</f>
        <v>0</v>
      </c>
      <c r="CD99" s="311">
        <f>IF($BI99&lt;&gt;"",IF('Capacity summary'!$D$14="Yes",IF(COUNTBLANK('Capacity summary'!$H218:$BG218)&lt;52,IF('Capacity summary'!AA218&lt;&gt;"",IF(LOWER('Capacity summary'!AA218)="x",$BI99*AA99,VALUE('Capacity summary'!AA218)),0),AA99*$BI99),AA99*$BI99),0)</f>
        <v>0</v>
      </c>
      <c r="CE99" s="311">
        <f>IF($BI99&lt;&gt;"",IF('Capacity summary'!$D$14="Yes",IF(COUNTBLANK('Capacity summary'!$H218:$BG218)&lt;52,IF('Capacity summary'!AB218&lt;&gt;"",IF(LOWER('Capacity summary'!AB218)="x",$BI99*AB99,VALUE('Capacity summary'!AB218)),0),AB99*$BI99),AB99*$BI99),0)</f>
        <v>0</v>
      </c>
      <c r="CF99" s="311">
        <f>IF($BI99&lt;&gt;"",IF('Capacity summary'!$D$14="Yes",IF(COUNTBLANK('Capacity summary'!$H218:$BG218)&lt;52,IF('Capacity summary'!AC218&lt;&gt;"",IF(LOWER('Capacity summary'!AC218)="x",$BI99*AC99,VALUE('Capacity summary'!AC218)),0),AC99*$BI99),AC99*$BI99),0)</f>
        <v>0</v>
      </c>
      <c r="CG99" s="311">
        <f>IF($BI99&lt;&gt;"",IF('Capacity summary'!$D$14="Yes",IF(COUNTBLANK('Capacity summary'!$H218:$BG218)&lt;52,IF('Capacity summary'!AD218&lt;&gt;"",IF(LOWER('Capacity summary'!AD218)="x",$BI99*AD99,VALUE('Capacity summary'!AD218)),0),AD99*$BI99),AD99*$BI99),0)</f>
        <v>0</v>
      </c>
      <c r="CH99" s="311">
        <f>IF($BI99&lt;&gt;"",IF('Capacity summary'!$D$14="Yes",IF(COUNTBLANK('Capacity summary'!$H218:$BG218)&lt;52,IF('Capacity summary'!AE218&lt;&gt;"",IF(LOWER('Capacity summary'!AE218)="x",$BI99*AE99,VALUE('Capacity summary'!AE218)),0),AE99*$BI99),AE99*$BI99),0)</f>
        <v>0</v>
      </c>
      <c r="CI99" s="311">
        <f>IF($BI99&lt;&gt;"",IF('Capacity summary'!$D$14="Yes",IF(COUNTBLANK('Capacity summary'!$H218:$BG218)&lt;52,IF('Capacity summary'!AF218&lt;&gt;"",IF(LOWER('Capacity summary'!AF218)="x",$BI99*AF99,VALUE('Capacity summary'!AF218)),0),AF99*$BI99),AF99*$BI99),0)</f>
        <v>0</v>
      </c>
      <c r="CJ99" s="311">
        <f>IF($BI99&lt;&gt;"",IF('Capacity summary'!$D$14="Yes",IF(COUNTBLANK('Capacity summary'!$H218:$BG218)&lt;52,IF('Capacity summary'!AG218&lt;&gt;"",IF(LOWER('Capacity summary'!AG218)="x",$BI99*AG99,VALUE('Capacity summary'!AG218)),0),AG99*$BI99),AG99*$BI99),0)</f>
        <v>0</v>
      </c>
      <c r="CK99" s="311">
        <f>IF($BI99&lt;&gt;"",IF('Capacity summary'!$D$14="Yes",IF(COUNTBLANK('Capacity summary'!$H218:$BG218)&lt;52,IF('Capacity summary'!AH218&lt;&gt;"",IF(LOWER('Capacity summary'!AH218)="x",$BI99*AH99,VALUE('Capacity summary'!AH218)),0),AH99*$BI99),AH99*$BI99),0)</f>
        <v>0</v>
      </c>
      <c r="CL99" s="311">
        <f>IF($BI99&lt;&gt;"",IF('Capacity summary'!$D$14="Yes",IF(COUNTBLANK('Capacity summary'!$H218:$BG218)&lt;52,IF('Capacity summary'!AI218&lt;&gt;"",IF(LOWER('Capacity summary'!AI218)="x",$BI99*AI99,VALUE('Capacity summary'!AI218)),0),AI99*$BI99),AI99*$BI99),0)</f>
        <v>0</v>
      </c>
      <c r="CM99" s="311">
        <f>IF($BI99&lt;&gt;"",IF('Capacity summary'!$D$14="Yes",IF(COUNTBLANK('Capacity summary'!$H218:$BG218)&lt;52,IF('Capacity summary'!AJ218&lt;&gt;"",IF(LOWER('Capacity summary'!AJ218)="x",$BI99*AJ99,VALUE('Capacity summary'!AJ218)),0),AJ99*$BI99),AJ99*$BI99),0)</f>
        <v>0</v>
      </c>
      <c r="CN99" s="311">
        <f>IF($BI99&lt;&gt;"",IF('Capacity summary'!$D$14="Yes",IF(COUNTBLANK('Capacity summary'!$H218:$BG218)&lt;52,IF('Capacity summary'!AK218&lt;&gt;"",IF(LOWER('Capacity summary'!AK218)="x",$BI99*AK99,VALUE('Capacity summary'!AK218)),0),AK99*$BI99),AK99*$BI99),0)</f>
        <v>0</v>
      </c>
      <c r="CO99" s="311">
        <f>IF($BI99&lt;&gt;"",IF('Capacity summary'!$D$14="Yes",IF(COUNTBLANK('Capacity summary'!$H218:$BG218)&lt;52,IF('Capacity summary'!AL218&lt;&gt;"",IF(LOWER('Capacity summary'!AL218)="x",$BI99*AL99,VALUE('Capacity summary'!AL218)),0),AL99*$BI99),AL99*$BI99),0)</f>
        <v>0</v>
      </c>
      <c r="CP99" s="311">
        <f>IF($BI99&lt;&gt;"",IF('Capacity summary'!$D$14="Yes",IF(COUNTBLANK('Capacity summary'!$H218:$BG218)&lt;52,IF('Capacity summary'!AM218&lt;&gt;"",IF(LOWER('Capacity summary'!AM218)="x",$BI99*AM99,VALUE('Capacity summary'!AM218)),0),AM99*$BI99),AM99*$BI99),0)</f>
        <v>0</v>
      </c>
      <c r="CQ99" s="311">
        <f>IF($BI99&lt;&gt;"",IF('Capacity summary'!$D$14="Yes",IF(COUNTBLANK('Capacity summary'!$H218:$BG218)&lt;52,IF('Capacity summary'!AN218&lt;&gt;"",IF(LOWER('Capacity summary'!AN218)="x",$BI99*AN99,VALUE('Capacity summary'!AN218)),0),AN99*$BI99),AN99*$BI99),0)</f>
        <v>0</v>
      </c>
      <c r="CR99" s="311">
        <f>IF($BI99&lt;&gt;"",IF('Capacity summary'!$D$14="Yes",IF(COUNTBLANK('Capacity summary'!$H218:$BG218)&lt;52,IF('Capacity summary'!AO218&lt;&gt;"",IF(LOWER('Capacity summary'!AO218)="x",$BI99*AO99,VALUE('Capacity summary'!AO218)),0),AO99*$BI99),AO99*$BI99),0)</f>
        <v>0</v>
      </c>
      <c r="CS99" s="311">
        <f>IF($BI99&lt;&gt;"",IF('Capacity summary'!$D$14="Yes",IF(COUNTBLANK('Capacity summary'!$H218:$BG218)&lt;52,IF('Capacity summary'!AP218&lt;&gt;"",IF(LOWER('Capacity summary'!AP218)="x",$BI99*AP99,VALUE('Capacity summary'!AP218)),0),AP99*$BI99),AP99*$BI99),0)</f>
        <v>0</v>
      </c>
      <c r="CT99" s="311">
        <f>IF($BI99&lt;&gt;"",IF('Capacity summary'!$D$14="Yes",IF(COUNTBLANK('Capacity summary'!$H218:$BG218)&lt;52,IF('Capacity summary'!AQ218&lt;&gt;"",IF(LOWER('Capacity summary'!AQ218)="x",$BI99*AQ99,VALUE('Capacity summary'!AQ218)),0),AQ99*$BI99),AQ99*$BI99),0)</f>
        <v>0</v>
      </c>
      <c r="CU99" s="311">
        <f>IF($BI99&lt;&gt;"",IF('Capacity summary'!$D$14="Yes",IF(COUNTBLANK('Capacity summary'!$H218:$BG218)&lt;52,IF('Capacity summary'!AR218&lt;&gt;"",IF(LOWER('Capacity summary'!AR218)="x",$BI99*AR99,VALUE('Capacity summary'!AR218)),0),AR99*$BI99),AR99*$BI99),0)</f>
        <v>0</v>
      </c>
      <c r="CV99" s="311">
        <f>IF($BI99&lt;&gt;"",IF('Capacity summary'!$D$14="Yes",IF(COUNTBLANK('Capacity summary'!$H218:$BG218)&lt;52,IF('Capacity summary'!AS218&lt;&gt;"",IF(LOWER('Capacity summary'!AS218)="x",$BI99*AS99,VALUE('Capacity summary'!AS218)),0),AS99*$BI99),AS99*$BI99),0)</f>
        <v>0</v>
      </c>
      <c r="CW99" s="311">
        <f>IF($BI99&lt;&gt;"",IF('Capacity summary'!$D$14="Yes",IF(COUNTBLANK('Capacity summary'!$H218:$BG218)&lt;52,IF('Capacity summary'!AT218&lt;&gt;"",IF(LOWER('Capacity summary'!AT218)="x",$BI99*AT99,VALUE('Capacity summary'!AT218)),0),AT99*$BI99),AT99*$BI99),0)</f>
        <v>0</v>
      </c>
      <c r="CX99" s="311">
        <f>IF($BI99&lt;&gt;"",IF('Capacity summary'!$D$14="Yes",IF(COUNTBLANK('Capacity summary'!$H218:$BG218)&lt;52,IF('Capacity summary'!AU218&lt;&gt;"",IF(LOWER('Capacity summary'!AU218)="x",$BI99*AU99,VALUE('Capacity summary'!AU218)),0),AU99*$BI99),AU99*$BI99),0)</f>
        <v>0</v>
      </c>
      <c r="CY99" s="311">
        <f>IF($BI99&lt;&gt;"",IF('Capacity summary'!$D$14="Yes",IF(COUNTBLANK('Capacity summary'!$H218:$BG218)&lt;52,IF('Capacity summary'!AV218&lt;&gt;"",IF(LOWER('Capacity summary'!AV218)="x",$BI99*AV99,VALUE('Capacity summary'!AV218)),0),AV99*$BI99),AV99*$BI99),0)</f>
        <v>0</v>
      </c>
      <c r="CZ99" s="311">
        <f>IF($BI99&lt;&gt;"",IF('Capacity summary'!$D$14="Yes",IF(COUNTBLANK('Capacity summary'!$H218:$BG218)&lt;52,IF('Capacity summary'!AW218&lt;&gt;"",IF(LOWER('Capacity summary'!AW218)="x",$BI99*AW99,VALUE('Capacity summary'!AW218)),0),AW99*$BI99),AW99*$BI99),0)</f>
        <v>0</v>
      </c>
      <c r="DA99" s="311">
        <f>IF($BI99&lt;&gt;"",IF('Capacity summary'!$D$14="Yes",IF(COUNTBLANK('Capacity summary'!$H218:$BG218)&lt;52,IF('Capacity summary'!AX218&lt;&gt;"",IF(LOWER('Capacity summary'!AX218)="x",$BI99*AX99,VALUE('Capacity summary'!AX218)),0),AX99*$BI99),AX99*$BI99),0)</f>
        <v>0</v>
      </c>
      <c r="DB99" s="311">
        <f>IF($BI99&lt;&gt;"",IF('Capacity summary'!$D$14="Yes",IF(COUNTBLANK('Capacity summary'!$H218:$BG218)&lt;52,IF('Capacity summary'!AY218&lt;&gt;"",IF(LOWER('Capacity summary'!AY218)="x",$BI99*AY99,VALUE('Capacity summary'!AY218)),0),AY99*$BI99),AY99*$BI99),0)</f>
        <v>0</v>
      </c>
      <c r="DC99" s="311">
        <f>IF($BI99&lt;&gt;"",IF('Capacity summary'!$D$14="Yes",IF(COUNTBLANK('Capacity summary'!$H218:$BG218)&lt;52,IF('Capacity summary'!AZ218&lt;&gt;"",IF(LOWER('Capacity summary'!AZ218)="x",$BI99*AZ99,VALUE('Capacity summary'!AZ218)),0),AZ99*$BI99),AZ99*$BI99),0)</f>
        <v>0</v>
      </c>
      <c r="DD99" s="311">
        <f>IF($BI99&lt;&gt;"",IF('Capacity summary'!$D$14="Yes",IF(COUNTBLANK('Capacity summary'!$H218:$BG218)&lt;52,IF('Capacity summary'!BA218&lt;&gt;"",IF(LOWER('Capacity summary'!BA218)="x",$BI99*BA99,VALUE('Capacity summary'!BA218)),0),BA99*$BI99),BA99*$BI99),0)</f>
        <v>0</v>
      </c>
      <c r="DE99" s="311">
        <f>IF($BI99&lt;&gt;"",IF('Capacity summary'!$D$14="Yes",IF(COUNTBLANK('Capacity summary'!$H218:$BG218)&lt;52,IF('Capacity summary'!BB218&lt;&gt;"",IF(LOWER('Capacity summary'!BB218)="x",$BI99*BB99,VALUE('Capacity summary'!BB218)),0),BB99*$BI99),BB99*$BI99),0)</f>
        <v>0</v>
      </c>
      <c r="DF99" s="311">
        <f>IF($BI99&lt;&gt;"",IF('Capacity summary'!$D$14="Yes",IF(COUNTBLANK('Capacity summary'!$H218:$BG218)&lt;52,IF('Capacity summary'!BC218&lt;&gt;"",IF(LOWER('Capacity summary'!BC218)="x",$BI99*BC99,VALUE('Capacity summary'!BC218)),0),BC99*$BI99),BC99*$BI99),0)</f>
        <v>0</v>
      </c>
      <c r="DG99" s="311">
        <f>IF($BI99&lt;&gt;"",IF('Capacity summary'!$D$14="Yes",IF(COUNTBLANK('Capacity summary'!$H218:$BG218)&lt;52,IF('Capacity summary'!BD218&lt;&gt;"",IF(LOWER('Capacity summary'!BD218)="x",$BI99*BD99,VALUE('Capacity summary'!BD218)),0),BD99*$BI99),BD99*$BI99),0)</f>
        <v>0</v>
      </c>
      <c r="DH99" s="311">
        <f>IF($BI99&lt;&gt;"",IF('Capacity summary'!$D$14="Yes",IF(COUNTBLANK('Capacity summary'!$H218:$BG218)&lt;52,IF('Capacity summary'!BE218&lt;&gt;"",IF(LOWER('Capacity summary'!BE218)="x",$BI99*BE99,VALUE('Capacity summary'!BE218)),0),BE99*$BI99),BE99*$BI99),0)</f>
        <v>0</v>
      </c>
      <c r="DI99" s="311">
        <f>IF($BI99&lt;&gt;"",IF('Capacity summary'!$D$14="Yes",IF(COUNTBLANK('Capacity summary'!$H218:$BG218)&lt;52,IF('Capacity summary'!BF218&lt;&gt;"",IF(LOWER('Capacity summary'!BF218)="x",$BI99*BF99,VALUE('Capacity summary'!BF218)),0),BF99*$BI99),BF99*$BI99),0)</f>
        <v>0</v>
      </c>
      <c r="DJ99" s="311">
        <f>IF($BI99&lt;&gt;"",IF('Capacity summary'!$D$14="Yes",IF(COUNTBLANK('Capacity summary'!$H218:$BG218)&lt;52,IF('Capacity summary'!BG218&lt;&gt;"",IF(LOWER('Capacity summary'!BG218)="x",$BI99*BG99,VALUE('Capacity summary'!BG218)),0),BG99*$BI99),BG99*$BI99),0)</f>
        <v>0</v>
      </c>
      <c r="DK99" s="391">
        <f t="shared" si="4"/>
        <v>0</v>
      </c>
      <c r="DL99" s="136">
        <f t="shared" si="5"/>
        <v>0</v>
      </c>
      <c r="DM99" s="311" t="str">
        <f>Capacity!H111</f>
        <v/>
      </c>
    </row>
    <row r="100" spans="1:117" x14ac:dyDescent="0.2">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1">
        <f>IF($BI100&lt;&gt;"",IF('Capacity summary'!$D$14="Yes",IF(COUNTBLANK('Capacity summary'!$H219:$BG219)&lt;52,IF('Capacity summary'!H219&lt;&gt;"",IF(LOWER('Capacity summary'!H219)="x",$BI100*H100,VALUE('Capacity summary'!H219)),0),H100*$BI100),H100*$BI100),0)</f>
        <v>0</v>
      </c>
      <c r="BL100" s="311">
        <f>IF($BI100&lt;&gt;"",IF('Capacity summary'!$D$14="Yes",IF(COUNTBLANK('Capacity summary'!$H219:$BG219)&lt;52,IF('Capacity summary'!I219&lt;&gt;"",IF(LOWER('Capacity summary'!I219)="x",$BI100*I100,VALUE('Capacity summary'!I219)),0),I100*$BI100),I100*$BI100),0)</f>
        <v>0</v>
      </c>
      <c r="BM100" s="311">
        <f>IF($BI100&lt;&gt;"",IF('Capacity summary'!$D$14="Yes",IF(COUNTBLANK('Capacity summary'!$H219:$BG219)&lt;52,IF('Capacity summary'!J219&lt;&gt;"",IF(LOWER('Capacity summary'!J219)="x",$BI100*J100,VALUE('Capacity summary'!J219)),0),J100*$BI100),J100*$BI100),0)</f>
        <v>0</v>
      </c>
      <c r="BN100" s="311">
        <f>IF($BI100&lt;&gt;"",IF('Capacity summary'!$D$14="Yes",IF(COUNTBLANK('Capacity summary'!$H219:$BG219)&lt;52,IF('Capacity summary'!K219&lt;&gt;"",IF(LOWER('Capacity summary'!K219)="x",$BI100*K100,VALUE('Capacity summary'!K219)),0),K100*$BI100),K100*$BI100),0)</f>
        <v>0</v>
      </c>
      <c r="BO100" s="311">
        <f>IF($BI100&lt;&gt;"",IF('Capacity summary'!$D$14="Yes",IF(COUNTBLANK('Capacity summary'!$H219:$BG219)&lt;52,IF('Capacity summary'!L219&lt;&gt;"",IF(LOWER('Capacity summary'!L219)="x",$BI100*L100,VALUE('Capacity summary'!L219)),0),L100*$BI100),L100*$BI100),0)</f>
        <v>0</v>
      </c>
      <c r="BP100" s="311">
        <f>IF($BI100&lt;&gt;"",IF('Capacity summary'!$D$14="Yes",IF(COUNTBLANK('Capacity summary'!$H219:$BG219)&lt;52,IF('Capacity summary'!M219&lt;&gt;"",IF(LOWER('Capacity summary'!M219)="x",$BI100*M100,VALUE('Capacity summary'!M219)),0),M100*$BI100),M100*$BI100),0)</f>
        <v>0</v>
      </c>
      <c r="BQ100" s="311">
        <f>IF($BI100&lt;&gt;"",IF('Capacity summary'!$D$14="Yes",IF(COUNTBLANK('Capacity summary'!$H219:$BG219)&lt;52,IF('Capacity summary'!N219&lt;&gt;"",IF(LOWER('Capacity summary'!N219)="x",$BI100*N100,VALUE('Capacity summary'!N219)),0),N100*$BI100),N100*$BI100),0)</f>
        <v>0</v>
      </c>
      <c r="BR100" s="311">
        <f>IF($BI100&lt;&gt;"",IF('Capacity summary'!$D$14="Yes",IF(COUNTBLANK('Capacity summary'!$H219:$BG219)&lt;52,IF('Capacity summary'!O219&lt;&gt;"",IF(LOWER('Capacity summary'!O219)="x",$BI100*O100,VALUE('Capacity summary'!O219)),0),O100*$BI100),O100*$BI100),0)</f>
        <v>0</v>
      </c>
      <c r="BS100" s="311">
        <f>IF($BI100&lt;&gt;"",IF('Capacity summary'!$D$14="Yes",IF(COUNTBLANK('Capacity summary'!$H219:$BG219)&lt;52,IF('Capacity summary'!P219&lt;&gt;"",IF(LOWER('Capacity summary'!P219)="x",$BI100*P100,VALUE('Capacity summary'!P219)),0),P100*$BI100),P100*$BI100),0)</f>
        <v>0</v>
      </c>
      <c r="BT100" s="311">
        <f>IF($BI100&lt;&gt;"",IF('Capacity summary'!$D$14="Yes",IF(COUNTBLANK('Capacity summary'!$H219:$BG219)&lt;52,IF('Capacity summary'!Q219&lt;&gt;"",IF(LOWER('Capacity summary'!Q219)="x",$BI100*Q100,VALUE('Capacity summary'!Q219)),0),Q100*$BI100),Q100*$BI100),0)</f>
        <v>0</v>
      </c>
      <c r="BU100" s="311">
        <f>IF($BI100&lt;&gt;"",IF('Capacity summary'!$D$14="Yes",IF(COUNTBLANK('Capacity summary'!$H219:$BG219)&lt;52,IF('Capacity summary'!R219&lt;&gt;"",IF(LOWER('Capacity summary'!R219)="x",$BI100*R100,VALUE('Capacity summary'!R219)),0),R100*$BI100),R100*$BI100),0)</f>
        <v>0</v>
      </c>
      <c r="BV100" s="311">
        <f>IF($BI100&lt;&gt;"",IF('Capacity summary'!$D$14="Yes",IF(COUNTBLANK('Capacity summary'!$H219:$BG219)&lt;52,IF('Capacity summary'!S219&lt;&gt;"",IF(LOWER('Capacity summary'!S219)="x",$BI100*S100,VALUE('Capacity summary'!S219)),0),S100*$BI100),S100*$BI100),0)</f>
        <v>0</v>
      </c>
      <c r="BW100" s="311">
        <f>IF($BI100&lt;&gt;"",IF('Capacity summary'!$D$14="Yes",IF(COUNTBLANK('Capacity summary'!$H219:$BG219)&lt;52,IF('Capacity summary'!T219&lt;&gt;"",IF(LOWER('Capacity summary'!T219)="x",$BI100*T100,VALUE('Capacity summary'!T219)),0),T100*$BI100),T100*$BI100),0)</f>
        <v>0</v>
      </c>
      <c r="BX100" s="311">
        <f>IF($BI100&lt;&gt;"",IF('Capacity summary'!$D$14="Yes",IF(COUNTBLANK('Capacity summary'!$H219:$BG219)&lt;52,IF('Capacity summary'!U219&lt;&gt;"",IF(LOWER('Capacity summary'!U219)="x",$BI100*U100,VALUE('Capacity summary'!U219)),0),U100*$BI100),U100*$BI100),0)</f>
        <v>0</v>
      </c>
      <c r="BY100" s="311">
        <f>IF($BI100&lt;&gt;"",IF('Capacity summary'!$D$14="Yes",IF(COUNTBLANK('Capacity summary'!$H219:$BG219)&lt;52,IF('Capacity summary'!V219&lt;&gt;"",IF(LOWER('Capacity summary'!V219)="x",$BI100*V100,VALUE('Capacity summary'!V219)),0),V100*$BI100),V100*$BI100),0)</f>
        <v>0</v>
      </c>
      <c r="BZ100" s="311">
        <f>IF($BI100&lt;&gt;"",IF('Capacity summary'!$D$14="Yes",IF(COUNTBLANK('Capacity summary'!$H219:$BG219)&lt;52,IF('Capacity summary'!W219&lt;&gt;"",IF(LOWER('Capacity summary'!W219)="x",$BI100*W100,VALUE('Capacity summary'!W219)),0),W100*$BI100),W100*$BI100),0)</f>
        <v>0</v>
      </c>
      <c r="CA100" s="311">
        <f>IF($BI100&lt;&gt;"",IF('Capacity summary'!$D$14="Yes",IF(COUNTBLANK('Capacity summary'!$H219:$BG219)&lt;52,IF('Capacity summary'!X219&lt;&gt;"",IF(LOWER('Capacity summary'!X219)="x",$BI100*X100,VALUE('Capacity summary'!X219)),0),X100*$BI100),X100*$BI100),0)</f>
        <v>0</v>
      </c>
      <c r="CB100" s="311">
        <f>IF($BI100&lt;&gt;"",IF('Capacity summary'!$D$14="Yes",IF(COUNTBLANK('Capacity summary'!$H219:$BG219)&lt;52,IF('Capacity summary'!Y219&lt;&gt;"",IF(LOWER('Capacity summary'!Y219)="x",$BI100*Y100,VALUE('Capacity summary'!Y219)),0),Y100*$BI100),Y100*$BI100),0)</f>
        <v>0</v>
      </c>
      <c r="CC100" s="311">
        <f>IF($BI100&lt;&gt;"",IF('Capacity summary'!$D$14="Yes",IF(COUNTBLANK('Capacity summary'!$H219:$BG219)&lt;52,IF('Capacity summary'!Z219&lt;&gt;"",IF(LOWER('Capacity summary'!Z219)="x",$BI100*Z100,VALUE('Capacity summary'!Z219)),0),Z100*$BI100),Z100*$BI100),0)</f>
        <v>0</v>
      </c>
      <c r="CD100" s="311">
        <f>IF($BI100&lt;&gt;"",IF('Capacity summary'!$D$14="Yes",IF(COUNTBLANK('Capacity summary'!$H219:$BG219)&lt;52,IF('Capacity summary'!AA219&lt;&gt;"",IF(LOWER('Capacity summary'!AA219)="x",$BI100*AA100,VALUE('Capacity summary'!AA219)),0),AA100*$BI100),AA100*$BI100),0)</f>
        <v>0</v>
      </c>
      <c r="CE100" s="311">
        <f>IF($BI100&lt;&gt;"",IF('Capacity summary'!$D$14="Yes",IF(COUNTBLANK('Capacity summary'!$H219:$BG219)&lt;52,IF('Capacity summary'!AB219&lt;&gt;"",IF(LOWER('Capacity summary'!AB219)="x",$BI100*AB100,VALUE('Capacity summary'!AB219)),0),AB100*$BI100),AB100*$BI100),0)</f>
        <v>0</v>
      </c>
      <c r="CF100" s="311">
        <f>IF($BI100&lt;&gt;"",IF('Capacity summary'!$D$14="Yes",IF(COUNTBLANK('Capacity summary'!$H219:$BG219)&lt;52,IF('Capacity summary'!AC219&lt;&gt;"",IF(LOWER('Capacity summary'!AC219)="x",$BI100*AC100,VALUE('Capacity summary'!AC219)),0),AC100*$BI100),AC100*$BI100),0)</f>
        <v>0</v>
      </c>
      <c r="CG100" s="311">
        <f>IF($BI100&lt;&gt;"",IF('Capacity summary'!$D$14="Yes",IF(COUNTBLANK('Capacity summary'!$H219:$BG219)&lt;52,IF('Capacity summary'!AD219&lt;&gt;"",IF(LOWER('Capacity summary'!AD219)="x",$BI100*AD100,VALUE('Capacity summary'!AD219)),0),AD100*$BI100),AD100*$BI100),0)</f>
        <v>0</v>
      </c>
      <c r="CH100" s="311">
        <f>IF($BI100&lt;&gt;"",IF('Capacity summary'!$D$14="Yes",IF(COUNTBLANK('Capacity summary'!$H219:$BG219)&lt;52,IF('Capacity summary'!AE219&lt;&gt;"",IF(LOWER('Capacity summary'!AE219)="x",$BI100*AE100,VALUE('Capacity summary'!AE219)),0),AE100*$BI100),AE100*$BI100),0)</f>
        <v>0</v>
      </c>
      <c r="CI100" s="311">
        <f>IF($BI100&lt;&gt;"",IF('Capacity summary'!$D$14="Yes",IF(COUNTBLANK('Capacity summary'!$H219:$BG219)&lt;52,IF('Capacity summary'!AF219&lt;&gt;"",IF(LOWER('Capacity summary'!AF219)="x",$BI100*AF100,VALUE('Capacity summary'!AF219)),0),AF100*$BI100),AF100*$BI100),0)</f>
        <v>0</v>
      </c>
      <c r="CJ100" s="311">
        <f>IF($BI100&lt;&gt;"",IF('Capacity summary'!$D$14="Yes",IF(COUNTBLANK('Capacity summary'!$H219:$BG219)&lt;52,IF('Capacity summary'!AG219&lt;&gt;"",IF(LOWER('Capacity summary'!AG219)="x",$BI100*AG100,VALUE('Capacity summary'!AG219)),0),AG100*$BI100),AG100*$BI100),0)</f>
        <v>0</v>
      </c>
      <c r="CK100" s="311">
        <f>IF($BI100&lt;&gt;"",IF('Capacity summary'!$D$14="Yes",IF(COUNTBLANK('Capacity summary'!$H219:$BG219)&lt;52,IF('Capacity summary'!AH219&lt;&gt;"",IF(LOWER('Capacity summary'!AH219)="x",$BI100*AH100,VALUE('Capacity summary'!AH219)),0),AH100*$BI100),AH100*$BI100),0)</f>
        <v>0</v>
      </c>
      <c r="CL100" s="311">
        <f>IF($BI100&lt;&gt;"",IF('Capacity summary'!$D$14="Yes",IF(COUNTBLANK('Capacity summary'!$H219:$BG219)&lt;52,IF('Capacity summary'!AI219&lt;&gt;"",IF(LOWER('Capacity summary'!AI219)="x",$BI100*AI100,VALUE('Capacity summary'!AI219)),0),AI100*$BI100),AI100*$BI100),0)</f>
        <v>0</v>
      </c>
      <c r="CM100" s="311">
        <f>IF($BI100&lt;&gt;"",IF('Capacity summary'!$D$14="Yes",IF(COUNTBLANK('Capacity summary'!$H219:$BG219)&lt;52,IF('Capacity summary'!AJ219&lt;&gt;"",IF(LOWER('Capacity summary'!AJ219)="x",$BI100*AJ100,VALUE('Capacity summary'!AJ219)),0),AJ100*$BI100),AJ100*$BI100),0)</f>
        <v>0</v>
      </c>
      <c r="CN100" s="311">
        <f>IF($BI100&lt;&gt;"",IF('Capacity summary'!$D$14="Yes",IF(COUNTBLANK('Capacity summary'!$H219:$BG219)&lt;52,IF('Capacity summary'!AK219&lt;&gt;"",IF(LOWER('Capacity summary'!AK219)="x",$BI100*AK100,VALUE('Capacity summary'!AK219)),0),AK100*$BI100),AK100*$BI100),0)</f>
        <v>0</v>
      </c>
      <c r="CO100" s="311">
        <f>IF($BI100&lt;&gt;"",IF('Capacity summary'!$D$14="Yes",IF(COUNTBLANK('Capacity summary'!$H219:$BG219)&lt;52,IF('Capacity summary'!AL219&lt;&gt;"",IF(LOWER('Capacity summary'!AL219)="x",$BI100*AL100,VALUE('Capacity summary'!AL219)),0),AL100*$BI100),AL100*$BI100),0)</f>
        <v>0</v>
      </c>
      <c r="CP100" s="311">
        <f>IF($BI100&lt;&gt;"",IF('Capacity summary'!$D$14="Yes",IF(COUNTBLANK('Capacity summary'!$H219:$BG219)&lt;52,IF('Capacity summary'!AM219&lt;&gt;"",IF(LOWER('Capacity summary'!AM219)="x",$BI100*AM100,VALUE('Capacity summary'!AM219)),0),AM100*$BI100),AM100*$BI100),0)</f>
        <v>0</v>
      </c>
      <c r="CQ100" s="311">
        <f>IF($BI100&lt;&gt;"",IF('Capacity summary'!$D$14="Yes",IF(COUNTBLANK('Capacity summary'!$H219:$BG219)&lt;52,IF('Capacity summary'!AN219&lt;&gt;"",IF(LOWER('Capacity summary'!AN219)="x",$BI100*AN100,VALUE('Capacity summary'!AN219)),0),AN100*$BI100),AN100*$BI100),0)</f>
        <v>0</v>
      </c>
      <c r="CR100" s="311">
        <f>IF($BI100&lt;&gt;"",IF('Capacity summary'!$D$14="Yes",IF(COUNTBLANK('Capacity summary'!$H219:$BG219)&lt;52,IF('Capacity summary'!AO219&lt;&gt;"",IF(LOWER('Capacity summary'!AO219)="x",$BI100*AO100,VALUE('Capacity summary'!AO219)),0),AO100*$BI100),AO100*$BI100),0)</f>
        <v>0</v>
      </c>
      <c r="CS100" s="311">
        <f>IF($BI100&lt;&gt;"",IF('Capacity summary'!$D$14="Yes",IF(COUNTBLANK('Capacity summary'!$H219:$BG219)&lt;52,IF('Capacity summary'!AP219&lt;&gt;"",IF(LOWER('Capacity summary'!AP219)="x",$BI100*AP100,VALUE('Capacity summary'!AP219)),0),AP100*$BI100),AP100*$BI100),0)</f>
        <v>0</v>
      </c>
      <c r="CT100" s="311">
        <f>IF($BI100&lt;&gt;"",IF('Capacity summary'!$D$14="Yes",IF(COUNTBLANK('Capacity summary'!$H219:$BG219)&lt;52,IF('Capacity summary'!AQ219&lt;&gt;"",IF(LOWER('Capacity summary'!AQ219)="x",$BI100*AQ100,VALUE('Capacity summary'!AQ219)),0),AQ100*$BI100),AQ100*$BI100),0)</f>
        <v>0</v>
      </c>
      <c r="CU100" s="311">
        <f>IF($BI100&lt;&gt;"",IF('Capacity summary'!$D$14="Yes",IF(COUNTBLANK('Capacity summary'!$H219:$BG219)&lt;52,IF('Capacity summary'!AR219&lt;&gt;"",IF(LOWER('Capacity summary'!AR219)="x",$BI100*AR100,VALUE('Capacity summary'!AR219)),0),AR100*$BI100),AR100*$BI100),0)</f>
        <v>0</v>
      </c>
      <c r="CV100" s="311">
        <f>IF($BI100&lt;&gt;"",IF('Capacity summary'!$D$14="Yes",IF(COUNTBLANK('Capacity summary'!$H219:$BG219)&lt;52,IF('Capacity summary'!AS219&lt;&gt;"",IF(LOWER('Capacity summary'!AS219)="x",$BI100*AS100,VALUE('Capacity summary'!AS219)),0),AS100*$BI100),AS100*$BI100),0)</f>
        <v>0</v>
      </c>
      <c r="CW100" s="311">
        <f>IF($BI100&lt;&gt;"",IF('Capacity summary'!$D$14="Yes",IF(COUNTBLANK('Capacity summary'!$H219:$BG219)&lt;52,IF('Capacity summary'!AT219&lt;&gt;"",IF(LOWER('Capacity summary'!AT219)="x",$BI100*AT100,VALUE('Capacity summary'!AT219)),0),AT100*$BI100),AT100*$BI100),0)</f>
        <v>0</v>
      </c>
      <c r="CX100" s="311">
        <f>IF($BI100&lt;&gt;"",IF('Capacity summary'!$D$14="Yes",IF(COUNTBLANK('Capacity summary'!$H219:$BG219)&lt;52,IF('Capacity summary'!AU219&lt;&gt;"",IF(LOWER('Capacity summary'!AU219)="x",$BI100*AU100,VALUE('Capacity summary'!AU219)),0),AU100*$BI100),AU100*$BI100),0)</f>
        <v>0</v>
      </c>
      <c r="CY100" s="311">
        <f>IF($BI100&lt;&gt;"",IF('Capacity summary'!$D$14="Yes",IF(COUNTBLANK('Capacity summary'!$H219:$BG219)&lt;52,IF('Capacity summary'!AV219&lt;&gt;"",IF(LOWER('Capacity summary'!AV219)="x",$BI100*AV100,VALUE('Capacity summary'!AV219)),0),AV100*$BI100),AV100*$BI100),0)</f>
        <v>0</v>
      </c>
      <c r="CZ100" s="311">
        <f>IF($BI100&lt;&gt;"",IF('Capacity summary'!$D$14="Yes",IF(COUNTBLANK('Capacity summary'!$H219:$BG219)&lt;52,IF('Capacity summary'!AW219&lt;&gt;"",IF(LOWER('Capacity summary'!AW219)="x",$BI100*AW100,VALUE('Capacity summary'!AW219)),0),AW100*$BI100),AW100*$BI100),0)</f>
        <v>0</v>
      </c>
      <c r="DA100" s="311">
        <f>IF($BI100&lt;&gt;"",IF('Capacity summary'!$D$14="Yes",IF(COUNTBLANK('Capacity summary'!$H219:$BG219)&lt;52,IF('Capacity summary'!AX219&lt;&gt;"",IF(LOWER('Capacity summary'!AX219)="x",$BI100*AX100,VALUE('Capacity summary'!AX219)),0),AX100*$BI100),AX100*$BI100),0)</f>
        <v>0</v>
      </c>
      <c r="DB100" s="311">
        <f>IF($BI100&lt;&gt;"",IF('Capacity summary'!$D$14="Yes",IF(COUNTBLANK('Capacity summary'!$H219:$BG219)&lt;52,IF('Capacity summary'!AY219&lt;&gt;"",IF(LOWER('Capacity summary'!AY219)="x",$BI100*AY100,VALUE('Capacity summary'!AY219)),0),AY100*$BI100),AY100*$BI100),0)</f>
        <v>0</v>
      </c>
      <c r="DC100" s="311">
        <f>IF($BI100&lt;&gt;"",IF('Capacity summary'!$D$14="Yes",IF(COUNTBLANK('Capacity summary'!$H219:$BG219)&lt;52,IF('Capacity summary'!AZ219&lt;&gt;"",IF(LOWER('Capacity summary'!AZ219)="x",$BI100*AZ100,VALUE('Capacity summary'!AZ219)),0),AZ100*$BI100),AZ100*$BI100),0)</f>
        <v>0</v>
      </c>
      <c r="DD100" s="311">
        <f>IF($BI100&lt;&gt;"",IF('Capacity summary'!$D$14="Yes",IF(COUNTBLANK('Capacity summary'!$H219:$BG219)&lt;52,IF('Capacity summary'!BA219&lt;&gt;"",IF(LOWER('Capacity summary'!BA219)="x",$BI100*BA100,VALUE('Capacity summary'!BA219)),0),BA100*$BI100),BA100*$BI100),0)</f>
        <v>0</v>
      </c>
      <c r="DE100" s="311">
        <f>IF($BI100&lt;&gt;"",IF('Capacity summary'!$D$14="Yes",IF(COUNTBLANK('Capacity summary'!$H219:$BG219)&lt;52,IF('Capacity summary'!BB219&lt;&gt;"",IF(LOWER('Capacity summary'!BB219)="x",$BI100*BB100,VALUE('Capacity summary'!BB219)),0),BB100*$BI100),BB100*$BI100),0)</f>
        <v>0</v>
      </c>
      <c r="DF100" s="311">
        <f>IF($BI100&lt;&gt;"",IF('Capacity summary'!$D$14="Yes",IF(COUNTBLANK('Capacity summary'!$H219:$BG219)&lt;52,IF('Capacity summary'!BC219&lt;&gt;"",IF(LOWER('Capacity summary'!BC219)="x",$BI100*BC100,VALUE('Capacity summary'!BC219)),0),BC100*$BI100),BC100*$BI100),0)</f>
        <v>0</v>
      </c>
      <c r="DG100" s="311">
        <f>IF($BI100&lt;&gt;"",IF('Capacity summary'!$D$14="Yes",IF(COUNTBLANK('Capacity summary'!$H219:$BG219)&lt;52,IF('Capacity summary'!BD219&lt;&gt;"",IF(LOWER('Capacity summary'!BD219)="x",$BI100*BD100,VALUE('Capacity summary'!BD219)),0),BD100*$BI100),BD100*$BI100),0)</f>
        <v>0</v>
      </c>
      <c r="DH100" s="311">
        <f>IF($BI100&lt;&gt;"",IF('Capacity summary'!$D$14="Yes",IF(COUNTBLANK('Capacity summary'!$H219:$BG219)&lt;52,IF('Capacity summary'!BE219&lt;&gt;"",IF(LOWER('Capacity summary'!BE219)="x",$BI100*BE100,VALUE('Capacity summary'!BE219)),0),BE100*$BI100),BE100*$BI100),0)</f>
        <v>0</v>
      </c>
      <c r="DI100" s="311">
        <f>IF($BI100&lt;&gt;"",IF('Capacity summary'!$D$14="Yes",IF(COUNTBLANK('Capacity summary'!$H219:$BG219)&lt;52,IF('Capacity summary'!BF219&lt;&gt;"",IF(LOWER('Capacity summary'!BF219)="x",$BI100*BF100,VALUE('Capacity summary'!BF219)),0),BF100*$BI100),BF100*$BI100),0)</f>
        <v>0</v>
      </c>
      <c r="DJ100" s="311">
        <f>IF($BI100&lt;&gt;"",IF('Capacity summary'!$D$14="Yes",IF(COUNTBLANK('Capacity summary'!$H219:$BG219)&lt;52,IF('Capacity summary'!BG219&lt;&gt;"",IF(LOWER('Capacity summary'!BG219)="x",$BI100*BG100,VALUE('Capacity summary'!BG219)),0),BG100*$BI100),BG100*$BI100),0)</f>
        <v>0</v>
      </c>
      <c r="DK100" s="391">
        <f t="shared" si="4"/>
        <v>0</v>
      </c>
      <c r="DL100" s="136">
        <f t="shared" si="5"/>
        <v>0</v>
      </c>
      <c r="DM100" s="311" t="str">
        <f>Capacity!H112</f>
        <v/>
      </c>
    </row>
    <row r="101" spans="1:117" x14ac:dyDescent="0.2">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1">
        <f>IF($BI101&lt;&gt;"",IF('Capacity summary'!$D$14="Yes",IF(COUNTBLANK('Capacity summary'!$H220:$BG220)&lt;52,IF('Capacity summary'!H220&lt;&gt;"",IF(LOWER('Capacity summary'!H220)="x",$BI101*H101,VALUE('Capacity summary'!H220)),0),H101*$BI101),H101*$BI101),0)</f>
        <v>0</v>
      </c>
      <c r="BL101" s="311">
        <f>IF($BI101&lt;&gt;"",IF('Capacity summary'!$D$14="Yes",IF(COUNTBLANK('Capacity summary'!$H220:$BG220)&lt;52,IF('Capacity summary'!I220&lt;&gt;"",IF(LOWER('Capacity summary'!I220)="x",$BI101*I101,VALUE('Capacity summary'!I220)),0),I101*$BI101),I101*$BI101),0)</f>
        <v>0</v>
      </c>
      <c r="BM101" s="311">
        <f>IF($BI101&lt;&gt;"",IF('Capacity summary'!$D$14="Yes",IF(COUNTBLANK('Capacity summary'!$H220:$BG220)&lt;52,IF('Capacity summary'!J220&lt;&gt;"",IF(LOWER('Capacity summary'!J220)="x",$BI101*J101,VALUE('Capacity summary'!J220)),0),J101*$BI101),J101*$BI101),0)</f>
        <v>0</v>
      </c>
      <c r="BN101" s="311">
        <f>IF($BI101&lt;&gt;"",IF('Capacity summary'!$D$14="Yes",IF(COUNTBLANK('Capacity summary'!$H220:$BG220)&lt;52,IF('Capacity summary'!K220&lt;&gt;"",IF(LOWER('Capacity summary'!K220)="x",$BI101*K101,VALUE('Capacity summary'!K220)),0),K101*$BI101),K101*$BI101),0)</f>
        <v>0</v>
      </c>
      <c r="BO101" s="311">
        <f>IF($BI101&lt;&gt;"",IF('Capacity summary'!$D$14="Yes",IF(COUNTBLANK('Capacity summary'!$H220:$BG220)&lt;52,IF('Capacity summary'!L220&lt;&gt;"",IF(LOWER('Capacity summary'!L220)="x",$BI101*L101,VALUE('Capacity summary'!L220)),0),L101*$BI101),L101*$BI101),0)</f>
        <v>0</v>
      </c>
      <c r="BP101" s="311">
        <f>IF($BI101&lt;&gt;"",IF('Capacity summary'!$D$14="Yes",IF(COUNTBLANK('Capacity summary'!$H220:$BG220)&lt;52,IF('Capacity summary'!M220&lt;&gt;"",IF(LOWER('Capacity summary'!M220)="x",$BI101*M101,VALUE('Capacity summary'!M220)),0),M101*$BI101),M101*$BI101),0)</f>
        <v>0</v>
      </c>
      <c r="BQ101" s="311">
        <f>IF($BI101&lt;&gt;"",IF('Capacity summary'!$D$14="Yes",IF(COUNTBLANK('Capacity summary'!$H220:$BG220)&lt;52,IF('Capacity summary'!N220&lt;&gt;"",IF(LOWER('Capacity summary'!N220)="x",$BI101*N101,VALUE('Capacity summary'!N220)),0),N101*$BI101),N101*$BI101),0)</f>
        <v>0</v>
      </c>
      <c r="BR101" s="311">
        <f>IF($BI101&lt;&gt;"",IF('Capacity summary'!$D$14="Yes",IF(COUNTBLANK('Capacity summary'!$H220:$BG220)&lt;52,IF('Capacity summary'!O220&lt;&gt;"",IF(LOWER('Capacity summary'!O220)="x",$BI101*O101,VALUE('Capacity summary'!O220)),0),O101*$BI101),O101*$BI101),0)</f>
        <v>0</v>
      </c>
      <c r="BS101" s="311">
        <f>IF($BI101&lt;&gt;"",IF('Capacity summary'!$D$14="Yes",IF(COUNTBLANK('Capacity summary'!$H220:$BG220)&lt;52,IF('Capacity summary'!P220&lt;&gt;"",IF(LOWER('Capacity summary'!P220)="x",$BI101*P101,VALUE('Capacity summary'!P220)),0),P101*$BI101),P101*$BI101),0)</f>
        <v>0</v>
      </c>
      <c r="BT101" s="311">
        <f>IF($BI101&lt;&gt;"",IF('Capacity summary'!$D$14="Yes",IF(COUNTBLANK('Capacity summary'!$H220:$BG220)&lt;52,IF('Capacity summary'!Q220&lt;&gt;"",IF(LOWER('Capacity summary'!Q220)="x",$BI101*Q101,VALUE('Capacity summary'!Q220)),0),Q101*$BI101),Q101*$BI101),0)</f>
        <v>0</v>
      </c>
      <c r="BU101" s="311">
        <f>IF($BI101&lt;&gt;"",IF('Capacity summary'!$D$14="Yes",IF(COUNTBLANK('Capacity summary'!$H220:$BG220)&lt;52,IF('Capacity summary'!R220&lt;&gt;"",IF(LOWER('Capacity summary'!R220)="x",$BI101*R101,VALUE('Capacity summary'!R220)),0),R101*$BI101),R101*$BI101),0)</f>
        <v>0</v>
      </c>
      <c r="BV101" s="311">
        <f>IF($BI101&lt;&gt;"",IF('Capacity summary'!$D$14="Yes",IF(COUNTBLANK('Capacity summary'!$H220:$BG220)&lt;52,IF('Capacity summary'!S220&lt;&gt;"",IF(LOWER('Capacity summary'!S220)="x",$BI101*S101,VALUE('Capacity summary'!S220)),0),S101*$BI101),S101*$BI101),0)</f>
        <v>0</v>
      </c>
      <c r="BW101" s="311">
        <f>IF($BI101&lt;&gt;"",IF('Capacity summary'!$D$14="Yes",IF(COUNTBLANK('Capacity summary'!$H220:$BG220)&lt;52,IF('Capacity summary'!T220&lt;&gt;"",IF(LOWER('Capacity summary'!T220)="x",$BI101*T101,VALUE('Capacity summary'!T220)),0),T101*$BI101),T101*$BI101),0)</f>
        <v>0</v>
      </c>
      <c r="BX101" s="311">
        <f>IF($BI101&lt;&gt;"",IF('Capacity summary'!$D$14="Yes",IF(COUNTBLANK('Capacity summary'!$H220:$BG220)&lt;52,IF('Capacity summary'!U220&lt;&gt;"",IF(LOWER('Capacity summary'!U220)="x",$BI101*U101,VALUE('Capacity summary'!U220)),0),U101*$BI101),U101*$BI101),0)</f>
        <v>0</v>
      </c>
      <c r="BY101" s="311">
        <f>IF($BI101&lt;&gt;"",IF('Capacity summary'!$D$14="Yes",IF(COUNTBLANK('Capacity summary'!$H220:$BG220)&lt;52,IF('Capacity summary'!V220&lt;&gt;"",IF(LOWER('Capacity summary'!V220)="x",$BI101*V101,VALUE('Capacity summary'!V220)),0),V101*$BI101),V101*$BI101),0)</f>
        <v>0</v>
      </c>
      <c r="BZ101" s="311">
        <f>IF($BI101&lt;&gt;"",IF('Capacity summary'!$D$14="Yes",IF(COUNTBLANK('Capacity summary'!$H220:$BG220)&lt;52,IF('Capacity summary'!W220&lt;&gt;"",IF(LOWER('Capacity summary'!W220)="x",$BI101*W101,VALUE('Capacity summary'!W220)),0),W101*$BI101),W101*$BI101),0)</f>
        <v>0</v>
      </c>
      <c r="CA101" s="311">
        <f>IF($BI101&lt;&gt;"",IF('Capacity summary'!$D$14="Yes",IF(COUNTBLANK('Capacity summary'!$H220:$BG220)&lt;52,IF('Capacity summary'!X220&lt;&gt;"",IF(LOWER('Capacity summary'!X220)="x",$BI101*X101,VALUE('Capacity summary'!X220)),0),X101*$BI101),X101*$BI101),0)</f>
        <v>0</v>
      </c>
      <c r="CB101" s="311">
        <f>IF($BI101&lt;&gt;"",IF('Capacity summary'!$D$14="Yes",IF(COUNTBLANK('Capacity summary'!$H220:$BG220)&lt;52,IF('Capacity summary'!Y220&lt;&gt;"",IF(LOWER('Capacity summary'!Y220)="x",$BI101*Y101,VALUE('Capacity summary'!Y220)),0),Y101*$BI101),Y101*$BI101),0)</f>
        <v>0</v>
      </c>
      <c r="CC101" s="311">
        <f>IF($BI101&lt;&gt;"",IF('Capacity summary'!$D$14="Yes",IF(COUNTBLANK('Capacity summary'!$H220:$BG220)&lt;52,IF('Capacity summary'!Z220&lt;&gt;"",IF(LOWER('Capacity summary'!Z220)="x",$BI101*Z101,VALUE('Capacity summary'!Z220)),0),Z101*$BI101),Z101*$BI101),0)</f>
        <v>0</v>
      </c>
      <c r="CD101" s="311">
        <f>IF($BI101&lt;&gt;"",IF('Capacity summary'!$D$14="Yes",IF(COUNTBLANK('Capacity summary'!$H220:$BG220)&lt;52,IF('Capacity summary'!AA220&lt;&gt;"",IF(LOWER('Capacity summary'!AA220)="x",$BI101*AA101,VALUE('Capacity summary'!AA220)),0),AA101*$BI101),AA101*$BI101),0)</f>
        <v>0</v>
      </c>
      <c r="CE101" s="311">
        <f>IF($BI101&lt;&gt;"",IF('Capacity summary'!$D$14="Yes",IF(COUNTBLANK('Capacity summary'!$H220:$BG220)&lt;52,IF('Capacity summary'!AB220&lt;&gt;"",IF(LOWER('Capacity summary'!AB220)="x",$BI101*AB101,VALUE('Capacity summary'!AB220)),0),AB101*$BI101),AB101*$BI101),0)</f>
        <v>0</v>
      </c>
      <c r="CF101" s="311">
        <f>IF($BI101&lt;&gt;"",IF('Capacity summary'!$D$14="Yes",IF(COUNTBLANK('Capacity summary'!$H220:$BG220)&lt;52,IF('Capacity summary'!AC220&lt;&gt;"",IF(LOWER('Capacity summary'!AC220)="x",$BI101*AC101,VALUE('Capacity summary'!AC220)),0),AC101*$BI101),AC101*$BI101),0)</f>
        <v>0</v>
      </c>
      <c r="CG101" s="311">
        <f>IF($BI101&lt;&gt;"",IF('Capacity summary'!$D$14="Yes",IF(COUNTBLANK('Capacity summary'!$H220:$BG220)&lt;52,IF('Capacity summary'!AD220&lt;&gt;"",IF(LOWER('Capacity summary'!AD220)="x",$BI101*AD101,VALUE('Capacity summary'!AD220)),0),AD101*$BI101),AD101*$BI101),0)</f>
        <v>0</v>
      </c>
      <c r="CH101" s="311">
        <f>IF($BI101&lt;&gt;"",IF('Capacity summary'!$D$14="Yes",IF(COUNTBLANK('Capacity summary'!$H220:$BG220)&lt;52,IF('Capacity summary'!AE220&lt;&gt;"",IF(LOWER('Capacity summary'!AE220)="x",$BI101*AE101,VALUE('Capacity summary'!AE220)),0),AE101*$BI101),AE101*$BI101),0)</f>
        <v>0</v>
      </c>
      <c r="CI101" s="311">
        <f>IF($BI101&lt;&gt;"",IF('Capacity summary'!$D$14="Yes",IF(COUNTBLANK('Capacity summary'!$H220:$BG220)&lt;52,IF('Capacity summary'!AF220&lt;&gt;"",IF(LOWER('Capacity summary'!AF220)="x",$BI101*AF101,VALUE('Capacity summary'!AF220)),0),AF101*$BI101),AF101*$BI101),0)</f>
        <v>0</v>
      </c>
      <c r="CJ101" s="311">
        <f>IF($BI101&lt;&gt;"",IF('Capacity summary'!$D$14="Yes",IF(COUNTBLANK('Capacity summary'!$H220:$BG220)&lt;52,IF('Capacity summary'!AG220&lt;&gt;"",IF(LOWER('Capacity summary'!AG220)="x",$BI101*AG101,VALUE('Capacity summary'!AG220)),0),AG101*$BI101),AG101*$BI101),0)</f>
        <v>0</v>
      </c>
      <c r="CK101" s="311">
        <f>IF($BI101&lt;&gt;"",IF('Capacity summary'!$D$14="Yes",IF(COUNTBLANK('Capacity summary'!$H220:$BG220)&lt;52,IF('Capacity summary'!AH220&lt;&gt;"",IF(LOWER('Capacity summary'!AH220)="x",$BI101*AH101,VALUE('Capacity summary'!AH220)),0),AH101*$BI101),AH101*$BI101),0)</f>
        <v>0</v>
      </c>
      <c r="CL101" s="311">
        <f>IF($BI101&lt;&gt;"",IF('Capacity summary'!$D$14="Yes",IF(COUNTBLANK('Capacity summary'!$H220:$BG220)&lt;52,IF('Capacity summary'!AI220&lt;&gt;"",IF(LOWER('Capacity summary'!AI220)="x",$BI101*AI101,VALUE('Capacity summary'!AI220)),0),AI101*$BI101),AI101*$BI101),0)</f>
        <v>0</v>
      </c>
      <c r="CM101" s="311">
        <f>IF($BI101&lt;&gt;"",IF('Capacity summary'!$D$14="Yes",IF(COUNTBLANK('Capacity summary'!$H220:$BG220)&lt;52,IF('Capacity summary'!AJ220&lt;&gt;"",IF(LOWER('Capacity summary'!AJ220)="x",$BI101*AJ101,VALUE('Capacity summary'!AJ220)),0),AJ101*$BI101),AJ101*$BI101),0)</f>
        <v>0</v>
      </c>
      <c r="CN101" s="311">
        <f>IF($BI101&lt;&gt;"",IF('Capacity summary'!$D$14="Yes",IF(COUNTBLANK('Capacity summary'!$H220:$BG220)&lt;52,IF('Capacity summary'!AK220&lt;&gt;"",IF(LOWER('Capacity summary'!AK220)="x",$BI101*AK101,VALUE('Capacity summary'!AK220)),0),AK101*$BI101),AK101*$BI101),0)</f>
        <v>0</v>
      </c>
      <c r="CO101" s="311">
        <f>IF($BI101&lt;&gt;"",IF('Capacity summary'!$D$14="Yes",IF(COUNTBLANK('Capacity summary'!$H220:$BG220)&lt;52,IF('Capacity summary'!AL220&lt;&gt;"",IF(LOWER('Capacity summary'!AL220)="x",$BI101*AL101,VALUE('Capacity summary'!AL220)),0),AL101*$BI101),AL101*$BI101),0)</f>
        <v>0</v>
      </c>
      <c r="CP101" s="311">
        <f>IF($BI101&lt;&gt;"",IF('Capacity summary'!$D$14="Yes",IF(COUNTBLANK('Capacity summary'!$H220:$BG220)&lt;52,IF('Capacity summary'!AM220&lt;&gt;"",IF(LOWER('Capacity summary'!AM220)="x",$BI101*AM101,VALUE('Capacity summary'!AM220)),0),AM101*$BI101),AM101*$BI101),0)</f>
        <v>0</v>
      </c>
      <c r="CQ101" s="311">
        <f>IF($BI101&lt;&gt;"",IF('Capacity summary'!$D$14="Yes",IF(COUNTBLANK('Capacity summary'!$H220:$BG220)&lt;52,IF('Capacity summary'!AN220&lt;&gt;"",IF(LOWER('Capacity summary'!AN220)="x",$BI101*AN101,VALUE('Capacity summary'!AN220)),0),AN101*$BI101),AN101*$BI101),0)</f>
        <v>0</v>
      </c>
      <c r="CR101" s="311">
        <f>IF($BI101&lt;&gt;"",IF('Capacity summary'!$D$14="Yes",IF(COUNTBLANK('Capacity summary'!$H220:$BG220)&lt;52,IF('Capacity summary'!AO220&lt;&gt;"",IF(LOWER('Capacity summary'!AO220)="x",$BI101*AO101,VALUE('Capacity summary'!AO220)),0),AO101*$BI101),AO101*$BI101),0)</f>
        <v>0</v>
      </c>
      <c r="CS101" s="311">
        <f>IF($BI101&lt;&gt;"",IF('Capacity summary'!$D$14="Yes",IF(COUNTBLANK('Capacity summary'!$H220:$BG220)&lt;52,IF('Capacity summary'!AP220&lt;&gt;"",IF(LOWER('Capacity summary'!AP220)="x",$BI101*AP101,VALUE('Capacity summary'!AP220)),0),AP101*$BI101),AP101*$BI101),0)</f>
        <v>0</v>
      </c>
      <c r="CT101" s="311">
        <f>IF($BI101&lt;&gt;"",IF('Capacity summary'!$D$14="Yes",IF(COUNTBLANK('Capacity summary'!$H220:$BG220)&lt;52,IF('Capacity summary'!AQ220&lt;&gt;"",IF(LOWER('Capacity summary'!AQ220)="x",$BI101*AQ101,VALUE('Capacity summary'!AQ220)),0),AQ101*$BI101),AQ101*$BI101),0)</f>
        <v>0</v>
      </c>
      <c r="CU101" s="311">
        <f>IF($BI101&lt;&gt;"",IF('Capacity summary'!$D$14="Yes",IF(COUNTBLANK('Capacity summary'!$H220:$BG220)&lt;52,IF('Capacity summary'!AR220&lt;&gt;"",IF(LOWER('Capacity summary'!AR220)="x",$BI101*AR101,VALUE('Capacity summary'!AR220)),0),AR101*$BI101),AR101*$BI101),0)</f>
        <v>0</v>
      </c>
      <c r="CV101" s="311">
        <f>IF($BI101&lt;&gt;"",IF('Capacity summary'!$D$14="Yes",IF(COUNTBLANK('Capacity summary'!$H220:$BG220)&lt;52,IF('Capacity summary'!AS220&lt;&gt;"",IF(LOWER('Capacity summary'!AS220)="x",$BI101*AS101,VALUE('Capacity summary'!AS220)),0),AS101*$BI101),AS101*$BI101),0)</f>
        <v>0</v>
      </c>
      <c r="CW101" s="311">
        <f>IF($BI101&lt;&gt;"",IF('Capacity summary'!$D$14="Yes",IF(COUNTBLANK('Capacity summary'!$H220:$BG220)&lt;52,IF('Capacity summary'!AT220&lt;&gt;"",IF(LOWER('Capacity summary'!AT220)="x",$BI101*AT101,VALUE('Capacity summary'!AT220)),0),AT101*$BI101),AT101*$BI101),0)</f>
        <v>0</v>
      </c>
      <c r="CX101" s="311">
        <f>IF($BI101&lt;&gt;"",IF('Capacity summary'!$D$14="Yes",IF(COUNTBLANK('Capacity summary'!$H220:$BG220)&lt;52,IF('Capacity summary'!AU220&lt;&gt;"",IF(LOWER('Capacity summary'!AU220)="x",$BI101*AU101,VALUE('Capacity summary'!AU220)),0),AU101*$BI101),AU101*$BI101),0)</f>
        <v>0</v>
      </c>
      <c r="CY101" s="311">
        <f>IF($BI101&lt;&gt;"",IF('Capacity summary'!$D$14="Yes",IF(COUNTBLANK('Capacity summary'!$H220:$BG220)&lt;52,IF('Capacity summary'!AV220&lt;&gt;"",IF(LOWER('Capacity summary'!AV220)="x",$BI101*AV101,VALUE('Capacity summary'!AV220)),0),AV101*$BI101),AV101*$BI101),0)</f>
        <v>0</v>
      </c>
      <c r="CZ101" s="311">
        <f>IF($BI101&lt;&gt;"",IF('Capacity summary'!$D$14="Yes",IF(COUNTBLANK('Capacity summary'!$H220:$BG220)&lt;52,IF('Capacity summary'!AW220&lt;&gt;"",IF(LOWER('Capacity summary'!AW220)="x",$BI101*AW101,VALUE('Capacity summary'!AW220)),0),AW101*$BI101),AW101*$BI101),0)</f>
        <v>0</v>
      </c>
      <c r="DA101" s="311">
        <f>IF($BI101&lt;&gt;"",IF('Capacity summary'!$D$14="Yes",IF(COUNTBLANK('Capacity summary'!$H220:$BG220)&lt;52,IF('Capacity summary'!AX220&lt;&gt;"",IF(LOWER('Capacity summary'!AX220)="x",$BI101*AX101,VALUE('Capacity summary'!AX220)),0),AX101*$BI101),AX101*$BI101),0)</f>
        <v>0</v>
      </c>
      <c r="DB101" s="311">
        <f>IF($BI101&lt;&gt;"",IF('Capacity summary'!$D$14="Yes",IF(COUNTBLANK('Capacity summary'!$H220:$BG220)&lt;52,IF('Capacity summary'!AY220&lt;&gt;"",IF(LOWER('Capacity summary'!AY220)="x",$BI101*AY101,VALUE('Capacity summary'!AY220)),0),AY101*$BI101),AY101*$BI101),0)</f>
        <v>0</v>
      </c>
      <c r="DC101" s="311">
        <f>IF($BI101&lt;&gt;"",IF('Capacity summary'!$D$14="Yes",IF(COUNTBLANK('Capacity summary'!$H220:$BG220)&lt;52,IF('Capacity summary'!AZ220&lt;&gt;"",IF(LOWER('Capacity summary'!AZ220)="x",$BI101*AZ101,VALUE('Capacity summary'!AZ220)),0),AZ101*$BI101),AZ101*$BI101),0)</f>
        <v>0</v>
      </c>
      <c r="DD101" s="311">
        <f>IF($BI101&lt;&gt;"",IF('Capacity summary'!$D$14="Yes",IF(COUNTBLANK('Capacity summary'!$H220:$BG220)&lt;52,IF('Capacity summary'!BA220&lt;&gt;"",IF(LOWER('Capacity summary'!BA220)="x",$BI101*BA101,VALUE('Capacity summary'!BA220)),0),BA101*$BI101),BA101*$BI101),0)</f>
        <v>0</v>
      </c>
      <c r="DE101" s="311">
        <f>IF($BI101&lt;&gt;"",IF('Capacity summary'!$D$14="Yes",IF(COUNTBLANK('Capacity summary'!$H220:$BG220)&lt;52,IF('Capacity summary'!BB220&lt;&gt;"",IF(LOWER('Capacity summary'!BB220)="x",$BI101*BB101,VALUE('Capacity summary'!BB220)),0),BB101*$BI101),BB101*$BI101),0)</f>
        <v>0</v>
      </c>
      <c r="DF101" s="311">
        <f>IF($BI101&lt;&gt;"",IF('Capacity summary'!$D$14="Yes",IF(COUNTBLANK('Capacity summary'!$H220:$BG220)&lt;52,IF('Capacity summary'!BC220&lt;&gt;"",IF(LOWER('Capacity summary'!BC220)="x",$BI101*BC101,VALUE('Capacity summary'!BC220)),0),BC101*$BI101),BC101*$BI101),0)</f>
        <v>0</v>
      </c>
      <c r="DG101" s="311">
        <f>IF($BI101&lt;&gt;"",IF('Capacity summary'!$D$14="Yes",IF(COUNTBLANK('Capacity summary'!$H220:$BG220)&lt;52,IF('Capacity summary'!BD220&lt;&gt;"",IF(LOWER('Capacity summary'!BD220)="x",$BI101*BD101,VALUE('Capacity summary'!BD220)),0),BD101*$BI101),BD101*$BI101),0)</f>
        <v>0</v>
      </c>
      <c r="DH101" s="311">
        <f>IF($BI101&lt;&gt;"",IF('Capacity summary'!$D$14="Yes",IF(COUNTBLANK('Capacity summary'!$H220:$BG220)&lt;52,IF('Capacity summary'!BE220&lt;&gt;"",IF(LOWER('Capacity summary'!BE220)="x",$BI101*BE101,VALUE('Capacity summary'!BE220)),0),BE101*$BI101),BE101*$BI101),0)</f>
        <v>0</v>
      </c>
      <c r="DI101" s="311">
        <f>IF($BI101&lt;&gt;"",IF('Capacity summary'!$D$14="Yes",IF(COUNTBLANK('Capacity summary'!$H220:$BG220)&lt;52,IF('Capacity summary'!BF220&lt;&gt;"",IF(LOWER('Capacity summary'!BF220)="x",$BI101*BF101,VALUE('Capacity summary'!BF220)),0),BF101*$BI101),BF101*$BI101),0)</f>
        <v>0</v>
      </c>
      <c r="DJ101" s="311">
        <f>IF($BI101&lt;&gt;"",IF('Capacity summary'!$D$14="Yes",IF(COUNTBLANK('Capacity summary'!$H220:$BG220)&lt;52,IF('Capacity summary'!BG220&lt;&gt;"",IF(LOWER('Capacity summary'!BG220)="x",$BI101*BG101,VALUE('Capacity summary'!BG220)),0),BG101*$BI101),BG101*$BI101),0)</f>
        <v>0</v>
      </c>
      <c r="DK101" s="391">
        <f t="shared" si="4"/>
        <v>0</v>
      </c>
      <c r="DL101" s="136">
        <f t="shared" si="5"/>
        <v>0</v>
      </c>
      <c r="DM101" s="311" t="str">
        <f>Capacity!H113</f>
        <v/>
      </c>
    </row>
    <row r="102" spans="1:117" x14ac:dyDescent="0.2">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1">
        <f>IF($BI102&lt;&gt;"",IF('Capacity summary'!$D$14="Yes",IF(COUNTBLANK('Capacity summary'!$H221:$BG221)&lt;52,IF('Capacity summary'!H221&lt;&gt;"",IF(LOWER('Capacity summary'!H221)="x",$BI102*H102,VALUE('Capacity summary'!H221)),0),H102*$BI102),H102*$BI102),0)</f>
        <v>0</v>
      </c>
      <c r="BL102" s="311">
        <f>IF($BI102&lt;&gt;"",IF('Capacity summary'!$D$14="Yes",IF(COUNTBLANK('Capacity summary'!$H221:$BG221)&lt;52,IF('Capacity summary'!I221&lt;&gt;"",IF(LOWER('Capacity summary'!I221)="x",$BI102*I102,VALUE('Capacity summary'!I221)),0),I102*$BI102),I102*$BI102),0)</f>
        <v>0</v>
      </c>
      <c r="BM102" s="311">
        <f>IF($BI102&lt;&gt;"",IF('Capacity summary'!$D$14="Yes",IF(COUNTBLANK('Capacity summary'!$H221:$BG221)&lt;52,IF('Capacity summary'!J221&lt;&gt;"",IF(LOWER('Capacity summary'!J221)="x",$BI102*J102,VALUE('Capacity summary'!J221)),0),J102*$BI102),J102*$BI102),0)</f>
        <v>0</v>
      </c>
      <c r="BN102" s="311">
        <f>IF($BI102&lt;&gt;"",IF('Capacity summary'!$D$14="Yes",IF(COUNTBLANK('Capacity summary'!$H221:$BG221)&lt;52,IF('Capacity summary'!K221&lt;&gt;"",IF(LOWER('Capacity summary'!K221)="x",$BI102*K102,VALUE('Capacity summary'!K221)),0),K102*$BI102),K102*$BI102),0)</f>
        <v>0</v>
      </c>
      <c r="BO102" s="311">
        <f>IF($BI102&lt;&gt;"",IF('Capacity summary'!$D$14="Yes",IF(COUNTBLANK('Capacity summary'!$H221:$BG221)&lt;52,IF('Capacity summary'!L221&lt;&gt;"",IF(LOWER('Capacity summary'!L221)="x",$BI102*L102,VALUE('Capacity summary'!L221)),0),L102*$BI102),L102*$BI102),0)</f>
        <v>0</v>
      </c>
      <c r="BP102" s="311">
        <f>IF($BI102&lt;&gt;"",IF('Capacity summary'!$D$14="Yes",IF(COUNTBLANK('Capacity summary'!$H221:$BG221)&lt;52,IF('Capacity summary'!M221&lt;&gt;"",IF(LOWER('Capacity summary'!M221)="x",$BI102*M102,VALUE('Capacity summary'!M221)),0),M102*$BI102),M102*$BI102),0)</f>
        <v>0</v>
      </c>
      <c r="BQ102" s="311">
        <f>IF($BI102&lt;&gt;"",IF('Capacity summary'!$D$14="Yes",IF(COUNTBLANK('Capacity summary'!$H221:$BG221)&lt;52,IF('Capacity summary'!N221&lt;&gt;"",IF(LOWER('Capacity summary'!N221)="x",$BI102*N102,VALUE('Capacity summary'!N221)),0),N102*$BI102),N102*$BI102),0)</f>
        <v>0</v>
      </c>
      <c r="BR102" s="311">
        <f>IF($BI102&lt;&gt;"",IF('Capacity summary'!$D$14="Yes",IF(COUNTBLANK('Capacity summary'!$H221:$BG221)&lt;52,IF('Capacity summary'!O221&lt;&gt;"",IF(LOWER('Capacity summary'!O221)="x",$BI102*O102,VALUE('Capacity summary'!O221)),0),O102*$BI102),O102*$BI102),0)</f>
        <v>0</v>
      </c>
      <c r="BS102" s="311">
        <f>IF($BI102&lt;&gt;"",IF('Capacity summary'!$D$14="Yes",IF(COUNTBLANK('Capacity summary'!$H221:$BG221)&lt;52,IF('Capacity summary'!P221&lt;&gt;"",IF(LOWER('Capacity summary'!P221)="x",$BI102*P102,VALUE('Capacity summary'!P221)),0),P102*$BI102),P102*$BI102),0)</f>
        <v>0</v>
      </c>
      <c r="BT102" s="311">
        <f>IF($BI102&lt;&gt;"",IF('Capacity summary'!$D$14="Yes",IF(COUNTBLANK('Capacity summary'!$H221:$BG221)&lt;52,IF('Capacity summary'!Q221&lt;&gt;"",IF(LOWER('Capacity summary'!Q221)="x",$BI102*Q102,VALUE('Capacity summary'!Q221)),0),Q102*$BI102),Q102*$BI102),0)</f>
        <v>0</v>
      </c>
      <c r="BU102" s="311">
        <f>IF($BI102&lt;&gt;"",IF('Capacity summary'!$D$14="Yes",IF(COUNTBLANK('Capacity summary'!$H221:$BG221)&lt;52,IF('Capacity summary'!R221&lt;&gt;"",IF(LOWER('Capacity summary'!R221)="x",$BI102*R102,VALUE('Capacity summary'!R221)),0),R102*$BI102),R102*$BI102),0)</f>
        <v>0</v>
      </c>
      <c r="BV102" s="311">
        <f>IF($BI102&lt;&gt;"",IF('Capacity summary'!$D$14="Yes",IF(COUNTBLANK('Capacity summary'!$H221:$BG221)&lt;52,IF('Capacity summary'!S221&lt;&gt;"",IF(LOWER('Capacity summary'!S221)="x",$BI102*S102,VALUE('Capacity summary'!S221)),0),S102*$BI102),S102*$BI102),0)</f>
        <v>0</v>
      </c>
      <c r="BW102" s="311">
        <f>IF($BI102&lt;&gt;"",IF('Capacity summary'!$D$14="Yes",IF(COUNTBLANK('Capacity summary'!$H221:$BG221)&lt;52,IF('Capacity summary'!T221&lt;&gt;"",IF(LOWER('Capacity summary'!T221)="x",$BI102*T102,VALUE('Capacity summary'!T221)),0),T102*$BI102),T102*$BI102),0)</f>
        <v>0</v>
      </c>
      <c r="BX102" s="311">
        <f>IF($BI102&lt;&gt;"",IF('Capacity summary'!$D$14="Yes",IF(COUNTBLANK('Capacity summary'!$H221:$BG221)&lt;52,IF('Capacity summary'!U221&lt;&gt;"",IF(LOWER('Capacity summary'!U221)="x",$BI102*U102,VALUE('Capacity summary'!U221)),0),U102*$BI102),U102*$BI102),0)</f>
        <v>0</v>
      </c>
      <c r="BY102" s="311">
        <f>IF($BI102&lt;&gt;"",IF('Capacity summary'!$D$14="Yes",IF(COUNTBLANK('Capacity summary'!$H221:$BG221)&lt;52,IF('Capacity summary'!V221&lt;&gt;"",IF(LOWER('Capacity summary'!V221)="x",$BI102*V102,VALUE('Capacity summary'!V221)),0),V102*$BI102),V102*$BI102),0)</f>
        <v>0</v>
      </c>
      <c r="BZ102" s="311">
        <f>IF($BI102&lt;&gt;"",IF('Capacity summary'!$D$14="Yes",IF(COUNTBLANK('Capacity summary'!$H221:$BG221)&lt;52,IF('Capacity summary'!W221&lt;&gt;"",IF(LOWER('Capacity summary'!W221)="x",$BI102*W102,VALUE('Capacity summary'!W221)),0),W102*$BI102),W102*$BI102),0)</f>
        <v>0</v>
      </c>
      <c r="CA102" s="311">
        <f>IF($BI102&lt;&gt;"",IF('Capacity summary'!$D$14="Yes",IF(COUNTBLANK('Capacity summary'!$H221:$BG221)&lt;52,IF('Capacity summary'!X221&lt;&gt;"",IF(LOWER('Capacity summary'!X221)="x",$BI102*X102,VALUE('Capacity summary'!X221)),0),X102*$BI102),X102*$BI102),0)</f>
        <v>0</v>
      </c>
      <c r="CB102" s="311">
        <f>IF($BI102&lt;&gt;"",IF('Capacity summary'!$D$14="Yes",IF(COUNTBLANK('Capacity summary'!$H221:$BG221)&lt;52,IF('Capacity summary'!Y221&lt;&gt;"",IF(LOWER('Capacity summary'!Y221)="x",$BI102*Y102,VALUE('Capacity summary'!Y221)),0),Y102*$BI102),Y102*$BI102),0)</f>
        <v>0</v>
      </c>
      <c r="CC102" s="311">
        <f>IF($BI102&lt;&gt;"",IF('Capacity summary'!$D$14="Yes",IF(COUNTBLANK('Capacity summary'!$H221:$BG221)&lt;52,IF('Capacity summary'!Z221&lt;&gt;"",IF(LOWER('Capacity summary'!Z221)="x",$BI102*Z102,VALUE('Capacity summary'!Z221)),0),Z102*$BI102),Z102*$BI102),0)</f>
        <v>0</v>
      </c>
      <c r="CD102" s="311">
        <f>IF($BI102&lt;&gt;"",IF('Capacity summary'!$D$14="Yes",IF(COUNTBLANK('Capacity summary'!$H221:$BG221)&lt;52,IF('Capacity summary'!AA221&lt;&gt;"",IF(LOWER('Capacity summary'!AA221)="x",$BI102*AA102,VALUE('Capacity summary'!AA221)),0),AA102*$BI102),AA102*$BI102),0)</f>
        <v>0</v>
      </c>
      <c r="CE102" s="311">
        <f>IF($BI102&lt;&gt;"",IF('Capacity summary'!$D$14="Yes",IF(COUNTBLANK('Capacity summary'!$H221:$BG221)&lt;52,IF('Capacity summary'!AB221&lt;&gt;"",IF(LOWER('Capacity summary'!AB221)="x",$BI102*AB102,VALUE('Capacity summary'!AB221)),0),AB102*$BI102),AB102*$BI102),0)</f>
        <v>0</v>
      </c>
      <c r="CF102" s="311">
        <f>IF($BI102&lt;&gt;"",IF('Capacity summary'!$D$14="Yes",IF(COUNTBLANK('Capacity summary'!$H221:$BG221)&lt;52,IF('Capacity summary'!AC221&lt;&gt;"",IF(LOWER('Capacity summary'!AC221)="x",$BI102*AC102,VALUE('Capacity summary'!AC221)),0),AC102*$BI102),AC102*$BI102),0)</f>
        <v>0</v>
      </c>
      <c r="CG102" s="311">
        <f>IF($BI102&lt;&gt;"",IF('Capacity summary'!$D$14="Yes",IF(COUNTBLANK('Capacity summary'!$H221:$BG221)&lt;52,IF('Capacity summary'!AD221&lt;&gt;"",IF(LOWER('Capacity summary'!AD221)="x",$BI102*AD102,VALUE('Capacity summary'!AD221)),0),AD102*$BI102),AD102*$BI102),0)</f>
        <v>0</v>
      </c>
      <c r="CH102" s="311">
        <f>IF($BI102&lt;&gt;"",IF('Capacity summary'!$D$14="Yes",IF(COUNTBLANK('Capacity summary'!$H221:$BG221)&lt;52,IF('Capacity summary'!AE221&lt;&gt;"",IF(LOWER('Capacity summary'!AE221)="x",$BI102*AE102,VALUE('Capacity summary'!AE221)),0),AE102*$BI102),AE102*$BI102),0)</f>
        <v>0</v>
      </c>
      <c r="CI102" s="311">
        <f>IF($BI102&lt;&gt;"",IF('Capacity summary'!$D$14="Yes",IF(COUNTBLANK('Capacity summary'!$H221:$BG221)&lt;52,IF('Capacity summary'!AF221&lt;&gt;"",IF(LOWER('Capacity summary'!AF221)="x",$BI102*AF102,VALUE('Capacity summary'!AF221)),0),AF102*$BI102),AF102*$BI102),0)</f>
        <v>0</v>
      </c>
      <c r="CJ102" s="311">
        <f>IF($BI102&lt;&gt;"",IF('Capacity summary'!$D$14="Yes",IF(COUNTBLANK('Capacity summary'!$H221:$BG221)&lt;52,IF('Capacity summary'!AG221&lt;&gt;"",IF(LOWER('Capacity summary'!AG221)="x",$BI102*AG102,VALUE('Capacity summary'!AG221)),0),AG102*$BI102),AG102*$BI102),0)</f>
        <v>0</v>
      </c>
      <c r="CK102" s="311">
        <f>IF($BI102&lt;&gt;"",IF('Capacity summary'!$D$14="Yes",IF(COUNTBLANK('Capacity summary'!$H221:$BG221)&lt;52,IF('Capacity summary'!AH221&lt;&gt;"",IF(LOWER('Capacity summary'!AH221)="x",$BI102*AH102,VALUE('Capacity summary'!AH221)),0),AH102*$BI102),AH102*$BI102),0)</f>
        <v>0</v>
      </c>
      <c r="CL102" s="311">
        <f>IF($BI102&lt;&gt;"",IF('Capacity summary'!$D$14="Yes",IF(COUNTBLANK('Capacity summary'!$H221:$BG221)&lt;52,IF('Capacity summary'!AI221&lt;&gt;"",IF(LOWER('Capacity summary'!AI221)="x",$BI102*AI102,VALUE('Capacity summary'!AI221)),0),AI102*$BI102),AI102*$BI102),0)</f>
        <v>0</v>
      </c>
      <c r="CM102" s="311">
        <f>IF($BI102&lt;&gt;"",IF('Capacity summary'!$D$14="Yes",IF(COUNTBLANK('Capacity summary'!$H221:$BG221)&lt;52,IF('Capacity summary'!AJ221&lt;&gt;"",IF(LOWER('Capacity summary'!AJ221)="x",$BI102*AJ102,VALUE('Capacity summary'!AJ221)),0),AJ102*$BI102),AJ102*$BI102),0)</f>
        <v>0</v>
      </c>
      <c r="CN102" s="311">
        <f>IF($BI102&lt;&gt;"",IF('Capacity summary'!$D$14="Yes",IF(COUNTBLANK('Capacity summary'!$H221:$BG221)&lt;52,IF('Capacity summary'!AK221&lt;&gt;"",IF(LOWER('Capacity summary'!AK221)="x",$BI102*AK102,VALUE('Capacity summary'!AK221)),0),AK102*$BI102),AK102*$BI102),0)</f>
        <v>0</v>
      </c>
      <c r="CO102" s="311">
        <f>IF($BI102&lt;&gt;"",IF('Capacity summary'!$D$14="Yes",IF(COUNTBLANK('Capacity summary'!$H221:$BG221)&lt;52,IF('Capacity summary'!AL221&lt;&gt;"",IF(LOWER('Capacity summary'!AL221)="x",$BI102*AL102,VALUE('Capacity summary'!AL221)),0),AL102*$BI102),AL102*$BI102),0)</f>
        <v>0</v>
      </c>
      <c r="CP102" s="311">
        <f>IF($BI102&lt;&gt;"",IF('Capacity summary'!$D$14="Yes",IF(COUNTBLANK('Capacity summary'!$H221:$BG221)&lt;52,IF('Capacity summary'!AM221&lt;&gt;"",IF(LOWER('Capacity summary'!AM221)="x",$BI102*AM102,VALUE('Capacity summary'!AM221)),0),AM102*$BI102),AM102*$BI102),0)</f>
        <v>0</v>
      </c>
      <c r="CQ102" s="311">
        <f>IF($BI102&lt;&gt;"",IF('Capacity summary'!$D$14="Yes",IF(COUNTBLANK('Capacity summary'!$H221:$BG221)&lt;52,IF('Capacity summary'!AN221&lt;&gt;"",IF(LOWER('Capacity summary'!AN221)="x",$BI102*AN102,VALUE('Capacity summary'!AN221)),0),AN102*$BI102),AN102*$BI102),0)</f>
        <v>0</v>
      </c>
      <c r="CR102" s="311">
        <f>IF($BI102&lt;&gt;"",IF('Capacity summary'!$D$14="Yes",IF(COUNTBLANK('Capacity summary'!$H221:$BG221)&lt;52,IF('Capacity summary'!AO221&lt;&gt;"",IF(LOWER('Capacity summary'!AO221)="x",$BI102*AO102,VALUE('Capacity summary'!AO221)),0),AO102*$BI102),AO102*$BI102),0)</f>
        <v>0</v>
      </c>
      <c r="CS102" s="311">
        <f>IF($BI102&lt;&gt;"",IF('Capacity summary'!$D$14="Yes",IF(COUNTBLANK('Capacity summary'!$H221:$BG221)&lt;52,IF('Capacity summary'!AP221&lt;&gt;"",IF(LOWER('Capacity summary'!AP221)="x",$BI102*AP102,VALUE('Capacity summary'!AP221)),0),AP102*$BI102),AP102*$BI102),0)</f>
        <v>0</v>
      </c>
      <c r="CT102" s="311">
        <f>IF($BI102&lt;&gt;"",IF('Capacity summary'!$D$14="Yes",IF(COUNTBLANK('Capacity summary'!$H221:$BG221)&lt;52,IF('Capacity summary'!AQ221&lt;&gt;"",IF(LOWER('Capacity summary'!AQ221)="x",$BI102*AQ102,VALUE('Capacity summary'!AQ221)),0),AQ102*$BI102),AQ102*$BI102),0)</f>
        <v>0</v>
      </c>
      <c r="CU102" s="311">
        <f>IF($BI102&lt;&gt;"",IF('Capacity summary'!$D$14="Yes",IF(COUNTBLANK('Capacity summary'!$H221:$BG221)&lt;52,IF('Capacity summary'!AR221&lt;&gt;"",IF(LOWER('Capacity summary'!AR221)="x",$BI102*AR102,VALUE('Capacity summary'!AR221)),0),AR102*$BI102),AR102*$BI102),0)</f>
        <v>0</v>
      </c>
      <c r="CV102" s="311">
        <f>IF($BI102&lt;&gt;"",IF('Capacity summary'!$D$14="Yes",IF(COUNTBLANK('Capacity summary'!$H221:$BG221)&lt;52,IF('Capacity summary'!AS221&lt;&gt;"",IF(LOWER('Capacity summary'!AS221)="x",$BI102*AS102,VALUE('Capacity summary'!AS221)),0),AS102*$BI102),AS102*$BI102),0)</f>
        <v>0</v>
      </c>
      <c r="CW102" s="311">
        <f>IF($BI102&lt;&gt;"",IF('Capacity summary'!$D$14="Yes",IF(COUNTBLANK('Capacity summary'!$H221:$BG221)&lt;52,IF('Capacity summary'!AT221&lt;&gt;"",IF(LOWER('Capacity summary'!AT221)="x",$BI102*AT102,VALUE('Capacity summary'!AT221)),0),AT102*$BI102),AT102*$BI102),0)</f>
        <v>0</v>
      </c>
      <c r="CX102" s="311">
        <f>IF($BI102&lt;&gt;"",IF('Capacity summary'!$D$14="Yes",IF(COUNTBLANK('Capacity summary'!$H221:$BG221)&lt;52,IF('Capacity summary'!AU221&lt;&gt;"",IF(LOWER('Capacity summary'!AU221)="x",$BI102*AU102,VALUE('Capacity summary'!AU221)),0),AU102*$BI102),AU102*$BI102),0)</f>
        <v>0</v>
      </c>
      <c r="CY102" s="311">
        <f>IF($BI102&lt;&gt;"",IF('Capacity summary'!$D$14="Yes",IF(COUNTBLANK('Capacity summary'!$H221:$BG221)&lt;52,IF('Capacity summary'!AV221&lt;&gt;"",IF(LOWER('Capacity summary'!AV221)="x",$BI102*AV102,VALUE('Capacity summary'!AV221)),0),AV102*$BI102),AV102*$BI102),0)</f>
        <v>0</v>
      </c>
      <c r="CZ102" s="311">
        <f>IF($BI102&lt;&gt;"",IF('Capacity summary'!$D$14="Yes",IF(COUNTBLANK('Capacity summary'!$H221:$BG221)&lt;52,IF('Capacity summary'!AW221&lt;&gt;"",IF(LOWER('Capacity summary'!AW221)="x",$BI102*AW102,VALUE('Capacity summary'!AW221)),0),AW102*$BI102),AW102*$BI102),0)</f>
        <v>0</v>
      </c>
      <c r="DA102" s="311">
        <f>IF($BI102&lt;&gt;"",IF('Capacity summary'!$D$14="Yes",IF(COUNTBLANK('Capacity summary'!$H221:$BG221)&lt;52,IF('Capacity summary'!AX221&lt;&gt;"",IF(LOWER('Capacity summary'!AX221)="x",$BI102*AX102,VALUE('Capacity summary'!AX221)),0),AX102*$BI102),AX102*$BI102),0)</f>
        <v>0</v>
      </c>
      <c r="DB102" s="311">
        <f>IF($BI102&lt;&gt;"",IF('Capacity summary'!$D$14="Yes",IF(COUNTBLANK('Capacity summary'!$H221:$BG221)&lt;52,IF('Capacity summary'!AY221&lt;&gt;"",IF(LOWER('Capacity summary'!AY221)="x",$BI102*AY102,VALUE('Capacity summary'!AY221)),0),AY102*$BI102),AY102*$BI102),0)</f>
        <v>0</v>
      </c>
      <c r="DC102" s="311">
        <f>IF($BI102&lt;&gt;"",IF('Capacity summary'!$D$14="Yes",IF(COUNTBLANK('Capacity summary'!$H221:$BG221)&lt;52,IF('Capacity summary'!AZ221&lt;&gt;"",IF(LOWER('Capacity summary'!AZ221)="x",$BI102*AZ102,VALUE('Capacity summary'!AZ221)),0),AZ102*$BI102),AZ102*$BI102),0)</f>
        <v>0</v>
      </c>
      <c r="DD102" s="311">
        <f>IF($BI102&lt;&gt;"",IF('Capacity summary'!$D$14="Yes",IF(COUNTBLANK('Capacity summary'!$H221:$BG221)&lt;52,IF('Capacity summary'!BA221&lt;&gt;"",IF(LOWER('Capacity summary'!BA221)="x",$BI102*BA102,VALUE('Capacity summary'!BA221)),0),BA102*$BI102),BA102*$BI102),0)</f>
        <v>0</v>
      </c>
      <c r="DE102" s="311">
        <f>IF($BI102&lt;&gt;"",IF('Capacity summary'!$D$14="Yes",IF(COUNTBLANK('Capacity summary'!$H221:$BG221)&lt;52,IF('Capacity summary'!BB221&lt;&gt;"",IF(LOWER('Capacity summary'!BB221)="x",$BI102*BB102,VALUE('Capacity summary'!BB221)),0),BB102*$BI102),BB102*$BI102),0)</f>
        <v>0</v>
      </c>
      <c r="DF102" s="311">
        <f>IF($BI102&lt;&gt;"",IF('Capacity summary'!$D$14="Yes",IF(COUNTBLANK('Capacity summary'!$H221:$BG221)&lt;52,IF('Capacity summary'!BC221&lt;&gt;"",IF(LOWER('Capacity summary'!BC221)="x",$BI102*BC102,VALUE('Capacity summary'!BC221)),0),BC102*$BI102),BC102*$BI102),0)</f>
        <v>0</v>
      </c>
      <c r="DG102" s="311">
        <f>IF($BI102&lt;&gt;"",IF('Capacity summary'!$D$14="Yes",IF(COUNTBLANK('Capacity summary'!$H221:$BG221)&lt;52,IF('Capacity summary'!BD221&lt;&gt;"",IF(LOWER('Capacity summary'!BD221)="x",$BI102*BD102,VALUE('Capacity summary'!BD221)),0),BD102*$BI102),BD102*$BI102),0)</f>
        <v>0</v>
      </c>
      <c r="DH102" s="311">
        <f>IF($BI102&lt;&gt;"",IF('Capacity summary'!$D$14="Yes",IF(COUNTBLANK('Capacity summary'!$H221:$BG221)&lt;52,IF('Capacity summary'!BE221&lt;&gt;"",IF(LOWER('Capacity summary'!BE221)="x",$BI102*BE102,VALUE('Capacity summary'!BE221)),0),BE102*$BI102),BE102*$BI102),0)</f>
        <v>0</v>
      </c>
      <c r="DI102" s="311">
        <f>IF($BI102&lt;&gt;"",IF('Capacity summary'!$D$14="Yes",IF(COUNTBLANK('Capacity summary'!$H221:$BG221)&lt;52,IF('Capacity summary'!BF221&lt;&gt;"",IF(LOWER('Capacity summary'!BF221)="x",$BI102*BF102,VALUE('Capacity summary'!BF221)),0),BF102*$BI102),BF102*$BI102),0)</f>
        <v>0</v>
      </c>
      <c r="DJ102" s="311">
        <f>IF($BI102&lt;&gt;"",IF('Capacity summary'!$D$14="Yes",IF(COUNTBLANK('Capacity summary'!$H221:$BG221)&lt;52,IF('Capacity summary'!BG221&lt;&gt;"",IF(LOWER('Capacity summary'!BG221)="x",$BI102*BG102,VALUE('Capacity summary'!BG221)),0),BG102*$BI102),BG102*$BI102),0)</f>
        <v>0</v>
      </c>
      <c r="DK102" s="391">
        <f t="shared" si="4"/>
        <v>0</v>
      </c>
      <c r="DL102" s="136">
        <f t="shared" si="5"/>
        <v>0</v>
      </c>
      <c r="DM102" s="311" t="str">
        <f>Capacity!H114</f>
        <v/>
      </c>
    </row>
    <row r="103" spans="1:117" x14ac:dyDescent="0.2">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1">
        <f>IF($BI103&lt;&gt;"",IF('Capacity summary'!$D$14="Yes",IF(COUNTBLANK('Capacity summary'!$H222:$BG222)&lt;52,IF('Capacity summary'!H222&lt;&gt;"",IF(LOWER('Capacity summary'!H222)="x",$BI103*H103,VALUE('Capacity summary'!H222)),0),H103*$BI103),H103*$BI103),0)</f>
        <v>0</v>
      </c>
      <c r="BL103" s="311">
        <f>IF($BI103&lt;&gt;"",IF('Capacity summary'!$D$14="Yes",IF(COUNTBLANK('Capacity summary'!$H222:$BG222)&lt;52,IF('Capacity summary'!I222&lt;&gt;"",IF(LOWER('Capacity summary'!I222)="x",$BI103*I103,VALUE('Capacity summary'!I222)),0),I103*$BI103),I103*$BI103),0)</f>
        <v>0</v>
      </c>
      <c r="BM103" s="311">
        <f>IF($BI103&lt;&gt;"",IF('Capacity summary'!$D$14="Yes",IF(COUNTBLANK('Capacity summary'!$H222:$BG222)&lt;52,IF('Capacity summary'!J222&lt;&gt;"",IF(LOWER('Capacity summary'!J222)="x",$BI103*J103,VALUE('Capacity summary'!J222)),0),J103*$BI103),J103*$BI103),0)</f>
        <v>0</v>
      </c>
      <c r="BN103" s="311">
        <f>IF($BI103&lt;&gt;"",IF('Capacity summary'!$D$14="Yes",IF(COUNTBLANK('Capacity summary'!$H222:$BG222)&lt;52,IF('Capacity summary'!K222&lt;&gt;"",IF(LOWER('Capacity summary'!K222)="x",$BI103*K103,VALUE('Capacity summary'!K222)),0),K103*$BI103),K103*$BI103),0)</f>
        <v>0</v>
      </c>
      <c r="BO103" s="311">
        <f>IF($BI103&lt;&gt;"",IF('Capacity summary'!$D$14="Yes",IF(COUNTBLANK('Capacity summary'!$H222:$BG222)&lt;52,IF('Capacity summary'!L222&lt;&gt;"",IF(LOWER('Capacity summary'!L222)="x",$BI103*L103,VALUE('Capacity summary'!L222)),0),L103*$BI103),L103*$BI103),0)</f>
        <v>0</v>
      </c>
      <c r="BP103" s="311">
        <f>IF($BI103&lt;&gt;"",IF('Capacity summary'!$D$14="Yes",IF(COUNTBLANK('Capacity summary'!$H222:$BG222)&lt;52,IF('Capacity summary'!M222&lt;&gt;"",IF(LOWER('Capacity summary'!M222)="x",$BI103*M103,VALUE('Capacity summary'!M222)),0),M103*$BI103),M103*$BI103),0)</f>
        <v>0</v>
      </c>
      <c r="BQ103" s="311">
        <f>IF($BI103&lt;&gt;"",IF('Capacity summary'!$D$14="Yes",IF(COUNTBLANK('Capacity summary'!$H222:$BG222)&lt;52,IF('Capacity summary'!N222&lt;&gt;"",IF(LOWER('Capacity summary'!N222)="x",$BI103*N103,VALUE('Capacity summary'!N222)),0),N103*$BI103),N103*$BI103),0)</f>
        <v>0</v>
      </c>
      <c r="BR103" s="311">
        <f>IF($BI103&lt;&gt;"",IF('Capacity summary'!$D$14="Yes",IF(COUNTBLANK('Capacity summary'!$H222:$BG222)&lt;52,IF('Capacity summary'!O222&lt;&gt;"",IF(LOWER('Capacity summary'!O222)="x",$BI103*O103,VALUE('Capacity summary'!O222)),0),O103*$BI103),O103*$BI103),0)</f>
        <v>0</v>
      </c>
      <c r="BS103" s="311">
        <f>IF($BI103&lt;&gt;"",IF('Capacity summary'!$D$14="Yes",IF(COUNTBLANK('Capacity summary'!$H222:$BG222)&lt;52,IF('Capacity summary'!P222&lt;&gt;"",IF(LOWER('Capacity summary'!P222)="x",$BI103*P103,VALUE('Capacity summary'!P222)),0),P103*$BI103),P103*$BI103),0)</f>
        <v>0</v>
      </c>
      <c r="BT103" s="311">
        <f>IF($BI103&lt;&gt;"",IF('Capacity summary'!$D$14="Yes",IF(COUNTBLANK('Capacity summary'!$H222:$BG222)&lt;52,IF('Capacity summary'!Q222&lt;&gt;"",IF(LOWER('Capacity summary'!Q222)="x",$BI103*Q103,VALUE('Capacity summary'!Q222)),0),Q103*$BI103),Q103*$BI103),0)</f>
        <v>0</v>
      </c>
      <c r="BU103" s="311">
        <f>IF($BI103&lt;&gt;"",IF('Capacity summary'!$D$14="Yes",IF(COUNTBLANK('Capacity summary'!$H222:$BG222)&lt;52,IF('Capacity summary'!R222&lt;&gt;"",IF(LOWER('Capacity summary'!R222)="x",$BI103*R103,VALUE('Capacity summary'!R222)),0),R103*$BI103),R103*$BI103),0)</f>
        <v>0</v>
      </c>
      <c r="BV103" s="311">
        <f>IF($BI103&lt;&gt;"",IF('Capacity summary'!$D$14="Yes",IF(COUNTBLANK('Capacity summary'!$H222:$BG222)&lt;52,IF('Capacity summary'!S222&lt;&gt;"",IF(LOWER('Capacity summary'!S222)="x",$BI103*S103,VALUE('Capacity summary'!S222)),0),S103*$BI103),S103*$BI103),0)</f>
        <v>0</v>
      </c>
      <c r="BW103" s="311">
        <f>IF($BI103&lt;&gt;"",IF('Capacity summary'!$D$14="Yes",IF(COUNTBLANK('Capacity summary'!$H222:$BG222)&lt;52,IF('Capacity summary'!T222&lt;&gt;"",IF(LOWER('Capacity summary'!T222)="x",$BI103*T103,VALUE('Capacity summary'!T222)),0),T103*$BI103),T103*$BI103),0)</f>
        <v>0</v>
      </c>
      <c r="BX103" s="311">
        <f>IF($BI103&lt;&gt;"",IF('Capacity summary'!$D$14="Yes",IF(COUNTBLANK('Capacity summary'!$H222:$BG222)&lt;52,IF('Capacity summary'!U222&lt;&gt;"",IF(LOWER('Capacity summary'!U222)="x",$BI103*U103,VALUE('Capacity summary'!U222)),0),U103*$BI103),U103*$BI103),0)</f>
        <v>0</v>
      </c>
      <c r="BY103" s="311">
        <f>IF($BI103&lt;&gt;"",IF('Capacity summary'!$D$14="Yes",IF(COUNTBLANK('Capacity summary'!$H222:$BG222)&lt;52,IF('Capacity summary'!V222&lt;&gt;"",IF(LOWER('Capacity summary'!V222)="x",$BI103*V103,VALUE('Capacity summary'!V222)),0),V103*$BI103),V103*$BI103),0)</f>
        <v>0</v>
      </c>
      <c r="BZ103" s="311">
        <f>IF($BI103&lt;&gt;"",IF('Capacity summary'!$D$14="Yes",IF(COUNTBLANK('Capacity summary'!$H222:$BG222)&lt;52,IF('Capacity summary'!W222&lt;&gt;"",IF(LOWER('Capacity summary'!W222)="x",$BI103*W103,VALUE('Capacity summary'!W222)),0),W103*$BI103),W103*$BI103),0)</f>
        <v>0</v>
      </c>
      <c r="CA103" s="311">
        <f>IF($BI103&lt;&gt;"",IF('Capacity summary'!$D$14="Yes",IF(COUNTBLANK('Capacity summary'!$H222:$BG222)&lt;52,IF('Capacity summary'!X222&lt;&gt;"",IF(LOWER('Capacity summary'!X222)="x",$BI103*X103,VALUE('Capacity summary'!X222)),0),X103*$BI103),X103*$BI103),0)</f>
        <v>0</v>
      </c>
      <c r="CB103" s="311">
        <f>IF($BI103&lt;&gt;"",IF('Capacity summary'!$D$14="Yes",IF(COUNTBLANK('Capacity summary'!$H222:$BG222)&lt;52,IF('Capacity summary'!Y222&lt;&gt;"",IF(LOWER('Capacity summary'!Y222)="x",$BI103*Y103,VALUE('Capacity summary'!Y222)),0),Y103*$BI103),Y103*$BI103),0)</f>
        <v>0</v>
      </c>
      <c r="CC103" s="311">
        <f>IF($BI103&lt;&gt;"",IF('Capacity summary'!$D$14="Yes",IF(COUNTBLANK('Capacity summary'!$H222:$BG222)&lt;52,IF('Capacity summary'!Z222&lt;&gt;"",IF(LOWER('Capacity summary'!Z222)="x",$BI103*Z103,VALUE('Capacity summary'!Z222)),0),Z103*$BI103),Z103*$BI103),0)</f>
        <v>0</v>
      </c>
      <c r="CD103" s="311">
        <f>IF($BI103&lt;&gt;"",IF('Capacity summary'!$D$14="Yes",IF(COUNTBLANK('Capacity summary'!$H222:$BG222)&lt;52,IF('Capacity summary'!AA222&lt;&gt;"",IF(LOWER('Capacity summary'!AA222)="x",$BI103*AA103,VALUE('Capacity summary'!AA222)),0),AA103*$BI103),AA103*$BI103),0)</f>
        <v>0</v>
      </c>
      <c r="CE103" s="311">
        <f>IF($BI103&lt;&gt;"",IF('Capacity summary'!$D$14="Yes",IF(COUNTBLANK('Capacity summary'!$H222:$BG222)&lt;52,IF('Capacity summary'!AB222&lt;&gt;"",IF(LOWER('Capacity summary'!AB222)="x",$BI103*AB103,VALUE('Capacity summary'!AB222)),0),AB103*$BI103),AB103*$BI103),0)</f>
        <v>0</v>
      </c>
      <c r="CF103" s="311">
        <f>IF($BI103&lt;&gt;"",IF('Capacity summary'!$D$14="Yes",IF(COUNTBLANK('Capacity summary'!$H222:$BG222)&lt;52,IF('Capacity summary'!AC222&lt;&gt;"",IF(LOWER('Capacity summary'!AC222)="x",$BI103*AC103,VALUE('Capacity summary'!AC222)),0),AC103*$BI103),AC103*$BI103),0)</f>
        <v>0</v>
      </c>
      <c r="CG103" s="311">
        <f>IF($BI103&lt;&gt;"",IF('Capacity summary'!$D$14="Yes",IF(COUNTBLANK('Capacity summary'!$H222:$BG222)&lt;52,IF('Capacity summary'!AD222&lt;&gt;"",IF(LOWER('Capacity summary'!AD222)="x",$BI103*AD103,VALUE('Capacity summary'!AD222)),0),AD103*$BI103),AD103*$BI103),0)</f>
        <v>0</v>
      </c>
      <c r="CH103" s="311">
        <f>IF($BI103&lt;&gt;"",IF('Capacity summary'!$D$14="Yes",IF(COUNTBLANK('Capacity summary'!$H222:$BG222)&lt;52,IF('Capacity summary'!AE222&lt;&gt;"",IF(LOWER('Capacity summary'!AE222)="x",$BI103*AE103,VALUE('Capacity summary'!AE222)),0),AE103*$BI103),AE103*$BI103),0)</f>
        <v>0</v>
      </c>
      <c r="CI103" s="311">
        <f>IF($BI103&lt;&gt;"",IF('Capacity summary'!$D$14="Yes",IF(COUNTBLANK('Capacity summary'!$H222:$BG222)&lt;52,IF('Capacity summary'!AF222&lt;&gt;"",IF(LOWER('Capacity summary'!AF222)="x",$BI103*AF103,VALUE('Capacity summary'!AF222)),0),AF103*$BI103),AF103*$BI103),0)</f>
        <v>0</v>
      </c>
      <c r="CJ103" s="311">
        <f>IF($BI103&lt;&gt;"",IF('Capacity summary'!$D$14="Yes",IF(COUNTBLANK('Capacity summary'!$H222:$BG222)&lt;52,IF('Capacity summary'!AG222&lt;&gt;"",IF(LOWER('Capacity summary'!AG222)="x",$BI103*AG103,VALUE('Capacity summary'!AG222)),0),AG103*$BI103),AG103*$BI103),0)</f>
        <v>0</v>
      </c>
      <c r="CK103" s="311">
        <f>IF($BI103&lt;&gt;"",IF('Capacity summary'!$D$14="Yes",IF(COUNTBLANK('Capacity summary'!$H222:$BG222)&lt;52,IF('Capacity summary'!AH222&lt;&gt;"",IF(LOWER('Capacity summary'!AH222)="x",$BI103*AH103,VALUE('Capacity summary'!AH222)),0),AH103*$BI103),AH103*$BI103),0)</f>
        <v>0</v>
      </c>
      <c r="CL103" s="311">
        <f>IF($BI103&lt;&gt;"",IF('Capacity summary'!$D$14="Yes",IF(COUNTBLANK('Capacity summary'!$H222:$BG222)&lt;52,IF('Capacity summary'!AI222&lt;&gt;"",IF(LOWER('Capacity summary'!AI222)="x",$BI103*AI103,VALUE('Capacity summary'!AI222)),0),AI103*$BI103),AI103*$BI103),0)</f>
        <v>0</v>
      </c>
      <c r="CM103" s="311">
        <f>IF($BI103&lt;&gt;"",IF('Capacity summary'!$D$14="Yes",IF(COUNTBLANK('Capacity summary'!$H222:$BG222)&lt;52,IF('Capacity summary'!AJ222&lt;&gt;"",IF(LOWER('Capacity summary'!AJ222)="x",$BI103*AJ103,VALUE('Capacity summary'!AJ222)),0),AJ103*$BI103),AJ103*$BI103),0)</f>
        <v>0</v>
      </c>
      <c r="CN103" s="311">
        <f>IF($BI103&lt;&gt;"",IF('Capacity summary'!$D$14="Yes",IF(COUNTBLANK('Capacity summary'!$H222:$BG222)&lt;52,IF('Capacity summary'!AK222&lt;&gt;"",IF(LOWER('Capacity summary'!AK222)="x",$BI103*AK103,VALUE('Capacity summary'!AK222)),0),AK103*$BI103),AK103*$BI103),0)</f>
        <v>0</v>
      </c>
      <c r="CO103" s="311">
        <f>IF($BI103&lt;&gt;"",IF('Capacity summary'!$D$14="Yes",IF(COUNTBLANK('Capacity summary'!$H222:$BG222)&lt;52,IF('Capacity summary'!AL222&lt;&gt;"",IF(LOWER('Capacity summary'!AL222)="x",$BI103*AL103,VALUE('Capacity summary'!AL222)),0),AL103*$BI103),AL103*$BI103),0)</f>
        <v>0</v>
      </c>
      <c r="CP103" s="311">
        <f>IF($BI103&lt;&gt;"",IF('Capacity summary'!$D$14="Yes",IF(COUNTBLANK('Capacity summary'!$H222:$BG222)&lt;52,IF('Capacity summary'!AM222&lt;&gt;"",IF(LOWER('Capacity summary'!AM222)="x",$BI103*AM103,VALUE('Capacity summary'!AM222)),0),AM103*$BI103),AM103*$BI103),0)</f>
        <v>0</v>
      </c>
      <c r="CQ103" s="311">
        <f>IF($BI103&lt;&gt;"",IF('Capacity summary'!$D$14="Yes",IF(COUNTBLANK('Capacity summary'!$H222:$BG222)&lt;52,IF('Capacity summary'!AN222&lt;&gt;"",IF(LOWER('Capacity summary'!AN222)="x",$BI103*AN103,VALUE('Capacity summary'!AN222)),0),AN103*$BI103),AN103*$BI103),0)</f>
        <v>0</v>
      </c>
      <c r="CR103" s="311">
        <f>IF($BI103&lt;&gt;"",IF('Capacity summary'!$D$14="Yes",IF(COUNTBLANK('Capacity summary'!$H222:$BG222)&lt;52,IF('Capacity summary'!AO222&lt;&gt;"",IF(LOWER('Capacity summary'!AO222)="x",$BI103*AO103,VALUE('Capacity summary'!AO222)),0),AO103*$BI103),AO103*$BI103),0)</f>
        <v>0</v>
      </c>
      <c r="CS103" s="311">
        <f>IF($BI103&lt;&gt;"",IF('Capacity summary'!$D$14="Yes",IF(COUNTBLANK('Capacity summary'!$H222:$BG222)&lt;52,IF('Capacity summary'!AP222&lt;&gt;"",IF(LOWER('Capacity summary'!AP222)="x",$BI103*AP103,VALUE('Capacity summary'!AP222)),0),AP103*$BI103),AP103*$BI103),0)</f>
        <v>0</v>
      </c>
      <c r="CT103" s="311">
        <f>IF($BI103&lt;&gt;"",IF('Capacity summary'!$D$14="Yes",IF(COUNTBLANK('Capacity summary'!$H222:$BG222)&lt;52,IF('Capacity summary'!AQ222&lt;&gt;"",IF(LOWER('Capacity summary'!AQ222)="x",$BI103*AQ103,VALUE('Capacity summary'!AQ222)),0),AQ103*$BI103),AQ103*$BI103),0)</f>
        <v>0</v>
      </c>
      <c r="CU103" s="311">
        <f>IF($BI103&lt;&gt;"",IF('Capacity summary'!$D$14="Yes",IF(COUNTBLANK('Capacity summary'!$H222:$BG222)&lt;52,IF('Capacity summary'!AR222&lt;&gt;"",IF(LOWER('Capacity summary'!AR222)="x",$BI103*AR103,VALUE('Capacity summary'!AR222)),0),AR103*$BI103),AR103*$BI103),0)</f>
        <v>0</v>
      </c>
      <c r="CV103" s="311">
        <f>IF($BI103&lt;&gt;"",IF('Capacity summary'!$D$14="Yes",IF(COUNTBLANK('Capacity summary'!$H222:$BG222)&lt;52,IF('Capacity summary'!AS222&lt;&gt;"",IF(LOWER('Capacity summary'!AS222)="x",$BI103*AS103,VALUE('Capacity summary'!AS222)),0),AS103*$BI103),AS103*$BI103),0)</f>
        <v>0</v>
      </c>
      <c r="CW103" s="311">
        <f>IF($BI103&lt;&gt;"",IF('Capacity summary'!$D$14="Yes",IF(COUNTBLANK('Capacity summary'!$H222:$BG222)&lt;52,IF('Capacity summary'!AT222&lt;&gt;"",IF(LOWER('Capacity summary'!AT222)="x",$BI103*AT103,VALUE('Capacity summary'!AT222)),0),AT103*$BI103),AT103*$BI103),0)</f>
        <v>0</v>
      </c>
      <c r="CX103" s="311">
        <f>IF($BI103&lt;&gt;"",IF('Capacity summary'!$D$14="Yes",IF(COUNTBLANK('Capacity summary'!$H222:$BG222)&lt;52,IF('Capacity summary'!AU222&lt;&gt;"",IF(LOWER('Capacity summary'!AU222)="x",$BI103*AU103,VALUE('Capacity summary'!AU222)),0),AU103*$BI103),AU103*$BI103),0)</f>
        <v>0</v>
      </c>
      <c r="CY103" s="311">
        <f>IF($BI103&lt;&gt;"",IF('Capacity summary'!$D$14="Yes",IF(COUNTBLANK('Capacity summary'!$H222:$BG222)&lt;52,IF('Capacity summary'!AV222&lt;&gt;"",IF(LOWER('Capacity summary'!AV222)="x",$BI103*AV103,VALUE('Capacity summary'!AV222)),0),AV103*$BI103),AV103*$BI103),0)</f>
        <v>0</v>
      </c>
      <c r="CZ103" s="311">
        <f>IF($BI103&lt;&gt;"",IF('Capacity summary'!$D$14="Yes",IF(COUNTBLANK('Capacity summary'!$H222:$BG222)&lt;52,IF('Capacity summary'!AW222&lt;&gt;"",IF(LOWER('Capacity summary'!AW222)="x",$BI103*AW103,VALUE('Capacity summary'!AW222)),0),AW103*$BI103),AW103*$BI103),0)</f>
        <v>0</v>
      </c>
      <c r="DA103" s="311">
        <f>IF($BI103&lt;&gt;"",IF('Capacity summary'!$D$14="Yes",IF(COUNTBLANK('Capacity summary'!$H222:$BG222)&lt;52,IF('Capacity summary'!AX222&lt;&gt;"",IF(LOWER('Capacity summary'!AX222)="x",$BI103*AX103,VALUE('Capacity summary'!AX222)),0),AX103*$BI103),AX103*$BI103),0)</f>
        <v>0</v>
      </c>
      <c r="DB103" s="311">
        <f>IF($BI103&lt;&gt;"",IF('Capacity summary'!$D$14="Yes",IF(COUNTBLANK('Capacity summary'!$H222:$BG222)&lt;52,IF('Capacity summary'!AY222&lt;&gt;"",IF(LOWER('Capacity summary'!AY222)="x",$BI103*AY103,VALUE('Capacity summary'!AY222)),0),AY103*$BI103),AY103*$BI103),0)</f>
        <v>0</v>
      </c>
      <c r="DC103" s="311">
        <f>IF($BI103&lt;&gt;"",IF('Capacity summary'!$D$14="Yes",IF(COUNTBLANK('Capacity summary'!$H222:$BG222)&lt;52,IF('Capacity summary'!AZ222&lt;&gt;"",IF(LOWER('Capacity summary'!AZ222)="x",$BI103*AZ103,VALUE('Capacity summary'!AZ222)),0),AZ103*$BI103),AZ103*$BI103),0)</f>
        <v>0</v>
      </c>
      <c r="DD103" s="311">
        <f>IF($BI103&lt;&gt;"",IF('Capacity summary'!$D$14="Yes",IF(COUNTBLANK('Capacity summary'!$H222:$BG222)&lt;52,IF('Capacity summary'!BA222&lt;&gt;"",IF(LOWER('Capacity summary'!BA222)="x",$BI103*BA103,VALUE('Capacity summary'!BA222)),0),BA103*$BI103),BA103*$BI103),0)</f>
        <v>0</v>
      </c>
      <c r="DE103" s="311">
        <f>IF($BI103&lt;&gt;"",IF('Capacity summary'!$D$14="Yes",IF(COUNTBLANK('Capacity summary'!$H222:$BG222)&lt;52,IF('Capacity summary'!BB222&lt;&gt;"",IF(LOWER('Capacity summary'!BB222)="x",$BI103*BB103,VALUE('Capacity summary'!BB222)),0),BB103*$BI103),BB103*$BI103),0)</f>
        <v>0</v>
      </c>
      <c r="DF103" s="311">
        <f>IF($BI103&lt;&gt;"",IF('Capacity summary'!$D$14="Yes",IF(COUNTBLANK('Capacity summary'!$H222:$BG222)&lt;52,IF('Capacity summary'!BC222&lt;&gt;"",IF(LOWER('Capacity summary'!BC222)="x",$BI103*BC103,VALUE('Capacity summary'!BC222)),0),BC103*$BI103),BC103*$BI103),0)</f>
        <v>0</v>
      </c>
      <c r="DG103" s="311">
        <f>IF($BI103&lt;&gt;"",IF('Capacity summary'!$D$14="Yes",IF(COUNTBLANK('Capacity summary'!$H222:$BG222)&lt;52,IF('Capacity summary'!BD222&lt;&gt;"",IF(LOWER('Capacity summary'!BD222)="x",$BI103*BD103,VALUE('Capacity summary'!BD222)),0),BD103*$BI103),BD103*$BI103),0)</f>
        <v>0</v>
      </c>
      <c r="DH103" s="311">
        <f>IF($BI103&lt;&gt;"",IF('Capacity summary'!$D$14="Yes",IF(COUNTBLANK('Capacity summary'!$H222:$BG222)&lt;52,IF('Capacity summary'!BE222&lt;&gt;"",IF(LOWER('Capacity summary'!BE222)="x",$BI103*BE103,VALUE('Capacity summary'!BE222)),0),BE103*$BI103),BE103*$BI103),0)</f>
        <v>0</v>
      </c>
      <c r="DI103" s="311">
        <f>IF($BI103&lt;&gt;"",IF('Capacity summary'!$D$14="Yes",IF(COUNTBLANK('Capacity summary'!$H222:$BG222)&lt;52,IF('Capacity summary'!BF222&lt;&gt;"",IF(LOWER('Capacity summary'!BF222)="x",$BI103*BF103,VALUE('Capacity summary'!BF222)),0),BF103*$BI103),BF103*$BI103),0)</f>
        <v>0</v>
      </c>
      <c r="DJ103" s="311">
        <f>IF($BI103&lt;&gt;"",IF('Capacity summary'!$D$14="Yes",IF(COUNTBLANK('Capacity summary'!$H222:$BG222)&lt;52,IF('Capacity summary'!BG222&lt;&gt;"",IF(LOWER('Capacity summary'!BG222)="x",$BI103*BG103,VALUE('Capacity summary'!BG222)),0),BG103*$BI103),BG103*$BI103),0)</f>
        <v>0</v>
      </c>
      <c r="DK103" s="391">
        <f t="shared" si="4"/>
        <v>0</v>
      </c>
      <c r="DL103" s="136">
        <f t="shared" si="5"/>
        <v>0</v>
      </c>
      <c r="DM103" s="311" t="str">
        <f>Capacity!H115</f>
        <v/>
      </c>
    </row>
    <row r="104" spans="1:117" x14ac:dyDescent="0.2">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1">
        <f>IF($BI104&lt;&gt;"",IF('Capacity summary'!$D$14="Yes",IF(COUNTBLANK('Capacity summary'!$H223:$BG223)&lt;52,IF('Capacity summary'!H223&lt;&gt;"",IF(LOWER('Capacity summary'!H223)="x",$BI104*H104,VALUE('Capacity summary'!H223)),0),H104*$BI104),H104*$BI104),0)</f>
        <v>0</v>
      </c>
      <c r="BL104" s="311">
        <f>IF($BI104&lt;&gt;"",IF('Capacity summary'!$D$14="Yes",IF(COUNTBLANK('Capacity summary'!$H223:$BG223)&lt;52,IF('Capacity summary'!I223&lt;&gt;"",IF(LOWER('Capacity summary'!I223)="x",$BI104*I104,VALUE('Capacity summary'!I223)),0),I104*$BI104),I104*$BI104),0)</f>
        <v>0</v>
      </c>
      <c r="BM104" s="311">
        <f>IF($BI104&lt;&gt;"",IF('Capacity summary'!$D$14="Yes",IF(COUNTBLANK('Capacity summary'!$H223:$BG223)&lt;52,IF('Capacity summary'!J223&lt;&gt;"",IF(LOWER('Capacity summary'!J223)="x",$BI104*J104,VALUE('Capacity summary'!J223)),0),J104*$BI104),J104*$BI104),0)</f>
        <v>0</v>
      </c>
      <c r="BN104" s="311">
        <f>IF($BI104&lt;&gt;"",IF('Capacity summary'!$D$14="Yes",IF(COUNTBLANK('Capacity summary'!$H223:$BG223)&lt;52,IF('Capacity summary'!K223&lt;&gt;"",IF(LOWER('Capacity summary'!K223)="x",$BI104*K104,VALUE('Capacity summary'!K223)),0),K104*$BI104),K104*$BI104),0)</f>
        <v>0</v>
      </c>
      <c r="BO104" s="311">
        <f>IF($BI104&lt;&gt;"",IF('Capacity summary'!$D$14="Yes",IF(COUNTBLANK('Capacity summary'!$H223:$BG223)&lt;52,IF('Capacity summary'!L223&lt;&gt;"",IF(LOWER('Capacity summary'!L223)="x",$BI104*L104,VALUE('Capacity summary'!L223)),0),L104*$BI104),L104*$BI104),0)</f>
        <v>0</v>
      </c>
      <c r="BP104" s="311">
        <f>IF($BI104&lt;&gt;"",IF('Capacity summary'!$D$14="Yes",IF(COUNTBLANK('Capacity summary'!$H223:$BG223)&lt;52,IF('Capacity summary'!M223&lt;&gt;"",IF(LOWER('Capacity summary'!M223)="x",$BI104*M104,VALUE('Capacity summary'!M223)),0),M104*$BI104),M104*$BI104),0)</f>
        <v>0</v>
      </c>
      <c r="BQ104" s="311">
        <f>IF($BI104&lt;&gt;"",IF('Capacity summary'!$D$14="Yes",IF(COUNTBLANK('Capacity summary'!$H223:$BG223)&lt;52,IF('Capacity summary'!N223&lt;&gt;"",IF(LOWER('Capacity summary'!N223)="x",$BI104*N104,VALUE('Capacity summary'!N223)),0),N104*$BI104),N104*$BI104),0)</f>
        <v>0</v>
      </c>
      <c r="BR104" s="311">
        <f>IF($BI104&lt;&gt;"",IF('Capacity summary'!$D$14="Yes",IF(COUNTBLANK('Capacity summary'!$H223:$BG223)&lt;52,IF('Capacity summary'!O223&lt;&gt;"",IF(LOWER('Capacity summary'!O223)="x",$BI104*O104,VALUE('Capacity summary'!O223)),0),O104*$BI104),O104*$BI104),0)</f>
        <v>0</v>
      </c>
      <c r="BS104" s="311">
        <f>IF($BI104&lt;&gt;"",IF('Capacity summary'!$D$14="Yes",IF(COUNTBLANK('Capacity summary'!$H223:$BG223)&lt;52,IF('Capacity summary'!P223&lt;&gt;"",IF(LOWER('Capacity summary'!P223)="x",$BI104*P104,VALUE('Capacity summary'!P223)),0),P104*$BI104),P104*$BI104),0)</f>
        <v>0</v>
      </c>
      <c r="BT104" s="311">
        <f>IF($BI104&lt;&gt;"",IF('Capacity summary'!$D$14="Yes",IF(COUNTBLANK('Capacity summary'!$H223:$BG223)&lt;52,IF('Capacity summary'!Q223&lt;&gt;"",IF(LOWER('Capacity summary'!Q223)="x",$BI104*Q104,VALUE('Capacity summary'!Q223)),0),Q104*$BI104),Q104*$BI104),0)</f>
        <v>0</v>
      </c>
      <c r="BU104" s="311">
        <f>IF($BI104&lt;&gt;"",IF('Capacity summary'!$D$14="Yes",IF(COUNTBLANK('Capacity summary'!$H223:$BG223)&lt;52,IF('Capacity summary'!R223&lt;&gt;"",IF(LOWER('Capacity summary'!R223)="x",$BI104*R104,VALUE('Capacity summary'!R223)),0),R104*$BI104),R104*$BI104),0)</f>
        <v>0</v>
      </c>
      <c r="BV104" s="311">
        <f>IF($BI104&lt;&gt;"",IF('Capacity summary'!$D$14="Yes",IF(COUNTBLANK('Capacity summary'!$H223:$BG223)&lt;52,IF('Capacity summary'!S223&lt;&gt;"",IF(LOWER('Capacity summary'!S223)="x",$BI104*S104,VALUE('Capacity summary'!S223)),0),S104*$BI104),S104*$BI104),0)</f>
        <v>0</v>
      </c>
      <c r="BW104" s="311">
        <f>IF($BI104&lt;&gt;"",IF('Capacity summary'!$D$14="Yes",IF(COUNTBLANK('Capacity summary'!$H223:$BG223)&lt;52,IF('Capacity summary'!T223&lt;&gt;"",IF(LOWER('Capacity summary'!T223)="x",$BI104*T104,VALUE('Capacity summary'!T223)),0),T104*$BI104),T104*$BI104),0)</f>
        <v>0</v>
      </c>
      <c r="BX104" s="311">
        <f>IF($BI104&lt;&gt;"",IF('Capacity summary'!$D$14="Yes",IF(COUNTBLANK('Capacity summary'!$H223:$BG223)&lt;52,IF('Capacity summary'!U223&lt;&gt;"",IF(LOWER('Capacity summary'!U223)="x",$BI104*U104,VALUE('Capacity summary'!U223)),0),U104*$BI104),U104*$BI104),0)</f>
        <v>0</v>
      </c>
      <c r="BY104" s="311">
        <f>IF($BI104&lt;&gt;"",IF('Capacity summary'!$D$14="Yes",IF(COUNTBLANK('Capacity summary'!$H223:$BG223)&lt;52,IF('Capacity summary'!V223&lt;&gt;"",IF(LOWER('Capacity summary'!V223)="x",$BI104*V104,VALUE('Capacity summary'!V223)),0),V104*$BI104),V104*$BI104),0)</f>
        <v>0</v>
      </c>
      <c r="BZ104" s="311">
        <f>IF($BI104&lt;&gt;"",IF('Capacity summary'!$D$14="Yes",IF(COUNTBLANK('Capacity summary'!$H223:$BG223)&lt;52,IF('Capacity summary'!W223&lt;&gt;"",IF(LOWER('Capacity summary'!W223)="x",$BI104*W104,VALUE('Capacity summary'!W223)),0),W104*$BI104),W104*$BI104),0)</f>
        <v>0</v>
      </c>
      <c r="CA104" s="311">
        <f>IF($BI104&lt;&gt;"",IF('Capacity summary'!$D$14="Yes",IF(COUNTBLANK('Capacity summary'!$H223:$BG223)&lt;52,IF('Capacity summary'!X223&lt;&gt;"",IF(LOWER('Capacity summary'!X223)="x",$BI104*X104,VALUE('Capacity summary'!X223)),0),X104*$BI104),X104*$BI104),0)</f>
        <v>0</v>
      </c>
      <c r="CB104" s="311">
        <f>IF($BI104&lt;&gt;"",IF('Capacity summary'!$D$14="Yes",IF(COUNTBLANK('Capacity summary'!$H223:$BG223)&lt;52,IF('Capacity summary'!Y223&lt;&gt;"",IF(LOWER('Capacity summary'!Y223)="x",$BI104*Y104,VALUE('Capacity summary'!Y223)),0),Y104*$BI104),Y104*$BI104),0)</f>
        <v>0</v>
      </c>
      <c r="CC104" s="311">
        <f>IF($BI104&lt;&gt;"",IF('Capacity summary'!$D$14="Yes",IF(COUNTBLANK('Capacity summary'!$H223:$BG223)&lt;52,IF('Capacity summary'!Z223&lt;&gt;"",IF(LOWER('Capacity summary'!Z223)="x",$BI104*Z104,VALUE('Capacity summary'!Z223)),0),Z104*$BI104),Z104*$BI104),0)</f>
        <v>0</v>
      </c>
      <c r="CD104" s="311">
        <f>IF($BI104&lt;&gt;"",IF('Capacity summary'!$D$14="Yes",IF(COUNTBLANK('Capacity summary'!$H223:$BG223)&lt;52,IF('Capacity summary'!AA223&lt;&gt;"",IF(LOWER('Capacity summary'!AA223)="x",$BI104*AA104,VALUE('Capacity summary'!AA223)),0),AA104*$BI104),AA104*$BI104),0)</f>
        <v>0</v>
      </c>
      <c r="CE104" s="311">
        <f>IF($BI104&lt;&gt;"",IF('Capacity summary'!$D$14="Yes",IF(COUNTBLANK('Capacity summary'!$H223:$BG223)&lt;52,IF('Capacity summary'!AB223&lt;&gt;"",IF(LOWER('Capacity summary'!AB223)="x",$BI104*AB104,VALUE('Capacity summary'!AB223)),0),AB104*$BI104),AB104*$BI104),0)</f>
        <v>0</v>
      </c>
      <c r="CF104" s="311">
        <f>IF($BI104&lt;&gt;"",IF('Capacity summary'!$D$14="Yes",IF(COUNTBLANK('Capacity summary'!$H223:$BG223)&lt;52,IF('Capacity summary'!AC223&lt;&gt;"",IF(LOWER('Capacity summary'!AC223)="x",$BI104*AC104,VALUE('Capacity summary'!AC223)),0),AC104*$BI104),AC104*$BI104),0)</f>
        <v>0</v>
      </c>
      <c r="CG104" s="311">
        <f>IF($BI104&lt;&gt;"",IF('Capacity summary'!$D$14="Yes",IF(COUNTBLANK('Capacity summary'!$H223:$BG223)&lt;52,IF('Capacity summary'!AD223&lt;&gt;"",IF(LOWER('Capacity summary'!AD223)="x",$BI104*AD104,VALUE('Capacity summary'!AD223)),0),AD104*$BI104),AD104*$BI104),0)</f>
        <v>0</v>
      </c>
      <c r="CH104" s="311">
        <f>IF($BI104&lt;&gt;"",IF('Capacity summary'!$D$14="Yes",IF(COUNTBLANK('Capacity summary'!$H223:$BG223)&lt;52,IF('Capacity summary'!AE223&lt;&gt;"",IF(LOWER('Capacity summary'!AE223)="x",$BI104*AE104,VALUE('Capacity summary'!AE223)),0),AE104*$BI104),AE104*$BI104),0)</f>
        <v>0</v>
      </c>
      <c r="CI104" s="311">
        <f>IF($BI104&lt;&gt;"",IF('Capacity summary'!$D$14="Yes",IF(COUNTBLANK('Capacity summary'!$H223:$BG223)&lt;52,IF('Capacity summary'!AF223&lt;&gt;"",IF(LOWER('Capacity summary'!AF223)="x",$BI104*AF104,VALUE('Capacity summary'!AF223)),0),AF104*$BI104),AF104*$BI104),0)</f>
        <v>0</v>
      </c>
      <c r="CJ104" s="311">
        <f>IF($BI104&lt;&gt;"",IF('Capacity summary'!$D$14="Yes",IF(COUNTBLANK('Capacity summary'!$H223:$BG223)&lt;52,IF('Capacity summary'!AG223&lt;&gt;"",IF(LOWER('Capacity summary'!AG223)="x",$BI104*AG104,VALUE('Capacity summary'!AG223)),0),AG104*$BI104),AG104*$BI104),0)</f>
        <v>0</v>
      </c>
      <c r="CK104" s="311">
        <f>IF($BI104&lt;&gt;"",IF('Capacity summary'!$D$14="Yes",IF(COUNTBLANK('Capacity summary'!$H223:$BG223)&lt;52,IF('Capacity summary'!AH223&lt;&gt;"",IF(LOWER('Capacity summary'!AH223)="x",$BI104*AH104,VALUE('Capacity summary'!AH223)),0),AH104*$BI104),AH104*$BI104),0)</f>
        <v>0</v>
      </c>
      <c r="CL104" s="311">
        <f>IF($BI104&lt;&gt;"",IF('Capacity summary'!$D$14="Yes",IF(COUNTBLANK('Capacity summary'!$H223:$BG223)&lt;52,IF('Capacity summary'!AI223&lt;&gt;"",IF(LOWER('Capacity summary'!AI223)="x",$BI104*AI104,VALUE('Capacity summary'!AI223)),0),AI104*$BI104),AI104*$BI104),0)</f>
        <v>0</v>
      </c>
      <c r="CM104" s="311">
        <f>IF($BI104&lt;&gt;"",IF('Capacity summary'!$D$14="Yes",IF(COUNTBLANK('Capacity summary'!$H223:$BG223)&lt;52,IF('Capacity summary'!AJ223&lt;&gt;"",IF(LOWER('Capacity summary'!AJ223)="x",$BI104*AJ104,VALUE('Capacity summary'!AJ223)),0),AJ104*$BI104),AJ104*$BI104),0)</f>
        <v>0</v>
      </c>
      <c r="CN104" s="311">
        <f>IF($BI104&lt;&gt;"",IF('Capacity summary'!$D$14="Yes",IF(COUNTBLANK('Capacity summary'!$H223:$BG223)&lt;52,IF('Capacity summary'!AK223&lt;&gt;"",IF(LOWER('Capacity summary'!AK223)="x",$BI104*AK104,VALUE('Capacity summary'!AK223)),0),AK104*$BI104),AK104*$BI104),0)</f>
        <v>0</v>
      </c>
      <c r="CO104" s="311">
        <f>IF($BI104&lt;&gt;"",IF('Capacity summary'!$D$14="Yes",IF(COUNTBLANK('Capacity summary'!$H223:$BG223)&lt;52,IF('Capacity summary'!AL223&lt;&gt;"",IF(LOWER('Capacity summary'!AL223)="x",$BI104*AL104,VALUE('Capacity summary'!AL223)),0),AL104*$BI104),AL104*$BI104),0)</f>
        <v>0</v>
      </c>
      <c r="CP104" s="311">
        <f>IF($BI104&lt;&gt;"",IF('Capacity summary'!$D$14="Yes",IF(COUNTBLANK('Capacity summary'!$H223:$BG223)&lt;52,IF('Capacity summary'!AM223&lt;&gt;"",IF(LOWER('Capacity summary'!AM223)="x",$BI104*AM104,VALUE('Capacity summary'!AM223)),0),AM104*$BI104),AM104*$BI104),0)</f>
        <v>0</v>
      </c>
      <c r="CQ104" s="311">
        <f>IF($BI104&lt;&gt;"",IF('Capacity summary'!$D$14="Yes",IF(COUNTBLANK('Capacity summary'!$H223:$BG223)&lt;52,IF('Capacity summary'!AN223&lt;&gt;"",IF(LOWER('Capacity summary'!AN223)="x",$BI104*AN104,VALUE('Capacity summary'!AN223)),0),AN104*$BI104),AN104*$BI104),0)</f>
        <v>0</v>
      </c>
      <c r="CR104" s="311">
        <f>IF($BI104&lt;&gt;"",IF('Capacity summary'!$D$14="Yes",IF(COUNTBLANK('Capacity summary'!$H223:$BG223)&lt;52,IF('Capacity summary'!AO223&lt;&gt;"",IF(LOWER('Capacity summary'!AO223)="x",$BI104*AO104,VALUE('Capacity summary'!AO223)),0),AO104*$BI104),AO104*$BI104),0)</f>
        <v>0</v>
      </c>
      <c r="CS104" s="311">
        <f>IF($BI104&lt;&gt;"",IF('Capacity summary'!$D$14="Yes",IF(COUNTBLANK('Capacity summary'!$H223:$BG223)&lt;52,IF('Capacity summary'!AP223&lt;&gt;"",IF(LOWER('Capacity summary'!AP223)="x",$BI104*AP104,VALUE('Capacity summary'!AP223)),0),AP104*$BI104),AP104*$BI104),0)</f>
        <v>0</v>
      </c>
      <c r="CT104" s="311">
        <f>IF($BI104&lt;&gt;"",IF('Capacity summary'!$D$14="Yes",IF(COUNTBLANK('Capacity summary'!$H223:$BG223)&lt;52,IF('Capacity summary'!AQ223&lt;&gt;"",IF(LOWER('Capacity summary'!AQ223)="x",$BI104*AQ104,VALUE('Capacity summary'!AQ223)),0),AQ104*$BI104),AQ104*$BI104),0)</f>
        <v>0</v>
      </c>
      <c r="CU104" s="311">
        <f>IF($BI104&lt;&gt;"",IF('Capacity summary'!$D$14="Yes",IF(COUNTBLANK('Capacity summary'!$H223:$BG223)&lt;52,IF('Capacity summary'!AR223&lt;&gt;"",IF(LOWER('Capacity summary'!AR223)="x",$BI104*AR104,VALUE('Capacity summary'!AR223)),0),AR104*$BI104),AR104*$BI104),0)</f>
        <v>0</v>
      </c>
      <c r="CV104" s="311">
        <f>IF($BI104&lt;&gt;"",IF('Capacity summary'!$D$14="Yes",IF(COUNTBLANK('Capacity summary'!$H223:$BG223)&lt;52,IF('Capacity summary'!AS223&lt;&gt;"",IF(LOWER('Capacity summary'!AS223)="x",$BI104*AS104,VALUE('Capacity summary'!AS223)),0),AS104*$BI104),AS104*$BI104),0)</f>
        <v>0</v>
      </c>
      <c r="CW104" s="311">
        <f>IF($BI104&lt;&gt;"",IF('Capacity summary'!$D$14="Yes",IF(COUNTBLANK('Capacity summary'!$H223:$BG223)&lt;52,IF('Capacity summary'!AT223&lt;&gt;"",IF(LOWER('Capacity summary'!AT223)="x",$BI104*AT104,VALUE('Capacity summary'!AT223)),0),AT104*$BI104),AT104*$BI104),0)</f>
        <v>0</v>
      </c>
      <c r="CX104" s="311">
        <f>IF($BI104&lt;&gt;"",IF('Capacity summary'!$D$14="Yes",IF(COUNTBLANK('Capacity summary'!$H223:$BG223)&lt;52,IF('Capacity summary'!AU223&lt;&gt;"",IF(LOWER('Capacity summary'!AU223)="x",$BI104*AU104,VALUE('Capacity summary'!AU223)),0),AU104*$BI104),AU104*$BI104),0)</f>
        <v>0</v>
      </c>
      <c r="CY104" s="311">
        <f>IF($BI104&lt;&gt;"",IF('Capacity summary'!$D$14="Yes",IF(COUNTBLANK('Capacity summary'!$H223:$BG223)&lt;52,IF('Capacity summary'!AV223&lt;&gt;"",IF(LOWER('Capacity summary'!AV223)="x",$BI104*AV104,VALUE('Capacity summary'!AV223)),0),AV104*$BI104),AV104*$BI104),0)</f>
        <v>0</v>
      </c>
      <c r="CZ104" s="311">
        <f>IF($BI104&lt;&gt;"",IF('Capacity summary'!$D$14="Yes",IF(COUNTBLANK('Capacity summary'!$H223:$BG223)&lt;52,IF('Capacity summary'!AW223&lt;&gt;"",IF(LOWER('Capacity summary'!AW223)="x",$BI104*AW104,VALUE('Capacity summary'!AW223)),0),AW104*$BI104),AW104*$BI104),0)</f>
        <v>0</v>
      </c>
      <c r="DA104" s="311">
        <f>IF($BI104&lt;&gt;"",IF('Capacity summary'!$D$14="Yes",IF(COUNTBLANK('Capacity summary'!$H223:$BG223)&lt;52,IF('Capacity summary'!AX223&lt;&gt;"",IF(LOWER('Capacity summary'!AX223)="x",$BI104*AX104,VALUE('Capacity summary'!AX223)),0),AX104*$BI104),AX104*$BI104),0)</f>
        <v>0</v>
      </c>
      <c r="DB104" s="311">
        <f>IF($BI104&lt;&gt;"",IF('Capacity summary'!$D$14="Yes",IF(COUNTBLANK('Capacity summary'!$H223:$BG223)&lt;52,IF('Capacity summary'!AY223&lt;&gt;"",IF(LOWER('Capacity summary'!AY223)="x",$BI104*AY104,VALUE('Capacity summary'!AY223)),0),AY104*$BI104),AY104*$BI104),0)</f>
        <v>0</v>
      </c>
      <c r="DC104" s="311">
        <f>IF($BI104&lt;&gt;"",IF('Capacity summary'!$D$14="Yes",IF(COUNTBLANK('Capacity summary'!$H223:$BG223)&lt;52,IF('Capacity summary'!AZ223&lt;&gt;"",IF(LOWER('Capacity summary'!AZ223)="x",$BI104*AZ104,VALUE('Capacity summary'!AZ223)),0),AZ104*$BI104),AZ104*$BI104),0)</f>
        <v>0</v>
      </c>
      <c r="DD104" s="311">
        <f>IF($BI104&lt;&gt;"",IF('Capacity summary'!$D$14="Yes",IF(COUNTBLANK('Capacity summary'!$H223:$BG223)&lt;52,IF('Capacity summary'!BA223&lt;&gt;"",IF(LOWER('Capacity summary'!BA223)="x",$BI104*BA104,VALUE('Capacity summary'!BA223)),0),BA104*$BI104),BA104*$BI104),0)</f>
        <v>0</v>
      </c>
      <c r="DE104" s="311">
        <f>IF($BI104&lt;&gt;"",IF('Capacity summary'!$D$14="Yes",IF(COUNTBLANK('Capacity summary'!$H223:$BG223)&lt;52,IF('Capacity summary'!BB223&lt;&gt;"",IF(LOWER('Capacity summary'!BB223)="x",$BI104*BB104,VALUE('Capacity summary'!BB223)),0),BB104*$BI104),BB104*$BI104),0)</f>
        <v>0</v>
      </c>
      <c r="DF104" s="311">
        <f>IF($BI104&lt;&gt;"",IF('Capacity summary'!$D$14="Yes",IF(COUNTBLANK('Capacity summary'!$H223:$BG223)&lt;52,IF('Capacity summary'!BC223&lt;&gt;"",IF(LOWER('Capacity summary'!BC223)="x",$BI104*BC104,VALUE('Capacity summary'!BC223)),0),BC104*$BI104),BC104*$BI104),0)</f>
        <v>0</v>
      </c>
      <c r="DG104" s="311">
        <f>IF($BI104&lt;&gt;"",IF('Capacity summary'!$D$14="Yes",IF(COUNTBLANK('Capacity summary'!$H223:$BG223)&lt;52,IF('Capacity summary'!BD223&lt;&gt;"",IF(LOWER('Capacity summary'!BD223)="x",$BI104*BD104,VALUE('Capacity summary'!BD223)),0),BD104*$BI104),BD104*$BI104),0)</f>
        <v>0</v>
      </c>
      <c r="DH104" s="311">
        <f>IF($BI104&lt;&gt;"",IF('Capacity summary'!$D$14="Yes",IF(COUNTBLANK('Capacity summary'!$H223:$BG223)&lt;52,IF('Capacity summary'!BE223&lt;&gt;"",IF(LOWER('Capacity summary'!BE223)="x",$BI104*BE104,VALUE('Capacity summary'!BE223)),0),BE104*$BI104),BE104*$BI104),0)</f>
        <v>0</v>
      </c>
      <c r="DI104" s="311">
        <f>IF($BI104&lt;&gt;"",IF('Capacity summary'!$D$14="Yes",IF(COUNTBLANK('Capacity summary'!$H223:$BG223)&lt;52,IF('Capacity summary'!BF223&lt;&gt;"",IF(LOWER('Capacity summary'!BF223)="x",$BI104*BF104,VALUE('Capacity summary'!BF223)),0),BF104*$BI104),BF104*$BI104),0)</f>
        <v>0</v>
      </c>
      <c r="DJ104" s="311">
        <f>IF($BI104&lt;&gt;"",IF('Capacity summary'!$D$14="Yes",IF(COUNTBLANK('Capacity summary'!$H223:$BG223)&lt;52,IF('Capacity summary'!BG223&lt;&gt;"",IF(LOWER('Capacity summary'!BG223)="x",$BI104*BG104,VALUE('Capacity summary'!BG223)),0),BG104*$BI104),BG104*$BI104),0)</f>
        <v>0</v>
      </c>
      <c r="DK104" s="391">
        <f t="shared" si="4"/>
        <v>0</v>
      </c>
      <c r="DL104" s="136">
        <f t="shared" si="5"/>
        <v>0</v>
      </c>
      <c r="DM104" s="311" t="str">
        <f>Capacity!H116</f>
        <v/>
      </c>
    </row>
    <row r="105" spans="1:117" x14ac:dyDescent="0.2">
      <c r="B105" s="67"/>
    </row>
    <row r="106" spans="1:117" x14ac:dyDescent="0.2">
      <c r="B106" s="67"/>
    </row>
    <row r="107" spans="1:117" x14ac:dyDescent="0.2">
      <c r="B107" s="67"/>
    </row>
    <row r="108" spans="1:117" x14ac:dyDescent="0.2">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7" ht="15"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390">
        <v>53</v>
      </c>
      <c r="DL109" s="2" t="s">
        <v>462</v>
      </c>
    </row>
    <row r="110" spans="1:117" x14ac:dyDescent="0.2">
      <c r="C110" t="s">
        <v>466</v>
      </c>
      <c r="H110" s="67"/>
      <c r="BJ110"/>
      <c r="BK110">
        <f ca="1">BK3</f>
        <v>45</v>
      </c>
      <c r="BL110" s="67">
        <f t="shared" ref="BL110:DJ110" ca="1" si="6">BL3</f>
        <v>46</v>
      </c>
      <c r="BM110" s="67">
        <f t="shared" ca="1" si="6"/>
        <v>47</v>
      </c>
      <c r="BN110" s="67">
        <f t="shared" ca="1" si="6"/>
        <v>48</v>
      </c>
      <c r="BO110" s="67">
        <f t="shared" ca="1" si="6"/>
        <v>49</v>
      </c>
      <c r="BP110" s="67">
        <f t="shared" ca="1" si="6"/>
        <v>50</v>
      </c>
      <c r="BQ110" s="67">
        <f t="shared" ca="1" si="6"/>
        <v>51</v>
      </c>
      <c r="BR110" s="67">
        <f t="shared" ca="1" si="6"/>
        <v>52</v>
      </c>
      <c r="BS110" s="67">
        <f t="shared" ca="1" si="6"/>
        <v>1</v>
      </c>
      <c r="BT110" s="67">
        <f t="shared" ca="1" si="6"/>
        <v>2</v>
      </c>
      <c r="BU110" s="67">
        <f t="shared" ca="1" si="6"/>
        <v>3</v>
      </c>
      <c r="BV110" s="67">
        <f t="shared" ca="1" si="6"/>
        <v>4</v>
      </c>
      <c r="BW110" s="67">
        <f t="shared" ca="1" si="6"/>
        <v>5</v>
      </c>
      <c r="BX110" s="67">
        <f t="shared" ca="1" si="6"/>
        <v>6</v>
      </c>
      <c r="BY110" s="67">
        <f t="shared" ca="1" si="6"/>
        <v>7</v>
      </c>
      <c r="BZ110" s="67">
        <f t="shared" ca="1" si="6"/>
        <v>8</v>
      </c>
      <c r="CA110" s="67">
        <f t="shared" ca="1" si="6"/>
        <v>9</v>
      </c>
      <c r="CB110" s="67">
        <f t="shared" ca="1" si="6"/>
        <v>10</v>
      </c>
      <c r="CC110" s="67">
        <f t="shared" ca="1" si="6"/>
        <v>11</v>
      </c>
      <c r="CD110" s="67">
        <f t="shared" ca="1" si="6"/>
        <v>12</v>
      </c>
      <c r="CE110" s="67">
        <f t="shared" ca="1" si="6"/>
        <v>13</v>
      </c>
      <c r="CF110" s="67">
        <f t="shared" ca="1" si="6"/>
        <v>14</v>
      </c>
      <c r="CG110" s="67">
        <f t="shared" ca="1" si="6"/>
        <v>15</v>
      </c>
      <c r="CH110" s="67">
        <f t="shared" ca="1" si="6"/>
        <v>16</v>
      </c>
      <c r="CI110" s="67">
        <f t="shared" ca="1" si="6"/>
        <v>17</v>
      </c>
      <c r="CJ110" s="67">
        <f t="shared" ca="1" si="6"/>
        <v>18</v>
      </c>
      <c r="CK110" s="67">
        <f t="shared" ca="1" si="6"/>
        <v>19</v>
      </c>
      <c r="CL110" s="67">
        <f t="shared" ca="1" si="6"/>
        <v>20</v>
      </c>
      <c r="CM110" s="67">
        <f t="shared" ca="1" si="6"/>
        <v>21</v>
      </c>
      <c r="CN110" s="67">
        <f t="shared" ca="1" si="6"/>
        <v>22</v>
      </c>
      <c r="CO110" s="67">
        <f t="shared" ca="1" si="6"/>
        <v>23</v>
      </c>
      <c r="CP110" s="67">
        <f t="shared" ca="1" si="6"/>
        <v>24</v>
      </c>
      <c r="CQ110" s="67">
        <f t="shared" ca="1" si="6"/>
        <v>25</v>
      </c>
      <c r="CR110" s="67">
        <f t="shared" ca="1" si="6"/>
        <v>26</v>
      </c>
      <c r="CS110" s="67">
        <f t="shared" ca="1" si="6"/>
        <v>27</v>
      </c>
      <c r="CT110" s="67">
        <f t="shared" ca="1" si="6"/>
        <v>28</v>
      </c>
      <c r="CU110" s="67">
        <f t="shared" ca="1" si="6"/>
        <v>29</v>
      </c>
      <c r="CV110" s="67">
        <f t="shared" ca="1" si="6"/>
        <v>30</v>
      </c>
      <c r="CW110" s="67">
        <f t="shared" ca="1" si="6"/>
        <v>31</v>
      </c>
      <c r="CX110" s="67">
        <f t="shared" ca="1" si="6"/>
        <v>32</v>
      </c>
      <c r="CY110" s="67">
        <f t="shared" ca="1" si="6"/>
        <v>33</v>
      </c>
      <c r="CZ110" s="67">
        <f t="shared" ca="1" si="6"/>
        <v>34</v>
      </c>
      <c r="DA110" s="67">
        <f t="shared" ca="1" si="6"/>
        <v>35</v>
      </c>
      <c r="DB110" s="67">
        <f t="shared" ca="1" si="6"/>
        <v>36</v>
      </c>
      <c r="DC110" s="67">
        <f t="shared" ca="1" si="6"/>
        <v>37</v>
      </c>
      <c r="DD110" s="67">
        <f t="shared" ca="1" si="6"/>
        <v>38</v>
      </c>
      <c r="DE110" s="67">
        <f t="shared" ca="1" si="6"/>
        <v>39</v>
      </c>
      <c r="DF110" s="67">
        <f t="shared" ca="1" si="6"/>
        <v>40</v>
      </c>
      <c r="DG110" s="67">
        <f t="shared" ca="1" si="6"/>
        <v>41</v>
      </c>
      <c r="DH110" s="67">
        <f t="shared" ca="1" si="6"/>
        <v>42</v>
      </c>
      <c r="DI110" s="67">
        <f t="shared" ca="1" si="6"/>
        <v>43</v>
      </c>
      <c r="DJ110" s="67">
        <f t="shared" ca="1" si="6"/>
        <v>44</v>
      </c>
      <c r="DK110" s="375">
        <f ca="1">DJ110+1</f>
        <v>45</v>
      </c>
    </row>
    <row r="111" spans="1:117" x14ac:dyDescent="0.2">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J111" si="7">SUM(BL112:BL211)</f>
        <v>0</v>
      </c>
      <c r="BM111" s="5">
        <f t="shared" si="7"/>
        <v>0</v>
      </c>
      <c r="BN111" s="5">
        <f t="shared" si="7"/>
        <v>0</v>
      </c>
      <c r="BO111" s="5">
        <f t="shared" si="7"/>
        <v>0</v>
      </c>
      <c r="BP111" s="5">
        <f t="shared" si="7"/>
        <v>0</v>
      </c>
      <c r="BQ111" s="5">
        <f t="shared" si="7"/>
        <v>0</v>
      </c>
      <c r="BR111" s="5">
        <f t="shared" si="7"/>
        <v>0</v>
      </c>
      <c r="BS111" s="5">
        <f t="shared" si="7"/>
        <v>0</v>
      </c>
      <c r="BT111" s="5">
        <f t="shared" si="7"/>
        <v>0</v>
      </c>
      <c r="BU111" s="5">
        <f t="shared" si="7"/>
        <v>0</v>
      </c>
      <c r="BV111" s="5">
        <f t="shared" si="7"/>
        <v>0</v>
      </c>
      <c r="BW111" s="5">
        <f t="shared" si="7"/>
        <v>0</v>
      </c>
      <c r="BX111" s="5">
        <f t="shared" si="7"/>
        <v>0</v>
      </c>
      <c r="BY111" s="5">
        <f t="shared" si="7"/>
        <v>0</v>
      </c>
      <c r="BZ111" s="5">
        <f t="shared" si="7"/>
        <v>0</v>
      </c>
      <c r="CA111" s="5">
        <f t="shared" si="7"/>
        <v>0</v>
      </c>
      <c r="CB111" s="5">
        <f t="shared" si="7"/>
        <v>0</v>
      </c>
      <c r="CC111" s="5">
        <f t="shared" si="7"/>
        <v>0</v>
      </c>
      <c r="CD111" s="5">
        <f t="shared" si="7"/>
        <v>0</v>
      </c>
      <c r="CE111" s="5">
        <f t="shared" si="7"/>
        <v>0</v>
      </c>
      <c r="CF111" s="5">
        <f t="shared" si="7"/>
        <v>0</v>
      </c>
      <c r="CG111" s="5">
        <f t="shared" si="7"/>
        <v>0</v>
      </c>
      <c r="CH111" s="5">
        <f t="shared" si="7"/>
        <v>0</v>
      </c>
      <c r="CI111" s="5">
        <f t="shared" si="7"/>
        <v>0</v>
      </c>
      <c r="CJ111" s="5">
        <f t="shared" si="7"/>
        <v>0</v>
      </c>
      <c r="CK111" s="5">
        <f t="shared" si="7"/>
        <v>0</v>
      </c>
      <c r="CL111" s="5">
        <f t="shared" si="7"/>
        <v>0</v>
      </c>
      <c r="CM111" s="5">
        <f t="shared" si="7"/>
        <v>0</v>
      </c>
      <c r="CN111" s="5">
        <f t="shared" si="7"/>
        <v>0</v>
      </c>
      <c r="CO111" s="5">
        <f t="shared" si="7"/>
        <v>0</v>
      </c>
      <c r="CP111" s="5">
        <f t="shared" si="7"/>
        <v>0</v>
      </c>
      <c r="CQ111" s="5">
        <f t="shared" si="7"/>
        <v>0</v>
      </c>
      <c r="CR111" s="5">
        <f t="shared" si="7"/>
        <v>0</v>
      </c>
      <c r="CS111" s="5">
        <f t="shared" si="7"/>
        <v>0</v>
      </c>
      <c r="CT111" s="5">
        <f t="shared" si="7"/>
        <v>0</v>
      </c>
      <c r="CU111" s="5">
        <f t="shared" si="7"/>
        <v>0</v>
      </c>
      <c r="CV111" s="5">
        <f t="shared" si="7"/>
        <v>0</v>
      </c>
      <c r="CW111" s="5">
        <f t="shared" si="7"/>
        <v>0</v>
      </c>
      <c r="CX111" s="5">
        <f t="shared" si="7"/>
        <v>0</v>
      </c>
      <c r="CY111" s="5">
        <f t="shared" si="7"/>
        <v>0</v>
      </c>
      <c r="CZ111" s="5">
        <f t="shared" si="7"/>
        <v>0</v>
      </c>
      <c r="DA111" s="5">
        <f t="shared" si="7"/>
        <v>0</v>
      </c>
      <c r="DB111" s="5">
        <f t="shared" si="7"/>
        <v>0</v>
      </c>
      <c r="DC111" s="5">
        <f t="shared" si="7"/>
        <v>0</v>
      </c>
      <c r="DD111" s="5">
        <f t="shared" si="7"/>
        <v>0</v>
      </c>
      <c r="DE111" s="5">
        <f t="shared" si="7"/>
        <v>0</v>
      </c>
      <c r="DF111" s="5">
        <f t="shared" si="7"/>
        <v>0</v>
      </c>
      <c r="DG111" s="5">
        <f t="shared" si="7"/>
        <v>0</v>
      </c>
      <c r="DH111" s="5">
        <f t="shared" si="7"/>
        <v>0</v>
      </c>
      <c r="DI111" s="5">
        <f t="shared" si="7"/>
        <v>0</v>
      </c>
      <c r="DJ111" s="5">
        <f t="shared" si="7"/>
        <v>0</v>
      </c>
      <c r="DK111" s="391">
        <f>DJ111</f>
        <v>0</v>
      </c>
      <c r="DL111" s="5">
        <f>SUM(BK111:DK111)</f>
        <v>0</v>
      </c>
    </row>
    <row r="112" spans="1:117" x14ac:dyDescent="0.2">
      <c r="C112" t="str">
        <f>ROW(A1)&amp;". "&amp;Capacity!N17</f>
        <v xml:space="preserve">1. </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IF(ROW(A1)&lt;=Capacity!$M$16,IF('Capacity summary'!$C$14="No",SUM(H112:BG112),'Capacity summary'!$E24),0)</f>
        <v>0</v>
      </c>
      <c r="BI112" t="str">
        <f>IF(BH112&gt;0,IF(BH112&lt;Capacity!Q17,Capacity!R17,Capacity!T17/'Capacity calculation (hide)'!BH112),"")</f>
        <v/>
      </c>
      <c r="BJ112" s="5"/>
      <c r="BK112" s="5">
        <f>IF($BI112&lt;&gt;"",IF('Capacity summary'!$C$14="Yes",IF(COUNTBLANK('Capacity summary'!$H24:$BG24)&lt;52,IF('Capacity summary'!H24&lt;&gt;"",IF(LOWER('Capacity summary'!H24)="x",$BI112*H112,VALUE('Capacity summary'!H24)),0),H112*$BI112),H112*$BI112),0)</f>
        <v>0</v>
      </c>
      <c r="BL112" s="5">
        <f>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IF($BI112&lt;&gt;"",IF('Capacity summary'!$C$14="Yes",IF(COUNTBLANK('Capacity summary'!$H24:$BG24)&lt;52,IF('Capacity summary'!M24&lt;&gt;"",IF(LOWER('Capacity summary'!M24)="x",$BI112*M112,VALUE('Capacity summary'!M24)),0),M112*$BI112),M112*$BI112),0)</f>
        <v>0</v>
      </c>
      <c r="BQ112" s="5">
        <f>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IF($BI112&lt;&gt;"",IF('Capacity summary'!$C$14="Yes",IF(COUNTBLANK('Capacity summary'!$H24:$BG24)&lt;52,IF('Capacity summary'!Q24&lt;&gt;"",IF(LOWER('Capacity summary'!Q24)="x",$BI112*Q112,VALUE('Capacity summary'!Q24)),0),Q112*$BI112),Q112*$BI112),0)</f>
        <v>0</v>
      </c>
      <c r="BU112" s="5">
        <f>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0</v>
      </c>
      <c r="BX112" s="5">
        <f>IF($BI112&lt;&gt;"",IF('Capacity summary'!$C$14="Yes",IF(COUNTBLANK('Capacity summary'!$H24:$BG24)&lt;52,IF('Capacity summary'!U24&lt;&gt;"",IF(LOWER('Capacity summary'!U24)="x",$BI112*U112,VALUE('Capacity summary'!U24)),0),U112*$BI112),U112*$BI112),0)</f>
        <v>0</v>
      </c>
      <c r="BY112" s="5">
        <f>IF($BI112&lt;&gt;"",IF('Capacity summary'!$C$14="Yes",IF(COUNTBLANK('Capacity summary'!$H24:$BG24)&lt;52,IF('Capacity summary'!V24&lt;&gt;"",IF(LOWER('Capacity summary'!V24)="x",$BI112*V112,VALUE('Capacity summary'!V24)),0),V112*$BI112),V112*$BI112),0)</f>
        <v>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0</v>
      </c>
      <c r="CB112" s="5">
        <f>IF($BI112&lt;&gt;"",IF('Capacity summary'!$C$14="Yes",IF(COUNTBLANK('Capacity summary'!$H24:$BG24)&lt;52,IF('Capacity summary'!Y24&lt;&gt;"",IF(LOWER('Capacity summary'!Y24)="x",$BI112*Y112,VALUE('Capacity summary'!Y24)),0),Y112*$BI112),Y112*$BI112),0)</f>
        <v>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IF($BI112&lt;&gt;"",IF('Capacity summary'!$C$14="Yes",IF(COUNTBLANK('Capacity summary'!$H24:$BG24)&lt;52,IF('Capacity summary'!AI24&lt;&gt;"",IF(LOWER('Capacity summary'!AI24)="x",$BI112*AI112,VALUE('Capacity summary'!AI24)),0),AI112*$BI112),AI112*$BI112),0)</f>
        <v>0</v>
      </c>
      <c r="CM112" s="5">
        <f>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391">
        <f t="shared" ref="DK112:DK175" si="8">DJ112</f>
        <v>0</v>
      </c>
      <c r="DL112" s="5">
        <f t="shared" ref="DL112:DL175" si="9">SUM(BK112:DJ112)</f>
        <v>0</v>
      </c>
    </row>
    <row r="113" spans="3:116" x14ac:dyDescent="0.2">
      <c r="C113" s="67" t="str">
        <f>ROW(A2)&amp;". "&amp;Capacity!N18</f>
        <v xml:space="preserve">2. </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IF(ROW(A2)&lt;=Capacity!$M$16,IF('Capacity summary'!$C$14="No",SUM(H113:BG113),'Capacity summary'!$E25),0)</f>
        <v>0</v>
      </c>
      <c r="BI113" s="67" t="str">
        <f>IF(BH113&gt;0,IF(BH113&lt;Capacity!Q18,Capacity!R18,Capacity!T18/'Capacity calculation (hide)'!BH113),"")</f>
        <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391">
        <f t="shared" si="8"/>
        <v>0</v>
      </c>
      <c r="DL113" s="5">
        <f t="shared" si="9"/>
        <v>0</v>
      </c>
    </row>
    <row r="114" spans="3:116" x14ac:dyDescent="0.2">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391">
        <f t="shared" si="8"/>
        <v>0</v>
      </c>
      <c r="DL114" s="5">
        <f t="shared" si="9"/>
        <v>0</v>
      </c>
    </row>
    <row r="115" spans="3:116" x14ac:dyDescent="0.2">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391">
        <f t="shared" si="8"/>
        <v>0</v>
      </c>
      <c r="DL115" s="5">
        <f t="shared" si="9"/>
        <v>0</v>
      </c>
    </row>
    <row r="116" spans="3:116" x14ac:dyDescent="0.2">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391">
        <f t="shared" si="8"/>
        <v>0</v>
      </c>
      <c r="DL116" s="5">
        <f t="shared" si="9"/>
        <v>0</v>
      </c>
    </row>
    <row r="117" spans="3:116" x14ac:dyDescent="0.2">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391">
        <f t="shared" si="8"/>
        <v>0</v>
      </c>
      <c r="DL117" s="5">
        <f t="shared" si="9"/>
        <v>0</v>
      </c>
    </row>
    <row r="118" spans="3:116" x14ac:dyDescent="0.2">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391">
        <f t="shared" si="8"/>
        <v>0</v>
      </c>
      <c r="DL118" s="5">
        <f t="shared" si="9"/>
        <v>0</v>
      </c>
    </row>
    <row r="119" spans="3:116" x14ac:dyDescent="0.2">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391">
        <f t="shared" si="8"/>
        <v>0</v>
      </c>
      <c r="DL119" s="5">
        <f t="shared" si="9"/>
        <v>0</v>
      </c>
    </row>
    <row r="120" spans="3:116" x14ac:dyDescent="0.2">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391">
        <f t="shared" si="8"/>
        <v>0</v>
      </c>
      <c r="DL120" s="5">
        <f t="shared" si="9"/>
        <v>0</v>
      </c>
    </row>
    <row r="121" spans="3:116" x14ac:dyDescent="0.2">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391">
        <f t="shared" si="8"/>
        <v>0</v>
      </c>
      <c r="DL121" s="5">
        <f t="shared" si="9"/>
        <v>0</v>
      </c>
    </row>
    <row r="122" spans="3:116" x14ac:dyDescent="0.2">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391">
        <f t="shared" si="8"/>
        <v>0</v>
      </c>
      <c r="DL122" s="5">
        <f t="shared" si="9"/>
        <v>0</v>
      </c>
    </row>
    <row r="123" spans="3:116" x14ac:dyDescent="0.2">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391">
        <f t="shared" si="8"/>
        <v>0</v>
      </c>
      <c r="DL123" s="5">
        <f t="shared" si="9"/>
        <v>0</v>
      </c>
    </row>
    <row r="124" spans="3:116" x14ac:dyDescent="0.2">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391">
        <f t="shared" si="8"/>
        <v>0</v>
      </c>
      <c r="DL124" s="5">
        <f t="shared" si="9"/>
        <v>0</v>
      </c>
    </row>
    <row r="125" spans="3:116" x14ac:dyDescent="0.2">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391">
        <f t="shared" si="8"/>
        <v>0</v>
      </c>
      <c r="DL125" s="5">
        <f t="shared" si="9"/>
        <v>0</v>
      </c>
    </row>
    <row r="126" spans="3:116" x14ac:dyDescent="0.2">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391">
        <f t="shared" si="8"/>
        <v>0</v>
      </c>
      <c r="DL126" s="5">
        <f t="shared" si="9"/>
        <v>0</v>
      </c>
    </row>
    <row r="127" spans="3:116" x14ac:dyDescent="0.2">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391">
        <f t="shared" si="8"/>
        <v>0</v>
      </c>
      <c r="DL127" s="5">
        <f t="shared" si="9"/>
        <v>0</v>
      </c>
    </row>
    <row r="128" spans="3:116" x14ac:dyDescent="0.2">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391">
        <f t="shared" si="8"/>
        <v>0</v>
      </c>
      <c r="DL128" s="5">
        <f t="shared" si="9"/>
        <v>0</v>
      </c>
    </row>
    <row r="129" spans="3:116" x14ac:dyDescent="0.2">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391">
        <f t="shared" si="8"/>
        <v>0</v>
      </c>
      <c r="DL129" s="5">
        <f t="shared" si="9"/>
        <v>0</v>
      </c>
    </row>
    <row r="130" spans="3:116" x14ac:dyDescent="0.2">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391">
        <f t="shared" si="8"/>
        <v>0</v>
      </c>
      <c r="DL130" s="5">
        <f t="shared" si="9"/>
        <v>0</v>
      </c>
    </row>
    <row r="131" spans="3:116" x14ac:dyDescent="0.2">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391">
        <f t="shared" si="8"/>
        <v>0</v>
      </c>
      <c r="DL131" s="5">
        <f t="shared" si="9"/>
        <v>0</v>
      </c>
    </row>
    <row r="132" spans="3:116" x14ac:dyDescent="0.2">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391">
        <f t="shared" si="8"/>
        <v>0</v>
      </c>
      <c r="DL132" s="5">
        <f t="shared" si="9"/>
        <v>0</v>
      </c>
    </row>
    <row r="133" spans="3:116" x14ac:dyDescent="0.2">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391">
        <f t="shared" si="8"/>
        <v>0</v>
      </c>
      <c r="DL133" s="5">
        <f t="shared" si="9"/>
        <v>0</v>
      </c>
    </row>
    <row r="134" spans="3:116" x14ac:dyDescent="0.2">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391">
        <f t="shared" si="8"/>
        <v>0</v>
      </c>
      <c r="DL134" s="5">
        <f t="shared" si="9"/>
        <v>0</v>
      </c>
    </row>
    <row r="135" spans="3:116" x14ac:dyDescent="0.2">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391">
        <f t="shared" si="8"/>
        <v>0</v>
      </c>
      <c r="DL135" s="5">
        <f t="shared" si="9"/>
        <v>0</v>
      </c>
    </row>
    <row r="136" spans="3:116" x14ac:dyDescent="0.2">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391">
        <f t="shared" si="8"/>
        <v>0</v>
      </c>
      <c r="DL136" s="5">
        <f t="shared" si="9"/>
        <v>0</v>
      </c>
    </row>
    <row r="137" spans="3:116" x14ac:dyDescent="0.2">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391">
        <f t="shared" si="8"/>
        <v>0</v>
      </c>
      <c r="DL137" s="5">
        <f t="shared" si="9"/>
        <v>0</v>
      </c>
    </row>
    <row r="138" spans="3:116" x14ac:dyDescent="0.2">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391">
        <f t="shared" si="8"/>
        <v>0</v>
      </c>
      <c r="DL138" s="5">
        <f t="shared" si="9"/>
        <v>0</v>
      </c>
    </row>
    <row r="139" spans="3:116" x14ac:dyDescent="0.2">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391">
        <f t="shared" si="8"/>
        <v>0</v>
      </c>
      <c r="DL139" s="5">
        <f t="shared" si="9"/>
        <v>0</v>
      </c>
    </row>
    <row r="140" spans="3:116" x14ac:dyDescent="0.2">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391">
        <f t="shared" si="8"/>
        <v>0</v>
      </c>
      <c r="DL140" s="5">
        <f t="shared" si="9"/>
        <v>0</v>
      </c>
    </row>
    <row r="141" spans="3:116" x14ac:dyDescent="0.2">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391">
        <f t="shared" si="8"/>
        <v>0</v>
      </c>
      <c r="DL141" s="5">
        <f t="shared" si="9"/>
        <v>0</v>
      </c>
    </row>
    <row r="142" spans="3:116" x14ac:dyDescent="0.2">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391">
        <f t="shared" si="8"/>
        <v>0</v>
      </c>
      <c r="DL142" s="5">
        <f t="shared" si="9"/>
        <v>0</v>
      </c>
    </row>
    <row r="143" spans="3:116" x14ac:dyDescent="0.2">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391">
        <f t="shared" si="8"/>
        <v>0</v>
      </c>
      <c r="DL143" s="5">
        <f t="shared" si="9"/>
        <v>0</v>
      </c>
    </row>
    <row r="144" spans="3:116" x14ac:dyDescent="0.2">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391">
        <f t="shared" si="8"/>
        <v>0</v>
      </c>
      <c r="DL144" s="5">
        <f t="shared" si="9"/>
        <v>0</v>
      </c>
    </row>
    <row r="145" spans="3:116" x14ac:dyDescent="0.2">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391">
        <f t="shared" si="8"/>
        <v>0</v>
      </c>
      <c r="DL145" s="5">
        <f t="shared" si="9"/>
        <v>0</v>
      </c>
    </row>
    <row r="146" spans="3:116" x14ac:dyDescent="0.2">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391">
        <f t="shared" si="8"/>
        <v>0</v>
      </c>
      <c r="DL146" s="5">
        <f t="shared" si="9"/>
        <v>0</v>
      </c>
    </row>
    <row r="147" spans="3:116" x14ac:dyDescent="0.2">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391">
        <f t="shared" si="8"/>
        <v>0</v>
      </c>
      <c r="DL147" s="5">
        <f t="shared" si="9"/>
        <v>0</v>
      </c>
    </row>
    <row r="148" spans="3:116" x14ac:dyDescent="0.2">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391">
        <f t="shared" si="8"/>
        <v>0</v>
      </c>
      <c r="DL148" s="5">
        <f t="shared" si="9"/>
        <v>0</v>
      </c>
    </row>
    <row r="149" spans="3:116" x14ac:dyDescent="0.2">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391">
        <f t="shared" si="8"/>
        <v>0</v>
      </c>
      <c r="DL149" s="5">
        <f t="shared" si="9"/>
        <v>0</v>
      </c>
    </row>
    <row r="150" spans="3:116" x14ac:dyDescent="0.2">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391">
        <f t="shared" si="8"/>
        <v>0</v>
      </c>
      <c r="DL150" s="5">
        <f t="shared" si="9"/>
        <v>0</v>
      </c>
    </row>
    <row r="151" spans="3:116" x14ac:dyDescent="0.2">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391">
        <f t="shared" si="8"/>
        <v>0</v>
      </c>
      <c r="DL151" s="5">
        <f t="shared" si="9"/>
        <v>0</v>
      </c>
    </row>
    <row r="152" spans="3:116" x14ac:dyDescent="0.2">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391">
        <f t="shared" si="8"/>
        <v>0</v>
      </c>
      <c r="DL152" s="5">
        <f t="shared" si="9"/>
        <v>0</v>
      </c>
    </row>
    <row r="153" spans="3:116" x14ac:dyDescent="0.2">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391">
        <f t="shared" si="8"/>
        <v>0</v>
      </c>
      <c r="DL153" s="5">
        <f t="shared" si="9"/>
        <v>0</v>
      </c>
    </row>
    <row r="154" spans="3:116" x14ac:dyDescent="0.2">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391">
        <f t="shared" si="8"/>
        <v>0</v>
      </c>
      <c r="DL154" s="5">
        <f t="shared" si="9"/>
        <v>0</v>
      </c>
    </row>
    <row r="155" spans="3:116" x14ac:dyDescent="0.2">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391">
        <f t="shared" si="8"/>
        <v>0</v>
      </c>
      <c r="DL155" s="5">
        <f t="shared" si="9"/>
        <v>0</v>
      </c>
    </row>
    <row r="156" spans="3:116" x14ac:dyDescent="0.2">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391">
        <f t="shared" si="8"/>
        <v>0</v>
      </c>
      <c r="DL156" s="5">
        <f t="shared" si="9"/>
        <v>0</v>
      </c>
    </row>
    <row r="157" spans="3:116" x14ac:dyDescent="0.2">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391">
        <f t="shared" si="8"/>
        <v>0</v>
      </c>
      <c r="DL157" s="5">
        <f t="shared" si="9"/>
        <v>0</v>
      </c>
    </row>
    <row r="158" spans="3:116" x14ac:dyDescent="0.2">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391">
        <f t="shared" si="8"/>
        <v>0</v>
      </c>
      <c r="DL158" s="5">
        <f t="shared" si="9"/>
        <v>0</v>
      </c>
    </row>
    <row r="159" spans="3:116" x14ac:dyDescent="0.2">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391">
        <f t="shared" si="8"/>
        <v>0</v>
      </c>
      <c r="DL159" s="5">
        <f t="shared" si="9"/>
        <v>0</v>
      </c>
    </row>
    <row r="160" spans="3:116" x14ac:dyDescent="0.2">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391">
        <f t="shared" si="8"/>
        <v>0</v>
      </c>
      <c r="DL160" s="5">
        <f t="shared" si="9"/>
        <v>0</v>
      </c>
    </row>
    <row r="161" spans="3:116" x14ac:dyDescent="0.2">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391">
        <f t="shared" si="8"/>
        <v>0</v>
      </c>
      <c r="DL161" s="5">
        <f t="shared" si="9"/>
        <v>0</v>
      </c>
    </row>
    <row r="162" spans="3:116" x14ac:dyDescent="0.2">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391">
        <f t="shared" si="8"/>
        <v>0</v>
      </c>
      <c r="DL162" s="5">
        <f t="shared" si="9"/>
        <v>0</v>
      </c>
    </row>
    <row r="163" spans="3:116" x14ac:dyDescent="0.2">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391">
        <f t="shared" si="8"/>
        <v>0</v>
      </c>
      <c r="DL163" s="5">
        <f t="shared" si="9"/>
        <v>0</v>
      </c>
    </row>
    <row r="164" spans="3:116" x14ac:dyDescent="0.2">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391">
        <f t="shared" si="8"/>
        <v>0</v>
      </c>
      <c r="DL164" s="5">
        <f t="shared" si="9"/>
        <v>0</v>
      </c>
    </row>
    <row r="165" spans="3:116" x14ac:dyDescent="0.2">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391">
        <f t="shared" si="8"/>
        <v>0</v>
      </c>
      <c r="DL165" s="5">
        <f t="shared" si="9"/>
        <v>0</v>
      </c>
    </row>
    <row r="166" spans="3:116" x14ac:dyDescent="0.2">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391">
        <f t="shared" si="8"/>
        <v>0</v>
      </c>
      <c r="DL166" s="5">
        <f t="shared" si="9"/>
        <v>0</v>
      </c>
    </row>
    <row r="167" spans="3:116" x14ac:dyDescent="0.2">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391">
        <f t="shared" si="8"/>
        <v>0</v>
      </c>
      <c r="DL167" s="5">
        <f t="shared" si="9"/>
        <v>0</v>
      </c>
    </row>
    <row r="168" spans="3:116" x14ac:dyDescent="0.2">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391">
        <f t="shared" si="8"/>
        <v>0</v>
      </c>
      <c r="DL168" s="5">
        <f t="shared" si="9"/>
        <v>0</v>
      </c>
    </row>
    <row r="169" spans="3:116" x14ac:dyDescent="0.2">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391">
        <f t="shared" si="8"/>
        <v>0</v>
      </c>
      <c r="DL169" s="5">
        <f t="shared" si="9"/>
        <v>0</v>
      </c>
    </row>
    <row r="170" spans="3:116" x14ac:dyDescent="0.2">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391">
        <f t="shared" si="8"/>
        <v>0</v>
      </c>
      <c r="DL170" s="5">
        <f t="shared" si="9"/>
        <v>0</v>
      </c>
    </row>
    <row r="171" spans="3:116" x14ac:dyDescent="0.2">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391">
        <f t="shared" si="8"/>
        <v>0</v>
      </c>
      <c r="DL171" s="5">
        <f t="shared" si="9"/>
        <v>0</v>
      </c>
    </row>
    <row r="172" spans="3:116" x14ac:dyDescent="0.2">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391">
        <f t="shared" si="8"/>
        <v>0</v>
      </c>
      <c r="DL172" s="5">
        <f t="shared" si="9"/>
        <v>0</v>
      </c>
    </row>
    <row r="173" spans="3:116" x14ac:dyDescent="0.2">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391">
        <f t="shared" si="8"/>
        <v>0</v>
      </c>
      <c r="DL173" s="5">
        <f t="shared" si="9"/>
        <v>0</v>
      </c>
    </row>
    <row r="174" spans="3:116" x14ac:dyDescent="0.2">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391">
        <f t="shared" si="8"/>
        <v>0</v>
      </c>
      <c r="DL174" s="5">
        <f t="shared" si="9"/>
        <v>0</v>
      </c>
    </row>
    <row r="175" spans="3:116" x14ac:dyDescent="0.2">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391">
        <f t="shared" si="8"/>
        <v>0</v>
      </c>
      <c r="DL175" s="5">
        <f t="shared" si="9"/>
        <v>0</v>
      </c>
    </row>
    <row r="176" spans="3:116" x14ac:dyDescent="0.2">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391">
        <f t="shared" ref="DK176:DK211" si="10">DJ176</f>
        <v>0</v>
      </c>
      <c r="DL176" s="5">
        <f t="shared" ref="DL176:DL211" si="11">SUM(BK176:DJ176)</f>
        <v>0</v>
      </c>
    </row>
    <row r="177" spans="3:116" x14ac:dyDescent="0.2">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391">
        <f t="shared" si="10"/>
        <v>0</v>
      </c>
      <c r="DL177" s="5">
        <f t="shared" si="11"/>
        <v>0</v>
      </c>
    </row>
    <row r="178" spans="3:116" x14ac:dyDescent="0.2">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391">
        <f t="shared" si="10"/>
        <v>0</v>
      </c>
      <c r="DL178" s="5">
        <f t="shared" si="11"/>
        <v>0</v>
      </c>
    </row>
    <row r="179" spans="3:116" x14ac:dyDescent="0.2">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391">
        <f t="shared" si="10"/>
        <v>0</v>
      </c>
      <c r="DL179" s="5">
        <f t="shared" si="11"/>
        <v>0</v>
      </c>
    </row>
    <row r="180" spans="3:116" x14ac:dyDescent="0.2">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391">
        <f t="shared" si="10"/>
        <v>0</v>
      </c>
      <c r="DL180" s="5">
        <f t="shared" si="11"/>
        <v>0</v>
      </c>
    </row>
    <row r="181" spans="3:116" x14ac:dyDescent="0.2">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391">
        <f t="shared" si="10"/>
        <v>0</v>
      </c>
      <c r="DL181" s="5">
        <f t="shared" si="11"/>
        <v>0</v>
      </c>
    </row>
    <row r="182" spans="3:116" x14ac:dyDescent="0.2">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391">
        <f t="shared" si="10"/>
        <v>0</v>
      </c>
      <c r="DL182" s="5">
        <f t="shared" si="11"/>
        <v>0</v>
      </c>
    </row>
    <row r="183" spans="3:116" x14ac:dyDescent="0.2">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391">
        <f t="shared" si="10"/>
        <v>0</v>
      </c>
      <c r="DL183" s="5">
        <f t="shared" si="11"/>
        <v>0</v>
      </c>
    </row>
    <row r="184" spans="3:116" x14ac:dyDescent="0.2">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391">
        <f t="shared" si="10"/>
        <v>0</v>
      </c>
      <c r="DL184" s="5">
        <f t="shared" si="11"/>
        <v>0</v>
      </c>
    </row>
    <row r="185" spans="3:116" x14ac:dyDescent="0.2">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391">
        <f t="shared" si="10"/>
        <v>0</v>
      </c>
      <c r="DL185" s="5">
        <f t="shared" si="11"/>
        <v>0</v>
      </c>
    </row>
    <row r="186" spans="3:116" x14ac:dyDescent="0.2">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391">
        <f t="shared" si="10"/>
        <v>0</v>
      </c>
      <c r="DL186" s="5">
        <f t="shared" si="11"/>
        <v>0</v>
      </c>
    </row>
    <row r="187" spans="3:116" x14ac:dyDescent="0.2">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391">
        <f t="shared" si="10"/>
        <v>0</v>
      </c>
      <c r="DL187" s="5">
        <f t="shared" si="11"/>
        <v>0</v>
      </c>
    </row>
    <row r="188" spans="3:116" x14ac:dyDescent="0.2">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391">
        <f t="shared" si="10"/>
        <v>0</v>
      </c>
      <c r="DL188" s="5">
        <f t="shared" si="11"/>
        <v>0</v>
      </c>
    </row>
    <row r="189" spans="3:116" x14ac:dyDescent="0.2">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391">
        <f t="shared" si="10"/>
        <v>0</v>
      </c>
      <c r="DL189" s="5">
        <f t="shared" si="11"/>
        <v>0</v>
      </c>
    </row>
    <row r="190" spans="3:116" x14ac:dyDescent="0.2">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391">
        <f t="shared" si="10"/>
        <v>0</v>
      </c>
      <c r="DL190" s="5">
        <f t="shared" si="11"/>
        <v>0</v>
      </c>
    </row>
    <row r="191" spans="3:116" x14ac:dyDescent="0.2">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391">
        <f t="shared" si="10"/>
        <v>0</v>
      </c>
      <c r="DL191" s="5">
        <f t="shared" si="11"/>
        <v>0</v>
      </c>
    </row>
    <row r="192" spans="3:116" x14ac:dyDescent="0.2">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391">
        <f t="shared" si="10"/>
        <v>0</v>
      </c>
      <c r="DL192" s="5">
        <f t="shared" si="11"/>
        <v>0</v>
      </c>
    </row>
    <row r="193" spans="3:116" x14ac:dyDescent="0.2">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391">
        <f t="shared" si="10"/>
        <v>0</v>
      </c>
      <c r="DL193" s="5">
        <f t="shared" si="11"/>
        <v>0</v>
      </c>
    </row>
    <row r="194" spans="3:116" x14ac:dyDescent="0.2">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391">
        <f t="shared" si="10"/>
        <v>0</v>
      </c>
      <c r="DL194" s="5">
        <f t="shared" si="11"/>
        <v>0</v>
      </c>
    </row>
    <row r="195" spans="3:116" x14ac:dyDescent="0.2">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391">
        <f t="shared" si="10"/>
        <v>0</v>
      </c>
      <c r="DL195" s="5">
        <f t="shared" si="11"/>
        <v>0</v>
      </c>
    </row>
    <row r="196" spans="3:116" x14ac:dyDescent="0.2">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391">
        <f t="shared" si="10"/>
        <v>0</v>
      </c>
      <c r="DL196" s="5">
        <f t="shared" si="11"/>
        <v>0</v>
      </c>
    </row>
    <row r="197" spans="3:116" x14ac:dyDescent="0.2">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391">
        <f t="shared" si="10"/>
        <v>0</v>
      </c>
      <c r="DL197" s="5">
        <f t="shared" si="11"/>
        <v>0</v>
      </c>
    </row>
    <row r="198" spans="3:116" x14ac:dyDescent="0.2">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391">
        <f t="shared" si="10"/>
        <v>0</v>
      </c>
      <c r="DL198" s="5">
        <f t="shared" si="11"/>
        <v>0</v>
      </c>
    </row>
    <row r="199" spans="3:116" x14ac:dyDescent="0.2">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391">
        <f t="shared" si="10"/>
        <v>0</v>
      </c>
      <c r="DL199" s="5">
        <f t="shared" si="11"/>
        <v>0</v>
      </c>
    </row>
    <row r="200" spans="3:116" x14ac:dyDescent="0.2">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391">
        <f t="shared" si="10"/>
        <v>0</v>
      </c>
      <c r="DL200" s="5">
        <f t="shared" si="11"/>
        <v>0</v>
      </c>
    </row>
    <row r="201" spans="3:116" x14ac:dyDescent="0.2">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391">
        <f t="shared" si="10"/>
        <v>0</v>
      </c>
      <c r="DL201" s="5">
        <f t="shared" si="11"/>
        <v>0</v>
      </c>
    </row>
    <row r="202" spans="3:116" x14ac:dyDescent="0.2">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391">
        <f t="shared" si="10"/>
        <v>0</v>
      </c>
      <c r="DL202" s="5">
        <f t="shared" si="11"/>
        <v>0</v>
      </c>
    </row>
    <row r="203" spans="3:116" x14ac:dyDescent="0.2">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391">
        <f t="shared" si="10"/>
        <v>0</v>
      </c>
      <c r="DL203" s="5">
        <f t="shared" si="11"/>
        <v>0</v>
      </c>
    </row>
    <row r="204" spans="3:116" x14ac:dyDescent="0.2">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391">
        <f t="shared" si="10"/>
        <v>0</v>
      </c>
      <c r="DL204" s="5">
        <f t="shared" si="11"/>
        <v>0</v>
      </c>
    </row>
    <row r="205" spans="3:116" x14ac:dyDescent="0.2">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391">
        <f t="shared" si="10"/>
        <v>0</v>
      </c>
      <c r="DL205" s="5">
        <f t="shared" si="11"/>
        <v>0</v>
      </c>
    </row>
    <row r="206" spans="3:116" x14ac:dyDescent="0.2">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391">
        <f t="shared" si="10"/>
        <v>0</v>
      </c>
      <c r="DL206" s="5">
        <f t="shared" si="11"/>
        <v>0</v>
      </c>
    </row>
    <row r="207" spans="3:116" x14ac:dyDescent="0.2">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391">
        <f t="shared" si="10"/>
        <v>0</v>
      </c>
      <c r="DL207" s="5">
        <f t="shared" si="11"/>
        <v>0</v>
      </c>
    </row>
    <row r="208" spans="3:116" x14ac:dyDescent="0.2">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391">
        <f t="shared" si="10"/>
        <v>0</v>
      </c>
      <c r="DL208" s="5">
        <f t="shared" si="11"/>
        <v>0</v>
      </c>
    </row>
    <row r="209" spans="2:116" x14ac:dyDescent="0.2">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391">
        <f t="shared" si="10"/>
        <v>0</v>
      </c>
      <c r="DL209" s="5">
        <f t="shared" si="11"/>
        <v>0</v>
      </c>
    </row>
    <row r="210" spans="2:116" x14ac:dyDescent="0.2">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391">
        <f t="shared" si="10"/>
        <v>0</v>
      </c>
      <c r="DL210" s="5">
        <f t="shared" si="11"/>
        <v>0</v>
      </c>
    </row>
    <row r="211" spans="2:116" x14ac:dyDescent="0.2">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391">
        <f t="shared" si="10"/>
        <v>0</v>
      </c>
      <c r="DL211" s="5">
        <f t="shared" si="11"/>
        <v>0</v>
      </c>
    </row>
    <row r="212" spans="2:116" x14ac:dyDescent="0.2">
      <c r="B212" s="67"/>
    </row>
    <row r="213" spans="2:116" x14ac:dyDescent="0.2">
      <c r="B213" s="67"/>
    </row>
    <row r="214" spans="2:116" ht="15" x14ac:dyDescent="0.25">
      <c r="B214" s="67"/>
      <c r="BI214" s="305" t="s">
        <v>1113</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c r="DL214" s="67">
        <f>SUMIFS(DL$112:DL$211,Capacity!$V$17:$V$116,"X")</f>
        <v>0</v>
      </c>
    </row>
    <row r="215" spans="2:116" x14ac:dyDescent="0.2">
      <c r="B215" s="67"/>
    </row>
    <row r="216" spans="2:116" x14ac:dyDescent="0.2">
      <c r="B216" s="67"/>
    </row>
    <row r="217" spans="2:116" x14ac:dyDescent="0.2">
      <c r="B217" s="67"/>
    </row>
    <row r="218" spans="2:116" x14ac:dyDescent="0.2">
      <c r="B218" s="67"/>
    </row>
    <row r="219" spans="2:116" x14ac:dyDescent="0.2">
      <c r="B219" s="67"/>
    </row>
    <row r="220" spans="2:116" x14ac:dyDescent="0.2">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I27" sqref="I27:I28"/>
    </sheetView>
  </sheetViews>
  <sheetFormatPr defaultRowHeight="14.25" x14ac:dyDescent="0.2"/>
  <cols>
    <col min="1" max="1" width="16.125" customWidth="1"/>
    <col min="2" max="2" width="13.125" customWidth="1"/>
    <col min="3" max="4" width="11.125" customWidth="1"/>
    <col min="5" max="6" width="19.75" customWidth="1"/>
    <col min="7" max="10" width="9.125" customWidth="1"/>
  </cols>
  <sheetData>
    <row r="1" spans="1:15" x14ac:dyDescent="0.2">
      <c r="B1" s="67"/>
    </row>
    <row r="2" spans="1:15" x14ac:dyDescent="0.2">
      <c r="A2" t="s">
        <v>310</v>
      </c>
      <c r="C2" s="407" t="s">
        <v>87</v>
      </c>
      <c r="D2" s="409"/>
      <c r="F2" s="240" t="str">
        <f ca="1">"On aggregate, 1 patient = "&amp;TEXT('Demand background (hide)'!$BN$16,"#.#")&amp;" "&amp;Setup!$I$17</f>
        <v>On aggregate, 1 patient = 1. Minutes</v>
      </c>
    </row>
    <row r="3" spans="1:15" x14ac:dyDescent="0.2">
      <c r="A3" t="s">
        <v>328</v>
      </c>
      <c r="C3" s="438">
        <v>52</v>
      </c>
      <c r="D3" s="439"/>
      <c r="F3" s="347" t="s">
        <v>326</v>
      </c>
    </row>
    <row r="4" spans="1:15" x14ac:dyDescent="0.2">
      <c r="A4" t="s">
        <v>14</v>
      </c>
      <c r="C4" s="407" t="s">
        <v>19</v>
      </c>
      <c r="D4" s="409"/>
    </row>
    <row r="5" spans="1:15" x14ac:dyDescent="0.2">
      <c r="K5" s="72"/>
    </row>
    <row r="6" spans="1:15" ht="14.65" customHeight="1" thickBot="1" x14ac:dyDescent="0.3">
      <c r="A6" s="102" t="s">
        <v>309</v>
      </c>
      <c r="B6" s="103"/>
      <c r="C6" s="103"/>
      <c r="D6" s="9"/>
      <c r="E6" s="456" t="s">
        <v>346</v>
      </c>
      <c r="F6" s="456"/>
      <c r="G6" s="63" t="s">
        <v>87</v>
      </c>
      <c r="H6" s="9" t="s">
        <v>88</v>
      </c>
      <c r="I6" s="9"/>
      <c r="K6" s="72"/>
    </row>
    <row r="7" spans="1:15" ht="15" thickBot="1" x14ac:dyDescent="0.25">
      <c r="A7" s="10"/>
      <c r="B7" s="11"/>
      <c r="C7" s="11"/>
      <c r="D7" s="9"/>
      <c r="E7" s="457" t="s">
        <v>214</v>
      </c>
      <c r="F7" s="449"/>
      <c r="G7" s="442"/>
      <c r="H7" s="452">
        <f ca="1">'Parameters calculator (hide)'!B25</f>
        <v>0</v>
      </c>
      <c r="I7" s="9"/>
    </row>
    <row r="8" spans="1:15" ht="15" thickBot="1" x14ac:dyDescent="0.25">
      <c r="A8" s="11"/>
      <c r="B8" s="11"/>
      <c r="C8" s="11"/>
      <c r="D8" s="12"/>
      <c r="E8" s="13"/>
      <c r="F8" s="14"/>
      <c r="G8" s="443"/>
      <c r="H8" s="453"/>
      <c r="I8" s="9"/>
    </row>
    <row r="9" spans="1:15" ht="15" thickBot="1" x14ac:dyDescent="0.25">
      <c r="A9" s="85" t="s">
        <v>338</v>
      </c>
      <c r="B9" s="444" t="str">
        <f ca="1">TEXT('Parameters calculator (hide)'!B19,"#,#")</f>
        <v/>
      </c>
      <c r="C9" s="11"/>
      <c r="D9" s="12"/>
      <c r="E9" s="9"/>
      <c r="F9" s="9"/>
      <c r="G9" s="9"/>
      <c r="H9" s="9"/>
      <c r="I9" s="9"/>
    </row>
    <row r="10" spans="1:15" ht="15" thickBot="1" x14ac:dyDescent="0.25">
      <c r="A10" s="242" t="str">
        <f>"("&amp;$C$4&amp;")"</f>
        <v>(Patients)</v>
      </c>
      <c r="B10" s="445"/>
      <c r="C10" s="15"/>
      <c r="D10" s="16"/>
      <c r="E10" s="446" t="s">
        <v>348</v>
      </c>
      <c r="F10" s="447"/>
      <c r="G10" s="63" t="s">
        <v>87</v>
      </c>
      <c r="H10" s="9" t="s">
        <v>88</v>
      </c>
      <c r="I10" s="9"/>
      <c r="K10" s="5"/>
    </row>
    <row r="11" spans="1:15" ht="15.75" thickBot="1" x14ac:dyDescent="0.25">
      <c r="A11" s="91" t="str">
        <f>IF(LEFT(Demand!C8,1)="H","Based on selected baseline period in SPC sheet","Based on baseline forecast demand")</f>
        <v>Based on selected baseline period in SPC sheet</v>
      </c>
      <c r="B11" s="11"/>
      <c r="C11" s="17"/>
      <c r="D11" s="12"/>
      <c r="E11" s="448" t="s">
        <v>89</v>
      </c>
      <c r="F11" s="449"/>
      <c r="G11" s="450"/>
      <c r="H11" s="452">
        <f ca="1">'Parameters calculator (hide)'!C25</f>
        <v>0</v>
      </c>
      <c r="I11" s="9"/>
      <c r="O11" s="371"/>
    </row>
    <row r="12" spans="1:15" ht="15" thickBot="1" x14ac:dyDescent="0.25">
      <c r="A12" s="91" t="str">
        <f ca="1">"normalised to "&amp;TEXT('Parameters calculator (hide)'!$B$18,"#")&amp;" wks"</f>
        <v>normalised to 52 wks</v>
      </c>
      <c r="B12" s="11"/>
      <c r="C12" s="17"/>
      <c r="D12" s="9"/>
      <c r="E12" s="18"/>
      <c r="F12" s="14"/>
      <c r="G12" s="451"/>
      <c r="H12" s="453"/>
      <c r="I12" s="9"/>
    </row>
    <row r="13" spans="1:15" x14ac:dyDescent="0.2">
      <c r="A13" s="10" t="s">
        <v>90</v>
      </c>
      <c r="B13" s="11"/>
      <c r="C13" s="17"/>
      <c r="D13" s="19" t="s">
        <v>91</v>
      </c>
      <c r="E13" s="9"/>
      <c r="F13" s="9"/>
      <c r="G13" s="9"/>
      <c r="H13" s="9"/>
      <c r="I13" s="9"/>
    </row>
    <row r="14" spans="1:15" ht="15" thickBot="1" x14ac:dyDescent="0.25">
      <c r="B14" s="20"/>
      <c r="C14" s="21"/>
      <c r="D14" s="20"/>
      <c r="E14" s="20"/>
      <c r="F14" s="20"/>
      <c r="G14" s="20"/>
      <c r="H14" s="20"/>
      <c r="I14" s="20"/>
      <c r="J14" s="20"/>
      <c r="K14" s="20"/>
      <c r="L14" s="20"/>
    </row>
    <row r="15" spans="1:15" ht="15" thickBot="1" x14ac:dyDescent="0.25">
      <c r="B15" s="93"/>
      <c r="C15" s="454" t="s">
        <v>373</v>
      </c>
      <c r="D15" s="455"/>
      <c r="E15" s="20"/>
      <c r="F15" s="458" t="s">
        <v>399</v>
      </c>
      <c r="G15" s="458"/>
      <c r="H15" s="20"/>
      <c r="I15" s="64" t="s">
        <v>87</v>
      </c>
      <c r="J15" s="20" t="s">
        <v>88</v>
      </c>
      <c r="K15" s="20"/>
      <c r="L15" s="20"/>
    </row>
    <row r="16" spans="1:15" ht="15" thickBot="1" x14ac:dyDescent="0.25">
      <c r="B16" s="20"/>
      <c r="C16" s="459" t="e">
        <f ca="1">IF(B9-H7-H11+J16&lt;0, 0, B9-H7-H11+J16)</f>
        <v>#VALUE!</v>
      </c>
      <c r="D16" s="460"/>
      <c r="E16" s="20"/>
      <c r="F16" s="20" t="s">
        <v>92</v>
      </c>
      <c r="G16" s="20"/>
      <c r="H16" s="20"/>
      <c r="I16" s="463">
        <f>'Parameters calculator (hide)'!$H$24</f>
        <v>1</v>
      </c>
      <c r="J16" s="465">
        <f ca="1">'Parameters calculator (hide)'!H25</f>
        <v>0</v>
      </c>
      <c r="K16" s="20"/>
      <c r="L16" s="20"/>
    </row>
    <row r="17" spans="1:13" ht="15" thickBot="1" x14ac:dyDescent="0.25">
      <c r="B17" s="20"/>
      <c r="C17" s="461"/>
      <c r="D17" s="462"/>
      <c r="E17" s="22"/>
      <c r="F17" s="23"/>
      <c r="G17" s="23"/>
      <c r="H17" s="23"/>
      <c r="I17" s="464"/>
      <c r="J17" s="466"/>
      <c r="K17" s="24"/>
      <c r="L17" s="20"/>
    </row>
    <row r="18" spans="1:13" x14ac:dyDescent="0.2">
      <c r="B18" s="90" t="s">
        <v>374</v>
      </c>
      <c r="C18" s="20"/>
      <c r="D18" s="22"/>
      <c r="E18" s="20"/>
      <c r="F18" s="20"/>
      <c r="G18" s="20"/>
      <c r="H18" s="25"/>
      <c r="I18" s="25"/>
      <c r="J18" s="25"/>
      <c r="K18" s="26"/>
      <c r="L18" s="20"/>
    </row>
    <row r="19" spans="1:13" x14ac:dyDescent="0.2">
      <c r="B19" s="90" t="s">
        <v>375</v>
      </c>
      <c r="C19" s="20"/>
      <c r="D19" s="27"/>
      <c r="E19" s="20"/>
      <c r="F19" s="20"/>
      <c r="G19" s="20"/>
      <c r="H19" s="25"/>
      <c r="I19" s="25"/>
      <c r="J19" s="25"/>
      <c r="K19" s="26"/>
      <c r="L19" s="20"/>
    </row>
    <row r="20" spans="1:13" ht="15" thickBot="1" x14ac:dyDescent="0.25">
      <c r="B20" s="90"/>
      <c r="C20" s="20"/>
      <c r="D20" s="27"/>
      <c r="E20" s="467" t="s">
        <v>347</v>
      </c>
      <c r="F20" s="467"/>
      <c r="G20" s="64" t="s">
        <v>87</v>
      </c>
      <c r="H20" s="25" t="s">
        <v>88</v>
      </c>
      <c r="I20" s="25"/>
      <c r="J20" s="25"/>
      <c r="K20" s="26"/>
      <c r="L20" s="20"/>
    </row>
    <row r="21" spans="1:13" ht="15" thickBot="1" x14ac:dyDescent="0.25">
      <c r="B21" s="20"/>
      <c r="C21" s="20"/>
      <c r="D21" s="28"/>
      <c r="E21" s="468" t="s">
        <v>93</v>
      </c>
      <c r="F21" s="469"/>
      <c r="G21" s="442"/>
      <c r="H21" s="452">
        <f ca="1">'Parameters calculator (hide)'!E25</f>
        <v>0</v>
      </c>
      <c r="I21" s="29"/>
      <c r="J21" s="29"/>
      <c r="K21" s="21"/>
      <c r="L21" s="20"/>
    </row>
    <row r="22" spans="1:13" ht="15" thickBot="1" x14ac:dyDescent="0.25">
      <c r="B22" s="90"/>
      <c r="C22" s="26"/>
      <c r="D22" s="23"/>
      <c r="E22" s="23"/>
      <c r="F22" s="24"/>
      <c r="G22" s="443"/>
      <c r="H22" s="453"/>
      <c r="I22" s="24"/>
      <c r="J22" s="20"/>
      <c r="K22" s="20"/>
      <c r="L22" s="20"/>
    </row>
    <row r="23" spans="1:13" x14ac:dyDescent="0.2">
      <c r="B23" s="30" t="s">
        <v>94</v>
      </c>
      <c r="C23" s="26"/>
      <c r="D23" s="20"/>
      <c r="E23" s="20"/>
      <c r="F23" s="20"/>
      <c r="G23" s="20"/>
      <c r="H23" s="25"/>
      <c r="I23" s="26"/>
      <c r="J23" s="20"/>
      <c r="K23" s="20"/>
      <c r="L23" s="20"/>
    </row>
    <row r="24" spans="1:13" x14ac:dyDescent="0.2">
      <c r="A24" s="31"/>
      <c r="B24" s="31"/>
      <c r="C24" s="32"/>
      <c r="D24" s="31"/>
      <c r="E24" s="31"/>
      <c r="F24" s="31"/>
      <c r="G24" s="31"/>
      <c r="H24" s="31"/>
      <c r="I24" s="32"/>
      <c r="J24" s="31"/>
      <c r="K24" s="31"/>
    </row>
    <row r="25" spans="1:13" ht="14.65" customHeight="1" thickBot="1" x14ac:dyDescent="0.25">
      <c r="A25" s="437" t="s">
        <v>372</v>
      </c>
      <c r="B25" s="31"/>
      <c r="C25" s="32"/>
      <c r="D25" s="31"/>
      <c r="E25" s="31"/>
      <c r="F25" s="31"/>
      <c r="G25" s="31"/>
      <c r="H25" s="31"/>
      <c r="I25" s="32"/>
      <c r="J25" s="31"/>
      <c r="K25" s="31"/>
    </row>
    <row r="26" spans="1:13" ht="15" thickBot="1" x14ac:dyDescent="0.25">
      <c r="A26" s="437"/>
      <c r="B26" s="440">
        <f ca="1">'Parameters calculator (hide)'!B27</f>
        <v>0</v>
      </c>
      <c r="C26" s="33"/>
      <c r="D26" s="31"/>
      <c r="E26" s="31"/>
      <c r="F26" s="31"/>
      <c r="G26" s="92"/>
      <c r="H26" s="31"/>
      <c r="I26" s="32" t="s">
        <v>87</v>
      </c>
      <c r="J26" s="31" t="s">
        <v>88</v>
      </c>
      <c r="K26" s="31"/>
    </row>
    <row r="27" spans="1:13" ht="15" thickBot="1" x14ac:dyDescent="0.25">
      <c r="A27" s="243" t="str">
        <f>"("&amp;$C$4&amp;")"</f>
        <v>(Patients)</v>
      </c>
      <c r="B27" s="441"/>
      <c r="C27" s="31"/>
      <c r="D27" s="31"/>
      <c r="E27" s="31"/>
      <c r="F27" s="83" t="s">
        <v>400</v>
      </c>
      <c r="G27" s="92"/>
      <c r="H27" s="31"/>
      <c r="I27" s="442"/>
      <c r="J27" s="452">
        <f ca="1">'Parameters calculator (hide)'!F25</f>
        <v>0</v>
      </c>
      <c r="K27" s="31"/>
    </row>
    <row r="28" spans="1:13" ht="15" thickBot="1" x14ac:dyDescent="0.25">
      <c r="A28" s="83"/>
      <c r="B28" s="31"/>
      <c r="C28" s="31"/>
      <c r="D28" s="31"/>
      <c r="E28" s="31"/>
      <c r="F28" s="31" t="s">
        <v>95</v>
      </c>
      <c r="G28" s="31"/>
      <c r="H28" s="31"/>
      <c r="I28" s="443"/>
      <c r="J28" s="453"/>
      <c r="K28" s="31"/>
    </row>
    <row r="29" spans="1:13" x14ac:dyDescent="0.2">
      <c r="A29" s="34" t="s">
        <v>96</v>
      </c>
      <c r="B29" s="31"/>
      <c r="C29" s="31"/>
      <c r="D29" s="31"/>
      <c r="E29" s="31"/>
      <c r="F29" s="31"/>
      <c r="G29" s="31"/>
      <c r="H29" s="31"/>
      <c r="I29" s="31"/>
      <c r="J29" s="31"/>
      <c r="K29" s="31"/>
    </row>
    <row r="30" spans="1:13" ht="15" thickBot="1" x14ac:dyDescent="0.25"/>
    <row r="31" spans="1:13" ht="15" thickBot="1" x14ac:dyDescent="0.25">
      <c r="A31" t="s">
        <v>371</v>
      </c>
      <c r="F31" s="212"/>
    </row>
    <row r="32" spans="1:13" ht="14.25" customHeight="1" x14ac:dyDescent="0.2">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ht="15" x14ac:dyDescent="0.25">
      <c r="A33" s="2"/>
      <c r="H33" s="150" t="str">
        <f>IF(H32&lt;&gt;"","Please recheck your figures.","")</f>
        <v/>
      </c>
    </row>
    <row r="36" spans="1:8" ht="15" x14ac:dyDescent="0.25">
      <c r="A36" s="2"/>
      <c r="C36" s="5"/>
    </row>
    <row r="37" spans="1:8" x14ac:dyDescent="0.2">
      <c r="C37" s="5"/>
    </row>
    <row r="42" spans="1:8" x14ac:dyDescent="0.2">
      <c r="B42" s="67"/>
    </row>
    <row r="43" spans="1:8" x14ac:dyDescent="0.2">
      <c r="B43" s="67"/>
    </row>
    <row r="44" spans="1:8" x14ac:dyDescent="0.2">
      <c r="B44" s="67"/>
    </row>
    <row r="45" spans="1:8" x14ac:dyDescent="0.2">
      <c r="B45" s="67"/>
    </row>
    <row r="46" spans="1:8" x14ac:dyDescent="0.2">
      <c r="B46" s="67"/>
    </row>
    <row r="47" spans="1:8" x14ac:dyDescent="0.2">
      <c r="B47" s="67"/>
    </row>
    <row r="48" spans="1:8" x14ac:dyDescent="0.2">
      <c r="B48" s="67"/>
    </row>
    <row r="49" spans="2:2" x14ac:dyDescent="0.2">
      <c r="B49" s="67"/>
    </row>
    <row r="50" spans="2:2" x14ac:dyDescent="0.2">
      <c r="B50" s="67"/>
    </row>
    <row r="51" spans="2:2" x14ac:dyDescent="0.2">
      <c r="B51" s="67"/>
    </row>
    <row r="52" spans="2:2" x14ac:dyDescent="0.2">
      <c r="B52" s="67"/>
    </row>
    <row r="53" spans="2:2" x14ac:dyDescent="0.2">
      <c r="B53" s="67"/>
    </row>
    <row r="54" spans="2:2" x14ac:dyDescent="0.2">
      <c r="B54" s="67"/>
    </row>
    <row r="55" spans="2:2" x14ac:dyDescent="0.2">
      <c r="B55" s="67"/>
    </row>
    <row r="56" spans="2:2" x14ac:dyDescent="0.2">
      <c r="B56" s="67"/>
    </row>
    <row r="57" spans="2:2" x14ac:dyDescent="0.2">
      <c r="B57" s="67"/>
    </row>
    <row r="58" spans="2:2" x14ac:dyDescent="0.2">
      <c r="B58" s="67"/>
    </row>
    <row r="59" spans="2:2" x14ac:dyDescent="0.2">
      <c r="B59" s="67"/>
    </row>
    <row r="60" spans="2:2" x14ac:dyDescent="0.2">
      <c r="B60" s="67"/>
    </row>
    <row r="61" spans="2:2" x14ac:dyDescent="0.2">
      <c r="B61" s="67"/>
    </row>
    <row r="62" spans="2:2" x14ac:dyDescent="0.2">
      <c r="B62" s="67"/>
    </row>
    <row r="63" spans="2:2" x14ac:dyDescent="0.2">
      <c r="B63" s="67"/>
    </row>
    <row r="64" spans="2:2" x14ac:dyDescent="0.2">
      <c r="B64" s="67"/>
    </row>
    <row r="65" spans="2:2" x14ac:dyDescent="0.2">
      <c r="B65" s="67"/>
    </row>
    <row r="66" spans="2:2" x14ac:dyDescent="0.2">
      <c r="B66" s="67"/>
    </row>
    <row r="67" spans="2:2" x14ac:dyDescent="0.2">
      <c r="B67" s="67"/>
    </row>
    <row r="68" spans="2:2" x14ac:dyDescent="0.2">
      <c r="B68" s="67"/>
    </row>
    <row r="69" spans="2:2" x14ac:dyDescent="0.2">
      <c r="B69" s="67"/>
    </row>
    <row r="70" spans="2:2" x14ac:dyDescent="0.2">
      <c r="B70" s="67"/>
    </row>
    <row r="71" spans="2:2" x14ac:dyDescent="0.2">
      <c r="B71" s="67"/>
    </row>
    <row r="72" spans="2:2" x14ac:dyDescent="0.2">
      <c r="B72" s="67"/>
    </row>
    <row r="73" spans="2:2" x14ac:dyDescent="0.2">
      <c r="B73" s="67"/>
    </row>
    <row r="74" spans="2:2" x14ac:dyDescent="0.2">
      <c r="B74" s="67"/>
    </row>
    <row r="75" spans="2:2" x14ac:dyDescent="0.2">
      <c r="B75" s="67"/>
    </row>
    <row r="76" spans="2:2" x14ac:dyDescent="0.2">
      <c r="B76" s="67"/>
    </row>
    <row r="77" spans="2:2" x14ac:dyDescent="0.2">
      <c r="B77" s="67"/>
    </row>
    <row r="78" spans="2:2" x14ac:dyDescent="0.2">
      <c r="B78" s="67"/>
    </row>
    <row r="79" spans="2:2" x14ac:dyDescent="0.2">
      <c r="B79" s="67"/>
    </row>
    <row r="80" spans="2:2" x14ac:dyDescent="0.2">
      <c r="B80" s="67"/>
    </row>
    <row r="81" spans="1:2" x14ac:dyDescent="0.2">
      <c r="B81" s="67"/>
    </row>
    <row r="82" spans="1:2" x14ac:dyDescent="0.2">
      <c r="B82" s="67"/>
    </row>
    <row r="83" spans="1:2" x14ac:dyDescent="0.2">
      <c r="A83" s="67"/>
      <c r="B83" s="67"/>
    </row>
    <row r="84" spans="1:2" x14ac:dyDescent="0.2">
      <c r="A84" s="67"/>
      <c r="B84" s="67"/>
    </row>
    <row r="85" spans="1:2" x14ac:dyDescent="0.2">
      <c r="A85" s="67"/>
      <c r="B85" s="67"/>
    </row>
    <row r="86" spans="1:2" x14ac:dyDescent="0.2">
      <c r="A86" s="67"/>
      <c r="B86" s="67"/>
    </row>
    <row r="87" spans="1:2" x14ac:dyDescent="0.2">
      <c r="B87" s="67"/>
    </row>
    <row r="88" spans="1:2" x14ac:dyDescent="0.2">
      <c r="A88" s="67"/>
      <c r="B88" s="67"/>
    </row>
    <row r="89" spans="1:2" x14ac:dyDescent="0.2">
      <c r="A89" s="67"/>
      <c r="B89" s="67"/>
    </row>
    <row r="90" spans="1:2" x14ac:dyDescent="0.2">
      <c r="A90" s="67"/>
      <c r="B90" s="67"/>
    </row>
    <row r="91" spans="1:2" x14ac:dyDescent="0.2">
      <c r="A91" s="67"/>
      <c r="B91" s="67"/>
    </row>
    <row r="92" spans="1:2" x14ac:dyDescent="0.2">
      <c r="B92" s="67"/>
    </row>
    <row r="93" spans="1:2" x14ac:dyDescent="0.2">
      <c r="B93" s="67"/>
    </row>
    <row r="94" spans="1:2" x14ac:dyDescent="0.2">
      <c r="B94" s="67"/>
    </row>
    <row r="95" spans="1:2" x14ac:dyDescent="0.2">
      <c r="B95" s="67"/>
    </row>
    <row r="96" spans="1:2" x14ac:dyDescent="0.2">
      <c r="B96" s="67"/>
    </row>
  </sheetData>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28575</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981075</xdr:colOff>
                    <xdr:row>3</xdr:row>
                    <xdr:rowOff>0</xdr:rowOff>
                  </from>
                  <to>
                    <xdr:col>6</xdr:col>
                    <xdr:colOff>0</xdr:colOff>
                    <xdr:row>4</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A4" sqref="A4"/>
    </sheetView>
  </sheetViews>
  <sheetFormatPr defaultRowHeight="14.25" x14ac:dyDescent="0.2"/>
  <cols>
    <col min="1" max="1" width="32.125" customWidth="1"/>
    <col min="2" max="9" width="10.625" customWidth="1"/>
  </cols>
  <sheetData>
    <row r="1" spans="1:7" ht="15" x14ac:dyDescent="0.25">
      <c r="A1" s="102" t="s">
        <v>323</v>
      </c>
      <c r="B1" s="103"/>
      <c r="C1" s="103"/>
      <c r="D1" s="103"/>
      <c r="E1" s="103"/>
      <c r="F1" s="103"/>
      <c r="G1" s="103"/>
    </row>
    <row r="3" spans="1:7" x14ac:dyDescent="0.2">
      <c r="A3" t="s">
        <v>321</v>
      </c>
    </row>
    <row r="4" spans="1:7" s="67" customFormat="1" ht="15" x14ac:dyDescent="0.25">
      <c r="A4" s="213">
        <v>52</v>
      </c>
      <c r="B4"/>
    </row>
    <row r="5" spans="1:7" s="67" customFormat="1" x14ac:dyDescent="0.2"/>
    <row r="6" spans="1:7" s="67" customFormat="1" x14ac:dyDescent="0.2"/>
    <row r="7" spans="1:7" s="67" customFormat="1" x14ac:dyDescent="0.2"/>
    <row r="8" spans="1:7" ht="15" x14ac:dyDescent="0.25">
      <c r="A8" s="89" t="s">
        <v>102</v>
      </c>
      <c r="B8" s="97" t="s">
        <v>75</v>
      </c>
      <c r="C8" s="97" t="s">
        <v>311</v>
      </c>
      <c r="D8" s="96"/>
      <c r="E8" s="98" t="s">
        <v>99</v>
      </c>
      <c r="F8" s="96"/>
      <c r="G8" s="99" t="s">
        <v>312</v>
      </c>
    </row>
    <row r="9" spans="1:7" x14ac:dyDescent="0.2">
      <c r="A9" s="86" t="str">
        <f>IF(Setup!C27&lt;&gt;"",Setup!C27,"Modality "&amp;ROW(A1))</f>
        <v>Test name 1</v>
      </c>
      <c r="B9" s="214"/>
      <c r="C9" s="214"/>
      <c r="E9" s="214"/>
      <c r="G9" s="214"/>
    </row>
    <row r="10" spans="1:7" hidden="1" x14ac:dyDescent="0.2">
      <c r="A10" s="86" t="str">
        <f>IF(Setup!C28&lt;&gt;"",Setup!C28,"Modality "&amp;ROW(A2))</f>
        <v>Test name 2</v>
      </c>
      <c r="B10" s="214"/>
      <c r="C10" s="214"/>
      <c r="E10" s="214"/>
      <c r="G10" s="214"/>
    </row>
    <row r="11" spans="1:7" hidden="1" x14ac:dyDescent="0.2">
      <c r="A11" s="86" t="str">
        <f>IF(Setup!C29&lt;&gt;"",Setup!C29,"Modality "&amp;ROW(A3))</f>
        <v>Another modality</v>
      </c>
      <c r="B11" s="214"/>
      <c r="C11" s="214"/>
      <c r="E11" s="214"/>
      <c r="G11" s="214"/>
    </row>
    <row r="12" spans="1:7" hidden="1" x14ac:dyDescent="0.2">
      <c r="A12" s="86" t="str">
        <f>IF(Setup!C30&lt;&gt;"",Setup!C30,"Modality "&amp;ROW(A8))</f>
        <v>Modality 4</v>
      </c>
      <c r="B12" s="214"/>
      <c r="C12" s="214"/>
      <c r="E12" s="214"/>
      <c r="G12" s="214"/>
    </row>
    <row r="13" spans="1:7" hidden="1" x14ac:dyDescent="0.2">
      <c r="A13" s="86" t="str">
        <f>IF(Setup!C31&lt;&gt;"",Setup!C31,"Modality "&amp;ROW(A9))</f>
        <v>Modality 5</v>
      </c>
      <c r="B13" s="214"/>
      <c r="C13" s="214"/>
      <c r="E13" s="214"/>
      <c r="G13" s="214"/>
    </row>
    <row r="14" spans="1:7" hidden="1" x14ac:dyDescent="0.2">
      <c r="A14" s="86" t="str">
        <f>IF(Setup!C32&lt;&gt;"",Setup!C32,"Modality "&amp;ROW(A10))</f>
        <v>Modality 6</v>
      </c>
      <c r="B14" s="214"/>
      <c r="C14" s="214"/>
      <c r="E14" s="214"/>
      <c r="G14" s="214"/>
    </row>
    <row r="15" spans="1:7" hidden="1" x14ac:dyDescent="0.2">
      <c r="A15" s="86" t="str">
        <f>IF(Setup!C33&lt;&gt;"",Setup!C33,"Modality "&amp;ROW(A11))</f>
        <v>Modality 7</v>
      </c>
      <c r="B15" s="214"/>
      <c r="C15" s="214"/>
      <c r="E15" s="214"/>
      <c r="G15" s="214"/>
    </row>
    <row r="16" spans="1:7" hidden="1" x14ac:dyDescent="0.2">
      <c r="A16" s="86" t="str">
        <f>IF(Setup!C34&lt;&gt;"",Setup!C34,"Modality "&amp;ROW(A12))</f>
        <v>Modality 8</v>
      </c>
      <c r="B16" s="214"/>
      <c r="C16" s="214"/>
      <c r="E16" s="214"/>
      <c r="G16" s="214"/>
    </row>
    <row r="17" spans="1:7" hidden="1" x14ac:dyDescent="0.2">
      <c r="A17" s="86" t="str">
        <f>IF(Setup!C35&lt;&gt;"",Setup!C35,"Modality "&amp;ROW(A13))</f>
        <v>Modality 9</v>
      </c>
      <c r="B17" s="214"/>
      <c r="C17" s="214"/>
      <c r="E17" s="214"/>
      <c r="G17" s="214"/>
    </row>
    <row r="18" spans="1:7" hidden="1" x14ac:dyDescent="0.2">
      <c r="A18" s="86" t="str">
        <f>IF(Setup!C36&lt;&gt;"",Setup!C36,"Modality "&amp;ROW(A14))</f>
        <v>Modality 10</v>
      </c>
      <c r="B18" s="214"/>
      <c r="C18" s="214"/>
      <c r="E18" s="214"/>
      <c r="G18" s="214"/>
    </row>
    <row r="19" spans="1:7" x14ac:dyDescent="0.2">
      <c r="A19" s="67"/>
    </row>
    <row r="20" spans="1:7" s="67" customFormat="1" ht="15" x14ac:dyDescent="0.25">
      <c r="B20" s="96" t="s">
        <v>19</v>
      </c>
      <c r="C20" s="96" t="str">
        <f>Setup!I17</f>
        <v>Minutes</v>
      </c>
    </row>
    <row r="21" spans="1:7" s="67" customFormat="1" x14ac:dyDescent="0.2">
      <c r="A21" s="67" t="s">
        <v>395</v>
      </c>
      <c r="B21" s="95">
        <f ca="1">'Parameters calculator (hide)'!B19</f>
        <v>0</v>
      </c>
      <c r="C21" s="95">
        <f ca="1">'Parameters calculator (hide)'!B19*'Parameters calculator (hide)'!E18</f>
        <v>0</v>
      </c>
    </row>
    <row r="22" spans="1:7" s="67" customFormat="1" x14ac:dyDescent="0.2">
      <c r="A22" s="67" t="s">
        <v>396</v>
      </c>
      <c r="B22" s="69"/>
      <c r="C22" s="69"/>
    </row>
    <row r="23" spans="1:7" s="67" customFormat="1" x14ac:dyDescent="0.2"/>
    <row r="24" spans="1:7" s="67" customFormat="1" x14ac:dyDescent="0.2"/>
    <row r="25" spans="1:7" ht="15"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ht="15" x14ac:dyDescent="0.25">
      <c r="A26" s="88" t="s">
        <v>322</v>
      </c>
      <c r="B26" s="94" t="e">
        <f ca="1">'Parameters calculator (hide)'!C16</f>
        <v>#DIV/0!</v>
      </c>
      <c r="C26" s="94" t="e">
        <f ca="1">'Parameters calculator (hide)'!E16</f>
        <v>#DIV/0!</v>
      </c>
      <c r="E26" s="94" t="e">
        <f ca="1">'Parameters calculator (hide)'!G16</f>
        <v>#DIV/0!</v>
      </c>
      <c r="G26" s="94">
        <f ca="1">'Parameters calculator (hide)'!I16</f>
        <v>0</v>
      </c>
    </row>
    <row r="27" spans="1:7" x14ac:dyDescent="0.2">
      <c r="A27" s="67"/>
      <c r="B27" s="67"/>
      <c r="C27" s="67"/>
      <c r="D27" s="67"/>
      <c r="E27" s="67"/>
      <c r="F27" s="67"/>
      <c r="G27" s="67"/>
    </row>
    <row r="28" spans="1:7" x14ac:dyDescent="0.2">
      <c r="A28" s="67"/>
      <c r="B28" s="67"/>
      <c r="C28" s="67"/>
      <c r="D28" s="67"/>
      <c r="E28" s="67"/>
      <c r="F28" s="67"/>
      <c r="G28" s="67"/>
    </row>
    <row r="29" spans="1:7" x14ac:dyDescent="0.2">
      <c r="A29" t="s">
        <v>397</v>
      </c>
    </row>
  </sheetData>
  <sheetProtection algorithmName="SHA-512" hashValue="pq/bBtSxOzJZJQQYmpds38xl7SI29d9TK19Q1Yk75JhTZ8BmqSWQ3HIBLd9N54EbN+wEM+4sFhYOGWk6rxlhZg==" saltValue="EBI6Emv77KVKPtvC1pJ9dg=="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46" workbookViewId="0">
      <selection activeCell="I69" sqref="I69"/>
    </sheetView>
  </sheetViews>
  <sheetFormatPr defaultRowHeight="14.25" x14ac:dyDescent="0.2"/>
  <cols>
    <col min="1" max="1" width="15.75" customWidth="1"/>
    <col min="3" max="3" width="11" bestFit="1" customWidth="1"/>
    <col min="5" max="5" width="17.25" customWidth="1"/>
  </cols>
  <sheetData>
    <row r="1" spans="1:9" x14ac:dyDescent="0.2">
      <c r="A1" t="s">
        <v>404</v>
      </c>
    </row>
    <row r="3" spans="1:9" x14ac:dyDescent="0.2">
      <c r="B3" t="s">
        <v>75</v>
      </c>
      <c r="D3" t="s">
        <v>98</v>
      </c>
      <c r="F3" t="s">
        <v>99</v>
      </c>
      <c r="H3" t="s">
        <v>100</v>
      </c>
    </row>
    <row r="4" spans="1:9" x14ac:dyDescent="0.2">
      <c r="A4" t="s">
        <v>102</v>
      </c>
      <c r="B4" t="s">
        <v>19</v>
      </c>
      <c r="C4" t="s">
        <v>313</v>
      </c>
      <c r="D4" s="67" t="s">
        <v>19</v>
      </c>
      <c r="E4" s="67" t="s">
        <v>313</v>
      </c>
      <c r="F4" s="67" t="s">
        <v>19</v>
      </c>
      <c r="G4" s="67" t="s">
        <v>313</v>
      </c>
      <c r="H4" s="67" t="s">
        <v>19</v>
      </c>
      <c r="I4" s="67" t="s">
        <v>313</v>
      </c>
    </row>
    <row r="5" spans="1:9" x14ac:dyDescent="0.2">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
      <c r="A16" t="s">
        <v>345</v>
      </c>
      <c r="C16" s="84" t="e">
        <f ca="1">C15/'Parameters calculator'!$C$21</f>
        <v>#DIV/0!</v>
      </c>
      <c r="E16" s="84" t="e">
        <f ca="1">E15/('Parameters calculator'!$C$21-C15)</f>
        <v>#DIV/0!</v>
      </c>
      <c r="G16" s="84" t="e">
        <f ca="1">G15/('Parameters calculator'!$C$21-C15)</f>
        <v>#DIV/0!</v>
      </c>
      <c r="I16" s="84">
        <f ca="1">IF(G15=0,0,I15/G15)</f>
        <v>0</v>
      </c>
    </row>
    <row r="17" spans="1:13" s="67" customFormat="1" x14ac:dyDescent="0.2"/>
    <row r="18" spans="1:13" s="67" customFormat="1" x14ac:dyDescent="0.2">
      <c r="A18" s="67" t="s">
        <v>147</v>
      </c>
      <c r="B18" s="67">
        <f ca="1">IF(LEFT(INDIRECT(H18),4)="Base",MAX('SPC background (hide)'!$I$5:$I$11),INDIRECT(H18))</f>
        <v>52</v>
      </c>
      <c r="D18" s="67" t="s">
        <v>212</v>
      </c>
      <c r="E18" s="5">
        <f ca="1">'Demand background (hide)'!BN16</f>
        <v>1</v>
      </c>
      <c r="G18" s="67" t="s">
        <v>394</v>
      </c>
      <c r="H18" s="51" t="s">
        <v>501</v>
      </c>
    </row>
    <row r="19" spans="1:13" x14ac:dyDescent="0.2">
      <c r="A19" t="s">
        <v>329</v>
      </c>
      <c r="B19">
        <f ca="1">'Demand background (hide)'!$BM$18*'Parameters calculator (hide)'!$B$18*IF(OR(Parameters!C4="Patients",B34=1),1/E18,1)</f>
        <v>0</v>
      </c>
    </row>
    <row r="20" spans="1:13" x14ac:dyDescent="0.2">
      <c r="B20" t="s">
        <v>75</v>
      </c>
      <c r="C20" t="s">
        <v>336</v>
      </c>
      <c r="E20" t="s">
        <v>99</v>
      </c>
      <c r="F20" t="s">
        <v>337</v>
      </c>
      <c r="H20" t="s">
        <v>101</v>
      </c>
    </row>
    <row r="21" spans="1:13" s="67" customFormat="1" x14ac:dyDescent="0.2">
      <c r="A21" s="67" t="s">
        <v>334</v>
      </c>
      <c r="B21" s="84">
        <f>Parameters!$G$7</f>
        <v>0</v>
      </c>
      <c r="C21" s="84">
        <f>Parameters!$G$11</f>
        <v>0</v>
      </c>
      <c r="D21" s="47"/>
      <c r="E21" s="84">
        <f>Parameters!$G$21</f>
        <v>0</v>
      </c>
      <c r="F21" s="84">
        <f>Parameters!$I$27</f>
        <v>0</v>
      </c>
      <c r="G21" s="47"/>
      <c r="H21" s="84">
        <f>1-F21</f>
        <v>1</v>
      </c>
      <c r="M21" s="67" t="s">
        <v>393</v>
      </c>
    </row>
    <row r="22" spans="1:13" s="67" customFormat="1" x14ac:dyDescent="0.2">
      <c r="A22" s="67" t="s">
        <v>335</v>
      </c>
      <c r="B22" s="5">
        <f ca="1">Parameters!$H$7</f>
        <v>0</v>
      </c>
      <c r="C22" s="5">
        <f ca="1">Parameters!$H$11</f>
        <v>0</v>
      </c>
      <c r="E22" s="5">
        <f ca="1">Parameters!$H$21</f>
        <v>0</v>
      </c>
      <c r="F22" s="5">
        <f ca="1">Parameters!$J$27</f>
        <v>0</v>
      </c>
      <c r="H22" s="5">
        <f ca="1">E22-F22</f>
        <v>0</v>
      </c>
    </row>
    <row r="23" spans="1:13" s="67" customFormat="1" x14ac:dyDescent="0.2"/>
    <row r="24" spans="1:13" x14ac:dyDescent="0.2">
      <c r="A24" s="67" t="s">
        <v>332</v>
      </c>
      <c r="B24" s="84" t="e">
        <f ca="1">IF($B$34=2,IFERROR(B22/B19,NA()),C16)</f>
        <v>#N/A</v>
      </c>
      <c r="C24" s="84" t="e">
        <f ca="1">IF($B$34=2,IFERROR(C22/(B19-B22),NA()),E16)</f>
        <v>#N/A</v>
      </c>
      <c r="D24" s="47"/>
      <c r="E24" s="84" t="e">
        <f ca="1">IF($B$34=2,IFERROR(E22/(B19-B22),NA()),G16)</f>
        <v>#N/A</v>
      </c>
      <c r="F24" s="84">
        <f ca="1">IF($B$34=2,IF(E22=0,0,IFERROR(F22/E22,NA())),I16)</f>
        <v>0</v>
      </c>
      <c r="G24" s="47"/>
      <c r="H24" s="84">
        <f>IF(Parameters!$C$2="%",'Parameters calculator (hide)'!$H$21,1-F24)</f>
        <v>1</v>
      </c>
    </row>
    <row r="25" spans="1:13" x14ac:dyDescent="0.2">
      <c r="A25" t="s">
        <v>333</v>
      </c>
      <c r="B25" s="5">
        <f ca="1">IFERROR(B19*B21,NA())</f>
        <v>0</v>
      </c>
      <c r="C25" s="5">
        <f ca="1">IFERROR((B19*(1-B21)*C21),NA())</f>
        <v>0</v>
      </c>
      <c r="D25" s="67"/>
      <c r="E25" s="5">
        <f ca="1">IFERROR(B19*(1-B21)*E21,NA())</f>
        <v>0</v>
      </c>
      <c r="F25" s="5">
        <f ca="1">IFERROR(E25*F21,NA())</f>
        <v>0</v>
      </c>
      <c r="G25" s="67"/>
      <c r="H25" s="5">
        <f ca="1">E25-F25</f>
        <v>0</v>
      </c>
    </row>
    <row r="27" spans="1:13" x14ac:dyDescent="0.2">
      <c r="A27" t="s">
        <v>340</v>
      </c>
      <c r="B27">
        <f ca="1">IF(Parameters!$C$2="Volume",B19-B22-C22+H22-E22,B19-B25-C25+H25-E25)</f>
        <v>0</v>
      </c>
      <c r="M27" t="s">
        <v>315</v>
      </c>
    </row>
    <row r="28" spans="1:13" x14ac:dyDescent="0.2">
      <c r="M28" t="s">
        <v>316</v>
      </c>
    </row>
    <row r="29" spans="1:13" x14ac:dyDescent="0.2">
      <c r="A29" t="s">
        <v>342</v>
      </c>
      <c r="B29" t="s">
        <v>378</v>
      </c>
      <c r="C29" t="s">
        <v>379</v>
      </c>
      <c r="D29" t="s">
        <v>376</v>
      </c>
      <c r="E29" t="s">
        <v>377</v>
      </c>
      <c r="F29" t="s">
        <v>343</v>
      </c>
      <c r="G29" t="s">
        <v>344</v>
      </c>
      <c r="I29" t="s">
        <v>350</v>
      </c>
      <c r="J29" t="s">
        <v>349</v>
      </c>
      <c r="M29" t="s">
        <v>317</v>
      </c>
    </row>
    <row r="30" spans="1:13" x14ac:dyDescent="0.2">
      <c r="A30" t="s">
        <v>75</v>
      </c>
      <c r="B30" t="s">
        <v>380</v>
      </c>
      <c r="C30" t="s">
        <v>384</v>
      </c>
      <c r="D30" s="51" t="s">
        <v>359</v>
      </c>
      <c r="E30" s="51" t="s">
        <v>363</v>
      </c>
      <c r="F30" s="51" t="s">
        <v>359</v>
      </c>
      <c r="G30" s="51" t="s">
        <v>367</v>
      </c>
      <c r="I30" t="s">
        <v>351</v>
      </c>
      <c r="J30" t="s">
        <v>355</v>
      </c>
      <c r="M30" t="s">
        <v>318</v>
      </c>
    </row>
    <row r="31" spans="1:13" x14ac:dyDescent="0.2">
      <c r="A31" t="s">
        <v>336</v>
      </c>
      <c r="B31" t="s">
        <v>381</v>
      </c>
      <c r="C31" t="s">
        <v>385</v>
      </c>
      <c r="D31" s="51" t="s">
        <v>360</v>
      </c>
      <c r="E31" s="51" t="s">
        <v>364</v>
      </c>
      <c r="F31" s="51" t="s">
        <v>360</v>
      </c>
      <c r="G31" s="51" t="s">
        <v>368</v>
      </c>
      <c r="I31" t="s">
        <v>352</v>
      </c>
      <c r="J31" s="67" t="s">
        <v>356</v>
      </c>
      <c r="M31" t="s">
        <v>319</v>
      </c>
    </row>
    <row r="32" spans="1:13" x14ac:dyDescent="0.2">
      <c r="A32" t="s">
        <v>99</v>
      </c>
      <c r="B32" t="s">
        <v>382</v>
      </c>
      <c r="C32" t="s">
        <v>386</v>
      </c>
      <c r="D32" s="51" t="s">
        <v>361</v>
      </c>
      <c r="E32" s="51" t="s">
        <v>365</v>
      </c>
      <c r="F32" s="51" t="s">
        <v>361</v>
      </c>
      <c r="G32" s="51" t="s">
        <v>369</v>
      </c>
      <c r="I32" t="s">
        <v>353</v>
      </c>
      <c r="J32" s="67" t="s">
        <v>357</v>
      </c>
      <c r="M32" t="s">
        <v>320</v>
      </c>
    </row>
    <row r="33" spans="1:13" x14ac:dyDescent="0.2">
      <c r="A33" t="s">
        <v>337</v>
      </c>
      <c r="B33" t="s">
        <v>383</v>
      </c>
      <c r="C33" t="s">
        <v>387</v>
      </c>
      <c r="D33" s="51" t="s">
        <v>362</v>
      </c>
      <c r="E33" s="51" t="s">
        <v>366</v>
      </c>
      <c r="F33" s="51" t="s">
        <v>362</v>
      </c>
      <c r="G33" s="51" t="s">
        <v>370</v>
      </c>
      <c r="I33" t="s">
        <v>354</v>
      </c>
      <c r="J33" s="67" t="s">
        <v>358</v>
      </c>
      <c r="M33" t="s">
        <v>341</v>
      </c>
    </row>
    <row r="34" spans="1:13" x14ac:dyDescent="0.2">
      <c r="A34" t="s">
        <v>331</v>
      </c>
      <c r="B34">
        <v>2</v>
      </c>
      <c r="C34">
        <v>2</v>
      </c>
    </row>
    <row r="37" spans="1:13" x14ac:dyDescent="0.2">
      <c r="A37" s="51" t="s">
        <v>398</v>
      </c>
      <c r="B37" s="67"/>
    </row>
    <row r="38" spans="1:13" x14ac:dyDescent="0.2">
      <c r="A38" t="s">
        <v>410</v>
      </c>
    </row>
    <row r="40" spans="1:13" x14ac:dyDescent="0.2">
      <c r="E40" t="s">
        <v>507</v>
      </c>
    </row>
    <row r="41" spans="1:13" x14ac:dyDescent="0.2">
      <c r="A41" t="s">
        <v>405</v>
      </c>
      <c r="E41" t="s">
        <v>505</v>
      </c>
      <c r="G41" t="s">
        <v>502</v>
      </c>
      <c r="H41" t="s">
        <v>506</v>
      </c>
    </row>
    <row r="42" spans="1:13" x14ac:dyDescent="0.2">
      <c r="B42" t="s">
        <v>87</v>
      </c>
      <c r="E42" s="146">
        <f>Parameters!F31</f>
        <v>0</v>
      </c>
    </row>
    <row r="43" spans="1:13" x14ac:dyDescent="0.2">
      <c r="A43" t="s">
        <v>75</v>
      </c>
      <c r="B43" s="100" t="e">
        <f ca="1">IF(B34=1,C16,B24)</f>
        <v>#N/A</v>
      </c>
      <c r="C43" s="146" t="e">
        <f ca="1">(1-B43)</f>
        <v>#N/A</v>
      </c>
      <c r="E43" s="148"/>
      <c r="G43" s="146"/>
    </row>
    <row r="44" spans="1:13" x14ac:dyDescent="0.2">
      <c r="A44" t="s">
        <v>336</v>
      </c>
      <c r="B44" s="100" t="e">
        <f ca="1">IF(B34=1,E16,C24)</f>
        <v>#N/A</v>
      </c>
      <c r="C44" s="146" t="e">
        <f ca="1">B44</f>
        <v>#N/A</v>
      </c>
      <c r="E44" s="146" t="s">
        <v>508</v>
      </c>
      <c r="G44" s="146"/>
      <c r="H44" s="67"/>
    </row>
    <row r="45" spans="1:13" x14ac:dyDescent="0.2">
      <c r="A45" t="s">
        <v>99</v>
      </c>
      <c r="B45" s="100" t="e">
        <f ca="1">IF(B34=1,G16,E24)</f>
        <v>#N/A</v>
      </c>
      <c r="C45" s="146"/>
      <c r="E45" s="146" t="str">
        <f>IF(E42&gt;0,E42/(1-C44-(B45*B46))/C43,"")</f>
        <v/>
      </c>
      <c r="G45" s="146"/>
      <c r="H45" s="67"/>
    </row>
    <row r="46" spans="1:13" x14ac:dyDescent="0.2">
      <c r="A46" t="s">
        <v>337</v>
      </c>
      <c r="B46" s="100">
        <f ca="1">IF(B34=1,I16,F24)</f>
        <v>0</v>
      </c>
      <c r="C46" s="146" t="e">
        <f ca="1">B46*B45</f>
        <v>#N/A</v>
      </c>
      <c r="E46" s="146"/>
      <c r="G46" s="146"/>
      <c r="H46" s="67"/>
    </row>
    <row r="47" spans="1:13" x14ac:dyDescent="0.2">
      <c r="A47" t="s">
        <v>406</v>
      </c>
      <c r="B47" s="100">
        <f ca="1">IF(B34=1,1-I16,1-F24)</f>
        <v>1</v>
      </c>
      <c r="C47" s="146" t="e">
        <f ca="1">B47*B45</f>
        <v>#N/A</v>
      </c>
      <c r="D47" s="36"/>
      <c r="E47" s="146"/>
      <c r="F47" s="146"/>
      <c r="G47" s="146"/>
      <c r="H47" s="67"/>
    </row>
    <row r="51" spans="1:14" x14ac:dyDescent="0.2">
      <c r="A51" t="s">
        <v>407</v>
      </c>
      <c r="E51" t="s">
        <v>877</v>
      </c>
      <c r="F51" t="s">
        <v>413</v>
      </c>
      <c r="L51" t="s">
        <v>420</v>
      </c>
    </row>
    <row r="53" spans="1:14" x14ac:dyDescent="0.2">
      <c r="A53" t="s">
        <v>408</v>
      </c>
      <c r="B53" t="s">
        <v>148</v>
      </c>
      <c r="C53" t="s">
        <v>149</v>
      </c>
      <c r="D53" t="s">
        <v>883</v>
      </c>
      <c r="F53" t="s">
        <v>414</v>
      </c>
      <c r="G53" t="s">
        <v>423</v>
      </c>
      <c r="L53" t="s">
        <v>148</v>
      </c>
      <c r="M53" t="s">
        <v>149</v>
      </c>
    </row>
    <row r="54" spans="1:14" s="67" customFormat="1" x14ac:dyDescent="0.2">
      <c r="A54"/>
      <c r="B54"/>
      <c r="C54"/>
      <c r="E54" s="5"/>
      <c r="F54" s="5"/>
    </row>
    <row r="55" spans="1:14" s="67" customFormat="1" x14ac:dyDescent="0.2">
      <c r="A55" s="67" t="str">
        <f>Setup!B24</f>
        <v>Routine</v>
      </c>
      <c r="B55" s="67">
        <f>Pathway!B8/IF(Pathway!$E8="Weeks",1,7)</f>
        <v>2</v>
      </c>
      <c r="C55" s="67">
        <f>Pathway!C8/IF(Pathway!$E8="Weeks",1,7)</f>
        <v>6</v>
      </c>
      <c r="D55" s="67">
        <f>Pathway!D8/IF(Pathway!$E8="Weeks",1,7)</f>
        <v>0</v>
      </c>
      <c r="E55" s="67" t="str">
        <f ca="1">IF(AND(Pathway!$H$5="Override",Pathway!$I$6=""),Pathway!H8,Pathway!G8)</f>
        <v/>
      </c>
      <c r="F55" s="5" t="e">
        <f ca="1">('Demand background (hide)'!$BM$18*E55*(B55+((C55-B55)/2)))</f>
        <v>#VALUE!</v>
      </c>
      <c r="G55" s="67" t="e">
        <f ca="1">$C$47*E55*D55*'Demand background (hide)'!$BM$18</f>
        <v>#N/A</v>
      </c>
      <c r="L55" s="67">
        <f t="shared" ref="L55:L57" si="0">B55</f>
        <v>2</v>
      </c>
      <c r="M55" s="67">
        <f t="shared" ref="M55:M57" si="1">C55-B55</f>
        <v>4</v>
      </c>
      <c r="N55" s="67">
        <f>D55</f>
        <v>0</v>
      </c>
    </row>
    <row r="56" spans="1:14" s="67" customFormat="1" x14ac:dyDescent="0.2">
      <c r="A56" s="67" t="str">
        <f>Setup!B23</f>
        <v>Urgent</v>
      </c>
      <c r="B56" s="67">
        <f>Pathway!B7/IF(Pathway!$E7="Weeks",1,7)</f>
        <v>0</v>
      </c>
      <c r="C56" s="67">
        <f>Pathway!C7/IF(Pathway!$E7="Weeks",1,7)</f>
        <v>2</v>
      </c>
      <c r="D56" s="67">
        <f>Pathway!D7/IF(Pathway!$E7="Weeks",1,7)</f>
        <v>0</v>
      </c>
      <c r="E56" s="67" t="str">
        <f ca="1">IF(AND(Pathway!$H$5="Override",Pathway!$I$6=""),Pathway!H7,Pathway!G7)</f>
        <v/>
      </c>
      <c r="F56" s="5" t="e">
        <f ca="1">('Demand background (hide)'!$BM$18*E56*(B56+((C56-B56)/2)))</f>
        <v>#VALUE!</v>
      </c>
      <c r="G56" s="67" t="e">
        <f ca="1">$C$47*E56*D56* 'Demand background (hide)'!$BM$18</f>
        <v>#N/A</v>
      </c>
      <c r="L56" s="67">
        <f t="shared" si="0"/>
        <v>0</v>
      </c>
      <c r="M56" s="67">
        <f t="shared" si="1"/>
        <v>2</v>
      </c>
      <c r="N56" s="67">
        <f t="shared" ref="N56:N57" si="2">D56</f>
        <v>0</v>
      </c>
    </row>
    <row r="57" spans="1:14" x14ac:dyDescent="0.2">
      <c r="A57" t="str">
        <f>Setup!B22</f>
        <v>2WW</v>
      </c>
      <c r="B57">
        <f>Pathway!B6/IF(Pathway!$E6="Weeks",1,7)</f>
        <v>0</v>
      </c>
      <c r="C57" s="67">
        <f>Pathway!C6/IF(Pathway!$E6="Weeks",1,7)</f>
        <v>0</v>
      </c>
      <c r="D57" s="67">
        <f>Pathway!D6/IF(Pathway!$E6="Weeks",1,7)</f>
        <v>0</v>
      </c>
      <c r="E57" s="67" t="str">
        <f ca="1">IF(AND(Pathway!$H$5="Override",Pathway!$I$6=""),Pathway!H6,Pathway!G6)</f>
        <v/>
      </c>
      <c r="F57" s="5" t="e">
        <f ca="1">('Demand background (hide)'!$BM$18*E57*(B57+((C57-B57)/2)))</f>
        <v>#VALUE!</v>
      </c>
      <c r="G57" s="67" t="e">
        <f ca="1">$C$47*E57*D57*'Demand background (hide)'!$BM$18</f>
        <v>#N/A</v>
      </c>
      <c r="L57" s="67">
        <f t="shared" si="0"/>
        <v>0</v>
      </c>
      <c r="M57" s="67">
        <f t="shared" si="1"/>
        <v>0</v>
      </c>
      <c r="N57" s="67">
        <f t="shared" si="2"/>
        <v>0</v>
      </c>
    </row>
    <row r="61" spans="1:14" x14ac:dyDescent="0.2">
      <c r="F61" s="5"/>
      <c r="H61" t="s">
        <v>165</v>
      </c>
      <c r="I61" t="s">
        <v>166</v>
      </c>
    </row>
    <row r="62" spans="1:14" x14ac:dyDescent="0.2">
      <c r="A62" t="s">
        <v>415</v>
      </c>
      <c r="F62" s="5" t="e">
        <f ca="1">SUM(F55:G57)</f>
        <v>#VALUE!</v>
      </c>
      <c r="H62" s="5" t="e">
        <f ca="1">F62*0.95</f>
        <v>#VALUE!</v>
      </c>
      <c r="I62" s="5" t="e">
        <f ca="1">F62*1.05</f>
        <v>#VALUE!</v>
      </c>
    </row>
    <row r="63" spans="1:14" x14ac:dyDescent="0.2">
      <c r="A63" t="s">
        <v>416</v>
      </c>
      <c r="F63" s="5" t="e">
        <f ca="1">F62/E18</f>
        <v>#VALUE!</v>
      </c>
      <c r="H63" s="5" t="e">
        <f ca="1">F63*0.95</f>
        <v>#VALUE!</v>
      </c>
      <c r="I63" s="5" t="e">
        <f ca="1">F63*1.05</f>
        <v>#VALUE!</v>
      </c>
    </row>
    <row r="65" spans="1:10" x14ac:dyDescent="0.2">
      <c r="G65" t="str">
        <f>"Waiting list position ("&amp;LOWER(Summary!$C$8)&amp;")"</f>
        <v>Waiting list position (patients)</v>
      </c>
    </row>
    <row r="66" spans="1:10" x14ac:dyDescent="0.2">
      <c r="A66" t="s">
        <v>417</v>
      </c>
      <c r="G66" t="s">
        <v>430</v>
      </c>
      <c r="H66" s="5" t="e">
        <f ca="1">IF(Summary!$C$8&lt;&gt;"Patients",H62,H63)</f>
        <v>#VALUE!</v>
      </c>
      <c r="I66" s="5" t="e">
        <f ca="1">IF(Summary!$C$8&lt;&gt;"Patients",I62,I63)</f>
        <v>#VALUE!</v>
      </c>
      <c r="J66" s="5" t="e">
        <f ca="1">I66-H66</f>
        <v>#VALUE!</v>
      </c>
    </row>
    <row r="67" spans="1:10" x14ac:dyDescent="0.2">
      <c r="B67" t="s">
        <v>429</v>
      </c>
      <c r="C67" t="s">
        <v>313</v>
      </c>
      <c r="G67" t="s">
        <v>431</v>
      </c>
      <c r="H67" s="5">
        <f ca="1">IF(Summary!$C$8&lt;&gt;"Patients",C79,B79)</f>
        <v>30</v>
      </c>
    </row>
    <row r="68" spans="1:10" x14ac:dyDescent="0.2">
      <c r="A68" t="str">
        <f>Setup!C27</f>
        <v>Test name 1</v>
      </c>
      <c r="B68" s="5">
        <f>IF(ROW(A1)&lt;=Num_Modalities,Setup!G27,0)</f>
        <v>30</v>
      </c>
      <c r="C68" s="5">
        <f ca="1">Setup!G27*'Demand background (hide)'!BN6</f>
        <v>900</v>
      </c>
      <c r="D68" s="67"/>
      <c r="I68" s="5"/>
    </row>
    <row r="69" spans="1:10" x14ac:dyDescent="0.2">
      <c r="A69" s="67" t="str">
        <f>Setup!C28</f>
        <v>Test name 2</v>
      </c>
      <c r="B69" s="5">
        <f>IF(ROW(A2)&lt;=Num_Modalities,Setup!G28,0)</f>
        <v>0</v>
      </c>
      <c r="C69" s="5">
        <f ca="1">Setup!G28*'Demand background (hide)'!BN7</f>
        <v>1200</v>
      </c>
      <c r="D69" s="67"/>
      <c r="G69" t="s">
        <v>307</v>
      </c>
      <c r="H69" t="e">
        <f ca="1">IF(H67&gt;I66,ROUND(H67-I66,0),0)&amp;" - "&amp;IF(H67&gt;H66,ROUND(H67-H66,0),0)</f>
        <v>#VALUE!</v>
      </c>
    </row>
    <row r="70" spans="1:10" x14ac:dyDescent="0.2">
      <c r="A70" s="67" t="str">
        <f>Setup!C29</f>
        <v>Another modality</v>
      </c>
      <c r="B70" s="5">
        <f>IF(ROW(A3)&lt;=Num_Modalities,Setup!G29,0)</f>
        <v>0</v>
      </c>
      <c r="C70" s="5">
        <f ca="1">Setup!G29*'Demand background (hide)'!BN8</f>
        <v>20</v>
      </c>
      <c r="D70" s="67"/>
    </row>
    <row r="71" spans="1:10" x14ac:dyDescent="0.2">
      <c r="A71" s="67" t="str">
        <f>Setup!C30</f>
        <v>Modality 4</v>
      </c>
      <c r="B71" s="5">
        <f>IF(ROW(A4)&lt;=Num_Modalities,Setup!G30,0)</f>
        <v>0</v>
      </c>
      <c r="C71" s="5">
        <f ca="1">B71*'Demand background (hide)'!BN9</f>
        <v>0</v>
      </c>
      <c r="D71" s="67"/>
      <c r="H71" s="5" t="e">
        <f ca="1">H67-H66</f>
        <v>#VALUE!</v>
      </c>
      <c r="I71" s="5" t="e">
        <f ca="1">H67-I66</f>
        <v>#VALUE!</v>
      </c>
    </row>
    <row r="72" spans="1:10" x14ac:dyDescent="0.2">
      <c r="A72" s="67" t="str">
        <f>Setup!C31</f>
        <v>Modality 5</v>
      </c>
      <c r="B72" s="5">
        <f>IF(ROW(A5)&lt;=Num_Modalities,Setup!G31,0)</f>
        <v>0</v>
      </c>
      <c r="C72" s="5">
        <f ca="1">B72*'Demand background (hide)'!BN10</f>
        <v>0</v>
      </c>
      <c r="D72" s="67"/>
    </row>
    <row r="73" spans="1:10" x14ac:dyDescent="0.2">
      <c r="A73" s="67" t="str">
        <f>Setup!C32</f>
        <v>Modality 6</v>
      </c>
      <c r="B73" s="5">
        <f>IF(ROW(A6)&lt;=Num_Modalities,Setup!G32,0)</f>
        <v>0</v>
      </c>
      <c r="C73" s="5">
        <f ca="1">B73*'Demand background (hide)'!BN11</f>
        <v>0</v>
      </c>
      <c r="D73" s="67"/>
    </row>
    <row r="74" spans="1:10" x14ac:dyDescent="0.2">
      <c r="A74" s="67" t="str">
        <f>Setup!C33</f>
        <v>Modality 7</v>
      </c>
      <c r="B74" s="5">
        <f>IF(ROW(A7)&lt;=Num_Modalities,Setup!G33,0)</f>
        <v>0</v>
      </c>
      <c r="C74" s="5">
        <f ca="1">B74*'Demand background (hide)'!BN12</f>
        <v>0</v>
      </c>
      <c r="D74" s="67"/>
    </row>
    <row r="75" spans="1:10" x14ac:dyDescent="0.2">
      <c r="A75" s="67" t="str">
        <f>Setup!C34</f>
        <v>Modality 8</v>
      </c>
      <c r="B75" s="5">
        <f>IF(ROW(A8)&lt;=Num_Modalities,Setup!G34,0)</f>
        <v>0</v>
      </c>
      <c r="C75" s="5">
        <f ca="1">B75*'Demand background (hide)'!BN13</f>
        <v>0</v>
      </c>
      <c r="D75" s="67"/>
    </row>
    <row r="76" spans="1:10" x14ac:dyDescent="0.2">
      <c r="A76" s="67" t="str">
        <f>Setup!C35</f>
        <v>Modality 9</v>
      </c>
      <c r="B76" s="5">
        <f>IF(ROW(A9)&lt;=Num_Modalities,Setup!G35,0)</f>
        <v>0</v>
      </c>
      <c r="C76" s="5">
        <f ca="1">B76*'Demand background (hide)'!BN14</f>
        <v>0</v>
      </c>
      <c r="D76" s="67"/>
    </row>
    <row r="77" spans="1:10" x14ac:dyDescent="0.2">
      <c r="A77" s="67" t="str">
        <f>Setup!C36</f>
        <v>Modality 10</v>
      </c>
      <c r="B77" s="5">
        <f>IF(ROW(A10)&lt;=Num_Modalities,Setup!G36,0)</f>
        <v>0</v>
      </c>
      <c r="C77" s="5">
        <f ca="1">B77*'Demand background (hide)'!BN15</f>
        <v>0</v>
      </c>
      <c r="D77" s="67"/>
    </row>
    <row r="78" spans="1:10" x14ac:dyDescent="0.2">
      <c r="A78" s="67"/>
    </row>
    <row r="79" spans="1:10" x14ac:dyDescent="0.2">
      <c r="A79" s="67" t="s">
        <v>57</v>
      </c>
      <c r="B79" s="5">
        <f ca="1">SUM(OFFSET($B$68,0,0,Num_Modalities,1))</f>
        <v>30</v>
      </c>
      <c r="C79" s="5">
        <f ca="1">SUM(OFFSET($C$68,0,0,Num_Modalities,1))</f>
        <v>900</v>
      </c>
    </row>
    <row r="80" spans="1:10" x14ac:dyDescent="0.2">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301"/>
  <sheetViews>
    <sheetView topLeftCell="DE1" workbookViewId="0">
      <selection activeCell="DN3" sqref="DN3"/>
    </sheetView>
  </sheetViews>
  <sheetFormatPr defaultRowHeight="14.25" x14ac:dyDescent="0.2"/>
  <cols>
    <col min="7" max="7" width="8.75" style="67"/>
    <col min="13" max="13" width="8.75" style="67"/>
    <col min="65" max="65" width="8.75" style="67"/>
  </cols>
  <sheetData>
    <row r="1" spans="1:131" x14ac:dyDescent="0.2">
      <c r="A1">
        <v>1</v>
      </c>
      <c r="B1" t="s">
        <v>1250</v>
      </c>
      <c r="G1" s="67" t="s">
        <v>1252</v>
      </c>
      <c r="H1" t="s">
        <v>1251</v>
      </c>
      <c r="M1" s="67" t="s">
        <v>1252</v>
      </c>
      <c r="N1" t="s">
        <v>1250</v>
      </c>
      <c r="BN1" t="s">
        <v>1251</v>
      </c>
      <c r="EA1" t="s">
        <v>1280</v>
      </c>
    </row>
    <row r="2" spans="1:131" x14ac:dyDescent="0.2">
      <c r="A2" t="s">
        <v>1295</v>
      </c>
      <c r="B2" t="s">
        <v>1281</v>
      </c>
      <c r="C2" t="s">
        <v>1282</v>
      </c>
      <c r="E2">
        <v>30</v>
      </c>
      <c r="F2">
        <v>7</v>
      </c>
      <c r="G2" t="s">
        <v>1238</v>
      </c>
      <c r="H2" t="s">
        <v>1283</v>
      </c>
      <c r="K2">
        <v>10</v>
      </c>
      <c r="L2">
        <v>5</v>
      </c>
      <c r="M2" t="s">
        <v>1238</v>
      </c>
      <c r="AC2" t="s">
        <v>1238</v>
      </c>
      <c r="AD2" t="s">
        <v>1238</v>
      </c>
      <c r="AE2" t="s">
        <v>1238</v>
      </c>
      <c r="AF2" t="s">
        <v>1238</v>
      </c>
      <c r="AG2" t="s">
        <v>1238</v>
      </c>
      <c r="AH2" t="s">
        <v>1238</v>
      </c>
      <c r="AI2" t="s">
        <v>1238</v>
      </c>
      <c r="AJ2" t="s">
        <v>1238</v>
      </c>
      <c r="AK2" t="s">
        <v>1238</v>
      </c>
      <c r="AL2" t="s">
        <v>1238</v>
      </c>
      <c r="AM2" t="s">
        <v>1238</v>
      </c>
      <c r="AN2" t="s">
        <v>1238</v>
      </c>
      <c r="AO2" t="s">
        <v>1238</v>
      </c>
      <c r="AP2" t="s">
        <v>1238</v>
      </c>
      <c r="AQ2" t="s">
        <v>1238</v>
      </c>
      <c r="AR2" t="s">
        <v>1238</v>
      </c>
      <c r="AS2" t="s">
        <v>1238</v>
      </c>
      <c r="AT2" t="s">
        <v>1238</v>
      </c>
      <c r="AU2" t="s">
        <v>1238</v>
      </c>
      <c r="AV2" t="s">
        <v>1238</v>
      </c>
      <c r="AW2" t="s">
        <v>1238</v>
      </c>
      <c r="AX2" t="s">
        <v>1238</v>
      </c>
      <c r="AY2" t="s">
        <v>1238</v>
      </c>
      <c r="AZ2" t="s">
        <v>1238</v>
      </c>
      <c r="BA2" t="s">
        <v>1238</v>
      </c>
      <c r="BB2" t="s">
        <v>1238</v>
      </c>
      <c r="BC2" t="s">
        <v>1238</v>
      </c>
      <c r="BM2"/>
      <c r="DM2" t="s">
        <v>1238</v>
      </c>
      <c r="DN2" t="s">
        <v>19</v>
      </c>
      <c r="EA2" t="s">
        <v>1295</v>
      </c>
    </row>
    <row r="3" spans="1:131" x14ac:dyDescent="0.2">
      <c r="B3" t="s">
        <v>1284</v>
      </c>
      <c r="C3" t="s">
        <v>1282</v>
      </c>
      <c r="E3">
        <v>30</v>
      </c>
      <c r="F3">
        <v>7</v>
      </c>
      <c r="G3" t="s">
        <v>1238</v>
      </c>
      <c r="H3" t="s">
        <v>1285</v>
      </c>
      <c r="K3">
        <v>12</v>
      </c>
      <c r="L3">
        <v>5</v>
      </c>
      <c r="M3" t="s">
        <v>1238</v>
      </c>
      <c r="Y3" t="s">
        <v>1238</v>
      </c>
      <c r="Z3" t="s">
        <v>1238</v>
      </c>
      <c r="AA3" t="s">
        <v>1238</v>
      </c>
      <c r="AB3" t="s">
        <v>1238</v>
      </c>
      <c r="AC3" t="s">
        <v>1238</v>
      </c>
      <c r="AD3" t="s">
        <v>1238</v>
      </c>
      <c r="AE3" t="s">
        <v>1238</v>
      </c>
      <c r="AF3" t="s">
        <v>1238</v>
      </c>
      <c r="AG3" t="s">
        <v>1238</v>
      </c>
      <c r="AH3" t="s">
        <v>1238</v>
      </c>
      <c r="AI3" t="s">
        <v>1238</v>
      </c>
      <c r="AJ3" t="s">
        <v>1238</v>
      </c>
      <c r="AK3" t="s">
        <v>1238</v>
      </c>
      <c r="AL3" t="s">
        <v>1238</v>
      </c>
      <c r="AM3" t="s">
        <v>1238</v>
      </c>
      <c r="AN3" t="s">
        <v>1238</v>
      </c>
      <c r="AO3" t="s">
        <v>1238</v>
      </c>
      <c r="AP3" t="s">
        <v>1238</v>
      </c>
      <c r="AQ3" t="s">
        <v>1238</v>
      </c>
      <c r="AR3" t="s">
        <v>1238</v>
      </c>
      <c r="AS3" t="s">
        <v>1238</v>
      </c>
      <c r="AT3" t="s">
        <v>1238</v>
      </c>
      <c r="AU3" t="s">
        <v>1238</v>
      </c>
      <c r="AV3" t="s">
        <v>1238</v>
      </c>
      <c r="AW3" t="s">
        <v>1238</v>
      </c>
      <c r="AX3" t="s">
        <v>1238</v>
      </c>
      <c r="AY3" t="s">
        <v>1238</v>
      </c>
      <c r="AZ3" t="s">
        <v>1238</v>
      </c>
      <c r="BA3" t="s">
        <v>1238</v>
      </c>
      <c r="BB3" t="s">
        <v>1238</v>
      </c>
      <c r="BC3" t="s">
        <v>1238</v>
      </c>
      <c r="BM3"/>
    </row>
    <row r="4" spans="1:131" x14ac:dyDescent="0.2">
      <c r="B4" t="s">
        <v>1286</v>
      </c>
      <c r="C4" t="s">
        <v>1287</v>
      </c>
      <c r="E4">
        <v>21</v>
      </c>
      <c r="F4">
        <v>4</v>
      </c>
      <c r="G4" t="s">
        <v>1238</v>
      </c>
      <c r="M4" t="s">
        <v>1238</v>
      </c>
      <c r="T4" t="s">
        <v>1238</v>
      </c>
      <c r="U4" t="s">
        <v>1238</v>
      </c>
      <c r="V4" t="s">
        <v>1238</v>
      </c>
      <c r="W4" t="s">
        <v>1238</v>
      </c>
      <c r="X4" t="s">
        <v>1238</v>
      </c>
      <c r="Y4" t="s">
        <v>1238</v>
      </c>
      <c r="Z4" t="s">
        <v>1238</v>
      </c>
      <c r="AA4" t="s">
        <v>1238</v>
      </c>
      <c r="AB4" t="s">
        <v>1238</v>
      </c>
      <c r="AC4" t="s">
        <v>1238</v>
      </c>
      <c r="AD4" t="s">
        <v>1238</v>
      </c>
      <c r="AE4" t="s">
        <v>1238</v>
      </c>
      <c r="AF4" t="s">
        <v>1238</v>
      </c>
      <c r="AG4" t="s">
        <v>1238</v>
      </c>
      <c r="AH4" t="s">
        <v>1238</v>
      </c>
      <c r="AI4" t="s">
        <v>1238</v>
      </c>
      <c r="AJ4" t="s">
        <v>1238</v>
      </c>
      <c r="AK4" t="s">
        <v>1238</v>
      </c>
      <c r="AL4" t="s">
        <v>1238</v>
      </c>
      <c r="AM4" t="s">
        <v>1238</v>
      </c>
      <c r="AN4" t="s">
        <v>1238</v>
      </c>
      <c r="AO4" t="s">
        <v>1238</v>
      </c>
      <c r="AP4" t="s">
        <v>1238</v>
      </c>
      <c r="AQ4" t="s">
        <v>1238</v>
      </c>
      <c r="AR4" t="s">
        <v>1238</v>
      </c>
      <c r="AS4" t="s">
        <v>1238</v>
      </c>
      <c r="AT4" t="s">
        <v>1238</v>
      </c>
      <c r="AU4" t="s">
        <v>1238</v>
      </c>
      <c r="AV4" t="s">
        <v>1238</v>
      </c>
      <c r="AW4" t="s">
        <v>1238</v>
      </c>
      <c r="AX4" t="s">
        <v>1238</v>
      </c>
      <c r="AY4" t="s">
        <v>1238</v>
      </c>
      <c r="AZ4" t="s">
        <v>1238</v>
      </c>
      <c r="BA4" t="s">
        <v>1238</v>
      </c>
      <c r="BB4" t="s">
        <v>1238</v>
      </c>
      <c r="BC4" t="s">
        <v>1238</v>
      </c>
      <c r="BM4"/>
    </row>
    <row r="5" spans="1:131" x14ac:dyDescent="0.2">
      <c r="B5" t="s">
        <v>1288</v>
      </c>
      <c r="C5" t="s">
        <v>1289</v>
      </c>
      <c r="E5">
        <v>12</v>
      </c>
      <c r="F5">
        <v>4</v>
      </c>
      <c r="G5" t="s">
        <v>1238</v>
      </c>
      <c r="M5" t="s">
        <v>1238</v>
      </c>
      <c r="X5" t="s">
        <v>1238</v>
      </c>
      <c r="AO5">
        <v>0.5407925407925408</v>
      </c>
      <c r="AP5">
        <v>0.5407925407925408</v>
      </c>
      <c r="AQ5">
        <v>0.5407925407925408</v>
      </c>
      <c r="AR5">
        <v>0.5407925407925408</v>
      </c>
      <c r="AS5">
        <v>0.5407925407925408</v>
      </c>
      <c r="AT5">
        <v>0.5407925407925408</v>
      </c>
      <c r="AU5">
        <v>0.5407925407925408</v>
      </c>
      <c r="AV5">
        <v>0.5407925407925408</v>
      </c>
      <c r="AW5">
        <v>0.5407925407925408</v>
      </c>
      <c r="AX5">
        <v>0.5407925407925408</v>
      </c>
      <c r="AY5">
        <v>0.5407925407925408</v>
      </c>
      <c r="AZ5">
        <v>0.5407925407925408</v>
      </c>
      <c r="BA5">
        <v>0.5407925407925408</v>
      </c>
      <c r="BB5">
        <v>0.5407925407925408</v>
      </c>
      <c r="BC5">
        <v>0.5407925407925408</v>
      </c>
      <c r="BM5"/>
    </row>
    <row r="6" spans="1:131" x14ac:dyDescent="0.2">
      <c r="B6" t="s">
        <v>1290</v>
      </c>
      <c r="C6" t="s">
        <v>1291</v>
      </c>
      <c r="E6">
        <v>42</v>
      </c>
      <c r="F6">
        <v>3</v>
      </c>
      <c r="G6" t="s">
        <v>1238</v>
      </c>
      <c r="M6" t="s">
        <v>1238</v>
      </c>
      <c r="N6" t="s">
        <v>1238</v>
      </c>
      <c r="O6" t="s">
        <v>1238</v>
      </c>
      <c r="P6" t="s">
        <v>1238</v>
      </c>
      <c r="Q6" t="s">
        <v>1238</v>
      </c>
      <c r="R6" t="s">
        <v>1238</v>
      </c>
      <c r="S6" t="s">
        <v>1238</v>
      </c>
      <c r="T6" t="s">
        <v>1238</v>
      </c>
      <c r="U6" t="s">
        <v>1238</v>
      </c>
      <c r="V6" t="s">
        <v>1238</v>
      </c>
      <c r="W6" t="s">
        <v>1238</v>
      </c>
      <c r="X6" t="s">
        <v>1238</v>
      </c>
      <c r="Y6" t="s">
        <v>1238</v>
      </c>
      <c r="Z6" t="s">
        <v>1238</v>
      </c>
      <c r="AA6" t="s">
        <v>1238</v>
      </c>
      <c r="AB6" t="s">
        <v>1238</v>
      </c>
      <c r="AC6" t="s">
        <v>1238</v>
      </c>
      <c r="AD6" t="s">
        <v>1238</v>
      </c>
      <c r="AE6" t="s">
        <v>1238</v>
      </c>
      <c r="AF6" t="s">
        <v>1238</v>
      </c>
      <c r="AG6" t="s">
        <v>1238</v>
      </c>
      <c r="AH6" t="s">
        <v>1238</v>
      </c>
      <c r="AI6" t="s">
        <v>1238</v>
      </c>
      <c r="AJ6" t="s">
        <v>1238</v>
      </c>
      <c r="AK6" t="s">
        <v>1238</v>
      </c>
      <c r="AL6" t="s">
        <v>1238</v>
      </c>
      <c r="AM6" t="s">
        <v>1238</v>
      </c>
      <c r="AN6" t="s">
        <v>1238</v>
      </c>
      <c r="AO6" t="s">
        <v>1238</v>
      </c>
      <c r="AP6" t="s">
        <v>1238</v>
      </c>
      <c r="AQ6" t="s">
        <v>1238</v>
      </c>
      <c r="AR6" t="s">
        <v>1238</v>
      </c>
      <c r="BM6"/>
    </row>
    <row r="7" spans="1:131" x14ac:dyDescent="0.2">
      <c r="G7" t="s">
        <v>1238</v>
      </c>
      <c r="M7" t="s">
        <v>1238</v>
      </c>
      <c r="N7">
        <v>0.2163170163170163</v>
      </c>
      <c r="BM7"/>
    </row>
    <row r="8" spans="1:131" x14ac:dyDescent="0.2">
      <c r="G8" t="s">
        <v>1238</v>
      </c>
      <c r="M8" t="s">
        <v>1238</v>
      </c>
      <c r="BM8"/>
    </row>
    <row r="9" spans="1:131" x14ac:dyDescent="0.2">
      <c r="G9" t="s">
        <v>1238</v>
      </c>
      <c r="M9" t="s">
        <v>1238</v>
      </c>
      <c r="BM9"/>
    </row>
    <row r="10" spans="1:131" x14ac:dyDescent="0.2">
      <c r="G10" t="s">
        <v>1238</v>
      </c>
      <c r="M10" t="s">
        <v>1238</v>
      </c>
      <c r="BM10"/>
    </row>
    <row r="11" spans="1:131" x14ac:dyDescent="0.2">
      <c r="G11" t="s">
        <v>1238</v>
      </c>
      <c r="M11" t="s">
        <v>1238</v>
      </c>
      <c r="BM11"/>
    </row>
    <row r="12" spans="1:131" x14ac:dyDescent="0.2">
      <c r="G12" t="s">
        <v>1238</v>
      </c>
      <c r="M12" t="s">
        <v>1238</v>
      </c>
      <c r="BM12"/>
    </row>
    <row r="13" spans="1:131" x14ac:dyDescent="0.2">
      <c r="G13" t="s">
        <v>1238</v>
      </c>
      <c r="M13" t="s">
        <v>1238</v>
      </c>
      <c r="BM13"/>
    </row>
    <row r="14" spans="1:131" x14ac:dyDescent="0.2">
      <c r="G14" t="s">
        <v>1238</v>
      </c>
      <c r="M14" t="s">
        <v>1238</v>
      </c>
      <c r="BM14"/>
    </row>
    <row r="15" spans="1:131" x14ac:dyDescent="0.2">
      <c r="G15" t="s">
        <v>1238</v>
      </c>
      <c r="M15" t="s">
        <v>1238</v>
      </c>
      <c r="BM15"/>
    </row>
    <row r="16" spans="1:131" x14ac:dyDescent="0.2">
      <c r="G16" t="s">
        <v>1238</v>
      </c>
      <c r="M16" t="s">
        <v>1238</v>
      </c>
      <c r="BM16"/>
    </row>
    <row r="17" spans="7:65" x14ac:dyDescent="0.2">
      <c r="G17" t="s">
        <v>1238</v>
      </c>
      <c r="M17" t="s">
        <v>1238</v>
      </c>
      <c r="BM17"/>
    </row>
    <row r="18" spans="7:65" x14ac:dyDescent="0.2">
      <c r="G18" t="s">
        <v>1238</v>
      </c>
      <c r="M18" t="s">
        <v>1238</v>
      </c>
      <c r="BM18"/>
    </row>
    <row r="19" spans="7:65" x14ac:dyDescent="0.2">
      <c r="G19" t="s">
        <v>1238</v>
      </c>
      <c r="M19" t="s">
        <v>1238</v>
      </c>
      <c r="BM19"/>
    </row>
    <row r="20" spans="7:65" x14ac:dyDescent="0.2">
      <c r="G20" t="s">
        <v>1238</v>
      </c>
      <c r="M20" t="s">
        <v>1238</v>
      </c>
      <c r="BM20"/>
    </row>
    <row r="21" spans="7:65" x14ac:dyDescent="0.2">
      <c r="G21" t="s">
        <v>1238</v>
      </c>
      <c r="M21" t="s">
        <v>1238</v>
      </c>
      <c r="BM21"/>
    </row>
    <row r="22" spans="7:65" x14ac:dyDescent="0.2">
      <c r="G22" t="s">
        <v>1238</v>
      </c>
      <c r="M22" t="s">
        <v>1238</v>
      </c>
      <c r="BM22"/>
    </row>
    <row r="23" spans="7:65" x14ac:dyDescent="0.2">
      <c r="G23" t="s">
        <v>1238</v>
      </c>
      <c r="M23" t="s">
        <v>1238</v>
      </c>
      <c r="BM23"/>
    </row>
    <row r="24" spans="7:65" x14ac:dyDescent="0.2">
      <c r="G24" t="s">
        <v>1238</v>
      </c>
      <c r="M24" t="s">
        <v>1238</v>
      </c>
      <c r="BM24"/>
    </row>
    <row r="25" spans="7:65" x14ac:dyDescent="0.2">
      <c r="G25" t="s">
        <v>1238</v>
      </c>
      <c r="M25" t="s">
        <v>1238</v>
      </c>
      <c r="BM25"/>
    </row>
    <row r="26" spans="7:65" x14ac:dyDescent="0.2">
      <c r="G26" t="s">
        <v>1238</v>
      </c>
      <c r="M26" t="s">
        <v>1238</v>
      </c>
      <c r="BM26"/>
    </row>
    <row r="27" spans="7:65" x14ac:dyDescent="0.2">
      <c r="G27" t="s">
        <v>1238</v>
      </c>
      <c r="M27" t="s">
        <v>1238</v>
      </c>
      <c r="BM27"/>
    </row>
    <row r="28" spans="7:65" x14ac:dyDescent="0.2">
      <c r="G28" t="s">
        <v>1238</v>
      </c>
      <c r="M28" t="s">
        <v>1238</v>
      </c>
      <c r="BM28"/>
    </row>
    <row r="29" spans="7:65" x14ac:dyDescent="0.2">
      <c r="G29" t="s">
        <v>1238</v>
      </c>
      <c r="M29" t="s">
        <v>1238</v>
      </c>
      <c r="BM29"/>
    </row>
    <row r="30" spans="7:65" x14ac:dyDescent="0.2">
      <c r="G30" t="s">
        <v>1238</v>
      </c>
      <c r="M30" t="s">
        <v>1238</v>
      </c>
      <c r="BM30"/>
    </row>
    <row r="31" spans="7:65" x14ac:dyDescent="0.2">
      <c r="G31" t="s">
        <v>1238</v>
      </c>
      <c r="M31" t="s">
        <v>1238</v>
      </c>
      <c r="BM31"/>
    </row>
    <row r="32" spans="7:65" x14ac:dyDescent="0.2">
      <c r="G32" t="s">
        <v>1238</v>
      </c>
      <c r="M32" t="s">
        <v>1238</v>
      </c>
      <c r="BM32"/>
    </row>
    <row r="33" spans="7:65" x14ac:dyDescent="0.2">
      <c r="G33" t="s">
        <v>1238</v>
      </c>
      <c r="M33" t="s">
        <v>1238</v>
      </c>
      <c r="BM33"/>
    </row>
    <row r="34" spans="7:65" x14ac:dyDescent="0.2">
      <c r="G34" t="s">
        <v>1238</v>
      </c>
      <c r="M34" t="s">
        <v>1238</v>
      </c>
      <c r="BM34"/>
    </row>
    <row r="35" spans="7:65" x14ac:dyDescent="0.2">
      <c r="G35" t="s">
        <v>1238</v>
      </c>
      <c r="M35" t="s">
        <v>1238</v>
      </c>
      <c r="BM35"/>
    </row>
    <row r="36" spans="7:65" x14ac:dyDescent="0.2">
      <c r="G36" t="s">
        <v>1238</v>
      </c>
      <c r="M36" t="s">
        <v>1238</v>
      </c>
      <c r="BM36"/>
    </row>
    <row r="37" spans="7:65" x14ac:dyDescent="0.2">
      <c r="G37" t="s">
        <v>1238</v>
      </c>
      <c r="M37" t="s">
        <v>1238</v>
      </c>
      <c r="BM37"/>
    </row>
    <row r="38" spans="7:65" x14ac:dyDescent="0.2">
      <c r="G38" t="s">
        <v>1238</v>
      </c>
      <c r="M38" t="s">
        <v>1238</v>
      </c>
      <c r="BM38"/>
    </row>
    <row r="39" spans="7:65" x14ac:dyDescent="0.2">
      <c r="G39" t="s">
        <v>1238</v>
      </c>
      <c r="M39" t="s">
        <v>1238</v>
      </c>
      <c r="BM39"/>
    </row>
    <row r="40" spans="7:65" x14ac:dyDescent="0.2">
      <c r="G40" t="s">
        <v>1238</v>
      </c>
      <c r="M40" t="s">
        <v>1238</v>
      </c>
      <c r="BM40"/>
    </row>
    <row r="41" spans="7:65" x14ac:dyDescent="0.2">
      <c r="G41" t="s">
        <v>1238</v>
      </c>
      <c r="M41" t="s">
        <v>1238</v>
      </c>
      <c r="BM41"/>
    </row>
    <row r="42" spans="7:65" x14ac:dyDescent="0.2">
      <c r="G42" t="s">
        <v>1238</v>
      </c>
      <c r="M42" t="s">
        <v>1238</v>
      </c>
      <c r="BM42"/>
    </row>
    <row r="43" spans="7:65" x14ac:dyDescent="0.2">
      <c r="G43" t="s">
        <v>1238</v>
      </c>
      <c r="M43" t="s">
        <v>1238</v>
      </c>
      <c r="BM43"/>
    </row>
    <row r="44" spans="7:65" x14ac:dyDescent="0.2">
      <c r="G44" t="s">
        <v>1238</v>
      </c>
      <c r="M44" t="s">
        <v>1238</v>
      </c>
      <c r="BM44"/>
    </row>
    <row r="45" spans="7:65" x14ac:dyDescent="0.2">
      <c r="G45" t="s">
        <v>1238</v>
      </c>
      <c r="M45" t="s">
        <v>1238</v>
      </c>
      <c r="BM45"/>
    </row>
    <row r="46" spans="7:65" x14ac:dyDescent="0.2">
      <c r="G46" t="s">
        <v>1238</v>
      </c>
      <c r="M46" t="s">
        <v>1238</v>
      </c>
      <c r="BM46"/>
    </row>
    <row r="47" spans="7:65" x14ac:dyDescent="0.2">
      <c r="G47" t="s">
        <v>1238</v>
      </c>
      <c r="M47" t="s">
        <v>1238</v>
      </c>
      <c r="BM47"/>
    </row>
    <row r="48" spans="7:65" x14ac:dyDescent="0.2">
      <c r="G48" t="s">
        <v>1238</v>
      </c>
      <c r="M48" t="s">
        <v>1238</v>
      </c>
      <c r="BM48"/>
    </row>
    <row r="49" spans="7:65" x14ac:dyDescent="0.2">
      <c r="G49" t="s">
        <v>1238</v>
      </c>
      <c r="M49" t="s">
        <v>1238</v>
      </c>
      <c r="BM49"/>
    </row>
    <row r="50" spans="7:65" x14ac:dyDescent="0.2">
      <c r="G50" t="s">
        <v>1238</v>
      </c>
      <c r="M50" t="s">
        <v>1238</v>
      </c>
      <c r="BM50"/>
    </row>
    <row r="51" spans="7:65" x14ac:dyDescent="0.2">
      <c r="G51" t="s">
        <v>1238</v>
      </c>
      <c r="M51" t="s">
        <v>1238</v>
      </c>
      <c r="BM51"/>
    </row>
    <row r="52" spans="7:65" x14ac:dyDescent="0.2">
      <c r="G52" t="s">
        <v>1238</v>
      </c>
      <c r="M52" t="s">
        <v>1238</v>
      </c>
      <c r="BM52"/>
    </row>
    <row r="53" spans="7:65" x14ac:dyDescent="0.2">
      <c r="G53" t="s">
        <v>1238</v>
      </c>
      <c r="M53" t="s">
        <v>1238</v>
      </c>
      <c r="BM53"/>
    </row>
    <row r="54" spans="7:65" x14ac:dyDescent="0.2">
      <c r="G54" t="s">
        <v>1238</v>
      </c>
      <c r="M54" t="s">
        <v>1238</v>
      </c>
      <c r="BM54"/>
    </row>
    <row r="55" spans="7:65" x14ac:dyDescent="0.2">
      <c r="G55" t="s">
        <v>1238</v>
      </c>
      <c r="M55" t="s">
        <v>1238</v>
      </c>
      <c r="BM55"/>
    </row>
    <row r="56" spans="7:65" x14ac:dyDescent="0.2">
      <c r="G56" t="s">
        <v>1238</v>
      </c>
      <c r="M56" t="s">
        <v>1238</v>
      </c>
      <c r="BM56"/>
    </row>
    <row r="57" spans="7:65" x14ac:dyDescent="0.2">
      <c r="G57" t="s">
        <v>1238</v>
      </c>
      <c r="M57" t="s">
        <v>1238</v>
      </c>
      <c r="BM57"/>
    </row>
    <row r="58" spans="7:65" x14ac:dyDescent="0.2">
      <c r="G58" t="s">
        <v>1238</v>
      </c>
      <c r="M58" t="s">
        <v>1238</v>
      </c>
      <c r="BM58"/>
    </row>
    <row r="59" spans="7:65" x14ac:dyDescent="0.2">
      <c r="G59" t="s">
        <v>1238</v>
      </c>
      <c r="M59" t="s">
        <v>1238</v>
      </c>
      <c r="BM59"/>
    </row>
    <row r="60" spans="7:65" x14ac:dyDescent="0.2">
      <c r="G60" t="s">
        <v>1238</v>
      </c>
      <c r="M60" t="s">
        <v>1238</v>
      </c>
      <c r="BM60"/>
    </row>
    <row r="61" spans="7:65" x14ac:dyDescent="0.2">
      <c r="G61" t="s">
        <v>1238</v>
      </c>
      <c r="M61" t="s">
        <v>1238</v>
      </c>
      <c r="BM61"/>
    </row>
    <row r="62" spans="7:65" x14ac:dyDescent="0.2">
      <c r="G62" t="s">
        <v>1238</v>
      </c>
      <c r="M62" t="s">
        <v>1238</v>
      </c>
      <c r="BM62"/>
    </row>
    <row r="63" spans="7:65" x14ac:dyDescent="0.2">
      <c r="G63" t="s">
        <v>1238</v>
      </c>
      <c r="M63" t="s">
        <v>1238</v>
      </c>
      <c r="BM63"/>
    </row>
    <row r="64" spans="7:65" x14ac:dyDescent="0.2">
      <c r="G64" t="s">
        <v>1238</v>
      </c>
      <c r="M64" t="s">
        <v>1238</v>
      </c>
      <c r="BM64"/>
    </row>
    <row r="65" spans="7:65" x14ac:dyDescent="0.2">
      <c r="G65" t="s">
        <v>1238</v>
      </c>
      <c r="M65" t="s">
        <v>1238</v>
      </c>
      <c r="BM65"/>
    </row>
    <row r="66" spans="7:65" x14ac:dyDescent="0.2">
      <c r="G66" t="s">
        <v>1238</v>
      </c>
      <c r="M66" t="s">
        <v>1238</v>
      </c>
      <c r="BM66"/>
    </row>
    <row r="67" spans="7:65" x14ac:dyDescent="0.2">
      <c r="G67" t="s">
        <v>1238</v>
      </c>
      <c r="M67" t="s">
        <v>1238</v>
      </c>
      <c r="BM67"/>
    </row>
    <row r="68" spans="7:65" x14ac:dyDescent="0.2">
      <c r="G68" t="s">
        <v>1238</v>
      </c>
      <c r="M68" t="s">
        <v>1238</v>
      </c>
      <c r="BM68"/>
    </row>
    <row r="69" spans="7:65" x14ac:dyDescent="0.2">
      <c r="G69" t="s">
        <v>1238</v>
      </c>
      <c r="M69" t="s">
        <v>1238</v>
      </c>
      <c r="BM69"/>
    </row>
    <row r="70" spans="7:65" x14ac:dyDescent="0.2">
      <c r="G70" t="s">
        <v>1238</v>
      </c>
      <c r="M70" t="s">
        <v>1238</v>
      </c>
      <c r="BM70"/>
    </row>
    <row r="71" spans="7:65" x14ac:dyDescent="0.2">
      <c r="G71" t="s">
        <v>1238</v>
      </c>
      <c r="M71" t="s">
        <v>1238</v>
      </c>
      <c r="BM71"/>
    </row>
    <row r="72" spans="7:65" x14ac:dyDescent="0.2">
      <c r="G72" t="s">
        <v>1238</v>
      </c>
      <c r="M72" t="s">
        <v>1238</v>
      </c>
      <c r="BM72"/>
    </row>
    <row r="73" spans="7:65" x14ac:dyDescent="0.2">
      <c r="G73" t="s">
        <v>1238</v>
      </c>
      <c r="M73" t="s">
        <v>1238</v>
      </c>
      <c r="BM73"/>
    </row>
    <row r="74" spans="7:65" x14ac:dyDescent="0.2">
      <c r="G74" t="s">
        <v>1238</v>
      </c>
      <c r="M74" t="s">
        <v>1238</v>
      </c>
      <c r="BM74"/>
    </row>
    <row r="75" spans="7:65" x14ac:dyDescent="0.2">
      <c r="G75" t="s">
        <v>1238</v>
      </c>
      <c r="M75" t="s">
        <v>1238</v>
      </c>
      <c r="BM75"/>
    </row>
    <row r="76" spans="7:65" x14ac:dyDescent="0.2">
      <c r="G76" t="s">
        <v>1238</v>
      </c>
      <c r="M76" t="s">
        <v>1238</v>
      </c>
      <c r="BM76"/>
    </row>
    <row r="77" spans="7:65" x14ac:dyDescent="0.2">
      <c r="G77" t="s">
        <v>1238</v>
      </c>
      <c r="M77" t="s">
        <v>1238</v>
      </c>
      <c r="BM77"/>
    </row>
    <row r="78" spans="7:65" x14ac:dyDescent="0.2">
      <c r="G78" t="s">
        <v>1238</v>
      </c>
      <c r="M78" t="s">
        <v>1238</v>
      </c>
      <c r="BM78"/>
    </row>
    <row r="79" spans="7:65" x14ac:dyDescent="0.2">
      <c r="G79" t="s">
        <v>1238</v>
      </c>
      <c r="M79" t="s">
        <v>1238</v>
      </c>
      <c r="BM79"/>
    </row>
    <row r="80" spans="7:65" x14ac:dyDescent="0.2">
      <c r="G80" t="s">
        <v>1238</v>
      </c>
      <c r="M80" t="s">
        <v>1238</v>
      </c>
      <c r="BM80"/>
    </row>
    <row r="81" spans="7:65" x14ac:dyDescent="0.2">
      <c r="G81" t="s">
        <v>1238</v>
      </c>
      <c r="M81" t="s">
        <v>1238</v>
      </c>
      <c r="BM81"/>
    </row>
    <row r="82" spans="7:65" x14ac:dyDescent="0.2">
      <c r="G82" t="s">
        <v>1238</v>
      </c>
      <c r="M82" t="s">
        <v>1238</v>
      </c>
      <c r="BM82"/>
    </row>
    <row r="83" spans="7:65" x14ac:dyDescent="0.2">
      <c r="G83" t="s">
        <v>1238</v>
      </c>
      <c r="M83" t="s">
        <v>1238</v>
      </c>
      <c r="BM83"/>
    </row>
    <row r="84" spans="7:65" x14ac:dyDescent="0.2">
      <c r="G84" t="s">
        <v>1238</v>
      </c>
      <c r="M84" t="s">
        <v>1238</v>
      </c>
      <c r="BM84"/>
    </row>
    <row r="85" spans="7:65" x14ac:dyDescent="0.2">
      <c r="G85" t="s">
        <v>1238</v>
      </c>
      <c r="M85" t="s">
        <v>1238</v>
      </c>
      <c r="BM85"/>
    </row>
    <row r="86" spans="7:65" x14ac:dyDescent="0.2">
      <c r="G86" t="s">
        <v>1238</v>
      </c>
      <c r="M86" t="s">
        <v>1238</v>
      </c>
      <c r="BM86"/>
    </row>
    <row r="87" spans="7:65" x14ac:dyDescent="0.2">
      <c r="G87" t="s">
        <v>1238</v>
      </c>
      <c r="M87" t="s">
        <v>1238</v>
      </c>
      <c r="BM87"/>
    </row>
    <row r="88" spans="7:65" x14ac:dyDescent="0.2">
      <c r="G88" t="s">
        <v>1238</v>
      </c>
      <c r="M88" t="s">
        <v>1238</v>
      </c>
      <c r="BM88"/>
    </row>
    <row r="89" spans="7:65" x14ac:dyDescent="0.2">
      <c r="G89" t="s">
        <v>1238</v>
      </c>
      <c r="M89" t="s">
        <v>1238</v>
      </c>
      <c r="BM89"/>
    </row>
    <row r="90" spans="7:65" x14ac:dyDescent="0.2">
      <c r="G90" t="s">
        <v>1238</v>
      </c>
      <c r="M90" t="s">
        <v>1238</v>
      </c>
      <c r="BM90"/>
    </row>
    <row r="91" spans="7:65" x14ac:dyDescent="0.2">
      <c r="G91" t="s">
        <v>1238</v>
      </c>
      <c r="M91" t="s">
        <v>1238</v>
      </c>
      <c r="BM91"/>
    </row>
    <row r="92" spans="7:65" x14ac:dyDescent="0.2">
      <c r="G92" t="s">
        <v>1238</v>
      </c>
      <c r="M92" t="s">
        <v>1238</v>
      </c>
      <c r="BM92"/>
    </row>
    <row r="93" spans="7:65" x14ac:dyDescent="0.2">
      <c r="G93" t="s">
        <v>1238</v>
      </c>
      <c r="M93" t="s">
        <v>1238</v>
      </c>
      <c r="BM93"/>
    </row>
    <row r="94" spans="7:65" x14ac:dyDescent="0.2">
      <c r="G94" t="s">
        <v>1238</v>
      </c>
      <c r="M94" t="s">
        <v>1238</v>
      </c>
      <c r="BM94"/>
    </row>
    <row r="95" spans="7:65" x14ac:dyDescent="0.2">
      <c r="G95" t="s">
        <v>1238</v>
      </c>
      <c r="M95" t="s">
        <v>1238</v>
      </c>
      <c r="BM95"/>
    </row>
    <row r="96" spans="7:65" x14ac:dyDescent="0.2">
      <c r="G96" t="s">
        <v>1238</v>
      </c>
      <c r="M96" t="s">
        <v>1238</v>
      </c>
      <c r="BM96"/>
    </row>
    <row r="97" spans="7:65" x14ac:dyDescent="0.2">
      <c r="G97" t="s">
        <v>1238</v>
      </c>
      <c r="M97" t="s">
        <v>1238</v>
      </c>
      <c r="BM97"/>
    </row>
    <row r="98" spans="7:65" x14ac:dyDescent="0.2">
      <c r="G98" t="s">
        <v>1238</v>
      </c>
      <c r="M98" t="s">
        <v>1238</v>
      </c>
      <c r="BM98"/>
    </row>
    <row r="99" spans="7:65" x14ac:dyDescent="0.2">
      <c r="G99" t="s">
        <v>1238</v>
      </c>
      <c r="M99" t="s">
        <v>1238</v>
      </c>
      <c r="BM99"/>
    </row>
    <row r="100" spans="7:65" x14ac:dyDescent="0.2">
      <c r="G100" t="s">
        <v>1238</v>
      </c>
      <c r="M100" t="s">
        <v>1238</v>
      </c>
      <c r="BM100"/>
    </row>
    <row r="101" spans="7:65" x14ac:dyDescent="0.2">
      <c r="G101" t="s">
        <v>1238</v>
      </c>
      <c r="M101" t="s">
        <v>1238</v>
      </c>
      <c r="BM101"/>
    </row>
    <row r="102" spans="7:65" x14ac:dyDescent="0.2">
      <c r="G102"/>
      <c r="M102"/>
      <c r="BM102"/>
    </row>
    <row r="103" spans="7:65" x14ac:dyDescent="0.2">
      <c r="G103"/>
      <c r="M103"/>
      <c r="BM103"/>
    </row>
    <row r="104" spans="7:65" x14ac:dyDescent="0.2">
      <c r="G104"/>
      <c r="M104"/>
      <c r="BM104"/>
    </row>
    <row r="105" spans="7:65" x14ac:dyDescent="0.2">
      <c r="G105"/>
      <c r="M105"/>
      <c r="BM105"/>
    </row>
    <row r="106" spans="7:65" x14ac:dyDescent="0.2">
      <c r="G106"/>
      <c r="M106"/>
      <c r="BM106"/>
    </row>
    <row r="107" spans="7:65" x14ac:dyDescent="0.2">
      <c r="G107"/>
      <c r="M107"/>
      <c r="BM107"/>
    </row>
    <row r="108" spans="7:65" x14ac:dyDescent="0.2">
      <c r="G108"/>
      <c r="M108"/>
      <c r="BM108"/>
    </row>
    <row r="109" spans="7:65" x14ac:dyDescent="0.2">
      <c r="G109"/>
      <c r="M109"/>
      <c r="BM109"/>
    </row>
    <row r="110" spans="7:65" x14ac:dyDescent="0.2">
      <c r="G110"/>
      <c r="M110"/>
      <c r="BM110"/>
    </row>
    <row r="111" spans="7:65" x14ac:dyDescent="0.2">
      <c r="G111"/>
      <c r="M111"/>
      <c r="BM111"/>
    </row>
    <row r="112" spans="7:65" x14ac:dyDescent="0.2">
      <c r="G112"/>
      <c r="M112"/>
      <c r="BM112"/>
    </row>
    <row r="113" spans="7:65" x14ac:dyDescent="0.2">
      <c r="G113"/>
      <c r="M113"/>
      <c r="BM113"/>
    </row>
    <row r="114" spans="7:65" x14ac:dyDescent="0.2">
      <c r="G114"/>
      <c r="M114"/>
      <c r="BM114"/>
    </row>
    <row r="115" spans="7:65" x14ac:dyDescent="0.2">
      <c r="G115"/>
      <c r="M115"/>
      <c r="BM115"/>
    </row>
    <row r="116" spans="7:65" x14ac:dyDescent="0.2">
      <c r="G116"/>
      <c r="M116"/>
      <c r="BM116"/>
    </row>
    <row r="117" spans="7:65" x14ac:dyDescent="0.2">
      <c r="G117"/>
      <c r="M117"/>
      <c r="BM117"/>
    </row>
    <row r="118" spans="7:65" x14ac:dyDescent="0.2">
      <c r="G118"/>
      <c r="M118"/>
      <c r="BM118"/>
    </row>
    <row r="119" spans="7:65" x14ac:dyDescent="0.2">
      <c r="G119"/>
      <c r="M119"/>
      <c r="BM119"/>
    </row>
    <row r="120" spans="7:65" x14ac:dyDescent="0.2">
      <c r="G120"/>
      <c r="M120"/>
      <c r="BM120"/>
    </row>
    <row r="121" spans="7:65" x14ac:dyDescent="0.2">
      <c r="G121"/>
      <c r="M121"/>
      <c r="BM121"/>
    </row>
    <row r="122" spans="7:65" x14ac:dyDescent="0.2">
      <c r="G122"/>
      <c r="M122"/>
      <c r="BM122"/>
    </row>
    <row r="123" spans="7:65" x14ac:dyDescent="0.2">
      <c r="G123"/>
      <c r="M123"/>
      <c r="BM123"/>
    </row>
    <row r="124" spans="7:65" x14ac:dyDescent="0.2">
      <c r="G124"/>
      <c r="M124"/>
      <c r="BM124"/>
    </row>
    <row r="125" spans="7:65" x14ac:dyDescent="0.2">
      <c r="G125"/>
      <c r="M125"/>
      <c r="BM125"/>
    </row>
    <row r="126" spans="7:65" x14ac:dyDescent="0.2">
      <c r="G126"/>
      <c r="M126"/>
      <c r="BM126"/>
    </row>
    <row r="127" spans="7:65" x14ac:dyDescent="0.2">
      <c r="G127"/>
      <c r="M127"/>
      <c r="BM127"/>
    </row>
    <row r="128" spans="7:65" x14ac:dyDescent="0.2">
      <c r="G128"/>
      <c r="M128"/>
      <c r="BM128"/>
    </row>
    <row r="129" spans="7:65" x14ac:dyDescent="0.2">
      <c r="G129"/>
      <c r="M129"/>
      <c r="BM129"/>
    </row>
    <row r="130" spans="7:65" x14ac:dyDescent="0.2">
      <c r="G130"/>
      <c r="M130"/>
      <c r="BM130"/>
    </row>
    <row r="131" spans="7:65" x14ac:dyDescent="0.2">
      <c r="G131"/>
      <c r="M131"/>
      <c r="BM131"/>
    </row>
    <row r="132" spans="7:65" x14ac:dyDescent="0.2">
      <c r="G132"/>
      <c r="M132"/>
      <c r="BM132"/>
    </row>
    <row r="133" spans="7:65" x14ac:dyDescent="0.2">
      <c r="G133"/>
      <c r="M133"/>
      <c r="BM133"/>
    </row>
    <row r="134" spans="7:65" x14ac:dyDescent="0.2">
      <c r="G134"/>
      <c r="M134"/>
      <c r="BM134"/>
    </row>
    <row r="135" spans="7:65" x14ac:dyDescent="0.2">
      <c r="G135"/>
      <c r="M135"/>
      <c r="BM135"/>
    </row>
    <row r="136" spans="7:65" x14ac:dyDescent="0.2">
      <c r="G136"/>
      <c r="M136"/>
      <c r="BM136"/>
    </row>
    <row r="137" spans="7:65" x14ac:dyDescent="0.2">
      <c r="G137"/>
      <c r="M137"/>
      <c r="BM137"/>
    </row>
    <row r="138" spans="7:65" x14ac:dyDescent="0.2">
      <c r="G138"/>
      <c r="M138"/>
      <c r="BM138"/>
    </row>
    <row r="139" spans="7:65" x14ac:dyDescent="0.2">
      <c r="G139"/>
      <c r="M139"/>
      <c r="BM139"/>
    </row>
    <row r="140" spans="7:65" x14ac:dyDescent="0.2">
      <c r="G140"/>
      <c r="M140"/>
      <c r="BM140"/>
    </row>
    <row r="141" spans="7:65" x14ac:dyDescent="0.2">
      <c r="G141"/>
      <c r="M141"/>
      <c r="BM141"/>
    </row>
    <row r="142" spans="7:65" x14ac:dyDescent="0.2">
      <c r="G142"/>
      <c r="M142"/>
      <c r="BM142"/>
    </row>
    <row r="143" spans="7:65" x14ac:dyDescent="0.2">
      <c r="G143"/>
      <c r="M143"/>
      <c r="BM143"/>
    </row>
    <row r="144" spans="7:65" x14ac:dyDescent="0.2">
      <c r="G144"/>
      <c r="M144"/>
      <c r="BM144"/>
    </row>
    <row r="145" spans="7:65" x14ac:dyDescent="0.2">
      <c r="G145"/>
      <c r="M145"/>
      <c r="BM145"/>
    </row>
    <row r="146" spans="7:65" x14ac:dyDescent="0.2">
      <c r="G146"/>
      <c r="M146"/>
      <c r="BM146"/>
    </row>
    <row r="147" spans="7:65" x14ac:dyDescent="0.2">
      <c r="G147"/>
      <c r="M147"/>
      <c r="BM147"/>
    </row>
    <row r="148" spans="7:65" x14ac:dyDescent="0.2">
      <c r="G148"/>
      <c r="M148"/>
      <c r="BM148"/>
    </row>
    <row r="149" spans="7:65" x14ac:dyDescent="0.2">
      <c r="G149"/>
      <c r="M149"/>
      <c r="BM149"/>
    </row>
    <row r="150" spans="7:65" x14ac:dyDescent="0.2">
      <c r="G150"/>
      <c r="M150"/>
      <c r="BM150"/>
    </row>
    <row r="151" spans="7:65" x14ac:dyDescent="0.2">
      <c r="G151"/>
      <c r="M151"/>
      <c r="BM151"/>
    </row>
    <row r="152" spans="7:65" x14ac:dyDescent="0.2">
      <c r="G152"/>
      <c r="M152"/>
      <c r="BM152"/>
    </row>
    <row r="153" spans="7:65" x14ac:dyDescent="0.2">
      <c r="G153"/>
      <c r="M153"/>
      <c r="BM153"/>
    </row>
    <row r="154" spans="7:65" x14ac:dyDescent="0.2">
      <c r="G154"/>
      <c r="M154"/>
      <c r="BM154"/>
    </row>
    <row r="155" spans="7:65" x14ac:dyDescent="0.2">
      <c r="G155"/>
      <c r="M155"/>
      <c r="BM155"/>
    </row>
    <row r="156" spans="7:65" x14ac:dyDescent="0.2">
      <c r="G156"/>
      <c r="M156"/>
      <c r="BM156"/>
    </row>
    <row r="157" spans="7:65" x14ac:dyDescent="0.2">
      <c r="G157"/>
      <c r="M157"/>
      <c r="BM157"/>
    </row>
    <row r="158" spans="7:65" x14ac:dyDescent="0.2">
      <c r="G158"/>
      <c r="M158"/>
      <c r="BM158"/>
    </row>
    <row r="159" spans="7:65" x14ac:dyDescent="0.2">
      <c r="G159"/>
      <c r="M159"/>
      <c r="BM159"/>
    </row>
    <row r="160" spans="7:65" x14ac:dyDescent="0.2">
      <c r="G160"/>
      <c r="M160"/>
      <c r="BM160"/>
    </row>
    <row r="161" spans="7:65" x14ac:dyDescent="0.2">
      <c r="G161"/>
      <c r="M161"/>
      <c r="BM161"/>
    </row>
    <row r="162" spans="7:65" x14ac:dyDescent="0.2">
      <c r="G162"/>
      <c r="M162"/>
      <c r="BM162"/>
    </row>
    <row r="163" spans="7:65" x14ac:dyDescent="0.2">
      <c r="G163"/>
      <c r="M163"/>
      <c r="BM163"/>
    </row>
    <row r="164" spans="7:65" x14ac:dyDescent="0.2">
      <c r="G164"/>
      <c r="M164"/>
      <c r="BM164"/>
    </row>
    <row r="165" spans="7:65" x14ac:dyDescent="0.2">
      <c r="G165"/>
      <c r="M165"/>
      <c r="BM165"/>
    </row>
    <row r="166" spans="7:65" x14ac:dyDescent="0.2">
      <c r="G166"/>
      <c r="M166"/>
      <c r="BM166"/>
    </row>
    <row r="167" spans="7:65" x14ac:dyDescent="0.2">
      <c r="G167"/>
      <c r="M167"/>
      <c r="BM167"/>
    </row>
    <row r="168" spans="7:65" x14ac:dyDescent="0.2">
      <c r="G168"/>
      <c r="M168"/>
      <c r="BM168"/>
    </row>
    <row r="169" spans="7:65" x14ac:dyDescent="0.2">
      <c r="G169"/>
      <c r="M169"/>
      <c r="BM169"/>
    </row>
    <row r="170" spans="7:65" x14ac:dyDescent="0.2">
      <c r="G170"/>
      <c r="M170"/>
      <c r="BM170"/>
    </row>
    <row r="171" spans="7:65" x14ac:dyDescent="0.2">
      <c r="G171"/>
      <c r="M171"/>
      <c r="BM171"/>
    </row>
    <row r="172" spans="7:65" x14ac:dyDescent="0.2">
      <c r="G172"/>
      <c r="M172"/>
      <c r="BM172"/>
    </row>
    <row r="173" spans="7:65" x14ac:dyDescent="0.2">
      <c r="G173"/>
      <c r="M173"/>
      <c r="BM173"/>
    </row>
    <row r="174" spans="7:65" x14ac:dyDescent="0.2">
      <c r="G174"/>
      <c r="M174"/>
      <c r="BM174"/>
    </row>
    <row r="175" spans="7:65" x14ac:dyDescent="0.2">
      <c r="G175"/>
      <c r="M175"/>
      <c r="BM175"/>
    </row>
    <row r="176" spans="7:65" x14ac:dyDescent="0.2">
      <c r="G176"/>
      <c r="M176"/>
      <c r="BM176"/>
    </row>
    <row r="177" spans="7:65" x14ac:dyDescent="0.2">
      <c r="G177"/>
      <c r="M177"/>
      <c r="BM177"/>
    </row>
    <row r="178" spans="7:65" x14ac:dyDescent="0.2">
      <c r="G178"/>
      <c r="M178"/>
      <c r="BM178"/>
    </row>
    <row r="179" spans="7:65" x14ac:dyDescent="0.2">
      <c r="G179"/>
      <c r="M179"/>
      <c r="BM179"/>
    </row>
    <row r="180" spans="7:65" x14ac:dyDescent="0.2">
      <c r="G180"/>
      <c r="M180"/>
      <c r="BM180"/>
    </row>
    <row r="181" spans="7:65" x14ac:dyDescent="0.2">
      <c r="G181"/>
      <c r="M181"/>
      <c r="BM181"/>
    </row>
    <row r="182" spans="7:65" x14ac:dyDescent="0.2">
      <c r="G182"/>
      <c r="M182"/>
      <c r="BM182"/>
    </row>
    <row r="183" spans="7:65" x14ac:dyDescent="0.2">
      <c r="G183"/>
      <c r="M183"/>
      <c r="BM183"/>
    </row>
    <row r="184" spans="7:65" x14ac:dyDescent="0.2">
      <c r="G184"/>
      <c r="M184"/>
      <c r="BM184"/>
    </row>
    <row r="185" spans="7:65" x14ac:dyDescent="0.2">
      <c r="G185"/>
      <c r="M185"/>
      <c r="BM185"/>
    </row>
    <row r="186" spans="7:65" x14ac:dyDescent="0.2">
      <c r="G186"/>
      <c r="M186"/>
      <c r="BM186"/>
    </row>
    <row r="187" spans="7:65" x14ac:dyDescent="0.2">
      <c r="G187"/>
      <c r="M187"/>
      <c r="BM187"/>
    </row>
    <row r="188" spans="7:65" x14ac:dyDescent="0.2">
      <c r="G188"/>
      <c r="M188"/>
      <c r="BM188"/>
    </row>
    <row r="189" spans="7:65" x14ac:dyDescent="0.2">
      <c r="G189"/>
      <c r="M189"/>
      <c r="BM189"/>
    </row>
    <row r="190" spans="7:65" x14ac:dyDescent="0.2">
      <c r="G190"/>
      <c r="M190"/>
      <c r="BM190"/>
    </row>
    <row r="191" spans="7:65" x14ac:dyDescent="0.2">
      <c r="G191"/>
      <c r="M191"/>
      <c r="BM191"/>
    </row>
    <row r="192" spans="7:65" x14ac:dyDescent="0.2">
      <c r="G192"/>
      <c r="M192"/>
      <c r="BM192"/>
    </row>
    <row r="193" spans="7:65" x14ac:dyDescent="0.2">
      <c r="G193"/>
      <c r="M193"/>
      <c r="BM193"/>
    </row>
    <row r="194" spans="7:65" x14ac:dyDescent="0.2">
      <c r="G194"/>
      <c r="M194"/>
      <c r="BM194"/>
    </row>
    <row r="195" spans="7:65" x14ac:dyDescent="0.2">
      <c r="G195"/>
      <c r="M195"/>
      <c r="BM195"/>
    </row>
    <row r="196" spans="7:65" x14ac:dyDescent="0.2">
      <c r="G196"/>
      <c r="M196"/>
      <c r="BM196"/>
    </row>
    <row r="197" spans="7:65" x14ac:dyDescent="0.2">
      <c r="G197"/>
      <c r="M197"/>
      <c r="BM197"/>
    </row>
    <row r="198" spans="7:65" x14ac:dyDescent="0.2">
      <c r="G198"/>
      <c r="M198"/>
      <c r="BM198"/>
    </row>
    <row r="199" spans="7:65" x14ac:dyDescent="0.2">
      <c r="G199"/>
      <c r="M199"/>
      <c r="BM199"/>
    </row>
    <row r="200" spans="7:65" x14ac:dyDescent="0.2">
      <c r="G200"/>
      <c r="M200"/>
      <c r="BM200"/>
    </row>
    <row r="201" spans="7:65" x14ac:dyDescent="0.2">
      <c r="G201"/>
      <c r="M201"/>
      <c r="BM201"/>
    </row>
    <row r="202" spans="7:65" x14ac:dyDescent="0.2">
      <c r="G202"/>
      <c r="M202"/>
      <c r="BM202"/>
    </row>
    <row r="203" spans="7:65" x14ac:dyDescent="0.2">
      <c r="G203"/>
      <c r="M203"/>
      <c r="BM203"/>
    </row>
    <row r="204" spans="7:65" x14ac:dyDescent="0.2">
      <c r="G204"/>
      <c r="M204"/>
      <c r="BM204"/>
    </row>
    <row r="205" spans="7:65" x14ac:dyDescent="0.2">
      <c r="G205"/>
      <c r="M205"/>
      <c r="BM205"/>
    </row>
    <row r="206" spans="7:65" x14ac:dyDescent="0.2">
      <c r="G206"/>
      <c r="M206"/>
      <c r="BM206"/>
    </row>
    <row r="207" spans="7:65" x14ac:dyDescent="0.2">
      <c r="G207"/>
      <c r="M207"/>
      <c r="BM207"/>
    </row>
    <row r="208" spans="7:65" x14ac:dyDescent="0.2">
      <c r="G208"/>
      <c r="M208"/>
      <c r="BM208"/>
    </row>
    <row r="209" spans="7:65" x14ac:dyDescent="0.2">
      <c r="G209"/>
      <c r="M209"/>
      <c r="BM209"/>
    </row>
    <row r="210" spans="7:65" x14ac:dyDescent="0.2">
      <c r="G210"/>
      <c r="M210"/>
      <c r="BM210"/>
    </row>
    <row r="211" spans="7:65" x14ac:dyDescent="0.2">
      <c r="G211"/>
      <c r="M211"/>
      <c r="BM211"/>
    </row>
    <row r="212" spans="7:65" x14ac:dyDescent="0.2">
      <c r="G212"/>
      <c r="M212"/>
      <c r="BM212"/>
    </row>
    <row r="213" spans="7:65" x14ac:dyDescent="0.2">
      <c r="G213"/>
      <c r="M213"/>
      <c r="BM213"/>
    </row>
    <row r="214" spans="7:65" x14ac:dyDescent="0.2">
      <c r="G214"/>
      <c r="M214"/>
      <c r="BM214"/>
    </row>
    <row r="215" spans="7:65" x14ac:dyDescent="0.2">
      <c r="G215"/>
      <c r="M215"/>
      <c r="BM215"/>
    </row>
    <row r="216" spans="7:65" x14ac:dyDescent="0.2">
      <c r="G216"/>
      <c r="M216"/>
      <c r="BM216"/>
    </row>
    <row r="217" spans="7:65" x14ac:dyDescent="0.2">
      <c r="G217"/>
      <c r="M217"/>
      <c r="BM217"/>
    </row>
    <row r="218" spans="7:65" x14ac:dyDescent="0.2">
      <c r="G218"/>
      <c r="M218"/>
      <c r="BM218"/>
    </row>
    <row r="219" spans="7:65" x14ac:dyDescent="0.2">
      <c r="G219"/>
      <c r="M219"/>
      <c r="BM219"/>
    </row>
    <row r="220" spans="7:65" x14ac:dyDescent="0.2">
      <c r="G220"/>
      <c r="M220"/>
      <c r="BM220"/>
    </row>
    <row r="221" spans="7:65" x14ac:dyDescent="0.2">
      <c r="G221"/>
      <c r="M221"/>
      <c r="BM221"/>
    </row>
    <row r="222" spans="7:65" x14ac:dyDescent="0.2">
      <c r="G222"/>
      <c r="M222"/>
      <c r="BM222"/>
    </row>
    <row r="223" spans="7:65" x14ac:dyDescent="0.2">
      <c r="G223"/>
      <c r="M223"/>
      <c r="BM223"/>
    </row>
    <row r="224" spans="7:65" x14ac:dyDescent="0.2">
      <c r="G224"/>
      <c r="M224"/>
      <c r="BM224"/>
    </row>
    <row r="225" spans="7:65" x14ac:dyDescent="0.2">
      <c r="G225"/>
      <c r="M225"/>
      <c r="BM225"/>
    </row>
    <row r="226" spans="7:65" x14ac:dyDescent="0.2">
      <c r="G226"/>
      <c r="M226"/>
      <c r="BM226"/>
    </row>
    <row r="227" spans="7:65" x14ac:dyDescent="0.2">
      <c r="G227"/>
      <c r="M227"/>
      <c r="BM227"/>
    </row>
    <row r="228" spans="7:65" x14ac:dyDescent="0.2">
      <c r="G228"/>
      <c r="M228"/>
      <c r="BM228"/>
    </row>
    <row r="229" spans="7:65" x14ac:dyDescent="0.2">
      <c r="G229"/>
      <c r="M229"/>
      <c r="BM229"/>
    </row>
    <row r="230" spans="7:65" x14ac:dyDescent="0.2">
      <c r="G230"/>
      <c r="M230"/>
      <c r="BM230"/>
    </row>
    <row r="231" spans="7:65" x14ac:dyDescent="0.2">
      <c r="G231"/>
      <c r="M231"/>
      <c r="BM231"/>
    </row>
    <row r="232" spans="7:65" x14ac:dyDescent="0.2">
      <c r="G232"/>
      <c r="M232"/>
      <c r="BM232"/>
    </row>
    <row r="233" spans="7:65" x14ac:dyDescent="0.2">
      <c r="G233"/>
      <c r="M233"/>
      <c r="BM233"/>
    </row>
    <row r="234" spans="7:65" x14ac:dyDescent="0.2">
      <c r="G234"/>
      <c r="M234"/>
      <c r="BM234"/>
    </row>
    <row r="235" spans="7:65" x14ac:dyDescent="0.2">
      <c r="G235"/>
      <c r="M235"/>
      <c r="BM235"/>
    </row>
    <row r="236" spans="7:65" x14ac:dyDescent="0.2">
      <c r="G236"/>
      <c r="M236"/>
      <c r="BM236"/>
    </row>
    <row r="237" spans="7:65" x14ac:dyDescent="0.2">
      <c r="G237"/>
      <c r="M237"/>
      <c r="BM237"/>
    </row>
    <row r="238" spans="7:65" x14ac:dyDescent="0.2">
      <c r="G238"/>
      <c r="M238"/>
      <c r="BM238"/>
    </row>
    <row r="239" spans="7:65" x14ac:dyDescent="0.2">
      <c r="G239"/>
      <c r="M239"/>
      <c r="BM239"/>
    </row>
    <row r="240" spans="7:65" x14ac:dyDescent="0.2">
      <c r="G240"/>
      <c r="M240"/>
      <c r="BM240"/>
    </row>
    <row r="241" spans="7:65" x14ac:dyDescent="0.2">
      <c r="G241"/>
      <c r="M241"/>
      <c r="BM241"/>
    </row>
    <row r="242" spans="7:65" x14ac:dyDescent="0.2">
      <c r="G242"/>
      <c r="M242"/>
      <c r="BM242"/>
    </row>
    <row r="243" spans="7:65" x14ac:dyDescent="0.2">
      <c r="G243"/>
      <c r="M243"/>
      <c r="BM243"/>
    </row>
    <row r="244" spans="7:65" x14ac:dyDescent="0.2">
      <c r="G244"/>
      <c r="M244"/>
      <c r="BM244"/>
    </row>
    <row r="245" spans="7:65" x14ac:dyDescent="0.2">
      <c r="G245"/>
      <c r="M245"/>
      <c r="BM245"/>
    </row>
    <row r="246" spans="7:65" x14ac:dyDescent="0.2">
      <c r="G246"/>
      <c r="M246"/>
      <c r="BM246"/>
    </row>
    <row r="247" spans="7:65" x14ac:dyDescent="0.2">
      <c r="G247"/>
      <c r="M247"/>
      <c r="BM247"/>
    </row>
    <row r="248" spans="7:65" x14ac:dyDescent="0.2">
      <c r="G248"/>
      <c r="M248"/>
      <c r="BM248"/>
    </row>
    <row r="249" spans="7:65" x14ac:dyDescent="0.2">
      <c r="G249"/>
      <c r="M249"/>
      <c r="BM249"/>
    </row>
    <row r="250" spans="7:65" x14ac:dyDescent="0.2">
      <c r="G250"/>
      <c r="M250"/>
      <c r="BM250"/>
    </row>
    <row r="251" spans="7:65" x14ac:dyDescent="0.2">
      <c r="G251"/>
      <c r="M251"/>
      <c r="BM251"/>
    </row>
    <row r="252" spans="7:65" x14ac:dyDescent="0.2">
      <c r="G252"/>
      <c r="M252"/>
      <c r="BM252"/>
    </row>
    <row r="253" spans="7:65" x14ac:dyDescent="0.2">
      <c r="G253"/>
      <c r="M253"/>
      <c r="BM253"/>
    </row>
    <row r="254" spans="7:65" x14ac:dyDescent="0.2">
      <c r="G254"/>
      <c r="M254"/>
      <c r="BM254"/>
    </row>
    <row r="255" spans="7:65" x14ac:dyDescent="0.2">
      <c r="G255"/>
      <c r="M255"/>
      <c r="BM255"/>
    </row>
    <row r="256" spans="7:65" x14ac:dyDescent="0.2">
      <c r="G256"/>
      <c r="M256"/>
      <c r="BM256"/>
    </row>
    <row r="257" spans="7:65" x14ac:dyDescent="0.2">
      <c r="G257"/>
      <c r="M257"/>
      <c r="BM257"/>
    </row>
    <row r="258" spans="7:65" x14ac:dyDescent="0.2">
      <c r="G258"/>
      <c r="M258"/>
      <c r="BM258"/>
    </row>
    <row r="259" spans="7:65" x14ac:dyDescent="0.2">
      <c r="G259"/>
      <c r="M259"/>
      <c r="BM259"/>
    </row>
    <row r="260" spans="7:65" x14ac:dyDescent="0.2">
      <c r="G260"/>
      <c r="M260"/>
      <c r="BM260"/>
    </row>
    <row r="261" spans="7:65" x14ac:dyDescent="0.2">
      <c r="G261"/>
      <c r="M261"/>
      <c r="BM261"/>
    </row>
    <row r="262" spans="7:65" x14ac:dyDescent="0.2">
      <c r="G262"/>
      <c r="M262"/>
      <c r="BM262"/>
    </row>
    <row r="263" spans="7:65" x14ac:dyDescent="0.2">
      <c r="G263"/>
      <c r="M263"/>
      <c r="BM263"/>
    </row>
    <row r="264" spans="7:65" x14ac:dyDescent="0.2">
      <c r="G264"/>
      <c r="M264"/>
      <c r="BM264"/>
    </row>
    <row r="265" spans="7:65" x14ac:dyDescent="0.2">
      <c r="G265"/>
      <c r="M265"/>
      <c r="BM265"/>
    </row>
    <row r="266" spans="7:65" x14ac:dyDescent="0.2">
      <c r="G266"/>
      <c r="M266"/>
      <c r="BM266"/>
    </row>
    <row r="267" spans="7:65" x14ac:dyDescent="0.2">
      <c r="G267"/>
      <c r="M267"/>
      <c r="BM267"/>
    </row>
    <row r="268" spans="7:65" x14ac:dyDescent="0.2">
      <c r="G268"/>
      <c r="M268"/>
      <c r="BM268"/>
    </row>
    <row r="269" spans="7:65" x14ac:dyDescent="0.2">
      <c r="G269"/>
      <c r="M269"/>
      <c r="BM269"/>
    </row>
    <row r="270" spans="7:65" x14ac:dyDescent="0.2">
      <c r="G270"/>
      <c r="M270"/>
      <c r="BM270"/>
    </row>
    <row r="271" spans="7:65" x14ac:dyDescent="0.2">
      <c r="G271"/>
      <c r="M271"/>
      <c r="BM271"/>
    </row>
    <row r="272" spans="7:65" x14ac:dyDescent="0.2">
      <c r="G272"/>
      <c r="M272"/>
      <c r="BM272"/>
    </row>
    <row r="273" spans="7:65" x14ac:dyDescent="0.2">
      <c r="G273"/>
      <c r="M273"/>
      <c r="BM273"/>
    </row>
    <row r="274" spans="7:65" x14ac:dyDescent="0.2">
      <c r="G274"/>
      <c r="M274"/>
      <c r="BM274"/>
    </row>
    <row r="275" spans="7:65" x14ac:dyDescent="0.2">
      <c r="G275"/>
      <c r="M275"/>
      <c r="BM275"/>
    </row>
    <row r="276" spans="7:65" x14ac:dyDescent="0.2">
      <c r="G276"/>
      <c r="M276"/>
      <c r="BM276"/>
    </row>
    <row r="277" spans="7:65" x14ac:dyDescent="0.2">
      <c r="G277"/>
      <c r="M277"/>
      <c r="BM277"/>
    </row>
    <row r="278" spans="7:65" x14ac:dyDescent="0.2">
      <c r="G278"/>
      <c r="M278"/>
      <c r="BM278"/>
    </row>
    <row r="279" spans="7:65" x14ac:dyDescent="0.2">
      <c r="G279"/>
      <c r="M279"/>
      <c r="BM279"/>
    </row>
    <row r="280" spans="7:65" x14ac:dyDescent="0.2">
      <c r="G280"/>
      <c r="M280"/>
      <c r="BM280"/>
    </row>
    <row r="281" spans="7:65" x14ac:dyDescent="0.2">
      <c r="G281"/>
      <c r="M281"/>
      <c r="BM281"/>
    </row>
    <row r="282" spans="7:65" x14ac:dyDescent="0.2">
      <c r="G282"/>
      <c r="M282"/>
      <c r="BM282"/>
    </row>
    <row r="283" spans="7:65" x14ac:dyDescent="0.2">
      <c r="G283"/>
      <c r="M283"/>
      <c r="BM283"/>
    </row>
    <row r="284" spans="7:65" x14ac:dyDescent="0.2">
      <c r="G284"/>
      <c r="M284"/>
      <c r="BM284"/>
    </row>
    <row r="285" spans="7:65" x14ac:dyDescent="0.2">
      <c r="G285"/>
      <c r="M285"/>
      <c r="BM285"/>
    </row>
    <row r="286" spans="7:65" x14ac:dyDescent="0.2">
      <c r="G286"/>
      <c r="M286"/>
      <c r="BM286"/>
    </row>
    <row r="287" spans="7:65" x14ac:dyDescent="0.2">
      <c r="G287"/>
      <c r="M287"/>
      <c r="BM287"/>
    </row>
    <row r="288" spans="7:65" x14ac:dyDescent="0.2">
      <c r="G288"/>
      <c r="M288"/>
      <c r="BM288"/>
    </row>
    <row r="289" spans="7:65" x14ac:dyDescent="0.2">
      <c r="G289"/>
      <c r="M289"/>
      <c r="BM289"/>
    </row>
    <row r="290" spans="7:65" x14ac:dyDescent="0.2">
      <c r="G290"/>
      <c r="M290"/>
      <c r="BM290"/>
    </row>
    <row r="291" spans="7:65" x14ac:dyDescent="0.2">
      <c r="G291"/>
      <c r="M291"/>
      <c r="BM291"/>
    </row>
    <row r="292" spans="7:65" x14ac:dyDescent="0.2">
      <c r="G292"/>
      <c r="M292"/>
      <c r="BM292"/>
    </row>
    <row r="293" spans="7:65" x14ac:dyDescent="0.2">
      <c r="G293"/>
      <c r="M293"/>
      <c r="BM293"/>
    </row>
    <row r="294" spans="7:65" x14ac:dyDescent="0.2">
      <c r="G294"/>
      <c r="M294"/>
      <c r="BM294"/>
    </row>
    <row r="295" spans="7:65" x14ac:dyDescent="0.2">
      <c r="G295"/>
      <c r="M295"/>
      <c r="BM295"/>
    </row>
    <row r="296" spans="7:65" x14ac:dyDescent="0.2">
      <c r="G296"/>
      <c r="M296"/>
      <c r="BM296"/>
    </row>
    <row r="297" spans="7:65" x14ac:dyDescent="0.2">
      <c r="G297"/>
      <c r="M297"/>
      <c r="BM297"/>
    </row>
    <row r="298" spans="7:65" x14ac:dyDescent="0.2">
      <c r="G298"/>
      <c r="M298"/>
      <c r="BM298"/>
    </row>
    <row r="299" spans="7:65" x14ac:dyDescent="0.2">
      <c r="G299"/>
      <c r="M299"/>
      <c r="BM299"/>
    </row>
    <row r="300" spans="7:65" x14ac:dyDescent="0.2">
      <c r="G300"/>
      <c r="M300"/>
      <c r="BM300"/>
    </row>
    <row r="301" spans="7:65" x14ac:dyDescent="0.2">
      <c r="G301"/>
      <c r="M301"/>
      <c r="BM301"/>
    </row>
  </sheetData>
  <dataConsolidate/>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heetViews>
  <sheetFormatPr defaultRowHeight="14.25" x14ac:dyDescent="0.2"/>
  <cols>
    <col min="4" max="4" width="13.75" customWidth="1"/>
    <col min="8" max="8" width="11.625" bestFit="1" customWidth="1"/>
  </cols>
  <sheetData>
    <row r="3" spans="1:13" ht="15" x14ac:dyDescent="0.25">
      <c r="A3" s="239" t="s">
        <v>407</v>
      </c>
      <c r="B3" s="238"/>
      <c r="C3" s="101"/>
      <c r="D3" s="101"/>
      <c r="E3" s="101"/>
      <c r="F3" s="101"/>
      <c r="G3" s="101"/>
      <c r="H3" s="101"/>
      <c r="I3" s="101"/>
      <c r="J3" s="101"/>
      <c r="K3" s="101"/>
      <c r="L3" s="101"/>
      <c r="M3" s="101"/>
    </row>
    <row r="4" spans="1:13" x14ac:dyDescent="0.2">
      <c r="F4" s="82"/>
    </row>
    <row r="5" spans="1:13" ht="30" x14ac:dyDescent="0.2">
      <c r="A5" s="231" t="s">
        <v>408</v>
      </c>
      <c r="B5" s="235" t="s">
        <v>148</v>
      </c>
      <c r="C5" s="236" t="s">
        <v>403</v>
      </c>
      <c r="D5" s="278" t="s">
        <v>882</v>
      </c>
      <c r="E5" s="279" t="s">
        <v>14</v>
      </c>
      <c r="F5" s="147"/>
      <c r="G5" s="237" t="s">
        <v>504</v>
      </c>
      <c r="H5" s="265" t="s">
        <v>875</v>
      </c>
      <c r="J5" s="67"/>
    </row>
    <row r="6" spans="1:13" x14ac:dyDescent="0.2">
      <c r="A6" s="232" t="str">
        <f>Setup!B22</f>
        <v>2WW</v>
      </c>
      <c r="B6" s="154"/>
      <c r="C6" s="154"/>
      <c r="D6" s="277"/>
      <c r="E6" s="160" t="s">
        <v>401</v>
      </c>
      <c r="G6" s="227" t="str">
        <f ca="1">IFERROR('Demand background (hide)'!BJ20,"")</f>
        <v/>
      </c>
      <c r="H6" s="229"/>
      <c r="I6" s="228" t="str">
        <f>IF(AND(H5="Override",SUM(H6:H8)&lt;&gt;1),"Total values must equal 100%, defaulting to calculated value","")</f>
        <v/>
      </c>
      <c r="J6" s="67"/>
    </row>
    <row r="7" spans="1:13" x14ac:dyDescent="0.2">
      <c r="A7" s="233" t="str">
        <f>Setup!B23</f>
        <v>Urgent</v>
      </c>
      <c r="B7" s="154">
        <v>0</v>
      </c>
      <c r="C7" s="154">
        <v>2</v>
      </c>
      <c r="D7" s="277"/>
      <c r="E7" s="160" t="s">
        <v>402</v>
      </c>
      <c r="G7" s="227" t="str">
        <f ca="1">IFERROR('Demand background (hide)'!BK20,"")</f>
        <v/>
      </c>
      <c r="H7" s="230"/>
      <c r="J7" s="67"/>
    </row>
    <row r="8" spans="1:13" x14ac:dyDescent="0.2">
      <c r="A8" s="234" t="str">
        <f>Setup!B24</f>
        <v>Routine</v>
      </c>
      <c r="B8" s="154">
        <v>2</v>
      </c>
      <c r="C8" s="154">
        <v>6</v>
      </c>
      <c r="D8" s="277"/>
      <c r="E8" s="160" t="s">
        <v>402</v>
      </c>
      <c r="G8" s="227" t="str">
        <f ca="1">IFERROR('Demand background (hide)'!BL20,"")</f>
        <v/>
      </c>
      <c r="H8" s="230"/>
      <c r="J8" s="67"/>
    </row>
    <row r="10" spans="1:13" x14ac:dyDescent="0.2">
      <c r="E10" s="67"/>
      <c r="F10" s="67"/>
    </row>
  </sheetData>
  <sheetProtection algorithmName="SHA-512" hashValue="C2nRDmAMEAaYgeh3lCV6OgehBiQM56N5x+qWdfMVzXPIsrHuItxv8PD7H7sQMIQNQNgJqKmkXThwP0zP4xDWrw==" saltValue="/5t2qLCQF5KJwLHF3+SeiA==" spinCount="100000" sheet="1" objects="1" scenarios="1"/>
  <conditionalFormatting sqref="H6:H8">
    <cfRule type="expression" dxfId="11"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tabSelected="1" zoomScale="102" zoomScaleNormal="100" workbookViewId="0">
      <selection activeCell="H30" sqref="H30"/>
    </sheetView>
  </sheetViews>
  <sheetFormatPr defaultRowHeight="14.25" x14ac:dyDescent="0.2"/>
  <cols>
    <col min="1" max="1" width="1.25" style="67" customWidth="1"/>
    <col min="2" max="2" width="12.25" customWidth="1"/>
    <col min="3" max="3" width="16.25" customWidth="1"/>
    <col min="4" max="4" width="15.875" customWidth="1"/>
    <col min="5" max="5" width="12.75" customWidth="1"/>
    <col min="6" max="6" width="10.25" customWidth="1"/>
    <col min="7" max="7" width="12.125" customWidth="1"/>
    <col min="8" max="17" width="7.75" customWidth="1"/>
    <col min="18" max="18" width="9" customWidth="1"/>
    <col min="19" max="19" width="6.25" customWidth="1"/>
    <col min="20" max="20" width="10.25" customWidth="1"/>
    <col min="59" max="59" width="9" customWidth="1"/>
  </cols>
  <sheetData>
    <row r="1" spans="2:21" ht="15" x14ac:dyDescent="0.25">
      <c r="B1" s="145" t="s">
        <v>249</v>
      </c>
      <c r="C1" s="31"/>
      <c r="D1" s="31"/>
      <c r="E1" s="31"/>
      <c r="F1" s="31"/>
      <c r="G1" s="31"/>
      <c r="H1" s="31"/>
      <c r="I1" s="31"/>
      <c r="J1" s="31"/>
      <c r="K1" s="31"/>
      <c r="L1" s="31"/>
      <c r="M1" s="31"/>
      <c r="N1" s="31"/>
      <c r="O1" s="31"/>
      <c r="P1" s="31"/>
      <c r="Q1" s="31"/>
      <c r="R1" s="31"/>
      <c r="S1" s="31"/>
      <c r="T1" s="31"/>
      <c r="U1" s="31"/>
    </row>
    <row r="2" spans="2:21" ht="15" x14ac:dyDescent="0.25">
      <c r="E2" s="381" t="s">
        <v>1296</v>
      </c>
      <c r="G2" s="374" t="s">
        <v>1297</v>
      </c>
    </row>
    <row r="3" spans="2:21" ht="15" x14ac:dyDescent="0.25">
      <c r="E3" s="381" t="s">
        <v>1263</v>
      </c>
      <c r="G3" s="374" t="s">
        <v>1263</v>
      </c>
      <c r="H3" s="374" t="s">
        <v>1264</v>
      </c>
      <c r="I3" s="374"/>
      <c r="J3" s="374" t="s">
        <v>1265</v>
      </c>
      <c r="K3" s="374"/>
      <c r="L3" s="374" t="s">
        <v>1269</v>
      </c>
      <c r="M3" s="374"/>
      <c r="N3" s="374" t="s">
        <v>1268</v>
      </c>
      <c r="O3" s="374"/>
      <c r="P3" s="374" t="s">
        <v>1270</v>
      </c>
      <c r="R3" s="381"/>
    </row>
    <row r="4" spans="2:21" ht="15" x14ac:dyDescent="0.2">
      <c r="B4" s="470" t="s">
        <v>884</v>
      </c>
      <c r="C4" s="470"/>
      <c r="D4" s="470"/>
      <c r="E4" s="384" t="str">
        <f>Capacity!C12</f>
        <v>[Not Saved]</v>
      </c>
      <c r="F4" s="67"/>
      <c r="G4" s="375" t="str">
        <f>C15</f>
        <v>5% Increase</v>
      </c>
      <c r="H4" s="376">
        <f>Planning!C11</f>
        <v>0.05</v>
      </c>
      <c r="I4" s="375"/>
      <c r="J4" s="377">
        <f>Planning!C15</f>
        <v>0</v>
      </c>
      <c r="K4" s="375"/>
      <c r="L4" s="377">
        <f>Planning!C16</f>
        <v>0</v>
      </c>
      <c r="M4" s="375"/>
      <c r="N4" s="377">
        <f>Planning!C17</f>
        <v>0</v>
      </c>
      <c r="O4" s="375"/>
      <c r="P4" s="377">
        <f>Planning!C18</f>
        <v>0</v>
      </c>
      <c r="Q4" s="375"/>
    </row>
    <row r="6" spans="2:21" ht="15" x14ac:dyDescent="0.25">
      <c r="B6" s="2" t="s">
        <v>304</v>
      </c>
    </row>
    <row r="7" spans="2:21" x14ac:dyDescent="0.2">
      <c r="B7" t="s">
        <v>489</v>
      </c>
      <c r="C7" s="153" t="s">
        <v>421</v>
      </c>
    </row>
    <row r="8" spans="2:21" x14ac:dyDescent="0.2">
      <c r="B8" t="s">
        <v>490</v>
      </c>
      <c r="C8" s="153" t="s">
        <v>19</v>
      </c>
    </row>
    <row r="12" spans="2:21" ht="15" x14ac:dyDescent="0.25">
      <c r="B12" s="324" t="s">
        <v>426</v>
      </c>
      <c r="C12" s="67"/>
    </row>
    <row r="13" spans="2:21" x14ac:dyDescent="0.2">
      <c r="B13" s="387"/>
    </row>
    <row r="14" spans="2:21" ht="15" x14ac:dyDescent="0.25">
      <c r="B14" s="369" t="s">
        <v>1253</v>
      </c>
    </row>
    <row r="15" spans="2:21" s="67" customFormat="1" ht="40.9" customHeight="1" x14ac:dyDescent="0.2">
      <c r="B15" s="373">
        <v>0</v>
      </c>
      <c r="C15" s="373" t="s">
        <v>1293</v>
      </c>
    </row>
    <row r="16" spans="2:21" s="67" customFormat="1" ht="51" customHeight="1" x14ac:dyDescent="0.2">
      <c r="B16" s="372" t="s">
        <v>1262</v>
      </c>
      <c r="C16" s="368"/>
    </row>
    <row r="17" spans="2:16" ht="15" x14ac:dyDescent="0.25">
      <c r="B17" s="370" t="s">
        <v>945</v>
      </c>
    </row>
    <row r="18" spans="2:16" ht="17.649999999999999" customHeight="1" x14ac:dyDescent="0.2">
      <c r="B18" s="329" t="s">
        <v>22</v>
      </c>
    </row>
    <row r="19" spans="2:16" s="82" customFormat="1" ht="15" hidden="1" x14ac:dyDescent="0.25">
      <c r="B19" s="328"/>
    </row>
    <row r="20" spans="2:16" ht="15" hidden="1" x14ac:dyDescent="0.25">
      <c r="B20" s="328"/>
      <c r="C20" s="328"/>
      <c r="D20" s="328"/>
      <c r="E20" s="328"/>
      <c r="F20" s="328"/>
      <c r="G20" s="328"/>
    </row>
    <row r="21" spans="2:16" ht="13.9" hidden="1" customHeight="1" x14ac:dyDescent="0.25">
      <c r="B21" s="328"/>
      <c r="C21" s="328"/>
      <c r="D21" s="328"/>
      <c r="E21" s="328"/>
      <c r="F21" s="328"/>
      <c r="G21" s="328"/>
    </row>
    <row r="22" spans="2:16" hidden="1" x14ac:dyDescent="0.2"/>
    <row r="23" spans="2:16" ht="15" x14ac:dyDescent="0.25">
      <c r="B23" s="2" t="s">
        <v>493</v>
      </c>
    </row>
    <row r="24" spans="2:16" x14ac:dyDescent="0.2">
      <c r="B24" s="161" t="s">
        <v>20</v>
      </c>
      <c r="D24" s="471" t="str">
        <f ca="1">"On aggregate, 1 patient = "&amp;TEXT('Demand background (hide)'!$BN$16,"#.#")&amp;" "&amp;Setup!$I$17</f>
        <v>On aggregate, 1 patient = 1. Minutes</v>
      </c>
      <c r="E24" s="471"/>
      <c r="F24" s="471"/>
      <c r="G24" s="471"/>
      <c r="H24" s="471"/>
      <c r="I24" s="471"/>
      <c r="J24" s="471"/>
      <c r="K24" s="471"/>
      <c r="P24" s="170" t="s">
        <v>500</v>
      </c>
    </row>
    <row r="26" spans="2:16" s="67" customFormat="1" x14ac:dyDescent="0.2"/>
    <row r="27" spans="2:16" s="67" customFormat="1" ht="15" x14ac:dyDescent="0.25">
      <c r="B27" s="480" t="s">
        <v>302</v>
      </c>
      <c r="C27" s="480"/>
      <c r="D27" s="280" t="s">
        <v>497</v>
      </c>
      <c r="E27" s="280" t="s">
        <v>128</v>
      </c>
    </row>
    <row r="28" spans="2:16" s="67" customFormat="1" x14ac:dyDescent="0.2">
      <c r="B28" s="474" t="s">
        <v>1300</v>
      </c>
      <c r="C28" s="475"/>
      <c r="D28" s="383" t="str">
        <f ca="1">IFERROR('Summary Calculations (hide)'!N70,"")</f>
        <v/>
      </c>
      <c r="E28" s="378"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7" customFormat="1" x14ac:dyDescent="0.2">
      <c r="B29" s="474" t="s">
        <v>1301</v>
      </c>
      <c r="C29" s="475"/>
      <c r="D29" s="275" t="str">
        <f ca="1">IFERROR('Summary Calculations (hide)'!M70,"")</f>
        <v/>
      </c>
      <c r="E29" s="276" t="s">
        <v>499</v>
      </c>
      <c r="G29" s="274"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
      <c r="B30" s="476" t="s">
        <v>503</v>
      </c>
      <c r="C30" s="477"/>
      <c r="D30" s="388" t="str">
        <f ca="1">IFERROR('Summary Calculations (hide)'!X70,"")</f>
        <v/>
      </c>
      <c r="E30" s="389" t="str">
        <f ca="1">IFERROR('Summary Calculations (hide)'!X71,"")</f>
        <v/>
      </c>
    </row>
    <row r="31" spans="2:16" s="67" customFormat="1" ht="15" x14ac:dyDescent="0.25">
      <c r="B31" s="144" t="s">
        <v>303</v>
      </c>
      <c r="C31" s="142"/>
    </row>
    <row r="32" spans="2:16" s="67" customFormat="1" x14ac:dyDescent="0.2">
      <c r="B32" s="474" t="s">
        <v>495</v>
      </c>
      <c r="C32" s="475"/>
      <c r="D32" s="275">
        <f ca="1">IFERROR('Summary Calculations (hide)'!R70,"")</f>
        <v>0</v>
      </c>
      <c r="E32" s="275">
        <f ca="1">IFERROR('Summary Calculations (hide)'!R71,"")</f>
        <v>0</v>
      </c>
      <c r="H32" s="5"/>
    </row>
    <row r="33" spans="2:21" s="67" customFormat="1" x14ac:dyDescent="0.2">
      <c r="B33" s="474" t="s">
        <v>496</v>
      </c>
      <c r="C33" s="475"/>
      <c r="D33" s="275" t="str">
        <f ca="1">IFERROR('Summary Calculations (hide)'!S70,"")</f>
        <v/>
      </c>
      <c r="E33" s="275" t="str">
        <f ca="1">IFERROR('Summary Calculations (hide)'!S71,"")</f>
        <v/>
      </c>
    </row>
    <row r="34" spans="2:21" s="67" customFormat="1" ht="15" x14ac:dyDescent="0.25">
      <c r="B34" s="144" t="s">
        <v>928</v>
      </c>
    </row>
    <row r="35" spans="2:21" s="67" customFormat="1" x14ac:dyDescent="0.2">
      <c r="B35" s="474" t="s">
        <v>927</v>
      </c>
      <c r="C35" s="475"/>
      <c r="D35" s="275">
        <f>IFERROR('Summary Calculations (hide)'!V70,"")</f>
        <v>0</v>
      </c>
      <c r="E35" s="275">
        <f>IFERROR('Summary Calculations (hide)'!V71,"")</f>
        <v>0</v>
      </c>
    </row>
    <row r="37" spans="2:21" x14ac:dyDescent="0.2">
      <c r="B37" s="31"/>
      <c r="C37" s="31"/>
      <c r="D37" s="31"/>
      <c r="E37" s="31"/>
      <c r="F37" s="31"/>
      <c r="G37" s="31"/>
      <c r="H37" s="31"/>
      <c r="I37" s="31"/>
      <c r="J37" s="31"/>
      <c r="K37" s="31"/>
      <c r="L37" s="31"/>
      <c r="M37" s="31"/>
      <c r="N37" s="31"/>
      <c r="O37" s="31"/>
      <c r="P37" s="31"/>
      <c r="Q37" s="31"/>
      <c r="R37" s="31"/>
      <c r="S37" s="31"/>
      <c r="T37" s="31"/>
      <c r="U37" s="31"/>
    </row>
    <row r="38" spans="2:21" ht="15" x14ac:dyDescent="0.2">
      <c r="B38" s="482" t="str">
        <f>"Current waiting list vs Estimated sustainable waiting list ("&amp;C8&amp;")"</f>
        <v>Current waiting list vs Estimated sustainable waiting list (Patients)</v>
      </c>
      <c r="C38" s="482"/>
      <c r="D38" s="482"/>
      <c r="E38" s="482"/>
      <c r="F38" s="482"/>
      <c r="G38" s="482"/>
      <c r="H38" s="482"/>
    </row>
    <row r="40" spans="2:21" ht="15" x14ac:dyDescent="0.25">
      <c r="B40" s="480" t="s">
        <v>489</v>
      </c>
      <c r="C40" s="481"/>
      <c r="D40" s="407" t="s">
        <v>249</v>
      </c>
      <c r="E40" s="409"/>
    </row>
    <row r="41" spans="2:21" x14ac:dyDescent="0.2">
      <c r="B41" s="345" t="str">
        <f>IF(AND(LEFT(Demand!C8,1)="H",'Demand adjustments for Covid'!F9="No"),"","WL predictions are disabled when forecast demand or Covid adjustments are enabled.")</f>
        <v/>
      </c>
    </row>
    <row r="42" spans="2:21" x14ac:dyDescent="0.2">
      <c r="B42" s="478" t="s">
        <v>1139</v>
      </c>
      <c r="C42" s="479"/>
      <c r="D42" s="330">
        <v>0</v>
      </c>
    </row>
    <row r="43" spans="2:21" x14ac:dyDescent="0.2">
      <c r="B43" s="478" t="s">
        <v>1140</v>
      </c>
      <c r="C43" s="479"/>
      <c r="D43" s="330">
        <v>0</v>
      </c>
    </row>
    <row r="49" spans="2:4" x14ac:dyDescent="0.2">
      <c r="B49" s="137" t="s">
        <v>305</v>
      </c>
      <c r="C49" s="472">
        <f ca="1">'Parameters calculator (hide)'!H67</f>
        <v>30</v>
      </c>
      <c r="D49" s="472"/>
    </row>
    <row r="50" spans="2:4" x14ac:dyDescent="0.2">
      <c r="B50" s="138" t="s">
        <v>306</v>
      </c>
      <c r="C50" s="473" t="str">
        <f ca="1">IFERROR(TEXT('Parameters calculator (hide)'!H66,"#,#")&amp;" - "&amp;TEXT('Parameters calculator (hide)'!I66,"#,#"),"")</f>
        <v/>
      </c>
      <c r="D50" s="473"/>
    </row>
    <row r="53" spans="2:4" x14ac:dyDescent="0.2">
      <c r="B53" s="20" t="s">
        <v>307</v>
      </c>
      <c r="C53" s="473" t="str">
        <f ca="1">IFERROR('Parameters calculator (hide)'!H69,"")</f>
        <v/>
      </c>
      <c r="D53" s="473"/>
    </row>
    <row r="55" spans="2:4" x14ac:dyDescent="0.2">
      <c r="B55" t="s">
        <v>929</v>
      </c>
    </row>
    <row r="57" spans="2:4" x14ac:dyDescent="0.2">
      <c r="B57" t="s">
        <v>930</v>
      </c>
    </row>
    <row r="58" spans="2:4" x14ac:dyDescent="0.2">
      <c r="B58" s="283">
        <v>10</v>
      </c>
      <c r="C58" t="s">
        <v>402</v>
      </c>
    </row>
    <row r="60" spans="2:4" x14ac:dyDescent="0.2">
      <c r="B60" t="s">
        <v>931</v>
      </c>
    </row>
    <row r="61" spans="2:4" x14ac:dyDescent="0.2">
      <c r="B61" s="281"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ONJINP6UqnlXldQCEPOacfDmuZWAlzdBogVDqO+zZME9jhOXakaWKz+R74WSnfcO70CxZ2xSsv0pKFBJzSSdtQ==" saltValue="3dyMIwIoGrW0zsVxJkMS6w==" spinCount="100000" sheet="1" objects="1" scenarios="1"/>
  <mergeCells count="17">
    <mergeCell ref="C53:D53"/>
    <mergeCell ref="B42:C42"/>
    <mergeCell ref="B43:C43"/>
    <mergeCell ref="B40:C40"/>
    <mergeCell ref="B38:H38"/>
    <mergeCell ref="B4:D4"/>
    <mergeCell ref="D40:E40"/>
    <mergeCell ref="D24:K24"/>
    <mergeCell ref="C49:D49"/>
    <mergeCell ref="C50:D50"/>
    <mergeCell ref="B27:C27"/>
    <mergeCell ref="B28:C28"/>
    <mergeCell ref="B29:C29"/>
    <mergeCell ref="B30:C30"/>
    <mergeCell ref="B32:C32"/>
    <mergeCell ref="B33:C33"/>
    <mergeCell ref="B35:C35"/>
  </mergeCells>
  <conditionalFormatting sqref="G2:Q4">
    <cfRule type="expression" dxfId="10" priority="5">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142875</xdr:rowOff>
                  </from>
                  <to>
                    <xdr:col>4</xdr:col>
                    <xdr:colOff>285750</xdr:colOff>
                    <xdr:row>45</xdr:row>
                    <xdr:rowOff>19050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28575</xdr:colOff>
                    <xdr:row>14</xdr:row>
                    <xdr:rowOff>19050</xdr:rowOff>
                  </from>
                  <to>
                    <xdr:col>2</xdr:col>
                    <xdr:colOff>0</xdr:colOff>
                    <xdr:row>14</xdr:row>
                    <xdr:rowOff>419100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38100</xdr:colOff>
                    <xdr:row>14</xdr:row>
                    <xdr:rowOff>19050</xdr:rowOff>
                  </from>
                  <to>
                    <xdr:col>2</xdr:col>
                    <xdr:colOff>952500</xdr:colOff>
                    <xdr:row>14</xdr:row>
                    <xdr:rowOff>419100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19050</xdr:colOff>
                    <xdr:row>15</xdr:row>
                    <xdr:rowOff>209550</xdr:rowOff>
                  </from>
                  <to>
                    <xdr:col>2</xdr:col>
                    <xdr:colOff>0</xdr:colOff>
                    <xdr:row>16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8"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7" id="{91BB2B95-AE33-49E0-9817-F54C46DD482A}">
            <xm:f>IF(OR(Setup!$I$13="Yes",Setup!$I$15="Yes"),FALSE,TRUE)</xm:f>
            <x14:dxf>
              <font>
                <color theme="0"/>
              </font>
              <border>
                <left/>
                <right/>
                <top/>
                <bottom/>
                <vertical/>
                <horizontal/>
              </border>
            </x14:dxf>
          </x14:cfRule>
          <xm:sqref>B17</xm:sqref>
        </x14:conditionalFormatting>
        <x14:conditionalFormatting xmlns:xm="http://schemas.microsoft.com/office/excel/2006/main">
          <x14:cfRule type="expression" priority="4" id="{BEB16611-1774-40E6-B674-07AEDE8F0DB5}">
            <xm:f>IF(OR(Setup!$I$13="Yes",Setup!$I$15="Yes"),FALSE,TRUE)</xm:f>
            <x14:dxf>
              <font>
                <color theme="0"/>
              </font>
              <border>
                <left/>
                <right/>
                <top/>
                <bottom/>
                <vertical/>
                <horizontal/>
              </border>
            </x14:dxf>
          </x14:cfRule>
          <xm:sqref>B20:G21</xm:sqref>
        </x14:conditionalFormatting>
        <x14:conditionalFormatting xmlns:xm="http://schemas.microsoft.com/office/excel/2006/main">
          <x14:cfRule type="expression" priority="3" id="{015F9863-B18A-44F1-BC9B-AC481DE2468D}">
            <xm:f>IF(Capacity!$C$12&lt;&gt;"[Not Saved]",TRUE,FALSE)</xm:f>
            <x14:dxf>
              <font>
                <b val="0"/>
                <i val="0"/>
                <color auto="1"/>
              </font>
              <fill>
                <patternFill>
                  <bgColor theme="0" tint="-0.14996795556505021"/>
                </patternFill>
              </fill>
            </x14:dxf>
          </x14:cfRule>
          <xm:sqref>E4</xm:sqref>
        </x14:conditionalFormatting>
        <x14:conditionalFormatting xmlns:xm="http://schemas.microsoft.com/office/excel/2006/main">
          <x14:cfRule type="expression" priority="1" id="{29957F7C-FD55-4331-B430-1A801BC613AC}">
            <xm:f>IF(Capacity!$C$12="[Not Saved]",TRUE,FALSE)</xm:f>
            <x14:dxf>
              <font>
                <color theme="0"/>
              </font>
              <fill>
                <patternFill patternType="none">
                  <bgColor auto="1"/>
                </patternFill>
              </fill>
            </x14:dxf>
          </x14:cfRule>
          <xm:sqref>E2:E3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40" workbookViewId="0">
      <selection activeCell="B55" sqref="B55"/>
    </sheetView>
  </sheetViews>
  <sheetFormatPr defaultRowHeight="14.25" x14ac:dyDescent="0.2"/>
  <cols>
    <col min="1" max="1" width="32.75" customWidth="1"/>
  </cols>
  <sheetData>
    <row r="28" spans="1:12" x14ac:dyDescent="0.2">
      <c r="A28" t="s">
        <v>885</v>
      </c>
      <c r="J28" t="s">
        <v>938</v>
      </c>
    </row>
    <row r="30" spans="1:12" x14ac:dyDescent="0.2">
      <c r="A30" t="s">
        <v>392</v>
      </c>
      <c r="B30" t="s">
        <v>886</v>
      </c>
      <c r="J30" t="s">
        <v>939</v>
      </c>
      <c r="K30" t="s">
        <v>392</v>
      </c>
      <c r="L30" t="s">
        <v>886</v>
      </c>
    </row>
    <row r="31" spans="1:12" x14ac:dyDescent="0.2">
      <c r="A31" t="s">
        <v>11</v>
      </c>
      <c r="B31" t="s">
        <v>924</v>
      </c>
      <c r="J31" t="s">
        <v>940</v>
      </c>
      <c r="K31" t="s">
        <v>97</v>
      </c>
      <c r="L31" t="s">
        <v>934</v>
      </c>
    </row>
    <row r="32" spans="1:12" x14ac:dyDescent="0.2">
      <c r="A32" t="s">
        <v>51</v>
      </c>
      <c r="B32" t="s">
        <v>887</v>
      </c>
      <c r="J32" t="s">
        <v>942</v>
      </c>
      <c r="K32" t="s">
        <v>389</v>
      </c>
      <c r="L32" t="s">
        <v>935</v>
      </c>
    </row>
    <row r="33" spans="1:12" x14ac:dyDescent="0.2">
      <c r="A33" s="67" t="s">
        <v>51</v>
      </c>
      <c r="B33" t="s">
        <v>888</v>
      </c>
      <c r="J33" t="s">
        <v>941</v>
      </c>
      <c r="K33" t="s">
        <v>391</v>
      </c>
      <c r="L33" t="s">
        <v>936</v>
      </c>
    </row>
    <row r="34" spans="1:12" x14ac:dyDescent="0.2">
      <c r="A34" s="67" t="s">
        <v>51</v>
      </c>
      <c r="B34" t="s">
        <v>889</v>
      </c>
      <c r="J34" t="s">
        <v>943</v>
      </c>
      <c r="K34" t="s">
        <v>391</v>
      </c>
      <c r="L34" t="s">
        <v>937</v>
      </c>
    </row>
    <row r="35" spans="1:12" x14ac:dyDescent="0.2">
      <c r="A35" s="67" t="s">
        <v>51</v>
      </c>
      <c r="B35" t="s">
        <v>890</v>
      </c>
    </row>
    <row r="36" spans="1:12" x14ac:dyDescent="0.2">
      <c r="A36" s="67" t="s">
        <v>51</v>
      </c>
      <c r="B36" t="s">
        <v>891</v>
      </c>
    </row>
    <row r="37" spans="1:12" x14ac:dyDescent="0.2">
      <c r="A37" s="67" t="s">
        <v>51</v>
      </c>
      <c r="B37" t="s">
        <v>892</v>
      </c>
    </row>
    <row r="38" spans="1:12" x14ac:dyDescent="0.2">
      <c r="A38" s="67" t="s">
        <v>51</v>
      </c>
      <c r="B38" t="s">
        <v>893</v>
      </c>
    </row>
    <row r="39" spans="1:12" x14ac:dyDescent="0.2">
      <c r="A39" s="67" t="s">
        <v>51</v>
      </c>
      <c r="B39" t="s">
        <v>894</v>
      </c>
    </row>
    <row r="40" spans="1:12" x14ac:dyDescent="0.2">
      <c r="A40" t="s">
        <v>51</v>
      </c>
      <c r="B40" t="s">
        <v>895</v>
      </c>
    </row>
    <row r="41" spans="1:12" x14ac:dyDescent="0.2">
      <c r="A41" t="s">
        <v>51</v>
      </c>
      <c r="B41" t="s">
        <v>896</v>
      </c>
    </row>
    <row r="42" spans="1:12" x14ac:dyDescent="0.2">
      <c r="A42" t="s">
        <v>97</v>
      </c>
      <c r="B42" t="s">
        <v>897</v>
      </c>
    </row>
    <row r="43" spans="1:12" x14ac:dyDescent="0.2">
      <c r="A43" t="s">
        <v>899</v>
      </c>
      <c r="B43" t="s">
        <v>1172</v>
      </c>
    </row>
    <row r="44" spans="1:12" x14ac:dyDescent="0.2">
      <c r="A44" t="s">
        <v>388</v>
      </c>
      <c r="B44" t="s">
        <v>900</v>
      </c>
    </row>
    <row r="45" spans="1:12" x14ac:dyDescent="0.2">
      <c r="A45" t="s">
        <v>388</v>
      </c>
      <c r="B45" t="s">
        <v>901</v>
      </c>
    </row>
    <row r="46" spans="1:12" x14ac:dyDescent="0.2">
      <c r="A46" t="s">
        <v>388</v>
      </c>
      <c r="B46" t="s">
        <v>385</v>
      </c>
    </row>
    <row r="47" spans="1:12" x14ac:dyDescent="0.2">
      <c r="A47" t="s">
        <v>388</v>
      </c>
      <c r="B47" t="s">
        <v>902</v>
      </c>
    </row>
    <row r="48" spans="1:12" x14ac:dyDescent="0.2">
      <c r="A48" t="s">
        <v>388</v>
      </c>
      <c r="B48" t="s">
        <v>903</v>
      </c>
    </row>
    <row r="49" spans="1:2" x14ac:dyDescent="0.2">
      <c r="A49" t="s">
        <v>389</v>
      </c>
      <c r="B49" t="s">
        <v>897</v>
      </c>
    </row>
    <row r="50" spans="1:2" x14ac:dyDescent="0.2">
      <c r="A50" t="s">
        <v>389</v>
      </c>
      <c r="B50" t="s">
        <v>904</v>
      </c>
    </row>
    <row r="51" spans="1:2" x14ac:dyDescent="0.2">
      <c r="A51" t="s">
        <v>390</v>
      </c>
      <c r="B51" t="s">
        <v>905</v>
      </c>
    </row>
    <row r="52" spans="1:2" x14ac:dyDescent="0.2">
      <c r="A52" t="s">
        <v>390</v>
      </c>
      <c r="B52" t="s">
        <v>906</v>
      </c>
    </row>
    <row r="53" spans="1:2" x14ac:dyDescent="0.2">
      <c r="A53" t="s">
        <v>907</v>
      </c>
      <c r="B53" t="s">
        <v>908</v>
      </c>
    </row>
    <row r="54" spans="1:2" x14ac:dyDescent="0.2">
      <c r="A54" t="s">
        <v>909</v>
      </c>
      <c r="B54" t="s">
        <v>910</v>
      </c>
    </row>
    <row r="55" spans="1:2" x14ac:dyDescent="0.2">
      <c r="A55" t="s">
        <v>391</v>
      </c>
      <c r="B55" t="s">
        <v>911</v>
      </c>
    </row>
    <row r="56" spans="1:2" x14ac:dyDescent="0.2">
      <c r="A56" t="s">
        <v>477</v>
      </c>
      <c r="B56" t="s">
        <v>905</v>
      </c>
    </row>
    <row r="57" spans="1:2" x14ac:dyDescent="0.2">
      <c r="A57" s="67" t="s">
        <v>477</v>
      </c>
      <c r="B57" t="s">
        <v>911</v>
      </c>
    </row>
    <row r="58" spans="1:2" x14ac:dyDescent="0.2">
      <c r="A58" s="67" t="s">
        <v>477</v>
      </c>
      <c r="B58" t="s">
        <v>912</v>
      </c>
    </row>
    <row r="59" spans="1:2" x14ac:dyDescent="0.2">
      <c r="A59" s="67" t="s">
        <v>477</v>
      </c>
      <c r="B59" t="s">
        <v>913</v>
      </c>
    </row>
    <row r="60" spans="1:2" x14ac:dyDescent="0.2">
      <c r="A60" t="s">
        <v>477</v>
      </c>
      <c r="B60" t="s">
        <v>1237</v>
      </c>
    </row>
    <row r="61" spans="1:2" x14ac:dyDescent="0.2">
      <c r="A61" t="s">
        <v>914</v>
      </c>
      <c r="B61" t="s">
        <v>915</v>
      </c>
    </row>
    <row r="62" spans="1:2" x14ac:dyDescent="0.2">
      <c r="A62" t="s">
        <v>914</v>
      </c>
      <c r="B62" t="s">
        <v>916</v>
      </c>
    </row>
    <row r="63" spans="1:2" x14ac:dyDescent="0.2">
      <c r="A63" t="s">
        <v>914</v>
      </c>
      <c r="B63" t="s">
        <v>917</v>
      </c>
    </row>
    <row r="64" spans="1:2" x14ac:dyDescent="0.2">
      <c r="A64" t="s">
        <v>249</v>
      </c>
      <c r="B64" t="s">
        <v>918</v>
      </c>
    </row>
    <row r="65" spans="1:8" x14ac:dyDescent="0.2">
      <c r="A65" t="s">
        <v>510</v>
      </c>
      <c r="B65" t="s">
        <v>922</v>
      </c>
    </row>
    <row r="66" spans="1:8" x14ac:dyDescent="0.2">
      <c r="A66" t="s">
        <v>510</v>
      </c>
      <c r="B66" t="s">
        <v>923</v>
      </c>
    </row>
    <row r="67" spans="1:8" x14ac:dyDescent="0.2">
      <c r="A67" t="s">
        <v>510</v>
      </c>
      <c r="B67" t="s">
        <v>919</v>
      </c>
    </row>
    <row r="68" spans="1:8" x14ac:dyDescent="0.2">
      <c r="A68" t="s">
        <v>510</v>
      </c>
      <c r="B68" t="s">
        <v>920</v>
      </c>
    </row>
    <row r="69" spans="1:8" x14ac:dyDescent="0.2">
      <c r="A69" s="67" t="s">
        <v>510</v>
      </c>
      <c r="B69" t="s">
        <v>921</v>
      </c>
    </row>
    <row r="71" spans="1:8" x14ac:dyDescent="0.2">
      <c r="G71" s="291"/>
    </row>
    <row r="73" spans="1:8" x14ac:dyDescent="0.2">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16" workbookViewId="0">
      <selection activeCell="I15" sqref="I15:I67"/>
    </sheetView>
  </sheetViews>
  <sheetFormatPr defaultRowHeight="14.25" x14ac:dyDescent="0.2"/>
  <cols>
    <col min="1" max="1" width="12.25" style="67" customWidth="1"/>
    <col min="3" max="3" width="9" style="67"/>
    <col min="5" max="5" width="9.75" bestFit="1" customWidth="1"/>
    <col min="7" max="7" width="18.5" bestFit="1" customWidth="1"/>
    <col min="8" max="8" width="15.625" bestFit="1" customWidth="1"/>
    <col min="11" max="12" width="9.75" style="67" customWidth="1"/>
    <col min="22" max="22" width="9" hidden="1" customWidth="1"/>
  </cols>
  <sheetData>
    <row r="1" spans="1:24" x14ac:dyDescent="0.2">
      <c r="A1" s="67" t="s">
        <v>487</v>
      </c>
      <c r="D1" t="s">
        <v>419</v>
      </c>
    </row>
    <row r="2" spans="1:24" x14ac:dyDescent="0.2">
      <c r="A2" s="82" t="str">
        <f>"Required vs available capacity by week ("&amp;Summary!$C$8&amp;")"&amp;IF(Summary!B15=1," - "&amp;Summary!C15&amp;" Scenario","")</f>
        <v>Required vs available capacity by week (Patients)</v>
      </c>
    </row>
    <row r="3" spans="1:24" x14ac:dyDescent="0.2">
      <c r="E3" t="s">
        <v>244</v>
      </c>
      <c r="F3" t="s">
        <v>245</v>
      </c>
      <c r="H3" t="s">
        <v>250</v>
      </c>
      <c r="J3" t="s">
        <v>876</v>
      </c>
      <c r="L3" s="67" t="s">
        <v>1155</v>
      </c>
    </row>
    <row r="4" spans="1:24" x14ac:dyDescent="0.2">
      <c r="D4" t="s">
        <v>239</v>
      </c>
      <c r="E4">
        <f>IFERROR('SPC background (hide)'!C4,"")</f>
        <v>99</v>
      </c>
      <c r="F4">
        <f ca="1">'SPC background (hide)'!G5+'Summary Calculations (hide)'!E4-1</f>
        <v>1</v>
      </c>
      <c r="H4" t="s">
        <v>75</v>
      </c>
      <c r="I4" s="100" t="e">
        <f ca="1">'Parameters calculator (hide)'!B43</f>
        <v>#N/A</v>
      </c>
      <c r="J4" t="e">
        <f ca="1">IF(Planning!C15="",'Summary Calculations (hide)'!I4,Planning!C15)</f>
        <v>#N/A</v>
      </c>
      <c r="L4" s="67" t="e">
        <f ca="1">(1-J4)*(1-J5+(J6*J7))</f>
        <v>#N/A</v>
      </c>
    </row>
    <row r="5" spans="1:24" x14ac:dyDescent="0.2">
      <c r="D5" t="s">
        <v>240</v>
      </c>
      <c r="E5" t="str">
        <f ca="1">IFERROR('SPC background (hide)'!D6,"")</f>
        <v/>
      </c>
      <c r="F5" t="e">
        <f ca="1">'SPC background (hide)'!H7+'Summary Calculations (hide)'!E5-1</f>
        <v>#VALUE!</v>
      </c>
      <c r="H5" t="s">
        <v>251</v>
      </c>
      <c r="I5" s="100" t="e">
        <f ca="1">'Parameters calculator (hide)'!B44</f>
        <v>#N/A</v>
      </c>
      <c r="J5" s="67" t="e">
        <f ca="1">IF(Planning!C16="",'Summary Calculations (hide)'!I5,Planning!C16)</f>
        <v>#N/A</v>
      </c>
    </row>
    <row r="6" spans="1:24" x14ac:dyDescent="0.2">
      <c r="D6" t="s">
        <v>241</v>
      </c>
      <c r="E6" t="str">
        <f ca="1">IFERROR('SPC background (hide)'!D8,"")</f>
        <v/>
      </c>
      <c r="F6" t="str">
        <f ca="1">IFERROR('SPC background (hide)'!H9-'Summary Calculations (hide)'!E6-1,"")</f>
        <v/>
      </c>
      <c r="H6" t="s">
        <v>99</v>
      </c>
      <c r="I6" s="100" t="e">
        <f ca="1">'Parameters calculator (hide)'!B45</f>
        <v>#N/A</v>
      </c>
      <c r="J6" s="67" t="e">
        <f ca="1">IF(Planning!C17="",'Summary Calculations (hide)'!I6,Planning!C17)</f>
        <v>#N/A</v>
      </c>
    </row>
    <row r="7" spans="1:24" x14ac:dyDescent="0.2">
      <c r="D7" t="s">
        <v>242</v>
      </c>
      <c r="E7" t="str">
        <f ca="1">IFERROR('SPC background (hide)'!D10,"")</f>
        <v/>
      </c>
      <c r="F7" t="str">
        <f ca="1">IFERROR('SPC background (hide)'!H11-'Summary Calculations (hide)'!E7-1,"")</f>
        <v/>
      </c>
      <c r="H7" t="s">
        <v>418</v>
      </c>
      <c r="I7" s="100">
        <f ca="1">'Parameters calculator (hide)'!B47</f>
        <v>1</v>
      </c>
      <c r="J7" s="67">
        <f ca="1">IF(Planning!C18="",'Summary Calculations (hide)'!I7,1-Planning!C18)</f>
        <v>1</v>
      </c>
    </row>
    <row r="9" spans="1:24" x14ac:dyDescent="0.2">
      <c r="H9" t="s">
        <v>422</v>
      </c>
      <c r="I9" s="5">
        <f ca="1">'Demand background (hide)'!BN16</f>
        <v>1</v>
      </c>
    </row>
    <row r="11" spans="1:24" x14ac:dyDescent="0.2">
      <c r="D11" t="s">
        <v>243</v>
      </c>
      <c r="E11" s="87">
        <f ca="1">IF(Summary!$B$13="",'Critical resources (hide)'!B6,Summary!$B$13)</f>
        <v>44508</v>
      </c>
    </row>
    <row r="12" spans="1:24" x14ac:dyDescent="0.2">
      <c r="E12" s="317"/>
      <c r="P12" t="s">
        <v>411</v>
      </c>
      <c r="R12" t="str">
        <f>"Required vs available capacity ("&amp;LOWER(Summary!$C$8)&amp;")"</f>
        <v>Required vs available capacity (patients)</v>
      </c>
      <c r="X12" t="s">
        <v>498</v>
      </c>
    </row>
    <row r="13" spans="1:24" x14ac:dyDescent="0.2">
      <c r="E13" t="s">
        <v>97</v>
      </c>
      <c r="G13" s="62"/>
      <c r="H13" s="62"/>
      <c r="I13" t="s">
        <v>303</v>
      </c>
      <c r="K13" s="67" t="s">
        <v>409</v>
      </c>
      <c r="M13" t="s">
        <v>302</v>
      </c>
      <c r="P13" s="67" t="s">
        <v>303</v>
      </c>
      <c r="Q13" s="67"/>
      <c r="R13" s="67" t="s">
        <v>409</v>
      </c>
      <c r="S13" s="67"/>
      <c r="T13" s="67" t="s">
        <v>302</v>
      </c>
      <c r="U13" s="67"/>
      <c r="X13" t="s">
        <v>156</v>
      </c>
    </row>
    <row r="14" spans="1:24" x14ac:dyDescent="0.2">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
      <c r="A15" s="87">
        <f ca="1">E11-WEEKDAY(E11,3)</f>
        <v>44508</v>
      </c>
      <c r="B15">
        <f ca="1">YEAR(A15)</f>
        <v>2021</v>
      </c>
      <c r="C15" s="67" t="str">
        <f ca="1">TEXT(A15,"MMM")</f>
        <v>Nov</v>
      </c>
      <c r="D15">
        <f t="shared" ref="D15:D46" ca="1" si="0">WEEKNUM(A15,21)</f>
        <v>45</v>
      </c>
      <c r="E15" s="5" t="e">
        <f ca="1">IF(LEFT(Demand!$C$8,1)="H",VLOOKUP($D15,'SPC background (hide)'!$AG$2:$AS$54,12,0),'Demand background (hide)'!X4)</f>
        <v>#N/A</v>
      </c>
      <c r="F15" s="5" t="e">
        <f ca="1">IF(LEFT(Demand!$C$8,1)="H",VLOOKUP($D15,'SPC background (hide)'!$AG$2:$AS$54,13,0),E15*1.1)</f>
        <v>#N/A</v>
      </c>
      <c r="G15" s="5" t="str">
        <f>IF(Setup!$I$15="Yes",VLOOKUP(D15,'SPC background (hide)'!$AG$2:$AT$54,14,0)/IF(Summary!$C$8="Patients",'Summary Calculations (hide)'!$I$9,1),"")</f>
        <v/>
      </c>
      <c r="H15" t="str">
        <f>IF(Setup!$I$13="Yes",'Planned background (hide)'!$V$23/IF(Summary!$C$8="Patients",'Summary Calculations (hide)'!$I$9,1),"")</f>
        <v/>
      </c>
      <c r="I15" s="5">
        <f ca="1">IFERROR(HLOOKUP(A15,'Capacity calculation (hide)'!$BK$1:$DK$4,4,0),Capacity!$I$15)</f>
        <v>0</v>
      </c>
      <c r="J15" s="5">
        <f ca="1">HLOOKUP(D15,'Capacity calculation (hide)'!$BK$110:$DK$111,2,0)</f>
        <v>0</v>
      </c>
      <c r="K15" s="5">
        <f ca="1">IF(I15-IF(AND(Setup!$I$15="Yes",OR('Demand adjustments for Covid'!$F$9="No",'Demand adjustments for Covid'!$F$20="No")),$G15,0)-IF(Setup!$I$13="Yes",$H15,0)&lt;0,0,I15-IF(AND(Setup!$I$15="Yes",OR('Demand adjustments for Covid'!$F$9="No",'Demand adjustments for Covid'!$F$20="No")),$G15,0)-IF(Setup!$I$13="Yes",$H15,0))</f>
        <v>0</v>
      </c>
      <c r="L15" s="5">
        <f ca="1">J15</f>
        <v>0</v>
      </c>
      <c r="M15" s="5" t="e">
        <f ca="1">(IF('Demand adjustments for Covid'!$F$9="No",E15,SUM('Demand background (hide)'!DS4,'Demand background (hide)'!DV4:DW4))*(1-'Parameters calculator (hide)'!$B$43))*(1-'Parameters calculator (hide)'!$B$44+('Parameters calculator (hide)'!$B$45*'Parameters calculator (hide)'!$B$47))</f>
        <v>#N/A</v>
      </c>
      <c r="N15" s="5" t="e">
        <f ca="1">(IF('Demand adjustments for Covid'!$F$9="No",F15,SUM('Demand background (hide)'!DT4,'Demand background (hide)'!DV4:DW4))*(1-'Parameters calculator (hide)'!$B$43))*(1-'Parameters calculator (hide)'!$B$44+('Parameters calculator (hide)'!$B$45*'Parameters calculator (hide)'!$B$47))</f>
        <v>#N/A</v>
      </c>
      <c r="P15" s="5">
        <f ca="1">I15</f>
        <v>0</v>
      </c>
      <c r="Q15" s="5">
        <f ca="1">J15</f>
        <v>0</v>
      </c>
      <c r="R15" s="5">
        <f ca="1">IF(P15-V15&lt;0,0,P15-V15)</f>
        <v>0</v>
      </c>
      <c r="S15" s="5">
        <f ca="1">IF(R15=0,IF(P15+Q15-V15&lt;0,0,P15+Q15-V15),Q15)</f>
        <v>0</v>
      </c>
      <c r="T15" s="5" t="e">
        <f ca="1">M15/IF(Summary!$C$8&lt;&gt;"Patients",1,$I$9)</f>
        <v>#N/A</v>
      </c>
      <c r="U15" s="5" t="e">
        <f ca="1">((N15-M15)/IF(Summary!$C$8&lt;&gt;"Patients",1,$I$9))</f>
        <v>#N/A</v>
      </c>
      <c r="V15" s="5">
        <f>SUM(G15:H15)</f>
        <v>0</v>
      </c>
      <c r="X15" s="5" t="e">
        <f ca="1">(VLOOKUP(D15,'SPC background (hide)'!$AG$2:$AN$54,8,0)/IF(Summary!$C$8&lt;&gt;"Patients",1,$I$9))*(1-$I$4)*(1-$I$5+($I$6*$I$7))</f>
        <v>#N/A</v>
      </c>
    </row>
    <row r="16" spans="1:24" x14ac:dyDescent="0.2">
      <c r="A16" s="87">
        <f ca="1">A15+7</f>
        <v>44515</v>
      </c>
      <c r="B16" s="67" t="str">
        <f t="shared" ref="B16:B47" ca="1" si="1">IF(YEAR(A16)&lt;&gt;YEAR(A15),YEAR(A16),"")</f>
        <v/>
      </c>
      <c r="C16" s="67" t="str">
        <f t="shared" ref="C16:C47" ca="1" si="2">IF(TEXT(A16,"MMM")&lt;&gt;TEXT(A15,"MMM"),TEXT(A16,"MMM"),"")</f>
        <v/>
      </c>
      <c r="D16" s="67">
        <f t="shared" ca="1" si="0"/>
        <v>46</v>
      </c>
      <c r="E16" s="5" t="e">
        <f ca="1">IF(LEFT(Demand!$C$8,1)="H",VLOOKUP($D16,'SPC background (hide)'!$AG$2:$AS$54,12,0),'Demand background (hide)'!X5)</f>
        <v>#N/A</v>
      </c>
      <c r="F16" s="5" t="e">
        <f ca="1">IF(LEFT(Demand!$C$8,1)="H",VLOOKUP($D16,'SPC background (hide)'!$AG$2:$AS$54,13,0),E16*1.1)</f>
        <v>#N/A</v>
      </c>
      <c r="G16" s="5" t="str">
        <f>IF(Setup!$I$15="Yes",VLOOKUP(D16,'SPC background (hide)'!$AG$2:$AT$54,14,0)/IF(Summary!$C$8="Patients",'Summary Calculations (hide)'!$I$9,1),"")</f>
        <v/>
      </c>
      <c r="H16" s="67" t="str">
        <f>IF(Setup!$I$13="Yes",'Planned background (hide)'!$V$23/IF(Summary!$C$8="Patients",'Summary Calculations (hide)'!$I$9,1),"")</f>
        <v/>
      </c>
      <c r="I16" s="5">
        <f ca="1">IFERROR(HLOOKUP(A16,'Capacity calculation (hide)'!$BK$1:$DK$4,4,0),Capacity!$I$15)</f>
        <v>0</v>
      </c>
      <c r="J16" s="5">
        <f ca="1">HLOOKUP(D16,'Capacity calculation (hide)'!$BK$110:$DK$111,2,0)</f>
        <v>0</v>
      </c>
      <c r="K16" s="5">
        <f ca="1">IF(I16-IF(Setup!$I$15="Yes",$G16,0)-IF(Setup!$I$13="Yes",$H16,0)&lt;0,0,I16-IF(Setup!$I$15="Yes",$G16,0)-IF(Setup!$I$13="Yes",$H16,0))</f>
        <v>0</v>
      </c>
      <c r="L16" s="5">
        <f t="shared" ref="L16:L66" ca="1" si="3">J16</f>
        <v>0</v>
      </c>
      <c r="M16" s="5" t="e">
        <f ca="1">(IF('Demand adjustments for Covid'!$F$9="No",E16,SUM('Demand background (hide)'!DS5,'Demand background (hide)'!DV5:DW5))*(1-'Parameters calculator (hide)'!$B$43))*(1-'Parameters calculator (hide)'!$B$44+('Parameters calculator (hide)'!$B$45*'Parameters calculator (hide)'!$B$47))</f>
        <v>#N/A</v>
      </c>
      <c r="N16" s="5" t="e">
        <f ca="1">(IF('Demand adjustments for Covid'!$F$9="No",F16,SUM('Demand background (hide)'!DT5,'Demand background (hide)'!DV5:DW5))*(1-'Parameters calculator (hide)'!$B$43))*(1-'Parameters calculator (hide)'!$B$44+('Parameters calculator (hide)'!$B$45*'Parameters calculator (hide)'!$B$47))</f>
        <v>#N/A</v>
      </c>
      <c r="P16" s="5">
        <f t="shared" ref="P16:P66" ca="1" si="4">I16</f>
        <v>0</v>
      </c>
      <c r="Q16" s="5">
        <f t="shared" ref="Q16:Q66" ca="1" si="5">J16</f>
        <v>0</v>
      </c>
      <c r="R16" s="5">
        <f t="shared" ref="R16:R66" ca="1" si="6">IF(P16-V16&lt;0,0,P16-V16)</f>
        <v>0</v>
      </c>
      <c r="S16" s="5">
        <f t="shared" ref="S16:S66" ca="1" si="7">IF(R16=0,IF(P16+Q16-V16&lt;0,0,P16+Q16-V16),Q16)</f>
        <v>0</v>
      </c>
      <c r="T16" s="5" t="e">
        <f ca="1">M16/IF(Summary!$C$8&lt;&gt;"Patients",1,$I$9)</f>
        <v>#N/A</v>
      </c>
      <c r="U16" s="5" t="e">
        <f ca="1">((N16-M16)/IF(Summary!$C$8&lt;&gt;"Patients",1,$I$9))</f>
        <v>#N/A</v>
      </c>
      <c r="V16" s="5">
        <f t="shared" ref="V16:V66" si="8">SUM(G16:H16)</f>
        <v>0</v>
      </c>
      <c r="X16" s="5" t="e">
        <f ca="1">(VLOOKUP(D16,'SPC background (hide)'!$AG$2:$AN$54,8,0)/IF(Summary!$C$8&lt;&gt;"Patients",1,$I$9))*(1-$I$4)*(1-$I$5+($I$6*$I$7))</f>
        <v>#N/A</v>
      </c>
    </row>
    <row r="17" spans="1:24" x14ac:dyDescent="0.2">
      <c r="A17" s="87">
        <f t="shared" ref="A17:A67" ca="1" si="9">A16+7</f>
        <v>44522</v>
      </c>
      <c r="B17" s="67" t="str">
        <f t="shared" ca="1" si="1"/>
        <v/>
      </c>
      <c r="C17" s="67" t="str">
        <f t="shared" ca="1" si="2"/>
        <v/>
      </c>
      <c r="D17" s="67">
        <f t="shared" ca="1" si="0"/>
        <v>47</v>
      </c>
      <c r="E17" s="5" t="e">
        <f ca="1">IF(LEFT(Demand!$C$8,1)="H",VLOOKUP($D17,'SPC background (hide)'!$AG$2:$AS$54,12,0),'Demand background (hide)'!X6)</f>
        <v>#N/A</v>
      </c>
      <c r="F17" s="5" t="e">
        <f ca="1">IF(LEFT(Demand!$C$8,1)="H",VLOOKUP($D17,'SPC background (hide)'!$AG$2:$AS$54,13,0),E17*1.1)</f>
        <v>#N/A</v>
      </c>
      <c r="G17" s="5" t="str">
        <f>IF(Setup!$I$15="Yes",VLOOKUP(D17,'SPC background (hide)'!$AG$2:$AT$54,14,0)/IF(Summary!$C$8="Patients",'Summary Calculations (hide)'!$I$9,1),"")</f>
        <v/>
      </c>
      <c r="H17" s="67" t="str">
        <f>IF(Setup!$I$13="Yes",'Planned background (hide)'!$V$23/IF(Summary!$C$8="Patients",'Summary Calculations (hide)'!$I$9,1),"")</f>
        <v/>
      </c>
      <c r="I17" s="5">
        <f ca="1">IFERROR(HLOOKUP(A17,'Capacity calculation (hide)'!$BK$1:$DK$4,4,0),Capacity!$I$15)</f>
        <v>0</v>
      </c>
      <c r="J17" s="5">
        <f ca="1">HLOOKUP(D17,'Capacity calculation (hide)'!$BK$110:$DK$111,2,0)</f>
        <v>0</v>
      </c>
      <c r="K17" s="5">
        <f ca="1">IF(I17-IF(Setup!$I$15="Yes",$G17,0)-IF(Setup!$I$13="Yes",$H17,0)&lt;0,0,I17-IF(Setup!$I$15="Yes",$G17,0)-IF(Setup!$I$13="Yes",$H17,0))</f>
        <v>0</v>
      </c>
      <c r="L17" s="5">
        <f t="shared" ca="1" si="3"/>
        <v>0</v>
      </c>
      <c r="M17" s="5" t="e">
        <f ca="1">(IF('Demand adjustments for Covid'!$F$9="No",E17,SUM('Demand background (hide)'!DS6,'Demand background (hide)'!DV6:DW6))*(1-'Parameters calculator (hide)'!$B$43))*(1-'Parameters calculator (hide)'!$B$44+('Parameters calculator (hide)'!$B$45*'Parameters calculator (hide)'!$B$47))</f>
        <v>#N/A</v>
      </c>
      <c r="N17" s="5" t="e">
        <f ca="1">(IF('Demand adjustments for Covid'!$F$9="No",F17,SUM('Demand background (hide)'!DT6,'Demand background (hide)'!DV6:DW6))*(1-'Parameters calculator (hide)'!$B$43))*(1-'Parameters calculator (hide)'!$B$44+('Parameters calculator (hide)'!$B$45*'Parameters calculator (hide)'!$B$47))</f>
        <v>#N/A</v>
      </c>
      <c r="P17" s="5">
        <f t="shared" ca="1" si="4"/>
        <v>0</v>
      </c>
      <c r="Q17" s="5">
        <f t="shared" ca="1" si="5"/>
        <v>0</v>
      </c>
      <c r="R17" s="5">
        <f t="shared" ca="1" si="6"/>
        <v>0</v>
      </c>
      <c r="S17" s="5">
        <f t="shared" ca="1" si="7"/>
        <v>0</v>
      </c>
      <c r="T17" s="5" t="e">
        <f ca="1">M17/IF(Summary!$C$8&lt;&gt;"Patients",1,$I$9)</f>
        <v>#N/A</v>
      </c>
      <c r="U17" s="5" t="e">
        <f ca="1">((N17-M17)/IF(Summary!$C$8&lt;&gt;"Patients",1,$I$9))</f>
        <v>#N/A</v>
      </c>
      <c r="V17" s="5">
        <f t="shared" si="8"/>
        <v>0</v>
      </c>
      <c r="X17" s="5" t="e">
        <f ca="1">(VLOOKUP(D17,'SPC background (hide)'!$AG$2:$AN$54,8,0)/IF(Summary!$C$8&lt;&gt;"Patients",1,$I$9))*(1-$I$4)*(1-$I$5+($I$6*$I$7))</f>
        <v>#N/A</v>
      </c>
    </row>
    <row r="18" spans="1:24" x14ac:dyDescent="0.2">
      <c r="A18" s="87">
        <f t="shared" ca="1" si="9"/>
        <v>44529</v>
      </c>
      <c r="B18" s="67" t="str">
        <f t="shared" ca="1" si="1"/>
        <v/>
      </c>
      <c r="C18" s="67" t="str">
        <f t="shared" ca="1" si="2"/>
        <v/>
      </c>
      <c r="D18" s="67">
        <f t="shared" ca="1" si="0"/>
        <v>48</v>
      </c>
      <c r="E18" s="5" t="e">
        <f ca="1">IF(LEFT(Demand!$C$8,1)="H",VLOOKUP($D18,'SPC background (hide)'!$AG$2:$AS$54,12,0),'Demand background (hide)'!X7)</f>
        <v>#N/A</v>
      </c>
      <c r="F18" s="5" t="e">
        <f ca="1">IF(LEFT(Demand!$C$8,1)="H",VLOOKUP($D18,'SPC background (hide)'!$AG$2:$AS$54,13,0),E18*1.1)</f>
        <v>#N/A</v>
      </c>
      <c r="G18" s="5" t="str">
        <f>IF(Setup!$I$15="Yes",VLOOKUP(D18,'SPC background (hide)'!$AG$2:$AT$54,14,0)/IF(Summary!$C$8="Patients",'Summary Calculations (hide)'!$I$9,1),"")</f>
        <v/>
      </c>
      <c r="H18" s="67" t="str">
        <f>IF(Setup!$I$13="Yes",'Planned background (hide)'!$V$23/IF(Summary!$C$8="Patients",'Summary Calculations (hide)'!$I$9,1),"")</f>
        <v/>
      </c>
      <c r="I18" s="5">
        <f ca="1">IFERROR(HLOOKUP(A18,'Capacity calculation (hide)'!$BK$1:$DK$4,4,0),Capacity!$I$15)</f>
        <v>0</v>
      </c>
      <c r="J18" s="5">
        <f ca="1">HLOOKUP(D18,'Capacity calculation (hide)'!$BK$110:$DK$111,2,0)</f>
        <v>0</v>
      </c>
      <c r="K18" s="5">
        <f ca="1">IF(I18-IF(Setup!$I$15="Yes",$G18,0)-IF(Setup!$I$13="Yes",$H18,0)&lt;0,0,I18-IF(Setup!$I$15="Yes",$G18,0)-IF(Setup!$I$13="Yes",$H18,0))</f>
        <v>0</v>
      </c>
      <c r="L18" s="5">
        <f t="shared" ca="1" si="3"/>
        <v>0</v>
      </c>
      <c r="M18" s="5" t="e">
        <f ca="1">(IF('Demand adjustments for Covid'!$F$9="No",E18,SUM('Demand background (hide)'!DS7,'Demand background (hide)'!DV7:DW7))*(1-'Parameters calculator (hide)'!$B$43))*(1-'Parameters calculator (hide)'!$B$44+('Parameters calculator (hide)'!$B$45*'Parameters calculator (hide)'!$B$47))</f>
        <v>#N/A</v>
      </c>
      <c r="N18" s="5" t="e">
        <f ca="1">(IF('Demand adjustments for Covid'!$F$9="No",F18,SUM('Demand background (hide)'!DT7,'Demand background (hide)'!DV7:DW7))*(1-'Parameters calculator (hide)'!$B$43))*(1-'Parameters calculator (hide)'!$B$44+('Parameters calculator (hide)'!$B$45*'Parameters calculator (hide)'!$B$47))</f>
        <v>#N/A</v>
      </c>
      <c r="P18" s="5">
        <f t="shared" ca="1" si="4"/>
        <v>0</v>
      </c>
      <c r="Q18" s="5">
        <f t="shared" ca="1" si="5"/>
        <v>0</v>
      </c>
      <c r="R18" s="5">
        <f t="shared" ca="1" si="6"/>
        <v>0</v>
      </c>
      <c r="S18" s="5">
        <f t="shared" ca="1" si="7"/>
        <v>0</v>
      </c>
      <c r="T18" s="5" t="e">
        <f ca="1">M18/IF(Summary!$C$8&lt;&gt;"Patients",1,$I$9)</f>
        <v>#N/A</v>
      </c>
      <c r="U18" s="5" t="e">
        <f ca="1">((N18-M18)/IF(Summary!$C$8&lt;&gt;"Patients",1,$I$9))</f>
        <v>#N/A</v>
      </c>
      <c r="V18" s="5">
        <f t="shared" si="8"/>
        <v>0</v>
      </c>
      <c r="X18" s="5" t="e">
        <f ca="1">(VLOOKUP(D18,'SPC background (hide)'!$AG$2:$AN$54,8,0)/IF(Summary!$C$8&lt;&gt;"Patients",1,$I$9))*(1-$I$4)*(1-$I$5+($I$6*$I$7))</f>
        <v>#N/A</v>
      </c>
    </row>
    <row r="19" spans="1:24" x14ac:dyDescent="0.2">
      <c r="A19" s="87">
        <f t="shared" ca="1" si="9"/>
        <v>44536</v>
      </c>
      <c r="B19" s="67" t="str">
        <f t="shared" ca="1" si="1"/>
        <v/>
      </c>
      <c r="C19" s="67" t="str">
        <f t="shared" ca="1" si="2"/>
        <v>Dec</v>
      </c>
      <c r="D19" s="67">
        <f t="shared" ca="1" si="0"/>
        <v>49</v>
      </c>
      <c r="E19" s="5" t="e">
        <f ca="1">IF(LEFT(Demand!$C$8,1)="H",VLOOKUP($D19,'SPC background (hide)'!$AG$2:$AS$54,12,0),'Demand background (hide)'!X8)</f>
        <v>#N/A</v>
      </c>
      <c r="F19" s="5" t="e">
        <f ca="1">IF(LEFT(Demand!$C$8,1)="H",VLOOKUP($D19,'SPC background (hide)'!$AG$2:$AS$54,13,0),E19*1.1)</f>
        <v>#N/A</v>
      </c>
      <c r="G19" s="5" t="str">
        <f>IF(Setup!$I$15="Yes",VLOOKUP(D19,'SPC background (hide)'!$AG$2:$AT$54,14,0)/IF(Summary!$C$8="Patients",'Summary Calculations (hide)'!$I$9,1),"")</f>
        <v/>
      </c>
      <c r="H19" s="67" t="str">
        <f>IF(Setup!$I$13="Yes",'Planned background (hide)'!$V$23/IF(Summary!$C$8="Patients",'Summary Calculations (hide)'!$I$9,1),"")</f>
        <v/>
      </c>
      <c r="I19" s="5">
        <f ca="1">IFERROR(HLOOKUP(A19,'Capacity calculation (hide)'!$BK$1:$DK$4,4,0),Capacity!$I$15)</f>
        <v>0</v>
      </c>
      <c r="J19" s="5">
        <f ca="1">HLOOKUP(D19,'Capacity calculation (hide)'!$BK$110:$DK$111,2,0)</f>
        <v>0</v>
      </c>
      <c r="K19" s="5">
        <f ca="1">IF(I19-IF(Setup!$I$15="Yes",$G19,0)-IF(Setup!$I$13="Yes",$H19,0)&lt;0,0,I19-IF(Setup!$I$15="Yes",$G19,0)-IF(Setup!$I$13="Yes",$H19,0))</f>
        <v>0</v>
      </c>
      <c r="L19" s="5">
        <f t="shared" ca="1" si="3"/>
        <v>0</v>
      </c>
      <c r="M19" s="5" t="e">
        <f ca="1">(IF('Demand adjustments for Covid'!$F$9="No",E19,SUM('Demand background (hide)'!DS8,'Demand background (hide)'!DV8:DW8))*(1-'Parameters calculator (hide)'!$B$43))*(1-'Parameters calculator (hide)'!$B$44+('Parameters calculator (hide)'!$B$45*'Parameters calculator (hide)'!$B$47))</f>
        <v>#N/A</v>
      </c>
      <c r="N19" s="5" t="e">
        <f ca="1">(IF('Demand adjustments for Covid'!$F$9="No",F19,SUM('Demand background (hide)'!DT8,'Demand background (hide)'!DV8:DW8))*(1-'Parameters calculator (hide)'!$B$43))*(1-'Parameters calculator (hide)'!$B$44+('Parameters calculator (hide)'!$B$45*'Parameters calculator (hide)'!$B$47))</f>
        <v>#N/A</v>
      </c>
      <c r="P19" s="5">
        <f t="shared" ca="1" si="4"/>
        <v>0</v>
      </c>
      <c r="Q19" s="5">
        <f t="shared" ca="1" si="5"/>
        <v>0</v>
      </c>
      <c r="R19" s="5">
        <f t="shared" ca="1" si="6"/>
        <v>0</v>
      </c>
      <c r="S19" s="5">
        <f t="shared" ca="1" si="7"/>
        <v>0</v>
      </c>
      <c r="T19" s="5" t="e">
        <f ca="1">M19/IF(Summary!$C$8&lt;&gt;"Patients",1,$I$9)</f>
        <v>#N/A</v>
      </c>
      <c r="U19" s="5" t="e">
        <f ca="1">((N19-M19)/IF(Summary!$C$8&lt;&gt;"Patients",1,$I$9))</f>
        <v>#N/A</v>
      </c>
      <c r="V19" s="5">
        <f t="shared" si="8"/>
        <v>0</v>
      </c>
      <c r="X19" s="5" t="e">
        <f ca="1">(VLOOKUP(D19,'SPC background (hide)'!$AG$2:$AN$54,8,0)/IF(Summary!$C$8&lt;&gt;"Patients",1,$I$9))*(1-$I$4)*(1-$I$5+($I$6*$I$7))</f>
        <v>#N/A</v>
      </c>
    </row>
    <row r="20" spans="1:24" x14ac:dyDescent="0.2">
      <c r="A20" s="87">
        <f t="shared" ca="1" si="9"/>
        <v>44543</v>
      </c>
      <c r="B20" s="67" t="str">
        <f t="shared" ca="1" si="1"/>
        <v/>
      </c>
      <c r="C20" s="67" t="str">
        <f t="shared" ca="1" si="2"/>
        <v/>
      </c>
      <c r="D20" s="67">
        <f t="shared" ca="1" si="0"/>
        <v>50</v>
      </c>
      <c r="E20" s="5" t="e">
        <f ca="1">IF(LEFT(Demand!$C$8,1)="H",VLOOKUP($D20,'SPC background (hide)'!$AG$2:$AS$54,12,0),'Demand background (hide)'!X9)</f>
        <v>#N/A</v>
      </c>
      <c r="F20" s="5" t="e">
        <f ca="1">IF(LEFT(Demand!$C$8,1)="H",VLOOKUP($D20,'SPC background (hide)'!$AG$2:$AS$54,13,0),E20*1.1)</f>
        <v>#N/A</v>
      </c>
      <c r="G20" s="5" t="str">
        <f>IF(Setup!$I$15="Yes",VLOOKUP(D20,'SPC background (hide)'!$AG$2:$AT$54,14,0)/IF(Summary!$C$8="Patients",'Summary Calculations (hide)'!$I$9,1),"")</f>
        <v/>
      </c>
      <c r="H20" s="67" t="str">
        <f>IF(Setup!$I$13="Yes",'Planned background (hide)'!$V$23/IF(Summary!$C$8="Patients",'Summary Calculations (hide)'!$I$9,1),"")</f>
        <v/>
      </c>
      <c r="I20" s="5">
        <f ca="1">IFERROR(HLOOKUP(A20,'Capacity calculation (hide)'!$BK$1:$DK$4,4,0),Capacity!$I$15)</f>
        <v>0</v>
      </c>
      <c r="J20" s="5">
        <f ca="1">HLOOKUP(D20,'Capacity calculation (hide)'!$BK$110:$DK$111,2,0)</f>
        <v>0</v>
      </c>
      <c r="K20" s="5">
        <f ca="1">IF(I20-IF(Setup!$I$15="Yes",$G20,0)-IF(Setup!$I$13="Yes",$H20,0)&lt;0,0,I20-IF(Setup!$I$15="Yes",$G20,0)-IF(Setup!$I$13="Yes",$H20,0))</f>
        <v>0</v>
      </c>
      <c r="L20" s="5">
        <f t="shared" ca="1" si="3"/>
        <v>0</v>
      </c>
      <c r="M20" s="5" t="e">
        <f ca="1">(IF('Demand adjustments for Covid'!$F$9="No",E20,SUM('Demand background (hide)'!DS9,'Demand background (hide)'!DV9:DW9))*(1-'Parameters calculator (hide)'!$B$43))*(1-'Parameters calculator (hide)'!$B$44+('Parameters calculator (hide)'!$B$45*'Parameters calculator (hide)'!$B$47))</f>
        <v>#N/A</v>
      </c>
      <c r="N20" s="5" t="e">
        <f ca="1">(IF('Demand adjustments for Covid'!$F$9="No",F20,SUM('Demand background (hide)'!DT9,'Demand background (hide)'!DV9:DW9))*(1-'Parameters calculator (hide)'!$B$43))*(1-'Parameters calculator (hide)'!$B$44+('Parameters calculator (hide)'!$B$45*'Parameters calculator (hide)'!$B$47))</f>
        <v>#N/A</v>
      </c>
      <c r="P20" s="5">
        <f t="shared" ca="1" si="4"/>
        <v>0</v>
      </c>
      <c r="Q20" s="5">
        <f t="shared" ca="1" si="5"/>
        <v>0</v>
      </c>
      <c r="R20" s="5">
        <f t="shared" ca="1" si="6"/>
        <v>0</v>
      </c>
      <c r="S20" s="5">
        <f t="shared" ca="1" si="7"/>
        <v>0</v>
      </c>
      <c r="T20" s="5" t="e">
        <f ca="1">M20/IF(Summary!$C$8&lt;&gt;"Patients",1,$I$9)</f>
        <v>#N/A</v>
      </c>
      <c r="U20" s="5" t="e">
        <f ca="1">((N20-M20)/IF(Summary!$C$8&lt;&gt;"Patients",1,$I$9))</f>
        <v>#N/A</v>
      </c>
      <c r="V20" s="5">
        <f t="shared" si="8"/>
        <v>0</v>
      </c>
      <c r="X20" s="5" t="e">
        <f ca="1">(VLOOKUP(D20,'SPC background (hide)'!$AG$2:$AN$54,8,0)/IF(Summary!$C$8&lt;&gt;"Patients",1,$I$9))*(1-$I$4)*(1-$I$5+($I$6*$I$7))</f>
        <v>#N/A</v>
      </c>
    </row>
    <row r="21" spans="1:24" x14ac:dyDescent="0.2">
      <c r="A21" s="87">
        <f t="shared" ca="1" si="9"/>
        <v>44550</v>
      </c>
      <c r="B21" s="67" t="str">
        <f t="shared" ca="1" si="1"/>
        <v/>
      </c>
      <c r="C21" s="67" t="str">
        <f t="shared" ca="1" si="2"/>
        <v/>
      </c>
      <c r="D21" s="67">
        <f t="shared" ca="1" si="0"/>
        <v>51</v>
      </c>
      <c r="E21" s="5" t="e">
        <f ca="1">IF(LEFT(Demand!$C$8,1)="H",VLOOKUP($D21,'SPC background (hide)'!$AG$2:$AS$54,12,0),'Demand background (hide)'!X10)</f>
        <v>#N/A</v>
      </c>
      <c r="F21" s="5" t="e">
        <f ca="1">IF(LEFT(Demand!$C$8,1)="H",VLOOKUP($D21,'SPC background (hide)'!$AG$2:$AS$54,13,0),E21*1.1)</f>
        <v>#N/A</v>
      </c>
      <c r="G21" s="5" t="str">
        <f>IF(Setup!$I$15="Yes",VLOOKUP(D21,'SPC background (hide)'!$AG$2:$AT$54,14,0)/IF(Summary!$C$8="Patients",'Summary Calculations (hide)'!$I$9,1),"")</f>
        <v/>
      </c>
      <c r="H21" s="67" t="str">
        <f>IF(Setup!$I$13="Yes",'Planned background (hide)'!$V$23/IF(Summary!$C$8="Patients",'Summary Calculations (hide)'!$I$9,1),"")</f>
        <v/>
      </c>
      <c r="I21" s="5">
        <f ca="1">IFERROR(HLOOKUP(A21,'Capacity calculation (hide)'!$BK$1:$DK$4,4,0),Capacity!$I$15)</f>
        <v>0</v>
      </c>
      <c r="J21" s="5">
        <f ca="1">HLOOKUP(D21,'Capacity calculation (hide)'!$BK$110:$DK$111,2,0)</f>
        <v>0</v>
      </c>
      <c r="K21" s="5">
        <f ca="1">IF(I21-IF(Setup!$I$15="Yes",$G21,0)-IF(Setup!$I$13="Yes",$H21,0)&lt;0,0,I21-IF(Setup!$I$15="Yes",$G21,0)-IF(Setup!$I$13="Yes",$H21,0))</f>
        <v>0</v>
      </c>
      <c r="L21" s="5">
        <f t="shared" ca="1" si="3"/>
        <v>0</v>
      </c>
      <c r="M21" s="5" t="e">
        <f ca="1">(IF('Demand adjustments for Covid'!$F$9="No",E21,SUM('Demand background (hide)'!DS10,'Demand background (hide)'!DV10:DW10))*(1-'Parameters calculator (hide)'!$B$43))*(1-'Parameters calculator (hide)'!$B$44+('Parameters calculator (hide)'!$B$45*'Parameters calculator (hide)'!$B$47))</f>
        <v>#N/A</v>
      </c>
      <c r="N21" s="5" t="e">
        <f ca="1">(IF('Demand adjustments for Covid'!$F$9="No",F21,SUM('Demand background (hide)'!DT10,'Demand background (hide)'!DV10:DW10))*(1-'Parameters calculator (hide)'!$B$43))*(1-'Parameters calculator (hide)'!$B$44+('Parameters calculator (hide)'!$B$45*'Parameters calculator (hide)'!$B$47))</f>
        <v>#N/A</v>
      </c>
      <c r="P21" s="5">
        <f t="shared" ca="1" si="4"/>
        <v>0</v>
      </c>
      <c r="Q21" s="5">
        <f t="shared" ca="1" si="5"/>
        <v>0</v>
      </c>
      <c r="R21" s="5">
        <f t="shared" ca="1" si="6"/>
        <v>0</v>
      </c>
      <c r="S21" s="5">
        <f t="shared" ca="1" si="7"/>
        <v>0</v>
      </c>
      <c r="T21" s="5" t="e">
        <f ca="1">M21/IF(Summary!$C$8&lt;&gt;"Patients",1,$I$9)</f>
        <v>#N/A</v>
      </c>
      <c r="U21" s="5" t="e">
        <f ca="1">((N21-M21)/IF(Summary!$C$8&lt;&gt;"Patients",1,$I$9))</f>
        <v>#N/A</v>
      </c>
      <c r="V21" s="5">
        <f t="shared" si="8"/>
        <v>0</v>
      </c>
      <c r="X21" s="5" t="e">
        <f ca="1">(VLOOKUP(D21,'SPC background (hide)'!$AG$2:$AN$54,8,0)/IF(Summary!$C$8&lt;&gt;"Patients",1,$I$9))*(1-$I$4)*(1-$I$5+($I$6*$I$7))</f>
        <v>#N/A</v>
      </c>
    </row>
    <row r="22" spans="1:24" x14ac:dyDescent="0.2">
      <c r="A22" s="87">
        <f t="shared" ca="1" si="9"/>
        <v>44557</v>
      </c>
      <c r="B22" s="67" t="str">
        <f t="shared" ca="1" si="1"/>
        <v/>
      </c>
      <c r="C22" s="67" t="str">
        <f t="shared" ca="1" si="2"/>
        <v/>
      </c>
      <c r="D22" s="67">
        <f t="shared" ca="1" si="0"/>
        <v>52</v>
      </c>
      <c r="E22" s="5" t="e">
        <f ca="1">IF(LEFT(Demand!$C$8,1)="H",VLOOKUP($D22,'SPC background (hide)'!$AG$2:$AS$54,12,0),'Demand background (hide)'!X11)</f>
        <v>#N/A</v>
      </c>
      <c r="F22" s="5" t="e">
        <f ca="1">IF(LEFT(Demand!$C$8,1)="H",VLOOKUP($D22,'SPC background (hide)'!$AG$2:$AS$54,13,0),E22*1.1)</f>
        <v>#N/A</v>
      </c>
      <c r="G22" s="5" t="str">
        <f>IF(Setup!$I$15="Yes",VLOOKUP(D22,'SPC background (hide)'!$AG$2:$AT$54,14,0)/IF(Summary!$C$8="Patients",'Summary Calculations (hide)'!$I$9,1),"")</f>
        <v/>
      </c>
      <c r="H22" s="67" t="str">
        <f>IF(Setup!$I$13="Yes",'Planned background (hide)'!$V$23/IF(Summary!$C$8="Patients",'Summary Calculations (hide)'!$I$9,1),"")</f>
        <v/>
      </c>
      <c r="I22" s="5">
        <f ca="1">IFERROR(HLOOKUP(A22,'Capacity calculation (hide)'!$BK$1:$DK$4,4,0),Capacity!$I$15)</f>
        <v>0</v>
      </c>
      <c r="J22" s="5">
        <f ca="1">HLOOKUP(D22,'Capacity calculation (hide)'!$BK$110:$DK$111,2,0)</f>
        <v>0</v>
      </c>
      <c r="K22" s="5">
        <f ca="1">IF(I22-IF(Setup!$I$15="Yes",$G22,0)-IF(Setup!$I$13="Yes",$H22,0)&lt;0,0,I22-IF(Setup!$I$15="Yes",$G22,0)-IF(Setup!$I$13="Yes",$H22,0))</f>
        <v>0</v>
      </c>
      <c r="L22" s="5">
        <f t="shared" ca="1" si="3"/>
        <v>0</v>
      </c>
      <c r="M22" s="5" t="e">
        <f ca="1">(IF('Demand adjustments for Covid'!$F$9="No",E22,SUM('Demand background (hide)'!DS11,'Demand background (hide)'!DV11:DW11))*(1-'Parameters calculator (hide)'!$B$43))*(1-'Parameters calculator (hide)'!$B$44+('Parameters calculator (hide)'!$B$45*'Parameters calculator (hide)'!$B$47))</f>
        <v>#N/A</v>
      </c>
      <c r="N22" s="5" t="e">
        <f ca="1">(IF('Demand adjustments for Covid'!$F$9="No",F22,SUM('Demand background (hide)'!DT11,'Demand background (hide)'!DV11:DW11))*(1-'Parameters calculator (hide)'!$B$43))*(1-'Parameters calculator (hide)'!$B$44+('Parameters calculator (hide)'!$B$45*'Parameters calculator (hide)'!$B$47))</f>
        <v>#N/A</v>
      </c>
      <c r="P22" s="5">
        <f t="shared" ca="1" si="4"/>
        <v>0</v>
      </c>
      <c r="Q22" s="5">
        <f t="shared" ca="1" si="5"/>
        <v>0</v>
      </c>
      <c r="R22" s="5">
        <f t="shared" ca="1" si="6"/>
        <v>0</v>
      </c>
      <c r="S22" s="5">
        <f t="shared" ca="1" si="7"/>
        <v>0</v>
      </c>
      <c r="T22" s="5" t="e">
        <f ca="1">M22/IF(Summary!$C$8&lt;&gt;"Patients",1,$I$9)</f>
        <v>#N/A</v>
      </c>
      <c r="U22" s="5" t="e">
        <f ca="1">((N22-M22)/IF(Summary!$C$8&lt;&gt;"Patients",1,$I$9))</f>
        <v>#N/A</v>
      </c>
      <c r="V22" s="5">
        <f t="shared" si="8"/>
        <v>0</v>
      </c>
      <c r="X22" s="5" t="e">
        <f ca="1">(VLOOKUP(D22,'SPC background (hide)'!$AG$2:$AN$54,8,0)/IF(Summary!$C$8&lt;&gt;"Patients",1,$I$9))*(1-$I$4)*(1-$I$5+($I$6*$I$7))</f>
        <v>#N/A</v>
      </c>
    </row>
    <row r="23" spans="1:24" x14ac:dyDescent="0.2">
      <c r="A23" s="87">
        <f t="shared" ca="1" si="9"/>
        <v>44564</v>
      </c>
      <c r="B23" s="67">
        <f t="shared" ca="1" si="1"/>
        <v>2022</v>
      </c>
      <c r="C23" s="67" t="str">
        <f t="shared" ca="1" si="2"/>
        <v>Jan</v>
      </c>
      <c r="D23" s="67">
        <f t="shared" ca="1" si="0"/>
        <v>1</v>
      </c>
      <c r="E23" s="5" t="e">
        <f ca="1">IF(LEFT(Demand!$C$8,1)="H",VLOOKUP($D23,'SPC background (hide)'!$AG$2:$AS$54,12,0),'Demand background (hide)'!X12)</f>
        <v>#N/A</v>
      </c>
      <c r="F23" s="5" t="e">
        <f ca="1">IF(LEFT(Demand!$C$8,1)="H",VLOOKUP($D23,'SPC background (hide)'!$AG$2:$AS$54,13,0),E23*1.1)</f>
        <v>#N/A</v>
      </c>
      <c r="G23" s="5" t="str">
        <f>IF(Setup!$I$15="Yes",VLOOKUP(D23,'SPC background (hide)'!$AG$2:$AT$54,14,0)/IF(Summary!$C$8="Patients",'Summary Calculations (hide)'!$I$9,1),"")</f>
        <v/>
      </c>
      <c r="H23" s="67" t="str">
        <f>IF(Setup!$I$13="Yes",'Planned background (hide)'!$V$23/IF(Summary!$C$8="Patients",'Summary Calculations (hide)'!$I$9,1),"")</f>
        <v/>
      </c>
      <c r="I23" s="5">
        <f ca="1">IFERROR(HLOOKUP(A23,'Capacity calculation (hide)'!$BK$1:$DK$4,4,0),Capacity!$I$15)</f>
        <v>0</v>
      </c>
      <c r="J23" s="5">
        <f ca="1">HLOOKUP(D23,'Capacity calculation (hide)'!$BK$110:$DK$111,2,0)</f>
        <v>0</v>
      </c>
      <c r="K23" s="5">
        <f ca="1">IF(I23-IF(Setup!$I$15="Yes",$G23,0)-IF(Setup!$I$13="Yes",$H23,0)&lt;0,0,I23-IF(Setup!$I$15="Yes",$G23,0)-IF(Setup!$I$13="Yes",$H23,0))</f>
        <v>0</v>
      </c>
      <c r="L23" s="5">
        <f t="shared" ca="1" si="3"/>
        <v>0</v>
      </c>
      <c r="M23" s="5" t="e">
        <f ca="1">(IF('Demand adjustments for Covid'!$F$9="No",E23,SUM('Demand background (hide)'!DS12,'Demand background (hide)'!DV12:DW12))*(1-'Parameters calculator (hide)'!$B$43))*(1-'Parameters calculator (hide)'!$B$44+('Parameters calculator (hide)'!$B$45*'Parameters calculator (hide)'!$B$47))</f>
        <v>#N/A</v>
      </c>
      <c r="N23" s="5" t="e">
        <f ca="1">(IF('Demand adjustments for Covid'!$F$9="No",F23,SUM('Demand background (hide)'!DT12,'Demand background (hide)'!DV12:DW12))*(1-'Parameters calculator (hide)'!$B$43))*(1-'Parameters calculator (hide)'!$B$44+('Parameters calculator (hide)'!$B$45*'Parameters calculator (hide)'!$B$47))</f>
        <v>#N/A</v>
      </c>
      <c r="P23" s="5">
        <f t="shared" ca="1" si="4"/>
        <v>0</v>
      </c>
      <c r="Q23" s="5">
        <f t="shared" ca="1" si="5"/>
        <v>0</v>
      </c>
      <c r="R23" s="5">
        <f t="shared" ca="1" si="6"/>
        <v>0</v>
      </c>
      <c r="S23" s="5">
        <f t="shared" ca="1" si="7"/>
        <v>0</v>
      </c>
      <c r="T23" s="5" t="e">
        <f ca="1">M23/IF(Summary!$C$8&lt;&gt;"Patients",1,$I$9)</f>
        <v>#N/A</v>
      </c>
      <c r="U23" s="5" t="e">
        <f ca="1">((N23-M23)/IF(Summary!$C$8&lt;&gt;"Patients",1,$I$9))</f>
        <v>#N/A</v>
      </c>
      <c r="V23" s="5">
        <f t="shared" si="8"/>
        <v>0</v>
      </c>
      <c r="X23" s="5" t="e">
        <f ca="1">(VLOOKUP(D23,'SPC background (hide)'!$AG$2:$AN$54,8,0)/IF(Summary!$C$8&lt;&gt;"Patients",1,$I$9))*(1-$I$4)*(1-$I$5+($I$6*$I$7))</f>
        <v>#N/A</v>
      </c>
    </row>
    <row r="24" spans="1:24" x14ac:dyDescent="0.2">
      <c r="A24" s="87">
        <f t="shared" ca="1" si="9"/>
        <v>44571</v>
      </c>
      <c r="B24" s="67" t="str">
        <f t="shared" ca="1" si="1"/>
        <v/>
      </c>
      <c r="C24" s="67" t="str">
        <f t="shared" ca="1" si="2"/>
        <v/>
      </c>
      <c r="D24" s="67">
        <f t="shared" ca="1" si="0"/>
        <v>2</v>
      </c>
      <c r="E24" s="5" t="e">
        <f ca="1">IF(LEFT(Demand!$C$8,1)="H",VLOOKUP($D24,'SPC background (hide)'!$AG$2:$AS$54,12,0),'Demand background (hide)'!X13)</f>
        <v>#N/A</v>
      </c>
      <c r="F24" s="5" t="e">
        <f ca="1">IF(LEFT(Demand!$C$8,1)="H",VLOOKUP($D24,'SPC background (hide)'!$AG$2:$AS$54,13,0),E24*1.1)</f>
        <v>#N/A</v>
      </c>
      <c r="G24" s="5" t="str">
        <f>IF(Setup!$I$15="Yes",VLOOKUP(D24,'SPC background (hide)'!$AG$2:$AT$54,14,0)/IF(Summary!$C$8="Patients",'Summary Calculations (hide)'!$I$9,1),"")</f>
        <v/>
      </c>
      <c r="H24" s="67" t="str">
        <f>IF(Setup!$I$13="Yes",'Planned background (hide)'!$V$23/IF(Summary!$C$8="Patients",'Summary Calculations (hide)'!$I$9,1),"")</f>
        <v/>
      </c>
      <c r="I24" s="5">
        <f ca="1">IFERROR(HLOOKUP(A24,'Capacity calculation (hide)'!$BK$1:$DK$4,4,0),Capacity!$I$15)</f>
        <v>0</v>
      </c>
      <c r="J24" s="5">
        <f ca="1">HLOOKUP(D24,'Capacity calculation (hide)'!$BK$110:$DK$111,2,0)</f>
        <v>0</v>
      </c>
      <c r="K24" s="5">
        <f ca="1">IF(I24-IF(Setup!$I$15="Yes",$G24,0)-IF(Setup!$I$13="Yes",$H24,0)&lt;0,0,I24-IF(Setup!$I$15="Yes",$G24,0)-IF(Setup!$I$13="Yes",$H24,0))</f>
        <v>0</v>
      </c>
      <c r="L24" s="5">
        <f t="shared" ca="1" si="3"/>
        <v>0</v>
      </c>
      <c r="M24" s="5" t="e">
        <f ca="1">(IF('Demand adjustments for Covid'!$F$9="No",E24,SUM('Demand background (hide)'!DS13,'Demand background (hide)'!DV13:DW13))*(1-'Parameters calculator (hide)'!$B$43))*(1-'Parameters calculator (hide)'!$B$44+('Parameters calculator (hide)'!$B$45*'Parameters calculator (hide)'!$B$47))</f>
        <v>#N/A</v>
      </c>
      <c r="N24" s="5" t="e">
        <f ca="1">(IF('Demand adjustments for Covid'!$F$9="No",F24,SUM('Demand background (hide)'!DT13,'Demand background (hide)'!DV13:DW13))*(1-'Parameters calculator (hide)'!$B$43))*(1-'Parameters calculator (hide)'!$B$44+('Parameters calculator (hide)'!$B$45*'Parameters calculator (hide)'!$B$47))</f>
        <v>#N/A</v>
      </c>
      <c r="P24" s="5">
        <f t="shared" ca="1" si="4"/>
        <v>0</v>
      </c>
      <c r="Q24" s="5">
        <f t="shared" ca="1" si="5"/>
        <v>0</v>
      </c>
      <c r="R24" s="5">
        <f t="shared" ca="1" si="6"/>
        <v>0</v>
      </c>
      <c r="S24" s="5">
        <f t="shared" ca="1" si="7"/>
        <v>0</v>
      </c>
      <c r="T24" s="5" t="e">
        <f ca="1">M24/IF(Summary!$C$8&lt;&gt;"Patients",1,$I$9)</f>
        <v>#N/A</v>
      </c>
      <c r="U24" s="5" t="e">
        <f ca="1">((N24-M24)/IF(Summary!$C$8&lt;&gt;"Patients",1,$I$9))</f>
        <v>#N/A</v>
      </c>
      <c r="V24" s="5">
        <f t="shared" si="8"/>
        <v>0</v>
      </c>
      <c r="X24" s="5" t="e">
        <f ca="1">(VLOOKUP(D24,'SPC background (hide)'!$AG$2:$AN$54,8,0)/IF(Summary!$C$8&lt;&gt;"Patients",1,$I$9))*(1-$I$4)*(1-$I$5+($I$6*$I$7))</f>
        <v>#N/A</v>
      </c>
    </row>
    <row r="25" spans="1:24" x14ac:dyDescent="0.2">
      <c r="A25" s="87">
        <f t="shared" ca="1" si="9"/>
        <v>44578</v>
      </c>
      <c r="B25" s="67" t="str">
        <f t="shared" ca="1" si="1"/>
        <v/>
      </c>
      <c r="C25" s="67" t="str">
        <f t="shared" ca="1" si="2"/>
        <v/>
      </c>
      <c r="D25" s="67">
        <f t="shared" ca="1" si="0"/>
        <v>3</v>
      </c>
      <c r="E25" s="5" t="e">
        <f ca="1">IF(LEFT(Demand!$C$8,1)="H",VLOOKUP($D25,'SPC background (hide)'!$AG$2:$AS$54,12,0),'Demand background (hide)'!X14)</f>
        <v>#N/A</v>
      </c>
      <c r="F25" s="5" t="e">
        <f ca="1">IF(LEFT(Demand!$C$8,1)="H",VLOOKUP($D25,'SPC background (hide)'!$AG$2:$AS$54,13,0),E25*1.1)</f>
        <v>#N/A</v>
      </c>
      <c r="G25" s="5" t="str">
        <f>IF(Setup!$I$15="Yes",VLOOKUP(D25,'SPC background (hide)'!$AG$2:$AT$54,14,0)/IF(Summary!$C$8="Patients",'Summary Calculations (hide)'!$I$9,1),"")</f>
        <v/>
      </c>
      <c r="H25" s="67" t="str">
        <f>IF(Setup!$I$13="Yes",'Planned background (hide)'!$V$23/IF(Summary!$C$8="Patients",'Summary Calculations (hide)'!$I$9,1),"")</f>
        <v/>
      </c>
      <c r="I25" s="5">
        <f ca="1">IFERROR(HLOOKUP(A25,'Capacity calculation (hide)'!$BK$1:$DK$4,4,0),Capacity!$I$15)</f>
        <v>0</v>
      </c>
      <c r="J25" s="5">
        <f ca="1">HLOOKUP(D25,'Capacity calculation (hide)'!$BK$110:$DK$111,2,0)</f>
        <v>0</v>
      </c>
      <c r="K25" s="5">
        <f ca="1">IF(I25-IF(Setup!$I$15="Yes",$G25,0)-IF(Setup!$I$13="Yes",$H25,0)&lt;0,0,I25-IF(Setup!$I$15="Yes",$G25,0)-IF(Setup!$I$13="Yes",$H25,0))</f>
        <v>0</v>
      </c>
      <c r="L25" s="5">
        <f t="shared" ca="1" si="3"/>
        <v>0</v>
      </c>
      <c r="M25" s="5" t="e">
        <f ca="1">(IF('Demand adjustments for Covid'!$F$9="No",E25,SUM('Demand background (hide)'!DS14,'Demand background (hide)'!DV14:DW14))*(1-'Parameters calculator (hide)'!$B$43))*(1-'Parameters calculator (hide)'!$B$44+('Parameters calculator (hide)'!$B$45*'Parameters calculator (hide)'!$B$47))</f>
        <v>#N/A</v>
      </c>
      <c r="N25" s="5" t="e">
        <f ca="1">(IF('Demand adjustments for Covid'!$F$9="No",F25,SUM('Demand background (hide)'!DT14,'Demand background (hide)'!DV14:DW14))*(1-'Parameters calculator (hide)'!$B$43))*(1-'Parameters calculator (hide)'!$B$44+('Parameters calculator (hide)'!$B$45*'Parameters calculator (hide)'!$B$47))</f>
        <v>#N/A</v>
      </c>
      <c r="P25" s="5">
        <f t="shared" ca="1" si="4"/>
        <v>0</v>
      </c>
      <c r="Q25" s="5">
        <f t="shared" ca="1" si="5"/>
        <v>0</v>
      </c>
      <c r="R25" s="5">
        <f t="shared" ca="1" si="6"/>
        <v>0</v>
      </c>
      <c r="S25" s="5">
        <f t="shared" ca="1" si="7"/>
        <v>0</v>
      </c>
      <c r="T25" s="5" t="e">
        <f ca="1">M25/IF(Summary!$C$8&lt;&gt;"Patients",1,$I$9)</f>
        <v>#N/A</v>
      </c>
      <c r="U25" s="5" t="e">
        <f ca="1">((N25-M25)/IF(Summary!$C$8&lt;&gt;"Patients",1,$I$9))</f>
        <v>#N/A</v>
      </c>
      <c r="V25" s="5">
        <f t="shared" si="8"/>
        <v>0</v>
      </c>
      <c r="X25" s="5" t="e">
        <f ca="1">(VLOOKUP(D25,'SPC background (hide)'!$AG$2:$AN$54,8,0)/IF(Summary!$C$8&lt;&gt;"Patients",1,$I$9))*(1-$I$4)*(1-$I$5+($I$6*$I$7))</f>
        <v>#N/A</v>
      </c>
    </row>
    <row r="26" spans="1:24" x14ac:dyDescent="0.2">
      <c r="A26" s="87">
        <f t="shared" ca="1" si="9"/>
        <v>44585</v>
      </c>
      <c r="B26" s="67" t="str">
        <f t="shared" ca="1" si="1"/>
        <v/>
      </c>
      <c r="C26" s="67" t="str">
        <f t="shared" ca="1" si="2"/>
        <v/>
      </c>
      <c r="D26" s="67">
        <f t="shared" ca="1" si="0"/>
        <v>4</v>
      </c>
      <c r="E26" s="5" t="e">
        <f ca="1">IF(LEFT(Demand!$C$8,1)="H",VLOOKUP($D26,'SPC background (hide)'!$AG$2:$AS$54,12,0),'Demand background (hide)'!X15)</f>
        <v>#N/A</v>
      </c>
      <c r="F26" s="5" t="e">
        <f ca="1">IF(LEFT(Demand!$C$8,1)="H",VLOOKUP($D26,'SPC background (hide)'!$AG$2:$AS$54,13,0),E26*1.1)</f>
        <v>#N/A</v>
      </c>
      <c r="G26" s="5" t="str">
        <f>IF(Setup!$I$15="Yes",VLOOKUP(D26,'SPC background (hide)'!$AG$2:$AT$54,14,0)/IF(Summary!$C$8="Patients",'Summary Calculations (hide)'!$I$9,1),"")</f>
        <v/>
      </c>
      <c r="H26" s="67" t="str">
        <f>IF(Setup!$I$13="Yes",'Planned background (hide)'!$V$23/IF(Summary!$C$8="Patients",'Summary Calculations (hide)'!$I$9,1),"")</f>
        <v/>
      </c>
      <c r="I26" s="5">
        <f ca="1">IFERROR(HLOOKUP(A26,'Capacity calculation (hide)'!$BK$1:$DK$4,4,0),Capacity!$I$15)</f>
        <v>0</v>
      </c>
      <c r="J26" s="5">
        <f ca="1">HLOOKUP(D26,'Capacity calculation (hide)'!$BK$110:$DK$111,2,0)</f>
        <v>0</v>
      </c>
      <c r="K26" s="5">
        <f ca="1">IF(I26-IF(Setup!$I$15="Yes",$G26,0)-IF(Setup!$I$13="Yes",$H26,0)&lt;0,0,I26-IF(Setup!$I$15="Yes",$G26,0)-IF(Setup!$I$13="Yes",$H26,0))</f>
        <v>0</v>
      </c>
      <c r="L26" s="5">
        <f t="shared" ca="1" si="3"/>
        <v>0</v>
      </c>
      <c r="M26" s="5" t="e">
        <f ca="1">(IF('Demand adjustments for Covid'!$F$9="No",E26,SUM('Demand background (hide)'!DS15,'Demand background (hide)'!DV15:DW15))*(1-'Parameters calculator (hide)'!$B$43))*(1-'Parameters calculator (hide)'!$B$44+('Parameters calculator (hide)'!$B$45*'Parameters calculator (hide)'!$B$47))</f>
        <v>#N/A</v>
      </c>
      <c r="N26" s="5" t="e">
        <f ca="1">(IF('Demand adjustments for Covid'!$F$9="No",F26,SUM('Demand background (hide)'!DT15,'Demand background (hide)'!DV15:DW15))*(1-'Parameters calculator (hide)'!$B$43))*(1-'Parameters calculator (hide)'!$B$44+('Parameters calculator (hide)'!$B$45*'Parameters calculator (hide)'!$B$47))</f>
        <v>#N/A</v>
      </c>
      <c r="P26" s="5">
        <f t="shared" ca="1" si="4"/>
        <v>0</v>
      </c>
      <c r="Q26" s="5">
        <f t="shared" ca="1" si="5"/>
        <v>0</v>
      </c>
      <c r="R26" s="5">
        <f t="shared" ca="1" si="6"/>
        <v>0</v>
      </c>
      <c r="S26" s="5">
        <f t="shared" ca="1" si="7"/>
        <v>0</v>
      </c>
      <c r="T26" s="5" t="e">
        <f ca="1">M26/IF(Summary!$C$8&lt;&gt;"Patients",1,$I$9)</f>
        <v>#N/A</v>
      </c>
      <c r="U26" s="5" t="e">
        <f ca="1">((N26-M26)/IF(Summary!$C$8&lt;&gt;"Patients",1,$I$9))</f>
        <v>#N/A</v>
      </c>
      <c r="V26" s="5">
        <f t="shared" si="8"/>
        <v>0</v>
      </c>
      <c r="X26" s="5" t="e">
        <f ca="1">(VLOOKUP(D26,'SPC background (hide)'!$AG$2:$AN$54,8,0)/IF(Summary!$C$8&lt;&gt;"Patients",1,$I$9))*(1-$I$4)*(1-$I$5+($I$6*$I$7))</f>
        <v>#N/A</v>
      </c>
    </row>
    <row r="27" spans="1:24" x14ac:dyDescent="0.2">
      <c r="A27" s="87">
        <f t="shared" ca="1" si="9"/>
        <v>44592</v>
      </c>
      <c r="B27" s="67" t="str">
        <f t="shared" ca="1" si="1"/>
        <v/>
      </c>
      <c r="C27" s="67" t="str">
        <f t="shared" ca="1" si="2"/>
        <v/>
      </c>
      <c r="D27" s="67">
        <f t="shared" ca="1" si="0"/>
        <v>5</v>
      </c>
      <c r="E27" s="5" t="e">
        <f ca="1">IF(LEFT(Demand!$C$8,1)="H",VLOOKUP($D27,'SPC background (hide)'!$AG$2:$AS$54,12,0),'Demand background (hide)'!X16)</f>
        <v>#N/A</v>
      </c>
      <c r="F27" s="5" t="e">
        <f ca="1">IF(LEFT(Demand!$C$8,1)="H",VLOOKUP($D27,'SPC background (hide)'!$AG$2:$AS$54,13,0),E27*1.1)</f>
        <v>#N/A</v>
      </c>
      <c r="G27" s="5" t="str">
        <f>IF(Setup!$I$15="Yes",VLOOKUP(D27,'SPC background (hide)'!$AG$2:$AT$54,14,0)/IF(Summary!$C$8="Patients",'Summary Calculations (hide)'!$I$9,1),"")</f>
        <v/>
      </c>
      <c r="H27" s="67" t="str">
        <f>IF(Setup!$I$13="Yes",'Planned background (hide)'!$V$23/IF(Summary!$C$8="Patients",'Summary Calculations (hide)'!$I$9,1),"")</f>
        <v/>
      </c>
      <c r="I27" s="5">
        <f ca="1">IFERROR(HLOOKUP(A27,'Capacity calculation (hide)'!$BK$1:$DK$4,4,0),Capacity!$I$15)</f>
        <v>0</v>
      </c>
      <c r="J27" s="5">
        <f ca="1">HLOOKUP(D27,'Capacity calculation (hide)'!$BK$110:$DK$111,2,0)</f>
        <v>0</v>
      </c>
      <c r="K27" s="5">
        <f ca="1">IF(I27-IF(Setup!$I$15="Yes",$G27,0)-IF(Setup!$I$13="Yes",$H27,0)&lt;0,0,I27-IF(Setup!$I$15="Yes",$G27,0)-IF(Setup!$I$13="Yes",$H27,0))</f>
        <v>0</v>
      </c>
      <c r="L27" s="5">
        <f t="shared" ca="1" si="3"/>
        <v>0</v>
      </c>
      <c r="M27" s="5" t="e">
        <f ca="1">(IF('Demand adjustments for Covid'!$F$9="No",E27,SUM('Demand background (hide)'!DS16,'Demand background (hide)'!DV16:DW16))*(1-'Parameters calculator (hide)'!$B$43))*(1-'Parameters calculator (hide)'!$B$44+('Parameters calculator (hide)'!$B$45*'Parameters calculator (hide)'!$B$47))</f>
        <v>#N/A</v>
      </c>
      <c r="N27" s="5" t="e">
        <f ca="1">(IF('Demand adjustments for Covid'!$F$9="No",F27,SUM('Demand background (hide)'!DT16,'Demand background (hide)'!DV16:DW16))*(1-'Parameters calculator (hide)'!$B$43))*(1-'Parameters calculator (hide)'!$B$44+('Parameters calculator (hide)'!$B$45*'Parameters calculator (hide)'!$B$47))</f>
        <v>#N/A</v>
      </c>
      <c r="P27" s="5">
        <f t="shared" ca="1" si="4"/>
        <v>0</v>
      </c>
      <c r="Q27" s="5">
        <f t="shared" ca="1" si="5"/>
        <v>0</v>
      </c>
      <c r="R27" s="5">
        <f t="shared" ca="1" si="6"/>
        <v>0</v>
      </c>
      <c r="S27" s="5">
        <f t="shared" ca="1" si="7"/>
        <v>0</v>
      </c>
      <c r="T27" s="5" t="e">
        <f ca="1">M27/IF(Summary!$C$8&lt;&gt;"Patients",1,$I$9)</f>
        <v>#N/A</v>
      </c>
      <c r="U27" s="5" t="e">
        <f ca="1">((N27-M27)/IF(Summary!$C$8&lt;&gt;"Patients",1,$I$9))</f>
        <v>#N/A</v>
      </c>
      <c r="V27" s="5">
        <f t="shared" si="8"/>
        <v>0</v>
      </c>
      <c r="X27" s="5" t="e">
        <f ca="1">(VLOOKUP(D27,'SPC background (hide)'!$AG$2:$AN$54,8,0)/IF(Summary!$C$8&lt;&gt;"Patients",1,$I$9))*(1-$I$4)*(1-$I$5+($I$6*$I$7))</f>
        <v>#N/A</v>
      </c>
    </row>
    <row r="28" spans="1:24" x14ac:dyDescent="0.2">
      <c r="A28" s="87">
        <f t="shared" ca="1" si="9"/>
        <v>44599</v>
      </c>
      <c r="B28" s="67" t="str">
        <f t="shared" ca="1" si="1"/>
        <v/>
      </c>
      <c r="C28" s="67" t="str">
        <f t="shared" ca="1" si="2"/>
        <v>Feb</v>
      </c>
      <c r="D28" s="67">
        <f t="shared" ca="1" si="0"/>
        <v>6</v>
      </c>
      <c r="E28" s="5" t="e">
        <f ca="1">IF(LEFT(Demand!$C$8,1)="H",VLOOKUP($D28,'SPC background (hide)'!$AG$2:$AS$54,12,0),'Demand background (hide)'!X17)</f>
        <v>#N/A</v>
      </c>
      <c r="F28" s="5" t="e">
        <f ca="1">IF(LEFT(Demand!$C$8,1)="H",VLOOKUP($D28,'SPC background (hide)'!$AG$2:$AS$54,13,0),E28*1.1)</f>
        <v>#N/A</v>
      </c>
      <c r="G28" s="5" t="str">
        <f>IF(Setup!$I$15="Yes",VLOOKUP(D28,'SPC background (hide)'!$AG$2:$AT$54,14,0)/IF(Summary!$C$8="Patients",'Summary Calculations (hide)'!$I$9,1),"")</f>
        <v/>
      </c>
      <c r="H28" s="67" t="str">
        <f>IF(Setup!$I$13="Yes",'Planned background (hide)'!$V$23/IF(Summary!$C$8="Patients",'Summary Calculations (hide)'!$I$9,1),"")</f>
        <v/>
      </c>
      <c r="I28" s="5">
        <f ca="1">IFERROR(HLOOKUP(A28,'Capacity calculation (hide)'!$BK$1:$DK$4,4,0),Capacity!$I$15)</f>
        <v>0</v>
      </c>
      <c r="J28" s="5">
        <f ca="1">HLOOKUP(D28,'Capacity calculation (hide)'!$BK$110:$DK$111,2,0)</f>
        <v>0</v>
      </c>
      <c r="K28" s="5">
        <f ca="1">IF(I28-IF(Setup!$I$15="Yes",$G28,0)-IF(Setup!$I$13="Yes",$H28,0)&lt;0,0,I28-IF(Setup!$I$15="Yes",$G28,0)-IF(Setup!$I$13="Yes",$H28,0))</f>
        <v>0</v>
      </c>
      <c r="L28" s="5">
        <f t="shared" ca="1" si="3"/>
        <v>0</v>
      </c>
      <c r="M28" s="5" t="e">
        <f ca="1">(IF('Demand adjustments for Covid'!$F$9="No",E28,SUM('Demand background (hide)'!DS17,'Demand background (hide)'!DV17:DW17))*(1-'Parameters calculator (hide)'!$B$43))*(1-'Parameters calculator (hide)'!$B$44+('Parameters calculator (hide)'!$B$45*'Parameters calculator (hide)'!$B$47))</f>
        <v>#N/A</v>
      </c>
      <c r="N28" s="5" t="e">
        <f ca="1">(IF('Demand adjustments for Covid'!$F$9="No",F28,SUM('Demand background (hide)'!DT17,'Demand background (hide)'!DV17:DW17))*(1-'Parameters calculator (hide)'!$B$43))*(1-'Parameters calculator (hide)'!$B$44+('Parameters calculator (hide)'!$B$45*'Parameters calculator (hide)'!$B$47))</f>
        <v>#N/A</v>
      </c>
      <c r="P28" s="5">
        <f t="shared" ca="1" si="4"/>
        <v>0</v>
      </c>
      <c r="Q28" s="5">
        <f t="shared" ca="1" si="5"/>
        <v>0</v>
      </c>
      <c r="R28" s="5">
        <f t="shared" ca="1" si="6"/>
        <v>0</v>
      </c>
      <c r="S28" s="5">
        <f t="shared" ca="1" si="7"/>
        <v>0</v>
      </c>
      <c r="T28" s="5" t="e">
        <f ca="1">M28/IF(Summary!$C$8&lt;&gt;"Patients",1,$I$9)</f>
        <v>#N/A</v>
      </c>
      <c r="U28" s="5" t="e">
        <f ca="1">((N28-M28)/IF(Summary!$C$8&lt;&gt;"Patients",1,$I$9))</f>
        <v>#N/A</v>
      </c>
      <c r="V28" s="5">
        <f t="shared" si="8"/>
        <v>0</v>
      </c>
      <c r="X28" s="5" t="e">
        <f ca="1">(VLOOKUP(D28,'SPC background (hide)'!$AG$2:$AN$54,8,0)/IF(Summary!$C$8&lt;&gt;"Patients",1,$I$9))*(1-$I$4)*(1-$I$5+($I$6*$I$7))</f>
        <v>#N/A</v>
      </c>
    </row>
    <row r="29" spans="1:24" x14ac:dyDescent="0.2">
      <c r="A29" s="87">
        <f t="shared" ca="1" si="9"/>
        <v>44606</v>
      </c>
      <c r="B29" s="67" t="str">
        <f t="shared" ca="1" si="1"/>
        <v/>
      </c>
      <c r="C29" s="67" t="str">
        <f t="shared" ca="1" si="2"/>
        <v/>
      </c>
      <c r="D29" s="67">
        <f t="shared" ca="1" si="0"/>
        <v>7</v>
      </c>
      <c r="E29" s="5" t="e">
        <f ca="1">IF(LEFT(Demand!$C$8,1)="H",VLOOKUP($D29,'SPC background (hide)'!$AG$2:$AS$54,12,0),'Demand background (hide)'!X18)</f>
        <v>#N/A</v>
      </c>
      <c r="F29" s="5" t="e">
        <f ca="1">IF(LEFT(Demand!$C$8,1)="H",VLOOKUP($D29,'SPC background (hide)'!$AG$2:$AS$54,13,0),E29*1.1)</f>
        <v>#N/A</v>
      </c>
      <c r="G29" s="5" t="str">
        <f>IF(Setup!$I$15="Yes",VLOOKUP(D29,'SPC background (hide)'!$AG$2:$AT$54,14,0)/IF(Summary!$C$8="Patients",'Summary Calculations (hide)'!$I$9,1),"")</f>
        <v/>
      </c>
      <c r="H29" s="67" t="str">
        <f>IF(Setup!$I$13="Yes",'Planned background (hide)'!$V$23/IF(Summary!$C$8="Patients",'Summary Calculations (hide)'!$I$9,1),"")</f>
        <v/>
      </c>
      <c r="I29" s="5">
        <f ca="1">IFERROR(HLOOKUP(A29,'Capacity calculation (hide)'!$BK$1:$DK$4,4,0),Capacity!$I$15)</f>
        <v>0</v>
      </c>
      <c r="J29" s="5">
        <f ca="1">HLOOKUP(D29,'Capacity calculation (hide)'!$BK$110:$DK$111,2,0)</f>
        <v>0</v>
      </c>
      <c r="K29" s="5">
        <f ca="1">IF(I29-IF(Setup!$I$15="Yes",$G29,0)-IF(Setup!$I$13="Yes",$H29,0)&lt;0,0,I29-IF(Setup!$I$15="Yes",$G29,0)-IF(Setup!$I$13="Yes",$H29,0))</f>
        <v>0</v>
      </c>
      <c r="L29" s="5">
        <f t="shared" ca="1" si="3"/>
        <v>0</v>
      </c>
      <c r="M29" s="5" t="e">
        <f ca="1">(IF('Demand adjustments for Covid'!$F$9="No",E29,SUM('Demand background (hide)'!DS18,'Demand background (hide)'!DV18:DW18))*(1-'Parameters calculator (hide)'!$B$43))*(1-'Parameters calculator (hide)'!$B$44+('Parameters calculator (hide)'!$B$45*'Parameters calculator (hide)'!$B$47))</f>
        <v>#N/A</v>
      </c>
      <c r="N29" s="5" t="e">
        <f ca="1">(IF('Demand adjustments for Covid'!$F$9="No",F29,SUM('Demand background (hide)'!DT18,'Demand background (hide)'!DV18:DW18))*(1-'Parameters calculator (hide)'!$B$43))*(1-'Parameters calculator (hide)'!$B$44+('Parameters calculator (hide)'!$B$45*'Parameters calculator (hide)'!$B$47))</f>
        <v>#N/A</v>
      </c>
      <c r="P29" s="5">
        <f t="shared" ca="1" si="4"/>
        <v>0</v>
      </c>
      <c r="Q29" s="5">
        <f t="shared" ca="1" si="5"/>
        <v>0</v>
      </c>
      <c r="R29" s="5">
        <f t="shared" ca="1" si="6"/>
        <v>0</v>
      </c>
      <c r="S29" s="5">
        <f t="shared" ca="1" si="7"/>
        <v>0</v>
      </c>
      <c r="T29" s="5" t="e">
        <f ca="1">M29/IF(Summary!$C$8&lt;&gt;"Patients",1,$I$9)</f>
        <v>#N/A</v>
      </c>
      <c r="U29" s="5" t="e">
        <f ca="1">((N29-M29)/IF(Summary!$C$8&lt;&gt;"Patients",1,$I$9))</f>
        <v>#N/A</v>
      </c>
      <c r="V29" s="5">
        <f t="shared" si="8"/>
        <v>0</v>
      </c>
      <c r="X29" s="5" t="e">
        <f ca="1">(VLOOKUP(D29,'SPC background (hide)'!$AG$2:$AN$54,8,0)/IF(Summary!$C$8&lt;&gt;"Patients",1,$I$9))*(1-$I$4)*(1-$I$5+($I$6*$I$7))</f>
        <v>#N/A</v>
      </c>
    </row>
    <row r="30" spans="1:24" x14ac:dyDescent="0.2">
      <c r="A30" s="87">
        <f t="shared" ca="1" si="9"/>
        <v>44613</v>
      </c>
      <c r="B30" s="67" t="str">
        <f t="shared" ca="1" si="1"/>
        <v/>
      </c>
      <c r="C30" s="67" t="str">
        <f t="shared" ca="1" si="2"/>
        <v/>
      </c>
      <c r="D30" s="67">
        <f t="shared" ca="1" si="0"/>
        <v>8</v>
      </c>
      <c r="E30" s="5" t="e">
        <f ca="1">IF(LEFT(Demand!$C$8,1)="H",VLOOKUP($D30,'SPC background (hide)'!$AG$2:$AS$54,12,0),'Demand background (hide)'!X19)</f>
        <v>#N/A</v>
      </c>
      <c r="F30" s="5" t="e">
        <f ca="1">IF(LEFT(Demand!$C$8,1)="H",VLOOKUP($D30,'SPC background (hide)'!$AG$2:$AS$54,13,0),E30*1.1)</f>
        <v>#N/A</v>
      </c>
      <c r="G30" s="5" t="str">
        <f>IF(Setup!$I$15="Yes",VLOOKUP(D30,'SPC background (hide)'!$AG$2:$AT$54,14,0)/IF(Summary!$C$8="Patients",'Summary Calculations (hide)'!$I$9,1),"")</f>
        <v/>
      </c>
      <c r="H30" s="67" t="str">
        <f>IF(Setup!$I$13="Yes",'Planned background (hide)'!$V$23/IF(Summary!$C$8="Patients",'Summary Calculations (hide)'!$I$9,1),"")</f>
        <v/>
      </c>
      <c r="I30" s="5">
        <f ca="1">IFERROR(HLOOKUP(A30,'Capacity calculation (hide)'!$BK$1:$DK$4,4,0),Capacity!$I$15)</f>
        <v>0</v>
      </c>
      <c r="J30" s="5">
        <f ca="1">HLOOKUP(D30,'Capacity calculation (hide)'!$BK$110:$DK$111,2,0)</f>
        <v>0</v>
      </c>
      <c r="K30" s="5">
        <f ca="1">IF(I30-IF(Setup!$I$15="Yes",$G30,0)-IF(Setup!$I$13="Yes",$H30,0)&lt;0,0,I30-IF(Setup!$I$15="Yes",$G30,0)-IF(Setup!$I$13="Yes",$H30,0))</f>
        <v>0</v>
      </c>
      <c r="L30" s="5">
        <f t="shared" ca="1" si="3"/>
        <v>0</v>
      </c>
      <c r="M30" s="5" t="e">
        <f ca="1">(IF('Demand adjustments for Covid'!$F$9="No",E30,SUM('Demand background (hide)'!DS19,'Demand background (hide)'!DV19:DW19))*(1-'Parameters calculator (hide)'!$B$43))*(1-'Parameters calculator (hide)'!$B$44+('Parameters calculator (hide)'!$B$45*'Parameters calculator (hide)'!$B$47))</f>
        <v>#N/A</v>
      </c>
      <c r="N30" s="5" t="e">
        <f ca="1">(IF('Demand adjustments for Covid'!$F$9="No",F30,SUM('Demand background (hide)'!DT19,'Demand background (hide)'!DV19:DW19))*(1-'Parameters calculator (hide)'!$B$43))*(1-'Parameters calculator (hide)'!$B$44+('Parameters calculator (hide)'!$B$45*'Parameters calculator (hide)'!$B$47))</f>
        <v>#N/A</v>
      </c>
      <c r="P30" s="5">
        <f t="shared" ca="1" si="4"/>
        <v>0</v>
      </c>
      <c r="Q30" s="5">
        <f t="shared" ca="1" si="5"/>
        <v>0</v>
      </c>
      <c r="R30" s="5">
        <f t="shared" ca="1" si="6"/>
        <v>0</v>
      </c>
      <c r="S30" s="5">
        <f t="shared" ca="1" si="7"/>
        <v>0</v>
      </c>
      <c r="T30" s="5" t="e">
        <f ca="1">M30/IF(Summary!$C$8&lt;&gt;"Patients",1,$I$9)</f>
        <v>#N/A</v>
      </c>
      <c r="U30" s="5" t="e">
        <f ca="1">((N30-M30)/IF(Summary!$C$8&lt;&gt;"Patients",1,$I$9))</f>
        <v>#N/A</v>
      </c>
      <c r="V30" s="5">
        <f t="shared" si="8"/>
        <v>0</v>
      </c>
      <c r="X30" s="5" t="e">
        <f ca="1">(VLOOKUP(D30,'SPC background (hide)'!$AG$2:$AN$54,8,0)/IF(Summary!$C$8&lt;&gt;"Patients",1,$I$9))*(1-$I$4)*(1-$I$5+($I$6*$I$7))</f>
        <v>#N/A</v>
      </c>
    </row>
    <row r="31" spans="1:24" x14ac:dyDescent="0.2">
      <c r="A31" s="87">
        <f t="shared" ca="1" si="9"/>
        <v>44620</v>
      </c>
      <c r="B31" s="67" t="str">
        <f t="shared" ca="1" si="1"/>
        <v/>
      </c>
      <c r="C31" s="67" t="str">
        <f t="shared" ca="1" si="2"/>
        <v/>
      </c>
      <c r="D31" s="67">
        <f t="shared" ca="1" si="0"/>
        <v>9</v>
      </c>
      <c r="E31" s="5" t="e">
        <f ca="1">IF(LEFT(Demand!$C$8,1)="H",VLOOKUP($D31,'SPC background (hide)'!$AG$2:$AS$54,12,0),'Demand background (hide)'!X20)</f>
        <v>#N/A</v>
      </c>
      <c r="F31" s="5" t="e">
        <f ca="1">IF(LEFT(Demand!$C$8,1)="H",VLOOKUP($D31,'SPC background (hide)'!$AG$2:$AS$54,13,0),E31*1.1)</f>
        <v>#N/A</v>
      </c>
      <c r="G31" s="5" t="str">
        <f>IF(Setup!$I$15="Yes",VLOOKUP(D31,'SPC background (hide)'!$AG$2:$AT$54,14,0)/IF(Summary!$C$8="Patients",'Summary Calculations (hide)'!$I$9,1),"")</f>
        <v/>
      </c>
      <c r="H31" s="67" t="str">
        <f>IF(Setup!$I$13="Yes",'Planned background (hide)'!$V$23/IF(Summary!$C$8="Patients",'Summary Calculations (hide)'!$I$9,1),"")</f>
        <v/>
      </c>
      <c r="I31" s="5">
        <f ca="1">IFERROR(HLOOKUP(A31,'Capacity calculation (hide)'!$BK$1:$DK$4,4,0),Capacity!$I$15)</f>
        <v>0</v>
      </c>
      <c r="J31" s="5">
        <f ca="1">HLOOKUP(D31,'Capacity calculation (hide)'!$BK$110:$DK$111,2,0)</f>
        <v>0</v>
      </c>
      <c r="K31" s="5">
        <f ca="1">IF(I31-IF(Setup!$I$15="Yes",$G31,0)-IF(Setup!$I$13="Yes",$H31,0)&lt;0,0,I31-IF(Setup!$I$15="Yes",$G31,0)-IF(Setup!$I$13="Yes",$H31,0))</f>
        <v>0</v>
      </c>
      <c r="L31" s="5">
        <f t="shared" ca="1" si="3"/>
        <v>0</v>
      </c>
      <c r="M31" s="5" t="e">
        <f ca="1">(IF('Demand adjustments for Covid'!$F$9="No",E31,SUM('Demand background (hide)'!DS20,'Demand background (hide)'!DV20:DW20))*(1-'Parameters calculator (hide)'!$B$43))*(1-'Parameters calculator (hide)'!$B$44+('Parameters calculator (hide)'!$B$45*'Parameters calculator (hide)'!$B$47))</f>
        <v>#N/A</v>
      </c>
      <c r="N31" s="5" t="e">
        <f ca="1">(IF('Demand adjustments for Covid'!$F$9="No",F31,SUM('Demand background (hide)'!DT20,'Demand background (hide)'!DV20:DW20))*(1-'Parameters calculator (hide)'!$B$43))*(1-'Parameters calculator (hide)'!$B$44+('Parameters calculator (hide)'!$B$45*'Parameters calculator (hide)'!$B$47))</f>
        <v>#N/A</v>
      </c>
      <c r="P31" s="5">
        <f t="shared" ca="1" si="4"/>
        <v>0</v>
      </c>
      <c r="Q31" s="5">
        <f t="shared" ca="1" si="5"/>
        <v>0</v>
      </c>
      <c r="R31" s="5">
        <f t="shared" ca="1" si="6"/>
        <v>0</v>
      </c>
      <c r="S31" s="5">
        <f t="shared" ca="1" si="7"/>
        <v>0</v>
      </c>
      <c r="T31" s="5" t="e">
        <f ca="1">M31/IF(Summary!$C$8&lt;&gt;"Patients",1,$I$9)</f>
        <v>#N/A</v>
      </c>
      <c r="U31" s="5" t="e">
        <f ca="1">((N31-M31)/IF(Summary!$C$8&lt;&gt;"Patients",1,$I$9))</f>
        <v>#N/A</v>
      </c>
      <c r="V31" s="5">
        <f t="shared" si="8"/>
        <v>0</v>
      </c>
      <c r="X31" s="5" t="e">
        <f ca="1">(VLOOKUP(D31,'SPC background (hide)'!$AG$2:$AN$54,8,0)/IF(Summary!$C$8&lt;&gt;"Patients",1,$I$9))*(1-$I$4)*(1-$I$5+($I$6*$I$7))</f>
        <v>#N/A</v>
      </c>
    </row>
    <row r="32" spans="1:24" x14ac:dyDescent="0.2">
      <c r="A32" s="87">
        <f t="shared" ca="1" si="9"/>
        <v>44627</v>
      </c>
      <c r="B32" s="67" t="str">
        <f t="shared" ca="1" si="1"/>
        <v/>
      </c>
      <c r="C32" s="67" t="str">
        <f t="shared" ca="1" si="2"/>
        <v>Mar</v>
      </c>
      <c r="D32" s="67">
        <f t="shared" ca="1" si="0"/>
        <v>10</v>
      </c>
      <c r="E32" s="5" t="e">
        <f ca="1">IF(LEFT(Demand!$C$8,1)="H",VLOOKUP($D32,'SPC background (hide)'!$AG$2:$AS$54,12,0),'Demand background (hide)'!X21)</f>
        <v>#N/A</v>
      </c>
      <c r="F32" s="5" t="e">
        <f ca="1">IF(LEFT(Demand!$C$8,1)="H",VLOOKUP($D32,'SPC background (hide)'!$AG$2:$AS$54,13,0),E32*1.1)</f>
        <v>#N/A</v>
      </c>
      <c r="G32" s="5" t="str">
        <f>IF(Setup!$I$15="Yes",VLOOKUP(D32,'SPC background (hide)'!$AG$2:$AT$54,14,0)/IF(Summary!$C$8="Patients",'Summary Calculations (hide)'!$I$9,1),"")</f>
        <v/>
      </c>
      <c r="H32" s="67" t="str">
        <f>IF(Setup!$I$13="Yes",'Planned background (hide)'!$V$23/IF(Summary!$C$8="Patients",'Summary Calculations (hide)'!$I$9,1),"")</f>
        <v/>
      </c>
      <c r="I32" s="5">
        <f ca="1">IFERROR(HLOOKUP(A32,'Capacity calculation (hide)'!$BK$1:$DK$4,4,0),Capacity!$I$15)</f>
        <v>0</v>
      </c>
      <c r="J32" s="5">
        <f ca="1">HLOOKUP(D32,'Capacity calculation (hide)'!$BK$110:$DK$111,2,0)</f>
        <v>0</v>
      </c>
      <c r="K32" s="5">
        <f ca="1">IF(I32-IF(Setup!$I$15="Yes",$G32,0)-IF(Setup!$I$13="Yes",$H32,0)&lt;0,0,I32-IF(Setup!$I$15="Yes",$G32,0)-IF(Setup!$I$13="Yes",$H32,0))</f>
        <v>0</v>
      </c>
      <c r="L32" s="5">
        <f t="shared" ca="1" si="3"/>
        <v>0</v>
      </c>
      <c r="M32" s="5" t="e">
        <f ca="1">(IF('Demand adjustments for Covid'!$F$9="No",E32,SUM('Demand background (hide)'!DS21,'Demand background (hide)'!DV21:DW21))*(1-'Parameters calculator (hide)'!$B$43))*(1-'Parameters calculator (hide)'!$B$44+('Parameters calculator (hide)'!$B$45*'Parameters calculator (hide)'!$B$47))</f>
        <v>#N/A</v>
      </c>
      <c r="N32" s="5" t="e">
        <f ca="1">(IF('Demand adjustments for Covid'!$F$9="No",F32,SUM('Demand background (hide)'!DT21,'Demand background (hide)'!DV21:DW21))*(1-'Parameters calculator (hide)'!$B$43))*(1-'Parameters calculator (hide)'!$B$44+('Parameters calculator (hide)'!$B$45*'Parameters calculator (hide)'!$B$47))</f>
        <v>#N/A</v>
      </c>
      <c r="P32" s="5">
        <f t="shared" ca="1" si="4"/>
        <v>0</v>
      </c>
      <c r="Q32" s="5">
        <f t="shared" ca="1" si="5"/>
        <v>0</v>
      </c>
      <c r="R32" s="5">
        <f t="shared" ca="1" si="6"/>
        <v>0</v>
      </c>
      <c r="S32" s="5">
        <f t="shared" ca="1" si="7"/>
        <v>0</v>
      </c>
      <c r="T32" s="5" t="e">
        <f ca="1">M32/IF(Summary!$C$8&lt;&gt;"Patients",1,$I$9)</f>
        <v>#N/A</v>
      </c>
      <c r="U32" s="5" t="e">
        <f ca="1">((N32-M32)/IF(Summary!$C$8&lt;&gt;"Patients",1,$I$9))</f>
        <v>#N/A</v>
      </c>
      <c r="V32" s="5">
        <f t="shared" si="8"/>
        <v>0</v>
      </c>
      <c r="X32" s="5" t="e">
        <f ca="1">(VLOOKUP(D32,'SPC background (hide)'!$AG$2:$AN$54,8,0)/IF(Summary!$C$8&lt;&gt;"Patients",1,$I$9))*(1-$I$4)*(1-$I$5+($I$6*$I$7))</f>
        <v>#N/A</v>
      </c>
    </row>
    <row r="33" spans="1:24" x14ac:dyDescent="0.2">
      <c r="A33" s="87">
        <f t="shared" ca="1" si="9"/>
        <v>44634</v>
      </c>
      <c r="B33" s="67" t="str">
        <f t="shared" ca="1" si="1"/>
        <v/>
      </c>
      <c r="C33" s="67" t="str">
        <f t="shared" ca="1" si="2"/>
        <v/>
      </c>
      <c r="D33" s="67">
        <f t="shared" ca="1" si="0"/>
        <v>11</v>
      </c>
      <c r="E33" s="5" t="e">
        <f ca="1">IF(LEFT(Demand!$C$8,1)="H",VLOOKUP($D33,'SPC background (hide)'!$AG$2:$AS$54,12,0),'Demand background (hide)'!X22)</f>
        <v>#N/A</v>
      </c>
      <c r="F33" s="5" t="e">
        <f ca="1">IF(LEFT(Demand!$C$8,1)="H",VLOOKUP($D33,'SPC background (hide)'!$AG$2:$AS$54,13,0),E33*1.1)</f>
        <v>#N/A</v>
      </c>
      <c r="G33" s="5" t="str">
        <f>IF(Setup!$I$15="Yes",VLOOKUP(D33,'SPC background (hide)'!$AG$2:$AT$54,14,0)/IF(Summary!$C$8="Patients",'Summary Calculations (hide)'!$I$9,1),"")</f>
        <v/>
      </c>
      <c r="H33" s="67" t="str">
        <f>IF(Setup!$I$13="Yes",'Planned background (hide)'!$V$23/IF(Summary!$C$8="Patients",'Summary Calculations (hide)'!$I$9,1),"")</f>
        <v/>
      </c>
      <c r="I33" s="5">
        <f ca="1">IFERROR(HLOOKUP(A33,'Capacity calculation (hide)'!$BK$1:$DK$4,4,0),Capacity!$I$15)</f>
        <v>0</v>
      </c>
      <c r="J33" s="5">
        <f ca="1">HLOOKUP(D33,'Capacity calculation (hide)'!$BK$110:$DK$111,2,0)</f>
        <v>0</v>
      </c>
      <c r="K33" s="5">
        <f ca="1">IF(I33-IF(Setup!$I$15="Yes",$G33,0)-IF(Setup!$I$13="Yes",$H33,0)&lt;0,0,I33-IF(Setup!$I$15="Yes",$G33,0)-IF(Setup!$I$13="Yes",$H33,0))</f>
        <v>0</v>
      </c>
      <c r="L33" s="5">
        <f t="shared" ca="1" si="3"/>
        <v>0</v>
      </c>
      <c r="M33" s="5" t="e">
        <f ca="1">(IF('Demand adjustments for Covid'!$F$9="No",E33,SUM('Demand background (hide)'!DS22,'Demand background (hide)'!DV22:DW22))*(1-'Parameters calculator (hide)'!$B$43))*(1-'Parameters calculator (hide)'!$B$44+('Parameters calculator (hide)'!$B$45*'Parameters calculator (hide)'!$B$47))</f>
        <v>#N/A</v>
      </c>
      <c r="N33" s="5" t="e">
        <f ca="1">(IF('Demand adjustments for Covid'!$F$9="No",F33,SUM('Demand background (hide)'!DT22,'Demand background (hide)'!DV22:DW22))*(1-'Parameters calculator (hide)'!$B$43))*(1-'Parameters calculator (hide)'!$B$44+('Parameters calculator (hide)'!$B$45*'Parameters calculator (hide)'!$B$47))</f>
        <v>#N/A</v>
      </c>
      <c r="P33" s="5">
        <f t="shared" ca="1" si="4"/>
        <v>0</v>
      </c>
      <c r="Q33" s="5">
        <f t="shared" ca="1" si="5"/>
        <v>0</v>
      </c>
      <c r="R33" s="5">
        <f t="shared" ca="1" si="6"/>
        <v>0</v>
      </c>
      <c r="S33" s="5">
        <f t="shared" ca="1" si="7"/>
        <v>0</v>
      </c>
      <c r="T33" s="5" t="e">
        <f ca="1">M33/IF(Summary!$C$8&lt;&gt;"Patients",1,$I$9)</f>
        <v>#N/A</v>
      </c>
      <c r="U33" s="5" t="e">
        <f ca="1">((N33-M33)/IF(Summary!$C$8&lt;&gt;"Patients",1,$I$9))</f>
        <v>#N/A</v>
      </c>
      <c r="V33" s="5">
        <f t="shared" si="8"/>
        <v>0</v>
      </c>
      <c r="X33" s="5" t="e">
        <f ca="1">(VLOOKUP(D33,'SPC background (hide)'!$AG$2:$AN$54,8,0)/IF(Summary!$C$8&lt;&gt;"Patients",1,$I$9))*(1-$I$4)*(1-$I$5+($I$6*$I$7))</f>
        <v>#N/A</v>
      </c>
    </row>
    <row r="34" spans="1:24" x14ac:dyDescent="0.2">
      <c r="A34" s="87">
        <f t="shared" ca="1" si="9"/>
        <v>44641</v>
      </c>
      <c r="B34" s="67" t="str">
        <f t="shared" ca="1" si="1"/>
        <v/>
      </c>
      <c r="C34" s="67" t="str">
        <f t="shared" ca="1" si="2"/>
        <v/>
      </c>
      <c r="D34" s="67">
        <f t="shared" ca="1" si="0"/>
        <v>12</v>
      </c>
      <c r="E34" s="5" t="e">
        <f ca="1">IF(LEFT(Demand!$C$8,1)="H",VLOOKUP($D34,'SPC background (hide)'!$AG$2:$AS$54,12,0),'Demand background (hide)'!X23)</f>
        <v>#N/A</v>
      </c>
      <c r="F34" s="5" t="e">
        <f ca="1">IF(LEFT(Demand!$C$8,1)="H",VLOOKUP($D34,'SPC background (hide)'!$AG$2:$AS$54,13,0),E34*1.1)</f>
        <v>#N/A</v>
      </c>
      <c r="G34" s="5" t="str">
        <f>IF(Setup!$I$15="Yes",VLOOKUP(D34,'SPC background (hide)'!$AG$2:$AT$54,14,0)/IF(Summary!$C$8="Patients",'Summary Calculations (hide)'!$I$9,1),"")</f>
        <v/>
      </c>
      <c r="H34" s="67" t="str">
        <f>IF(Setup!$I$13="Yes",'Planned background (hide)'!$V$23/IF(Summary!$C$8="Patients",'Summary Calculations (hide)'!$I$9,1),"")</f>
        <v/>
      </c>
      <c r="I34" s="5">
        <f ca="1">IFERROR(HLOOKUP(A34,'Capacity calculation (hide)'!$BK$1:$DK$4,4,0),Capacity!$I$15)</f>
        <v>0</v>
      </c>
      <c r="J34" s="5">
        <f ca="1">HLOOKUP(D34,'Capacity calculation (hide)'!$BK$110:$DK$111,2,0)</f>
        <v>0</v>
      </c>
      <c r="K34" s="5">
        <f ca="1">IF(I34-IF(Setup!$I$15="Yes",$G34,0)-IF(Setup!$I$13="Yes",$H34,0)&lt;0,0,I34-IF(Setup!$I$15="Yes",$G34,0)-IF(Setup!$I$13="Yes",$H34,0))</f>
        <v>0</v>
      </c>
      <c r="L34" s="5">
        <f t="shared" ca="1" si="3"/>
        <v>0</v>
      </c>
      <c r="M34" s="5" t="e">
        <f ca="1">(IF('Demand adjustments for Covid'!$F$9="No",E34,SUM('Demand background (hide)'!DS23,'Demand background (hide)'!DV23:DW23))*(1-'Parameters calculator (hide)'!$B$43))*(1-'Parameters calculator (hide)'!$B$44+('Parameters calculator (hide)'!$B$45*'Parameters calculator (hide)'!$B$47))</f>
        <v>#N/A</v>
      </c>
      <c r="N34" s="5" t="e">
        <f ca="1">(IF('Demand adjustments for Covid'!$F$9="No",F34,SUM('Demand background (hide)'!DT23,'Demand background (hide)'!DV23:DW23))*(1-'Parameters calculator (hide)'!$B$43))*(1-'Parameters calculator (hide)'!$B$44+('Parameters calculator (hide)'!$B$45*'Parameters calculator (hide)'!$B$47))</f>
        <v>#N/A</v>
      </c>
      <c r="P34" s="5">
        <f t="shared" ca="1" si="4"/>
        <v>0</v>
      </c>
      <c r="Q34" s="5">
        <f t="shared" ca="1" si="5"/>
        <v>0</v>
      </c>
      <c r="R34" s="5">
        <f t="shared" ca="1" si="6"/>
        <v>0</v>
      </c>
      <c r="S34" s="5">
        <f t="shared" ca="1" si="7"/>
        <v>0</v>
      </c>
      <c r="T34" s="5" t="e">
        <f ca="1">M34/IF(Summary!$C$8&lt;&gt;"Patients",1,$I$9)</f>
        <v>#N/A</v>
      </c>
      <c r="U34" s="5" t="e">
        <f ca="1">((N34-M34)/IF(Summary!$C$8&lt;&gt;"Patients",1,$I$9))</f>
        <v>#N/A</v>
      </c>
      <c r="V34" s="5">
        <f t="shared" si="8"/>
        <v>0</v>
      </c>
      <c r="X34" s="5" t="e">
        <f ca="1">(VLOOKUP(D34,'SPC background (hide)'!$AG$2:$AN$54,8,0)/IF(Summary!$C$8&lt;&gt;"Patients",1,$I$9))*(1-$I$4)*(1-$I$5+($I$6*$I$7))</f>
        <v>#N/A</v>
      </c>
    </row>
    <row r="35" spans="1:24" x14ac:dyDescent="0.2">
      <c r="A35" s="87">
        <f t="shared" ca="1" si="9"/>
        <v>44648</v>
      </c>
      <c r="B35" s="67" t="str">
        <f t="shared" ca="1" si="1"/>
        <v/>
      </c>
      <c r="C35" s="67" t="str">
        <f t="shared" ca="1" si="2"/>
        <v/>
      </c>
      <c r="D35" s="67">
        <f t="shared" ca="1" si="0"/>
        <v>13</v>
      </c>
      <c r="E35" s="5" t="e">
        <f ca="1">IF(LEFT(Demand!$C$8,1)="H",VLOOKUP($D35,'SPC background (hide)'!$AG$2:$AS$54,12,0),'Demand background (hide)'!X24)</f>
        <v>#N/A</v>
      </c>
      <c r="F35" s="5" t="e">
        <f ca="1">IF(LEFT(Demand!$C$8,1)="H",VLOOKUP($D35,'SPC background (hide)'!$AG$2:$AS$54,13,0),E35*1.1)</f>
        <v>#N/A</v>
      </c>
      <c r="G35" s="5" t="str">
        <f>IF(Setup!$I$15="Yes",VLOOKUP(D35,'SPC background (hide)'!$AG$2:$AT$54,14,0)/IF(Summary!$C$8="Patients",'Summary Calculations (hide)'!$I$9,1),"")</f>
        <v/>
      </c>
      <c r="H35" s="67" t="str">
        <f>IF(Setup!$I$13="Yes",'Planned background (hide)'!$V$23/IF(Summary!$C$8="Patients",'Summary Calculations (hide)'!$I$9,1),"")</f>
        <v/>
      </c>
      <c r="I35" s="5">
        <f ca="1">IFERROR(HLOOKUP(A35,'Capacity calculation (hide)'!$BK$1:$DK$4,4,0),Capacity!$I$15)</f>
        <v>0</v>
      </c>
      <c r="J35" s="5">
        <f ca="1">HLOOKUP(D35,'Capacity calculation (hide)'!$BK$110:$DK$111,2,0)</f>
        <v>0</v>
      </c>
      <c r="K35" s="5">
        <f ca="1">IF(I35-IF(Setup!$I$15="Yes",$G35,0)-IF(Setup!$I$13="Yes",$H35,0)&lt;0,0,I35-IF(Setup!$I$15="Yes",$G35,0)-IF(Setup!$I$13="Yes",$H35,0))</f>
        <v>0</v>
      </c>
      <c r="L35" s="5">
        <f t="shared" ca="1" si="3"/>
        <v>0</v>
      </c>
      <c r="M35" s="5" t="e">
        <f ca="1">(IF('Demand adjustments for Covid'!$F$9="No",E35,SUM('Demand background (hide)'!DS24,'Demand background (hide)'!DV24:DW24))*(1-'Parameters calculator (hide)'!$B$43))*(1-'Parameters calculator (hide)'!$B$44+('Parameters calculator (hide)'!$B$45*'Parameters calculator (hide)'!$B$47))</f>
        <v>#N/A</v>
      </c>
      <c r="N35" s="5" t="e">
        <f ca="1">(IF('Demand adjustments for Covid'!$F$9="No",F35,SUM('Demand background (hide)'!DT24,'Demand background (hide)'!DV24:DW24))*(1-'Parameters calculator (hide)'!$B$43))*(1-'Parameters calculator (hide)'!$B$44+('Parameters calculator (hide)'!$B$45*'Parameters calculator (hide)'!$B$47))</f>
        <v>#N/A</v>
      </c>
      <c r="P35" s="5">
        <f t="shared" ca="1" si="4"/>
        <v>0</v>
      </c>
      <c r="Q35" s="5">
        <f t="shared" ca="1" si="5"/>
        <v>0</v>
      </c>
      <c r="R35" s="5">
        <f t="shared" ca="1" si="6"/>
        <v>0</v>
      </c>
      <c r="S35" s="5">
        <f t="shared" ca="1" si="7"/>
        <v>0</v>
      </c>
      <c r="T35" s="5" t="e">
        <f ca="1">M35/IF(Summary!$C$8&lt;&gt;"Patients",1,$I$9)</f>
        <v>#N/A</v>
      </c>
      <c r="U35" s="5" t="e">
        <f ca="1">((N35-M35)/IF(Summary!$C$8&lt;&gt;"Patients",1,$I$9))</f>
        <v>#N/A</v>
      </c>
      <c r="V35" s="5">
        <f t="shared" si="8"/>
        <v>0</v>
      </c>
      <c r="X35" s="5" t="e">
        <f ca="1">(VLOOKUP(D35,'SPC background (hide)'!$AG$2:$AN$54,8,0)/IF(Summary!$C$8&lt;&gt;"Patients",1,$I$9))*(1-$I$4)*(1-$I$5+($I$6*$I$7))</f>
        <v>#N/A</v>
      </c>
    </row>
    <row r="36" spans="1:24" x14ac:dyDescent="0.2">
      <c r="A36" s="87">
        <f t="shared" ca="1" si="9"/>
        <v>44655</v>
      </c>
      <c r="B36" s="67" t="str">
        <f t="shared" ca="1" si="1"/>
        <v/>
      </c>
      <c r="C36" s="67" t="str">
        <f t="shared" ca="1" si="2"/>
        <v>Apr</v>
      </c>
      <c r="D36" s="67">
        <f t="shared" ca="1" si="0"/>
        <v>14</v>
      </c>
      <c r="E36" s="5" t="e">
        <f ca="1">IF(LEFT(Demand!$C$8,1)="H",VLOOKUP($D36,'SPC background (hide)'!$AG$2:$AS$54,12,0),'Demand background (hide)'!X25)</f>
        <v>#N/A</v>
      </c>
      <c r="F36" s="5" t="e">
        <f ca="1">IF(LEFT(Demand!$C$8,1)="H",VLOOKUP($D36,'SPC background (hide)'!$AG$2:$AS$54,13,0),E36*1.1)</f>
        <v>#N/A</v>
      </c>
      <c r="G36" s="5" t="str">
        <f>IF(Setup!$I$15="Yes",VLOOKUP(D36,'SPC background (hide)'!$AG$2:$AT$54,14,0)/IF(Summary!$C$8="Patients",'Summary Calculations (hide)'!$I$9,1),"")</f>
        <v/>
      </c>
      <c r="H36" s="67" t="str">
        <f>IF(Setup!$I$13="Yes",'Planned background (hide)'!$V$23/IF(Summary!$C$8="Patients",'Summary Calculations (hide)'!$I$9,1),"")</f>
        <v/>
      </c>
      <c r="I36" s="5">
        <f ca="1">IFERROR(HLOOKUP(A36,'Capacity calculation (hide)'!$BK$1:$DK$4,4,0),Capacity!$I$15)</f>
        <v>0</v>
      </c>
      <c r="J36" s="5">
        <f ca="1">HLOOKUP(D36,'Capacity calculation (hide)'!$BK$110:$DK$111,2,0)</f>
        <v>0</v>
      </c>
      <c r="K36" s="5">
        <f ca="1">IF(I36-IF(Setup!$I$15="Yes",$G36,0)-IF(Setup!$I$13="Yes",$H36,0)&lt;0,0,I36-IF(Setup!$I$15="Yes",$G36,0)-IF(Setup!$I$13="Yes",$H36,0))</f>
        <v>0</v>
      </c>
      <c r="L36" s="5">
        <f t="shared" ca="1" si="3"/>
        <v>0</v>
      </c>
      <c r="M36" s="5" t="e">
        <f ca="1">(IF('Demand adjustments for Covid'!$F$9="No",E36,SUM('Demand background (hide)'!DS25,'Demand background (hide)'!DV25:DW25))*(1-'Parameters calculator (hide)'!$B$43))*(1-'Parameters calculator (hide)'!$B$44+('Parameters calculator (hide)'!$B$45*'Parameters calculator (hide)'!$B$47))</f>
        <v>#N/A</v>
      </c>
      <c r="N36" s="5" t="e">
        <f ca="1">(IF('Demand adjustments for Covid'!$F$9="No",F36,SUM('Demand background (hide)'!DT25,'Demand background (hide)'!DV25:DW25))*(1-'Parameters calculator (hide)'!$B$43))*(1-'Parameters calculator (hide)'!$B$44+('Parameters calculator (hide)'!$B$45*'Parameters calculator (hide)'!$B$47))</f>
        <v>#N/A</v>
      </c>
      <c r="P36" s="5">
        <f t="shared" ca="1" si="4"/>
        <v>0</v>
      </c>
      <c r="Q36" s="5">
        <f t="shared" ca="1" si="5"/>
        <v>0</v>
      </c>
      <c r="R36" s="5">
        <f t="shared" ca="1" si="6"/>
        <v>0</v>
      </c>
      <c r="S36" s="5">
        <f t="shared" ca="1" si="7"/>
        <v>0</v>
      </c>
      <c r="T36" s="5" t="e">
        <f ca="1">M36/IF(Summary!$C$8&lt;&gt;"Patients",1,$I$9)</f>
        <v>#N/A</v>
      </c>
      <c r="U36" s="5" t="e">
        <f ca="1">((N36-M36)/IF(Summary!$C$8&lt;&gt;"Patients",1,$I$9))</f>
        <v>#N/A</v>
      </c>
      <c r="V36" s="5">
        <f t="shared" si="8"/>
        <v>0</v>
      </c>
      <c r="X36" s="5" t="e">
        <f ca="1">(VLOOKUP(D36,'SPC background (hide)'!$AG$2:$AN$54,8,0)/IF(Summary!$C$8&lt;&gt;"Patients",1,$I$9))*(1-$I$4)*(1-$I$5+($I$6*$I$7))</f>
        <v>#N/A</v>
      </c>
    </row>
    <row r="37" spans="1:24" x14ac:dyDescent="0.2">
      <c r="A37" s="87">
        <f t="shared" ca="1" si="9"/>
        <v>44662</v>
      </c>
      <c r="B37" s="67" t="str">
        <f t="shared" ca="1" si="1"/>
        <v/>
      </c>
      <c r="C37" s="67" t="str">
        <f t="shared" ca="1" si="2"/>
        <v/>
      </c>
      <c r="D37" s="67">
        <f t="shared" ca="1" si="0"/>
        <v>15</v>
      </c>
      <c r="E37" s="5" t="e">
        <f ca="1">IF(LEFT(Demand!$C$8,1)="H",VLOOKUP($D37,'SPC background (hide)'!$AG$2:$AS$54,12,0),'Demand background (hide)'!X26)</f>
        <v>#N/A</v>
      </c>
      <c r="F37" s="5" t="e">
        <f ca="1">IF(LEFT(Demand!$C$8,1)="H",VLOOKUP($D37,'SPC background (hide)'!$AG$2:$AS$54,13,0),E37*1.1)</f>
        <v>#N/A</v>
      </c>
      <c r="G37" s="5" t="str">
        <f>IF(Setup!$I$15="Yes",VLOOKUP(D37,'SPC background (hide)'!$AG$2:$AT$54,14,0)/IF(Summary!$C$8="Patients",'Summary Calculations (hide)'!$I$9,1),"")</f>
        <v/>
      </c>
      <c r="H37" s="67" t="str">
        <f>IF(Setup!$I$13="Yes",'Planned background (hide)'!$V$23/IF(Summary!$C$8="Patients",'Summary Calculations (hide)'!$I$9,1),"")</f>
        <v/>
      </c>
      <c r="I37" s="5">
        <f ca="1">IFERROR(HLOOKUP(A37,'Capacity calculation (hide)'!$BK$1:$DK$4,4,0),Capacity!$I$15)</f>
        <v>0</v>
      </c>
      <c r="J37" s="5">
        <f ca="1">HLOOKUP(D37,'Capacity calculation (hide)'!$BK$110:$DK$111,2,0)</f>
        <v>0</v>
      </c>
      <c r="K37" s="5">
        <f ca="1">IF(I37-IF(Setup!$I$15="Yes",$G37,0)-IF(Setup!$I$13="Yes",$H37,0)&lt;0,0,I37-IF(Setup!$I$15="Yes",$G37,0)-IF(Setup!$I$13="Yes",$H37,0))</f>
        <v>0</v>
      </c>
      <c r="L37" s="5">
        <f t="shared" ca="1" si="3"/>
        <v>0</v>
      </c>
      <c r="M37" s="5" t="e">
        <f ca="1">(IF('Demand adjustments for Covid'!$F$9="No",E37,SUM('Demand background (hide)'!DS26,'Demand background (hide)'!DV26:DW26))*(1-'Parameters calculator (hide)'!$B$43))*(1-'Parameters calculator (hide)'!$B$44+('Parameters calculator (hide)'!$B$45*'Parameters calculator (hide)'!$B$47))</f>
        <v>#N/A</v>
      </c>
      <c r="N37" s="5" t="e">
        <f ca="1">(IF('Demand adjustments for Covid'!$F$9="No",F37,SUM('Demand background (hide)'!DT26,'Demand background (hide)'!DV26:DW26))*(1-'Parameters calculator (hide)'!$B$43))*(1-'Parameters calculator (hide)'!$B$44+('Parameters calculator (hide)'!$B$45*'Parameters calculator (hide)'!$B$47))</f>
        <v>#N/A</v>
      </c>
      <c r="P37" s="5">
        <f t="shared" ca="1" si="4"/>
        <v>0</v>
      </c>
      <c r="Q37" s="5">
        <f t="shared" ca="1" si="5"/>
        <v>0</v>
      </c>
      <c r="R37" s="5">
        <f t="shared" ca="1" si="6"/>
        <v>0</v>
      </c>
      <c r="S37" s="5">
        <f t="shared" ca="1" si="7"/>
        <v>0</v>
      </c>
      <c r="T37" s="5" t="e">
        <f ca="1">M37/IF(Summary!$C$8&lt;&gt;"Patients",1,$I$9)</f>
        <v>#N/A</v>
      </c>
      <c r="U37" s="5" t="e">
        <f ca="1">((N37-M37)/IF(Summary!$C$8&lt;&gt;"Patients",1,$I$9))</f>
        <v>#N/A</v>
      </c>
      <c r="V37" s="5">
        <f t="shared" si="8"/>
        <v>0</v>
      </c>
      <c r="X37" s="5" t="e">
        <f ca="1">(VLOOKUP(D37,'SPC background (hide)'!$AG$2:$AN$54,8,0)/IF(Summary!$C$8&lt;&gt;"Patients",1,$I$9))*(1-$I$4)*(1-$I$5+($I$6*$I$7))</f>
        <v>#N/A</v>
      </c>
    </row>
    <row r="38" spans="1:24" x14ac:dyDescent="0.2">
      <c r="A38" s="87">
        <f t="shared" ca="1" si="9"/>
        <v>44669</v>
      </c>
      <c r="B38" s="67" t="str">
        <f t="shared" ca="1" si="1"/>
        <v/>
      </c>
      <c r="C38" s="67" t="str">
        <f t="shared" ca="1" si="2"/>
        <v/>
      </c>
      <c r="D38" s="67">
        <f t="shared" ca="1" si="0"/>
        <v>16</v>
      </c>
      <c r="E38" s="5" t="e">
        <f ca="1">IF(LEFT(Demand!$C$8,1)="H",VLOOKUP($D38,'SPC background (hide)'!$AG$2:$AS$54,12,0),'Demand background (hide)'!X27)</f>
        <v>#N/A</v>
      </c>
      <c r="F38" s="5" t="e">
        <f ca="1">IF(LEFT(Demand!$C$8,1)="H",VLOOKUP($D38,'SPC background (hide)'!$AG$2:$AS$54,13,0),E38*1.1)</f>
        <v>#N/A</v>
      </c>
      <c r="G38" s="5" t="str">
        <f>IF(Setup!$I$15="Yes",VLOOKUP(D38,'SPC background (hide)'!$AG$2:$AT$54,14,0)/IF(Summary!$C$8="Patients",'Summary Calculations (hide)'!$I$9,1),"")</f>
        <v/>
      </c>
      <c r="H38" s="67" t="str">
        <f>IF(Setup!$I$13="Yes",'Planned background (hide)'!$V$23/IF(Summary!$C$8="Patients",'Summary Calculations (hide)'!$I$9,1),"")</f>
        <v/>
      </c>
      <c r="I38" s="5">
        <f ca="1">IFERROR(HLOOKUP(A38,'Capacity calculation (hide)'!$BK$1:$DK$4,4,0),Capacity!$I$15)</f>
        <v>0</v>
      </c>
      <c r="J38" s="5">
        <f ca="1">HLOOKUP(D38,'Capacity calculation (hide)'!$BK$110:$DK$111,2,0)</f>
        <v>0</v>
      </c>
      <c r="K38" s="5">
        <f ca="1">IF(I38-IF(Setup!$I$15="Yes",$G38,0)-IF(Setup!$I$13="Yes",$H38,0)&lt;0,0,I38-IF(Setup!$I$15="Yes",$G38,0)-IF(Setup!$I$13="Yes",$H38,0))</f>
        <v>0</v>
      </c>
      <c r="L38" s="5">
        <f t="shared" ca="1" si="3"/>
        <v>0</v>
      </c>
      <c r="M38" s="5" t="e">
        <f ca="1">(IF('Demand adjustments for Covid'!$F$9="No",E38,SUM('Demand background (hide)'!DS27,'Demand background (hide)'!DV27:DW27))*(1-'Parameters calculator (hide)'!$B$43))*(1-'Parameters calculator (hide)'!$B$44+('Parameters calculator (hide)'!$B$45*'Parameters calculator (hide)'!$B$47))</f>
        <v>#N/A</v>
      </c>
      <c r="N38" s="5" t="e">
        <f ca="1">(IF('Demand adjustments for Covid'!$F$9="No",F38,SUM('Demand background (hide)'!DT27,'Demand background (hide)'!DV27:DW27))*(1-'Parameters calculator (hide)'!$B$43))*(1-'Parameters calculator (hide)'!$B$44+('Parameters calculator (hide)'!$B$45*'Parameters calculator (hide)'!$B$47))</f>
        <v>#N/A</v>
      </c>
      <c r="P38" s="5">
        <f t="shared" ca="1" si="4"/>
        <v>0</v>
      </c>
      <c r="Q38" s="5">
        <f t="shared" ca="1" si="5"/>
        <v>0</v>
      </c>
      <c r="R38" s="5">
        <f t="shared" ca="1" si="6"/>
        <v>0</v>
      </c>
      <c r="S38" s="5">
        <f t="shared" ca="1" si="7"/>
        <v>0</v>
      </c>
      <c r="T38" s="5" t="e">
        <f ca="1">M38/IF(Summary!$C$8&lt;&gt;"Patients",1,$I$9)</f>
        <v>#N/A</v>
      </c>
      <c r="U38" s="5" t="e">
        <f ca="1">((N38-M38)/IF(Summary!$C$8&lt;&gt;"Patients",1,$I$9))</f>
        <v>#N/A</v>
      </c>
      <c r="V38" s="5">
        <f t="shared" si="8"/>
        <v>0</v>
      </c>
      <c r="X38" s="5" t="e">
        <f ca="1">(VLOOKUP(D38,'SPC background (hide)'!$AG$2:$AN$54,8,0)/IF(Summary!$C$8&lt;&gt;"Patients",1,$I$9))*(1-$I$4)*(1-$I$5+($I$6*$I$7))</f>
        <v>#N/A</v>
      </c>
    </row>
    <row r="39" spans="1:24" x14ac:dyDescent="0.2">
      <c r="A39" s="87">
        <f t="shared" ca="1" si="9"/>
        <v>44676</v>
      </c>
      <c r="B39" s="67" t="str">
        <f t="shared" ca="1" si="1"/>
        <v/>
      </c>
      <c r="C39" s="67" t="str">
        <f t="shared" ca="1" si="2"/>
        <v/>
      </c>
      <c r="D39" s="67">
        <f t="shared" ca="1" si="0"/>
        <v>17</v>
      </c>
      <c r="E39" s="5" t="e">
        <f ca="1">IF(LEFT(Demand!$C$8,1)="H",VLOOKUP($D39,'SPC background (hide)'!$AG$2:$AS$54,12,0),'Demand background (hide)'!X28)</f>
        <v>#N/A</v>
      </c>
      <c r="F39" s="5" t="e">
        <f ca="1">IF(LEFT(Demand!$C$8,1)="H",VLOOKUP($D39,'SPC background (hide)'!$AG$2:$AS$54,13,0),E39*1.1)</f>
        <v>#N/A</v>
      </c>
      <c r="G39" s="5" t="str">
        <f>IF(Setup!$I$15="Yes",VLOOKUP(D39,'SPC background (hide)'!$AG$2:$AT$54,14,0)/IF(Summary!$C$8="Patients",'Summary Calculations (hide)'!$I$9,1),"")</f>
        <v/>
      </c>
      <c r="H39" s="67" t="str">
        <f>IF(Setup!$I$13="Yes",'Planned background (hide)'!$V$23/IF(Summary!$C$8="Patients",'Summary Calculations (hide)'!$I$9,1),"")</f>
        <v/>
      </c>
      <c r="I39" s="5">
        <f ca="1">IFERROR(HLOOKUP(A39,'Capacity calculation (hide)'!$BK$1:$DK$4,4,0),Capacity!$I$15)</f>
        <v>0</v>
      </c>
      <c r="J39" s="5">
        <f ca="1">HLOOKUP(D39,'Capacity calculation (hide)'!$BK$110:$DK$111,2,0)</f>
        <v>0</v>
      </c>
      <c r="K39" s="5">
        <f ca="1">IF(I39-IF(Setup!$I$15="Yes",$G39,0)-IF(Setup!$I$13="Yes",$H39,0)&lt;0,0,I39-IF(Setup!$I$15="Yes",$G39,0)-IF(Setup!$I$13="Yes",$H39,0))</f>
        <v>0</v>
      </c>
      <c r="L39" s="5">
        <f t="shared" ca="1" si="3"/>
        <v>0</v>
      </c>
      <c r="M39" s="5" t="e">
        <f ca="1">(IF('Demand adjustments for Covid'!$F$9="No",E39,SUM('Demand background (hide)'!DS28,'Demand background (hide)'!DV28:DW28))*(1-'Parameters calculator (hide)'!$B$43))*(1-'Parameters calculator (hide)'!$B$44+('Parameters calculator (hide)'!$B$45*'Parameters calculator (hide)'!$B$47))</f>
        <v>#N/A</v>
      </c>
      <c r="N39" s="5" t="e">
        <f ca="1">(IF('Demand adjustments for Covid'!$F$9="No",F39,SUM('Demand background (hide)'!DT28,'Demand background (hide)'!DV28:DW28))*(1-'Parameters calculator (hide)'!$B$43))*(1-'Parameters calculator (hide)'!$B$44+('Parameters calculator (hide)'!$B$45*'Parameters calculator (hide)'!$B$47))</f>
        <v>#N/A</v>
      </c>
      <c r="P39" s="5">
        <f t="shared" ca="1" si="4"/>
        <v>0</v>
      </c>
      <c r="Q39" s="5">
        <f t="shared" ca="1" si="5"/>
        <v>0</v>
      </c>
      <c r="R39" s="5">
        <f t="shared" ca="1" si="6"/>
        <v>0</v>
      </c>
      <c r="S39" s="5">
        <f t="shared" ca="1" si="7"/>
        <v>0</v>
      </c>
      <c r="T39" s="5" t="e">
        <f ca="1">M39/IF(Summary!$C$8&lt;&gt;"Patients",1,$I$9)</f>
        <v>#N/A</v>
      </c>
      <c r="U39" s="5" t="e">
        <f ca="1">((N39-M39)/IF(Summary!$C$8&lt;&gt;"Patients",1,$I$9))</f>
        <v>#N/A</v>
      </c>
      <c r="V39" s="5">
        <f t="shared" si="8"/>
        <v>0</v>
      </c>
      <c r="X39" s="5" t="e">
        <f ca="1">(VLOOKUP(D39,'SPC background (hide)'!$AG$2:$AN$54,8,0)/IF(Summary!$C$8&lt;&gt;"Patients",1,$I$9))*(1-$I$4)*(1-$I$5+($I$6*$I$7))</f>
        <v>#N/A</v>
      </c>
    </row>
    <row r="40" spans="1:24" x14ac:dyDescent="0.2">
      <c r="A40" s="87">
        <f t="shared" ca="1" si="9"/>
        <v>44683</v>
      </c>
      <c r="B40" s="67" t="str">
        <f t="shared" ca="1" si="1"/>
        <v/>
      </c>
      <c r="C40" s="67" t="str">
        <f t="shared" ca="1" si="2"/>
        <v>May</v>
      </c>
      <c r="D40" s="67">
        <f t="shared" ca="1" si="0"/>
        <v>18</v>
      </c>
      <c r="E40" s="5" t="e">
        <f ca="1">IF(LEFT(Demand!$C$8,1)="H",VLOOKUP($D40,'SPC background (hide)'!$AG$2:$AS$54,12,0),'Demand background (hide)'!X29)</f>
        <v>#N/A</v>
      </c>
      <c r="F40" s="5" t="e">
        <f ca="1">IF(LEFT(Demand!$C$8,1)="H",VLOOKUP($D40,'SPC background (hide)'!$AG$2:$AS$54,13,0),E40*1.1)</f>
        <v>#N/A</v>
      </c>
      <c r="G40" s="5" t="str">
        <f>IF(Setup!$I$15="Yes",VLOOKUP(D40,'SPC background (hide)'!$AG$2:$AT$54,14,0)/IF(Summary!$C$8="Patients",'Summary Calculations (hide)'!$I$9,1),"")</f>
        <v/>
      </c>
      <c r="H40" s="67" t="str">
        <f>IF(Setup!$I$13="Yes",'Planned background (hide)'!$V$23/IF(Summary!$C$8="Patients",'Summary Calculations (hide)'!$I$9,1),"")</f>
        <v/>
      </c>
      <c r="I40" s="5">
        <f ca="1">IFERROR(HLOOKUP(A40,'Capacity calculation (hide)'!$BK$1:$DK$4,4,0),Capacity!$I$15)</f>
        <v>0</v>
      </c>
      <c r="J40" s="5">
        <f ca="1">HLOOKUP(D40,'Capacity calculation (hide)'!$BK$110:$DK$111,2,0)</f>
        <v>0</v>
      </c>
      <c r="K40" s="5">
        <f ca="1">IF(I40-IF(Setup!$I$15="Yes",$G40,0)-IF(Setup!$I$13="Yes",$H40,0)&lt;0,0,I40-IF(Setup!$I$15="Yes",$G40,0)-IF(Setup!$I$13="Yes",$H40,0))</f>
        <v>0</v>
      </c>
      <c r="L40" s="5">
        <f t="shared" ca="1" si="3"/>
        <v>0</v>
      </c>
      <c r="M40" s="5" t="e">
        <f ca="1">(IF('Demand adjustments for Covid'!$F$9="No",E40,SUM('Demand background (hide)'!DS29,'Demand background (hide)'!DV29:DW29))*(1-'Parameters calculator (hide)'!$B$43))*(1-'Parameters calculator (hide)'!$B$44+('Parameters calculator (hide)'!$B$45*'Parameters calculator (hide)'!$B$47))</f>
        <v>#N/A</v>
      </c>
      <c r="N40" s="5" t="e">
        <f ca="1">(IF('Demand adjustments for Covid'!$F$9="No",F40,SUM('Demand background (hide)'!DT29,'Demand background (hide)'!DV29:DW29))*(1-'Parameters calculator (hide)'!$B$43))*(1-'Parameters calculator (hide)'!$B$44+('Parameters calculator (hide)'!$B$45*'Parameters calculator (hide)'!$B$47))</f>
        <v>#N/A</v>
      </c>
      <c r="P40" s="5">
        <f t="shared" ca="1" si="4"/>
        <v>0</v>
      </c>
      <c r="Q40" s="5">
        <f t="shared" ca="1" si="5"/>
        <v>0</v>
      </c>
      <c r="R40" s="5">
        <f t="shared" ca="1" si="6"/>
        <v>0</v>
      </c>
      <c r="S40" s="5">
        <f t="shared" ca="1" si="7"/>
        <v>0</v>
      </c>
      <c r="T40" s="5" t="e">
        <f ca="1">M40/IF(Summary!$C$8&lt;&gt;"Patients",1,$I$9)</f>
        <v>#N/A</v>
      </c>
      <c r="U40" s="5" t="e">
        <f ca="1">((N40-M40)/IF(Summary!$C$8&lt;&gt;"Patients",1,$I$9))</f>
        <v>#N/A</v>
      </c>
      <c r="V40" s="5">
        <f t="shared" si="8"/>
        <v>0</v>
      </c>
      <c r="X40" s="5" t="e">
        <f ca="1">(VLOOKUP(D40,'SPC background (hide)'!$AG$2:$AN$54,8,0)/IF(Summary!$C$8&lt;&gt;"Patients",1,$I$9))*(1-$I$4)*(1-$I$5+($I$6*$I$7))</f>
        <v>#N/A</v>
      </c>
    </row>
    <row r="41" spans="1:24" x14ac:dyDescent="0.2">
      <c r="A41" s="87">
        <f t="shared" ca="1" si="9"/>
        <v>44690</v>
      </c>
      <c r="B41" s="67" t="str">
        <f t="shared" ca="1" si="1"/>
        <v/>
      </c>
      <c r="C41" s="67" t="str">
        <f t="shared" ca="1" si="2"/>
        <v/>
      </c>
      <c r="D41" s="67">
        <f t="shared" ca="1" si="0"/>
        <v>19</v>
      </c>
      <c r="E41" s="5" t="e">
        <f ca="1">IF(LEFT(Demand!$C$8,1)="H",VLOOKUP($D41,'SPC background (hide)'!$AG$2:$AS$54,12,0),'Demand background (hide)'!X30)</f>
        <v>#N/A</v>
      </c>
      <c r="F41" s="5" t="e">
        <f ca="1">IF(LEFT(Demand!$C$8,1)="H",VLOOKUP($D41,'SPC background (hide)'!$AG$2:$AS$54,13,0),E41*1.1)</f>
        <v>#N/A</v>
      </c>
      <c r="G41" s="5" t="str">
        <f>IF(Setup!$I$15="Yes",VLOOKUP(D41,'SPC background (hide)'!$AG$2:$AT$54,14,0)/IF(Summary!$C$8="Patients",'Summary Calculations (hide)'!$I$9,1),"")</f>
        <v/>
      </c>
      <c r="H41" s="67" t="str">
        <f>IF(Setup!$I$13="Yes",'Planned background (hide)'!$V$23/IF(Summary!$C$8="Patients",'Summary Calculations (hide)'!$I$9,1),"")</f>
        <v/>
      </c>
      <c r="I41" s="5">
        <f ca="1">IFERROR(HLOOKUP(A41,'Capacity calculation (hide)'!$BK$1:$DK$4,4,0),Capacity!$I$15)</f>
        <v>0</v>
      </c>
      <c r="J41" s="5">
        <f ca="1">HLOOKUP(D41,'Capacity calculation (hide)'!$BK$110:$DK$111,2,0)</f>
        <v>0</v>
      </c>
      <c r="K41" s="5">
        <f ca="1">IF(I41-IF(Setup!$I$15="Yes",$G41,0)-IF(Setup!$I$13="Yes",$H41,0)&lt;0,0,I41-IF(Setup!$I$15="Yes",$G41,0)-IF(Setup!$I$13="Yes",$H41,0))</f>
        <v>0</v>
      </c>
      <c r="L41" s="5">
        <f t="shared" ca="1" si="3"/>
        <v>0</v>
      </c>
      <c r="M41" s="5" t="e">
        <f ca="1">(IF('Demand adjustments for Covid'!$F$9="No",E41,SUM('Demand background (hide)'!DS30,'Demand background (hide)'!DV30:DW30))*(1-'Parameters calculator (hide)'!$B$43))*(1-'Parameters calculator (hide)'!$B$44+('Parameters calculator (hide)'!$B$45*'Parameters calculator (hide)'!$B$47))</f>
        <v>#N/A</v>
      </c>
      <c r="N41" s="5" t="e">
        <f ca="1">(IF('Demand adjustments for Covid'!$F$9="No",F41,SUM('Demand background (hide)'!DT30,'Demand background (hide)'!DV30:DW30))*(1-'Parameters calculator (hide)'!$B$43))*(1-'Parameters calculator (hide)'!$B$44+('Parameters calculator (hide)'!$B$45*'Parameters calculator (hide)'!$B$47))</f>
        <v>#N/A</v>
      </c>
      <c r="P41" s="5">
        <f t="shared" ca="1" si="4"/>
        <v>0</v>
      </c>
      <c r="Q41" s="5">
        <f t="shared" ca="1" si="5"/>
        <v>0</v>
      </c>
      <c r="R41" s="5">
        <f t="shared" ca="1" si="6"/>
        <v>0</v>
      </c>
      <c r="S41" s="5">
        <f t="shared" ca="1" si="7"/>
        <v>0</v>
      </c>
      <c r="T41" s="5" t="e">
        <f ca="1">M41/IF(Summary!$C$8&lt;&gt;"Patients",1,$I$9)</f>
        <v>#N/A</v>
      </c>
      <c r="U41" s="5" t="e">
        <f ca="1">((N41-M41)/IF(Summary!$C$8&lt;&gt;"Patients",1,$I$9))</f>
        <v>#N/A</v>
      </c>
      <c r="V41" s="5">
        <f t="shared" si="8"/>
        <v>0</v>
      </c>
      <c r="X41" s="5" t="e">
        <f ca="1">(VLOOKUP(D41,'SPC background (hide)'!$AG$2:$AN$54,8,0)/IF(Summary!$C$8&lt;&gt;"Patients",1,$I$9))*(1-$I$4)*(1-$I$5+($I$6*$I$7))</f>
        <v>#N/A</v>
      </c>
    </row>
    <row r="42" spans="1:24" x14ac:dyDescent="0.2">
      <c r="A42" s="87">
        <f t="shared" ca="1" si="9"/>
        <v>44697</v>
      </c>
      <c r="B42" s="67" t="str">
        <f t="shared" ca="1" si="1"/>
        <v/>
      </c>
      <c r="C42" s="67" t="str">
        <f t="shared" ca="1" si="2"/>
        <v/>
      </c>
      <c r="D42" s="67">
        <f t="shared" ca="1" si="0"/>
        <v>20</v>
      </c>
      <c r="E42" s="5" t="e">
        <f ca="1">IF(LEFT(Demand!$C$8,1)="H",VLOOKUP($D42,'SPC background (hide)'!$AG$2:$AS$54,12,0),'Demand background (hide)'!X31)</f>
        <v>#N/A</v>
      </c>
      <c r="F42" s="5" t="e">
        <f ca="1">IF(LEFT(Demand!$C$8,1)="H",VLOOKUP($D42,'SPC background (hide)'!$AG$2:$AS$54,13,0),E42*1.1)</f>
        <v>#N/A</v>
      </c>
      <c r="G42" s="5" t="str">
        <f>IF(Setup!$I$15="Yes",VLOOKUP(D42,'SPC background (hide)'!$AG$2:$AT$54,14,0)/IF(Summary!$C$8="Patients",'Summary Calculations (hide)'!$I$9,1),"")</f>
        <v/>
      </c>
      <c r="H42" s="67" t="str">
        <f>IF(Setup!$I$13="Yes",'Planned background (hide)'!$V$23/IF(Summary!$C$8="Patients",'Summary Calculations (hide)'!$I$9,1),"")</f>
        <v/>
      </c>
      <c r="I42" s="5">
        <f ca="1">IFERROR(HLOOKUP(A42,'Capacity calculation (hide)'!$BK$1:$DK$4,4,0),Capacity!$I$15)</f>
        <v>0</v>
      </c>
      <c r="J42" s="5">
        <f ca="1">HLOOKUP(D42,'Capacity calculation (hide)'!$BK$110:$DK$111,2,0)</f>
        <v>0</v>
      </c>
      <c r="K42" s="5">
        <f ca="1">IF(I42-IF(Setup!$I$15="Yes",$G42,0)-IF(Setup!$I$13="Yes",$H42,0)&lt;0,0,I42-IF(Setup!$I$15="Yes",$G42,0)-IF(Setup!$I$13="Yes",$H42,0))</f>
        <v>0</v>
      </c>
      <c r="L42" s="5">
        <f t="shared" ca="1" si="3"/>
        <v>0</v>
      </c>
      <c r="M42" s="5" t="e">
        <f ca="1">(IF('Demand adjustments for Covid'!$F$9="No",E42,SUM('Demand background (hide)'!DS31,'Demand background (hide)'!DV31:DW31))*(1-'Parameters calculator (hide)'!$B$43))*(1-'Parameters calculator (hide)'!$B$44+('Parameters calculator (hide)'!$B$45*'Parameters calculator (hide)'!$B$47))</f>
        <v>#N/A</v>
      </c>
      <c r="N42" s="5" t="e">
        <f ca="1">(IF('Demand adjustments for Covid'!$F$9="No",F42,SUM('Demand background (hide)'!DT31,'Demand background (hide)'!DV31:DW31))*(1-'Parameters calculator (hide)'!$B$43))*(1-'Parameters calculator (hide)'!$B$44+('Parameters calculator (hide)'!$B$45*'Parameters calculator (hide)'!$B$47))</f>
        <v>#N/A</v>
      </c>
      <c r="P42" s="5">
        <f t="shared" ca="1" si="4"/>
        <v>0</v>
      </c>
      <c r="Q42" s="5">
        <f t="shared" ca="1" si="5"/>
        <v>0</v>
      </c>
      <c r="R42" s="5">
        <f t="shared" ca="1" si="6"/>
        <v>0</v>
      </c>
      <c r="S42" s="5">
        <f t="shared" ca="1" si="7"/>
        <v>0</v>
      </c>
      <c r="T42" s="5" t="e">
        <f ca="1">M42/IF(Summary!$C$8&lt;&gt;"Patients",1,$I$9)</f>
        <v>#N/A</v>
      </c>
      <c r="U42" s="5" t="e">
        <f ca="1">((N42-M42)/IF(Summary!$C$8&lt;&gt;"Patients",1,$I$9))</f>
        <v>#N/A</v>
      </c>
      <c r="V42" s="5">
        <f t="shared" si="8"/>
        <v>0</v>
      </c>
      <c r="X42" s="5" t="e">
        <f ca="1">(VLOOKUP(D42,'SPC background (hide)'!$AG$2:$AN$54,8,0)/IF(Summary!$C$8&lt;&gt;"Patients",1,$I$9))*(1-$I$4)*(1-$I$5+($I$6*$I$7))</f>
        <v>#N/A</v>
      </c>
    </row>
    <row r="43" spans="1:24" x14ac:dyDescent="0.2">
      <c r="A43" s="87">
        <f t="shared" ca="1" si="9"/>
        <v>44704</v>
      </c>
      <c r="B43" s="67" t="str">
        <f t="shared" ca="1" si="1"/>
        <v/>
      </c>
      <c r="C43" s="67" t="str">
        <f t="shared" ca="1" si="2"/>
        <v/>
      </c>
      <c r="D43" s="67">
        <f t="shared" ca="1" si="0"/>
        <v>21</v>
      </c>
      <c r="E43" s="5" t="e">
        <f ca="1">IF(LEFT(Demand!$C$8,1)="H",VLOOKUP($D43,'SPC background (hide)'!$AG$2:$AS$54,12,0),'Demand background (hide)'!X32)</f>
        <v>#N/A</v>
      </c>
      <c r="F43" s="5" t="e">
        <f ca="1">IF(LEFT(Demand!$C$8,1)="H",VLOOKUP($D43,'SPC background (hide)'!$AG$2:$AS$54,13,0),E43*1.1)</f>
        <v>#N/A</v>
      </c>
      <c r="G43" s="5" t="str">
        <f>IF(Setup!$I$15="Yes",VLOOKUP(D43,'SPC background (hide)'!$AG$2:$AT$54,14,0)/IF(Summary!$C$8="Patients",'Summary Calculations (hide)'!$I$9,1),"")</f>
        <v/>
      </c>
      <c r="H43" s="67" t="str">
        <f>IF(Setup!$I$13="Yes",'Planned background (hide)'!$V$23/IF(Summary!$C$8="Patients",'Summary Calculations (hide)'!$I$9,1),"")</f>
        <v/>
      </c>
      <c r="I43" s="5">
        <f ca="1">IFERROR(HLOOKUP(A43,'Capacity calculation (hide)'!$BK$1:$DK$4,4,0),Capacity!$I$15)</f>
        <v>0</v>
      </c>
      <c r="J43" s="5">
        <f ca="1">HLOOKUP(D43,'Capacity calculation (hide)'!$BK$110:$DK$111,2,0)</f>
        <v>0</v>
      </c>
      <c r="K43" s="5">
        <f ca="1">IF(I43-IF(Setup!$I$15="Yes",$G43,0)-IF(Setup!$I$13="Yes",$H43,0)&lt;0,0,I43-IF(Setup!$I$15="Yes",$G43,0)-IF(Setup!$I$13="Yes",$H43,0))</f>
        <v>0</v>
      </c>
      <c r="L43" s="5">
        <f t="shared" ca="1" si="3"/>
        <v>0</v>
      </c>
      <c r="M43" s="5" t="e">
        <f ca="1">(IF('Demand adjustments for Covid'!$F$9="No",E43,SUM('Demand background (hide)'!DS32,'Demand background (hide)'!DV32:DW32))*(1-'Parameters calculator (hide)'!$B$43))*(1-'Parameters calculator (hide)'!$B$44+('Parameters calculator (hide)'!$B$45*'Parameters calculator (hide)'!$B$47))</f>
        <v>#N/A</v>
      </c>
      <c r="N43" s="5" t="e">
        <f ca="1">(IF('Demand adjustments for Covid'!$F$9="No",F43,SUM('Demand background (hide)'!DT32,'Demand background (hide)'!DV32:DW32))*(1-'Parameters calculator (hide)'!$B$43))*(1-'Parameters calculator (hide)'!$B$44+('Parameters calculator (hide)'!$B$45*'Parameters calculator (hide)'!$B$47))</f>
        <v>#N/A</v>
      </c>
      <c r="P43" s="5">
        <f t="shared" ca="1" si="4"/>
        <v>0</v>
      </c>
      <c r="Q43" s="5">
        <f t="shared" ca="1" si="5"/>
        <v>0</v>
      </c>
      <c r="R43" s="5">
        <f t="shared" ca="1" si="6"/>
        <v>0</v>
      </c>
      <c r="S43" s="5">
        <f t="shared" ca="1" si="7"/>
        <v>0</v>
      </c>
      <c r="T43" s="5" t="e">
        <f ca="1">M43/IF(Summary!$C$8&lt;&gt;"Patients",1,$I$9)</f>
        <v>#N/A</v>
      </c>
      <c r="U43" s="5" t="e">
        <f ca="1">((N43-M43)/IF(Summary!$C$8&lt;&gt;"Patients",1,$I$9))</f>
        <v>#N/A</v>
      </c>
      <c r="V43" s="5">
        <f t="shared" si="8"/>
        <v>0</v>
      </c>
      <c r="X43" s="5" t="e">
        <f ca="1">(VLOOKUP(D43,'SPC background (hide)'!$AG$2:$AN$54,8,0)/IF(Summary!$C$8&lt;&gt;"Patients",1,$I$9))*(1-$I$4)*(1-$I$5+($I$6*$I$7))</f>
        <v>#N/A</v>
      </c>
    </row>
    <row r="44" spans="1:24" x14ac:dyDescent="0.2">
      <c r="A44" s="87">
        <f t="shared" ca="1" si="9"/>
        <v>44711</v>
      </c>
      <c r="B44" s="67" t="str">
        <f t="shared" ca="1" si="1"/>
        <v/>
      </c>
      <c r="C44" s="67" t="str">
        <f t="shared" ca="1" si="2"/>
        <v/>
      </c>
      <c r="D44" s="67">
        <f t="shared" ca="1" si="0"/>
        <v>22</v>
      </c>
      <c r="E44" s="5" t="e">
        <f ca="1">IF(LEFT(Demand!$C$8,1)="H",VLOOKUP($D44,'SPC background (hide)'!$AG$2:$AS$54,12,0),'Demand background (hide)'!X33)</f>
        <v>#N/A</v>
      </c>
      <c r="F44" s="5" t="e">
        <f ca="1">IF(LEFT(Demand!$C$8,1)="H",VLOOKUP($D44,'SPC background (hide)'!$AG$2:$AS$54,13,0),E44*1.1)</f>
        <v>#N/A</v>
      </c>
      <c r="G44" s="5" t="str">
        <f>IF(Setup!$I$15="Yes",VLOOKUP(D44,'SPC background (hide)'!$AG$2:$AT$54,14,0)/IF(Summary!$C$8="Patients",'Summary Calculations (hide)'!$I$9,1),"")</f>
        <v/>
      </c>
      <c r="H44" s="67" t="str">
        <f>IF(Setup!$I$13="Yes",'Planned background (hide)'!$V$23/IF(Summary!$C$8="Patients",'Summary Calculations (hide)'!$I$9,1),"")</f>
        <v/>
      </c>
      <c r="I44" s="5">
        <f ca="1">IFERROR(HLOOKUP(A44,'Capacity calculation (hide)'!$BK$1:$DK$4,4,0),Capacity!$I$15)</f>
        <v>0</v>
      </c>
      <c r="J44" s="5">
        <f ca="1">HLOOKUP(D44,'Capacity calculation (hide)'!$BK$110:$DK$111,2,0)</f>
        <v>0</v>
      </c>
      <c r="K44" s="5">
        <f ca="1">IF(I44-IF(Setup!$I$15="Yes",$G44,0)-IF(Setup!$I$13="Yes",$H44,0)&lt;0,0,I44-IF(Setup!$I$15="Yes",$G44,0)-IF(Setup!$I$13="Yes",$H44,0))</f>
        <v>0</v>
      </c>
      <c r="L44" s="5">
        <f t="shared" ca="1" si="3"/>
        <v>0</v>
      </c>
      <c r="M44" s="5" t="e">
        <f ca="1">(IF('Demand adjustments for Covid'!$F$9="No",E44,SUM('Demand background (hide)'!DS33,'Demand background (hide)'!DV33:DW33))*(1-'Parameters calculator (hide)'!$B$43))*(1-'Parameters calculator (hide)'!$B$44+('Parameters calculator (hide)'!$B$45*'Parameters calculator (hide)'!$B$47))</f>
        <v>#N/A</v>
      </c>
      <c r="N44" s="5" t="e">
        <f ca="1">(IF('Demand adjustments for Covid'!$F$9="No",F44,SUM('Demand background (hide)'!DT33,'Demand background (hide)'!DV33:DW33))*(1-'Parameters calculator (hide)'!$B$43))*(1-'Parameters calculator (hide)'!$B$44+('Parameters calculator (hide)'!$B$45*'Parameters calculator (hide)'!$B$47))</f>
        <v>#N/A</v>
      </c>
      <c r="P44" s="5">
        <f t="shared" ca="1" si="4"/>
        <v>0</v>
      </c>
      <c r="Q44" s="5">
        <f t="shared" ca="1" si="5"/>
        <v>0</v>
      </c>
      <c r="R44" s="5">
        <f t="shared" ca="1" si="6"/>
        <v>0</v>
      </c>
      <c r="S44" s="5">
        <f t="shared" ca="1" si="7"/>
        <v>0</v>
      </c>
      <c r="T44" s="5" t="e">
        <f ca="1">M44/IF(Summary!$C$8&lt;&gt;"Patients",1,$I$9)</f>
        <v>#N/A</v>
      </c>
      <c r="U44" s="5" t="e">
        <f ca="1">((N44-M44)/IF(Summary!$C$8&lt;&gt;"Patients",1,$I$9))</f>
        <v>#N/A</v>
      </c>
      <c r="V44" s="5">
        <f t="shared" si="8"/>
        <v>0</v>
      </c>
      <c r="X44" s="5" t="e">
        <f ca="1">(VLOOKUP(D44,'SPC background (hide)'!$AG$2:$AN$54,8,0)/IF(Summary!$C$8&lt;&gt;"Patients",1,$I$9))*(1-$I$4)*(1-$I$5+($I$6*$I$7))</f>
        <v>#N/A</v>
      </c>
    </row>
    <row r="45" spans="1:24" x14ac:dyDescent="0.2">
      <c r="A45" s="87">
        <f t="shared" ca="1" si="9"/>
        <v>44718</v>
      </c>
      <c r="B45" s="67" t="str">
        <f t="shared" ca="1" si="1"/>
        <v/>
      </c>
      <c r="C45" s="67" t="str">
        <f t="shared" ca="1" si="2"/>
        <v>Jun</v>
      </c>
      <c r="D45" s="67">
        <f t="shared" ca="1" si="0"/>
        <v>23</v>
      </c>
      <c r="E45" s="5" t="e">
        <f ca="1">IF(LEFT(Demand!$C$8,1)="H",VLOOKUP($D45,'SPC background (hide)'!$AG$2:$AS$54,12,0),'Demand background (hide)'!X34)</f>
        <v>#N/A</v>
      </c>
      <c r="F45" s="5" t="e">
        <f ca="1">IF(LEFT(Demand!$C$8,1)="H",VLOOKUP($D45,'SPC background (hide)'!$AG$2:$AS$54,13,0),E45*1.1)</f>
        <v>#N/A</v>
      </c>
      <c r="G45" s="5" t="str">
        <f>IF(Setup!$I$15="Yes",VLOOKUP(D45,'SPC background (hide)'!$AG$2:$AT$54,14,0)/IF(Summary!$C$8="Patients",'Summary Calculations (hide)'!$I$9,1),"")</f>
        <v/>
      </c>
      <c r="H45" s="67" t="str">
        <f>IF(Setup!$I$13="Yes",'Planned background (hide)'!$V$23/IF(Summary!$C$8="Patients",'Summary Calculations (hide)'!$I$9,1),"")</f>
        <v/>
      </c>
      <c r="I45" s="5">
        <f ca="1">IFERROR(HLOOKUP(A45,'Capacity calculation (hide)'!$BK$1:$DK$4,4,0),Capacity!$I$15)</f>
        <v>0</v>
      </c>
      <c r="J45" s="5">
        <f ca="1">HLOOKUP(D45,'Capacity calculation (hide)'!$BK$110:$DK$111,2,0)</f>
        <v>0</v>
      </c>
      <c r="K45" s="5">
        <f ca="1">IF(I45-IF(Setup!$I$15="Yes",$G45,0)-IF(Setup!$I$13="Yes",$H45,0)&lt;0,0,I45-IF(Setup!$I$15="Yes",$G45,0)-IF(Setup!$I$13="Yes",$H45,0))</f>
        <v>0</v>
      </c>
      <c r="L45" s="5">
        <f t="shared" ca="1" si="3"/>
        <v>0</v>
      </c>
      <c r="M45" s="5" t="e">
        <f ca="1">(IF('Demand adjustments for Covid'!$F$9="No",E45,SUM('Demand background (hide)'!DS34,'Demand background (hide)'!DV34:DW34))*(1-'Parameters calculator (hide)'!$B$43))*(1-'Parameters calculator (hide)'!$B$44+('Parameters calculator (hide)'!$B$45*'Parameters calculator (hide)'!$B$47))</f>
        <v>#N/A</v>
      </c>
      <c r="N45" s="5" t="e">
        <f ca="1">(IF('Demand adjustments for Covid'!$F$9="No",F45,SUM('Demand background (hide)'!DT34,'Demand background (hide)'!DV34:DW34))*(1-'Parameters calculator (hide)'!$B$43))*(1-'Parameters calculator (hide)'!$B$44+('Parameters calculator (hide)'!$B$45*'Parameters calculator (hide)'!$B$47))</f>
        <v>#N/A</v>
      </c>
      <c r="P45" s="5">
        <f t="shared" ca="1" si="4"/>
        <v>0</v>
      </c>
      <c r="Q45" s="5">
        <f t="shared" ca="1" si="5"/>
        <v>0</v>
      </c>
      <c r="R45" s="5">
        <f t="shared" ca="1" si="6"/>
        <v>0</v>
      </c>
      <c r="S45" s="5">
        <f t="shared" ca="1" si="7"/>
        <v>0</v>
      </c>
      <c r="T45" s="5" t="e">
        <f ca="1">M45/IF(Summary!$C$8&lt;&gt;"Patients",1,$I$9)</f>
        <v>#N/A</v>
      </c>
      <c r="U45" s="5" t="e">
        <f ca="1">((N45-M45)/IF(Summary!$C$8&lt;&gt;"Patients",1,$I$9))</f>
        <v>#N/A</v>
      </c>
      <c r="V45" s="5">
        <f t="shared" si="8"/>
        <v>0</v>
      </c>
      <c r="X45" s="5" t="e">
        <f ca="1">(VLOOKUP(D45,'SPC background (hide)'!$AG$2:$AN$54,8,0)/IF(Summary!$C$8&lt;&gt;"Patients",1,$I$9))*(1-$I$4)*(1-$I$5+($I$6*$I$7))</f>
        <v>#N/A</v>
      </c>
    </row>
    <row r="46" spans="1:24" x14ac:dyDescent="0.2">
      <c r="A46" s="87">
        <f t="shared" ca="1" si="9"/>
        <v>44725</v>
      </c>
      <c r="B46" s="67" t="str">
        <f t="shared" ca="1" si="1"/>
        <v/>
      </c>
      <c r="C46" s="67" t="str">
        <f t="shared" ca="1" si="2"/>
        <v/>
      </c>
      <c r="D46" s="67">
        <f t="shared" ca="1" si="0"/>
        <v>24</v>
      </c>
      <c r="E46" s="5" t="e">
        <f ca="1">IF(LEFT(Demand!$C$8,1)="H",VLOOKUP($D46,'SPC background (hide)'!$AG$2:$AS$54,12,0),'Demand background (hide)'!X35)</f>
        <v>#N/A</v>
      </c>
      <c r="F46" s="5" t="e">
        <f ca="1">IF(LEFT(Demand!$C$8,1)="H",VLOOKUP($D46,'SPC background (hide)'!$AG$2:$AS$54,13,0),E46*1.1)</f>
        <v>#N/A</v>
      </c>
      <c r="G46" s="5" t="str">
        <f>IF(Setup!$I$15="Yes",VLOOKUP(D46,'SPC background (hide)'!$AG$2:$AT$54,14,0)/IF(Summary!$C$8="Patients",'Summary Calculations (hide)'!$I$9,1),"")</f>
        <v/>
      </c>
      <c r="H46" s="67" t="str">
        <f>IF(Setup!$I$13="Yes",'Planned background (hide)'!$V$23/IF(Summary!$C$8="Patients",'Summary Calculations (hide)'!$I$9,1),"")</f>
        <v/>
      </c>
      <c r="I46" s="5">
        <f ca="1">IFERROR(HLOOKUP(A46,'Capacity calculation (hide)'!$BK$1:$DK$4,4,0),Capacity!$I$15)</f>
        <v>0</v>
      </c>
      <c r="J46" s="5">
        <f ca="1">HLOOKUP(D46,'Capacity calculation (hide)'!$BK$110:$DK$111,2,0)</f>
        <v>0</v>
      </c>
      <c r="K46" s="5">
        <f ca="1">IF(I46-IF(Setup!$I$15="Yes",$G46,0)-IF(Setup!$I$13="Yes",$H46,0)&lt;0,0,I46-IF(Setup!$I$15="Yes",$G46,0)-IF(Setup!$I$13="Yes",$H46,0))</f>
        <v>0</v>
      </c>
      <c r="L46" s="5">
        <f t="shared" ca="1" si="3"/>
        <v>0</v>
      </c>
      <c r="M46" s="5" t="e">
        <f ca="1">(IF('Demand adjustments for Covid'!$F$9="No",E46,SUM('Demand background (hide)'!DS35,'Demand background (hide)'!DV35:DW35))*(1-'Parameters calculator (hide)'!$B$43))*(1-'Parameters calculator (hide)'!$B$44+('Parameters calculator (hide)'!$B$45*'Parameters calculator (hide)'!$B$47))</f>
        <v>#N/A</v>
      </c>
      <c r="N46" s="5" t="e">
        <f ca="1">(IF('Demand adjustments for Covid'!$F$9="No",F46,SUM('Demand background (hide)'!DT35,'Demand background (hide)'!DV35:DW35))*(1-'Parameters calculator (hide)'!$B$43))*(1-'Parameters calculator (hide)'!$B$44+('Parameters calculator (hide)'!$B$45*'Parameters calculator (hide)'!$B$47))</f>
        <v>#N/A</v>
      </c>
      <c r="P46" s="5">
        <f t="shared" ca="1" si="4"/>
        <v>0</v>
      </c>
      <c r="Q46" s="5">
        <f t="shared" ca="1" si="5"/>
        <v>0</v>
      </c>
      <c r="R46" s="5">
        <f t="shared" ca="1" si="6"/>
        <v>0</v>
      </c>
      <c r="S46" s="5">
        <f t="shared" ca="1" si="7"/>
        <v>0</v>
      </c>
      <c r="T46" s="5" t="e">
        <f ca="1">M46/IF(Summary!$C$8&lt;&gt;"Patients",1,$I$9)</f>
        <v>#N/A</v>
      </c>
      <c r="U46" s="5" t="e">
        <f ca="1">((N46-M46)/IF(Summary!$C$8&lt;&gt;"Patients",1,$I$9))</f>
        <v>#N/A</v>
      </c>
      <c r="V46" s="5">
        <f t="shared" si="8"/>
        <v>0</v>
      </c>
      <c r="X46" s="5" t="e">
        <f ca="1">(VLOOKUP(D46,'SPC background (hide)'!$AG$2:$AN$54,8,0)/IF(Summary!$C$8&lt;&gt;"Patients",1,$I$9))*(1-$I$4)*(1-$I$5+($I$6*$I$7))</f>
        <v>#N/A</v>
      </c>
    </row>
    <row r="47" spans="1:24" x14ac:dyDescent="0.2">
      <c r="A47" s="87">
        <f t="shared" ca="1" si="9"/>
        <v>44732</v>
      </c>
      <c r="B47" s="67" t="str">
        <f t="shared" ca="1" si="1"/>
        <v/>
      </c>
      <c r="C47" s="67" t="str">
        <f t="shared" ca="1" si="2"/>
        <v/>
      </c>
      <c r="D47" s="67">
        <f t="shared" ref="D47:D66" ca="1" si="10">WEEKNUM(A47,21)</f>
        <v>25</v>
      </c>
      <c r="E47" s="5" t="e">
        <f ca="1">IF(LEFT(Demand!$C$8,1)="H",VLOOKUP($D47,'SPC background (hide)'!$AG$2:$AS$54,12,0),'Demand background (hide)'!X36)</f>
        <v>#N/A</v>
      </c>
      <c r="F47" s="5" t="e">
        <f ca="1">IF(LEFT(Demand!$C$8,1)="H",VLOOKUP($D47,'SPC background (hide)'!$AG$2:$AS$54,13,0),E47*1.1)</f>
        <v>#N/A</v>
      </c>
      <c r="G47" s="5" t="str">
        <f>IF(Setup!$I$15="Yes",VLOOKUP(D47,'SPC background (hide)'!$AG$2:$AT$54,14,0)/IF(Summary!$C$8="Patients",'Summary Calculations (hide)'!$I$9,1),"")</f>
        <v/>
      </c>
      <c r="H47" s="67" t="str">
        <f>IF(Setup!$I$13="Yes",'Planned background (hide)'!$V$23/IF(Summary!$C$8="Patients",'Summary Calculations (hide)'!$I$9,1),"")</f>
        <v/>
      </c>
      <c r="I47" s="5">
        <f ca="1">IFERROR(HLOOKUP(A47,'Capacity calculation (hide)'!$BK$1:$DK$4,4,0),Capacity!$I$15)</f>
        <v>0</v>
      </c>
      <c r="J47" s="5">
        <f ca="1">HLOOKUP(D47,'Capacity calculation (hide)'!$BK$110:$DK$111,2,0)</f>
        <v>0</v>
      </c>
      <c r="K47" s="5">
        <f ca="1">IF(I47-IF(Setup!$I$15="Yes",$G47,0)-IF(Setup!$I$13="Yes",$H47,0)&lt;0,0,I47-IF(Setup!$I$15="Yes",$G47,0)-IF(Setup!$I$13="Yes",$H47,0))</f>
        <v>0</v>
      </c>
      <c r="L47" s="5">
        <f t="shared" ca="1" si="3"/>
        <v>0</v>
      </c>
      <c r="M47" s="5" t="e">
        <f ca="1">(IF('Demand adjustments for Covid'!$F$9="No",E47,SUM('Demand background (hide)'!DS36,'Demand background (hide)'!DV36:DW36))*(1-'Parameters calculator (hide)'!$B$43))*(1-'Parameters calculator (hide)'!$B$44+('Parameters calculator (hide)'!$B$45*'Parameters calculator (hide)'!$B$47))</f>
        <v>#N/A</v>
      </c>
      <c r="N47" s="5" t="e">
        <f ca="1">(IF('Demand adjustments for Covid'!$F$9="No",F47,SUM('Demand background (hide)'!DT36,'Demand background (hide)'!DV36:DW36))*(1-'Parameters calculator (hide)'!$B$43))*(1-'Parameters calculator (hide)'!$B$44+('Parameters calculator (hide)'!$B$45*'Parameters calculator (hide)'!$B$47))</f>
        <v>#N/A</v>
      </c>
      <c r="P47" s="5">
        <f t="shared" ca="1" si="4"/>
        <v>0</v>
      </c>
      <c r="Q47" s="5">
        <f t="shared" ca="1" si="5"/>
        <v>0</v>
      </c>
      <c r="R47" s="5">
        <f t="shared" ca="1" si="6"/>
        <v>0</v>
      </c>
      <c r="S47" s="5">
        <f t="shared" ca="1" si="7"/>
        <v>0</v>
      </c>
      <c r="T47" s="5" t="e">
        <f ca="1">M47/IF(Summary!$C$8&lt;&gt;"Patients",1,$I$9)</f>
        <v>#N/A</v>
      </c>
      <c r="U47" s="5" t="e">
        <f ca="1">((N47-M47)/IF(Summary!$C$8&lt;&gt;"Patients",1,$I$9))</f>
        <v>#N/A</v>
      </c>
      <c r="V47" s="5">
        <f t="shared" si="8"/>
        <v>0</v>
      </c>
      <c r="X47" s="5" t="e">
        <f ca="1">(VLOOKUP(D47,'SPC background (hide)'!$AG$2:$AN$54,8,0)/IF(Summary!$C$8&lt;&gt;"Patients",1,$I$9))*(1-$I$4)*(1-$I$5+($I$6*$I$7))</f>
        <v>#N/A</v>
      </c>
    </row>
    <row r="48" spans="1:24" x14ac:dyDescent="0.2">
      <c r="A48" s="87">
        <f t="shared" ca="1" si="9"/>
        <v>44739</v>
      </c>
      <c r="B48" s="67" t="str">
        <f t="shared" ref="B48:B67" ca="1" si="11">IF(YEAR(A48)&lt;&gt;YEAR(A47),YEAR(A48),"")</f>
        <v/>
      </c>
      <c r="C48" s="67" t="str">
        <f t="shared" ref="C48:C67" ca="1" si="12">IF(TEXT(A48,"MMM")&lt;&gt;TEXT(A47,"MMM"),TEXT(A48,"MMM"),"")</f>
        <v/>
      </c>
      <c r="D48" s="67">
        <f t="shared" ca="1" si="10"/>
        <v>26</v>
      </c>
      <c r="E48" s="5" t="e">
        <f ca="1">IF(LEFT(Demand!$C$8,1)="H",VLOOKUP($D48,'SPC background (hide)'!$AG$2:$AS$54,12,0),'Demand background (hide)'!X37)</f>
        <v>#N/A</v>
      </c>
      <c r="F48" s="5" t="e">
        <f ca="1">IF(LEFT(Demand!$C$8,1)="H",VLOOKUP($D48,'SPC background (hide)'!$AG$2:$AS$54,13,0),E48*1.1)</f>
        <v>#N/A</v>
      </c>
      <c r="G48" s="5" t="str">
        <f>IF(Setup!$I$15="Yes",VLOOKUP(D48,'SPC background (hide)'!$AG$2:$AT$54,14,0)/IF(Summary!$C$8="Patients",'Summary Calculations (hide)'!$I$9,1),"")</f>
        <v/>
      </c>
      <c r="H48" s="67" t="str">
        <f>IF(Setup!$I$13="Yes",'Planned background (hide)'!$V$23/IF(Summary!$C$8="Patients",'Summary Calculations (hide)'!$I$9,1),"")</f>
        <v/>
      </c>
      <c r="I48" s="5">
        <f ca="1">IFERROR(HLOOKUP(A48,'Capacity calculation (hide)'!$BK$1:$DK$4,4,0),Capacity!$I$15)</f>
        <v>0</v>
      </c>
      <c r="J48" s="5">
        <f ca="1">HLOOKUP(D48,'Capacity calculation (hide)'!$BK$110:$DK$111,2,0)</f>
        <v>0</v>
      </c>
      <c r="K48" s="5">
        <f ca="1">IF(I48-IF(Setup!$I$15="Yes",$G48,0)-IF(Setup!$I$13="Yes",$H48,0)&lt;0,0,I48-IF(Setup!$I$15="Yes",$G48,0)-IF(Setup!$I$13="Yes",$H48,0))</f>
        <v>0</v>
      </c>
      <c r="L48" s="5">
        <f t="shared" ca="1" si="3"/>
        <v>0</v>
      </c>
      <c r="M48" s="5" t="e">
        <f ca="1">(IF('Demand adjustments for Covid'!$F$9="No",E48,SUM('Demand background (hide)'!DS37,'Demand background (hide)'!DV37:DW37))*(1-'Parameters calculator (hide)'!$B$43))*(1-'Parameters calculator (hide)'!$B$44+('Parameters calculator (hide)'!$B$45*'Parameters calculator (hide)'!$B$47))</f>
        <v>#N/A</v>
      </c>
      <c r="N48" s="5" t="e">
        <f ca="1">(IF('Demand adjustments for Covid'!$F$9="No",F48,SUM('Demand background (hide)'!DT37,'Demand background (hide)'!DV37:DW37))*(1-'Parameters calculator (hide)'!$B$43))*(1-'Parameters calculator (hide)'!$B$44+('Parameters calculator (hide)'!$B$45*'Parameters calculator (hide)'!$B$47))</f>
        <v>#N/A</v>
      </c>
      <c r="P48" s="5">
        <f t="shared" ca="1" si="4"/>
        <v>0</v>
      </c>
      <c r="Q48" s="5">
        <f t="shared" ca="1" si="5"/>
        <v>0</v>
      </c>
      <c r="R48" s="5">
        <f t="shared" ca="1" si="6"/>
        <v>0</v>
      </c>
      <c r="S48" s="5">
        <f t="shared" ca="1" si="7"/>
        <v>0</v>
      </c>
      <c r="T48" s="5" t="e">
        <f ca="1">M48/IF(Summary!$C$8&lt;&gt;"Patients",1,$I$9)</f>
        <v>#N/A</v>
      </c>
      <c r="U48" s="5" t="e">
        <f ca="1">((N48-M48)/IF(Summary!$C$8&lt;&gt;"Patients",1,$I$9))</f>
        <v>#N/A</v>
      </c>
      <c r="V48" s="5">
        <f t="shared" si="8"/>
        <v>0</v>
      </c>
      <c r="X48" s="5" t="e">
        <f ca="1">(VLOOKUP(D48,'SPC background (hide)'!$AG$2:$AN$54,8,0)/IF(Summary!$C$8&lt;&gt;"Patients",1,$I$9))*(1-$I$4)*(1-$I$5+($I$6*$I$7))</f>
        <v>#N/A</v>
      </c>
    </row>
    <row r="49" spans="1:24" x14ac:dyDescent="0.2">
      <c r="A49" s="87">
        <f t="shared" ca="1" si="9"/>
        <v>44746</v>
      </c>
      <c r="B49" s="67" t="str">
        <f t="shared" ca="1" si="11"/>
        <v/>
      </c>
      <c r="C49" s="67" t="str">
        <f t="shared" ca="1" si="12"/>
        <v>Jul</v>
      </c>
      <c r="D49" s="67">
        <f t="shared" ca="1" si="10"/>
        <v>27</v>
      </c>
      <c r="E49" s="5" t="e">
        <f ca="1">IF(LEFT(Demand!$C$8,1)="H",VLOOKUP($D49,'SPC background (hide)'!$AG$2:$AS$54,12,0),'Demand background (hide)'!X38)</f>
        <v>#N/A</v>
      </c>
      <c r="F49" s="5" t="e">
        <f ca="1">IF(LEFT(Demand!$C$8,1)="H",VLOOKUP($D49,'SPC background (hide)'!$AG$2:$AS$54,13,0),E49*1.1)</f>
        <v>#N/A</v>
      </c>
      <c r="G49" s="5" t="str">
        <f>IF(Setup!$I$15="Yes",VLOOKUP(D49,'SPC background (hide)'!$AG$2:$AT$54,14,0)/IF(Summary!$C$8="Patients",'Summary Calculations (hide)'!$I$9,1),"")</f>
        <v/>
      </c>
      <c r="H49" s="67" t="str">
        <f>IF(Setup!$I$13="Yes",'Planned background (hide)'!$V$23/IF(Summary!$C$8="Patients",'Summary Calculations (hide)'!$I$9,1),"")</f>
        <v/>
      </c>
      <c r="I49" s="5">
        <f ca="1">IFERROR(HLOOKUP(A49,'Capacity calculation (hide)'!$BK$1:$DK$4,4,0),Capacity!$I$15)</f>
        <v>0</v>
      </c>
      <c r="J49" s="5">
        <f ca="1">HLOOKUP(D49,'Capacity calculation (hide)'!$BK$110:$DK$111,2,0)</f>
        <v>0</v>
      </c>
      <c r="K49" s="5">
        <f ca="1">IF(I49-IF(Setup!$I$15="Yes",$G49,0)-IF(Setup!$I$13="Yes",$H49,0)&lt;0,0,I49-IF(Setup!$I$15="Yes",$G49,0)-IF(Setup!$I$13="Yes",$H49,0))</f>
        <v>0</v>
      </c>
      <c r="L49" s="5">
        <f t="shared" ca="1" si="3"/>
        <v>0</v>
      </c>
      <c r="M49" s="5" t="e">
        <f ca="1">(IF('Demand adjustments for Covid'!$F$9="No",E49,SUM('Demand background (hide)'!DS38,'Demand background (hide)'!DV38:DW38))*(1-'Parameters calculator (hide)'!$B$43))*(1-'Parameters calculator (hide)'!$B$44+('Parameters calculator (hide)'!$B$45*'Parameters calculator (hide)'!$B$47))</f>
        <v>#N/A</v>
      </c>
      <c r="N49" s="5" t="e">
        <f ca="1">(IF('Demand adjustments for Covid'!$F$9="No",F49,SUM('Demand background (hide)'!DT38,'Demand background (hide)'!DV38:DW38))*(1-'Parameters calculator (hide)'!$B$43))*(1-'Parameters calculator (hide)'!$B$44+('Parameters calculator (hide)'!$B$45*'Parameters calculator (hide)'!$B$47))</f>
        <v>#N/A</v>
      </c>
      <c r="P49" s="5">
        <f t="shared" ca="1" si="4"/>
        <v>0</v>
      </c>
      <c r="Q49" s="5">
        <f t="shared" ca="1" si="5"/>
        <v>0</v>
      </c>
      <c r="R49" s="5">
        <f t="shared" ca="1" si="6"/>
        <v>0</v>
      </c>
      <c r="S49" s="5">
        <f t="shared" ca="1" si="7"/>
        <v>0</v>
      </c>
      <c r="T49" s="5" t="e">
        <f ca="1">M49/IF(Summary!$C$8&lt;&gt;"Patients",1,$I$9)</f>
        <v>#N/A</v>
      </c>
      <c r="U49" s="5" t="e">
        <f ca="1">((N49-M49)/IF(Summary!$C$8&lt;&gt;"Patients",1,$I$9))</f>
        <v>#N/A</v>
      </c>
      <c r="V49" s="5">
        <f t="shared" si="8"/>
        <v>0</v>
      </c>
      <c r="X49" s="5" t="e">
        <f ca="1">(VLOOKUP(D49,'SPC background (hide)'!$AG$2:$AN$54,8,0)/IF(Summary!$C$8&lt;&gt;"Patients",1,$I$9))*(1-$I$4)*(1-$I$5+($I$6*$I$7))</f>
        <v>#N/A</v>
      </c>
    </row>
    <row r="50" spans="1:24" x14ac:dyDescent="0.2">
      <c r="A50" s="87">
        <f t="shared" ca="1" si="9"/>
        <v>44753</v>
      </c>
      <c r="B50" s="67" t="str">
        <f t="shared" ca="1" si="11"/>
        <v/>
      </c>
      <c r="C50" s="67" t="str">
        <f t="shared" ca="1" si="12"/>
        <v/>
      </c>
      <c r="D50" s="67">
        <f t="shared" ca="1" si="10"/>
        <v>28</v>
      </c>
      <c r="E50" s="5" t="e">
        <f ca="1">IF(LEFT(Demand!$C$8,1)="H",VLOOKUP($D50,'SPC background (hide)'!$AG$2:$AS$54,12,0),'Demand background (hide)'!X39)</f>
        <v>#N/A</v>
      </c>
      <c r="F50" s="5" t="e">
        <f ca="1">IF(LEFT(Demand!$C$8,1)="H",VLOOKUP($D50,'SPC background (hide)'!$AG$2:$AS$54,13,0),E50*1.1)</f>
        <v>#N/A</v>
      </c>
      <c r="G50" s="5" t="str">
        <f>IF(Setup!$I$15="Yes",VLOOKUP(D50,'SPC background (hide)'!$AG$2:$AT$54,14,0)/IF(Summary!$C$8="Patients",'Summary Calculations (hide)'!$I$9,1),"")</f>
        <v/>
      </c>
      <c r="H50" s="67" t="str">
        <f>IF(Setup!$I$13="Yes",'Planned background (hide)'!$V$23/IF(Summary!$C$8="Patients",'Summary Calculations (hide)'!$I$9,1),"")</f>
        <v/>
      </c>
      <c r="I50" s="5">
        <f ca="1">IFERROR(HLOOKUP(A50,'Capacity calculation (hide)'!$BK$1:$DK$4,4,0),Capacity!$I$15)</f>
        <v>0</v>
      </c>
      <c r="J50" s="5">
        <f ca="1">HLOOKUP(D50,'Capacity calculation (hide)'!$BK$110:$DK$111,2,0)</f>
        <v>0</v>
      </c>
      <c r="K50" s="5">
        <f ca="1">IF(I50-IF(Setup!$I$15="Yes",$G50,0)-IF(Setup!$I$13="Yes",$H50,0)&lt;0,0,I50-IF(Setup!$I$15="Yes",$G50,0)-IF(Setup!$I$13="Yes",$H50,0))</f>
        <v>0</v>
      </c>
      <c r="L50" s="5">
        <f t="shared" ca="1" si="3"/>
        <v>0</v>
      </c>
      <c r="M50" s="5" t="e">
        <f ca="1">(IF('Demand adjustments for Covid'!$F$9="No",E50,SUM('Demand background (hide)'!DS39,'Demand background (hide)'!DV39:DW39))*(1-'Parameters calculator (hide)'!$B$43))*(1-'Parameters calculator (hide)'!$B$44+('Parameters calculator (hide)'!$B$45*'Parameters calculator (hide)'!$B$47))</f>
        <v>#N/A</v>
      </c>
      <c r="N50" s="5" t="e">
        <f ca="1">(IF('Demand adjustments for Covid'!$F$9="No",F50,SUM('Demand background (hide)'!DT39,'Demand background (hide)'!DV39:DW39))*(1-'Parameters calculator (hide)'!$B$43))*(1-'Parameters calculator (hide)'!$B$44+('Parameters calculator (hide)'!$B$45*'Parameters calculator (hide)'!$B$47))</f>
        <v>#N/A</v>
      </c>
      <c r="P50" s="5">
        <f t="shared" ca="1" si="4"/>
        <v>0</v>
      </c>
      <c r="Q50" s="5">
        <f t="shared" ca="1" si="5"/>
        <v>0</v>
      </c>
      <c r="R50" s="5">
        <f t="shared" ca="1" si="6"/>
        <v>0</v>
      </c>
      <c r="S50" s="5">
        <f t="shared" ca="1" si="7"/>
        <v>0</v>
      </c>
      <c r="T50" s="5" t="e">
        <f ca="1">M50/IF(Summary!$C$8&lt;&gt;"Patients",1,$I$9)</f>
        <v>#N/A</v>
      </c>
      <c r="U50" s="5" t="e">
        <f ca="1">((N50-M50)/IF(Summary!$C$8&lt;&gt;"Patients",1,$I$9))</f>
        <v>#N/A</v>
      </c>
      <c r="V50" s="5">
        <f t="shared" si="8"/>
        <v>0</v>
      </c>
      <c r="X50" s="5" t="e">
        <f ca="1">(VLOOKUP(D50,'SPC background (hide)'!$AG$2:$AN$54,8,0)/IF(Summary!$C$8&lt;&gt;"Patients",1,$I$9))*(1-$I$4)*(1-$I$5+($I$6*$I$7))</f>
        <v>#N/A</v>
      </c>
    </row>
    <row r="51" spans="1:24" x14ac:dyDescent="0.2">
      <c r="A51" s="87">
        <f t="shared" ca="1" si="9"/>
        <v>44760</v>
      </c>
      <c r="B51" s="67" t="str">
        <f t="shared" ca="1" si="11"/>
        <v/>
      </c>
      <c r="C51" s="67" t="str">
        <f t="shared" ca="1" si="12"/>
        <v/>
      </c>
      <c r="D51" s="67">
        <f t="shared" ca="1" si="10"/>
        <v>29</v>
      </c>
      <c r="E51" s="5" t="e">
        <f ca="1">IF(LEFT(Demand!$C$8,1)="H",VLOOKUP($D51,'SPC background (hide)'!$AG$2:$AS$54,12,0),'Demand background (hide)'!X40)</f>
        <v>#N/A</v>
      </c>
      <c r="F51" s="5" t="e">
        <f ca="1">IF(LEFT(Demand!$C$8,1)="H",VLOOKUP($D51,'SPC background (hide)'!$AG$2:$AS$54,13,0),E51*1.1)</f>
        <v>#N/A</v>
      </c>
      <c r="G51" s="5" t="str">
        <f>IF(Setup!$I$15="Yes",VLOOKUP(D51,'SPC background (hide)'!$AG$2:$AT$54,14,0)/IF(Summary!$C$8="Patients",'Summary Calculations (hide)'!$I$9,1),"")</f>
        <v/>
      </c>
      <c r="H51" s="67" t="str">
        <f>IF(Setup!$I$13="Yes",'Planned background (hide)'!$V$23/IF(Summary!$C$8="Patients",'Summary Calculations (hide)'!$I$9,1),"")</f>
        <v/>
      </c>
      <c r="I51" s="5">
        <f ca="1">IFERROR(HLOOKUP(A51,'Capacity calculation (hide)'!$BK$1:$DK$4,4,0),Capacity!$I$15)</f>
        <v>0</v>
      </c>
      <c r="J51" s="5">
        <f ca="1">HLOOKUP(D51,'Capacity calculation (hide)'!$BK$110:$DK$111,2,0)</f>
        <v>0</v>
      </c>
      <c r="K51" s="5">
        <f ca="1">IF(I51-IF(Setup!$I$15="Yes",$G51,0)-IF(Setup!$I$13="Yes",$H51,0)&lt;0,0,I51-IF(Setup!$I$15="Yes",$G51,0)-IF(Setup!$I$13="Yes",$H51,0))</f>
        <v>0</v>
      </c>
      <c r="L51" s="5">
        <f t="shared" ca="1" si="3"/>
        <v>0</v>
      </c>
      <c r="M51" s="5" t="e">
        <f ca="1">(IF('Demand adjustments for Covid'!$F$9="No",E51,SUM('Demand background (hide)'!DS40,'Demand background (hide)'!DV40:DW40))*(1-'Parameters calculator (hide)'!$B$43))*(1-'Parameters calculator (hide)'!$B$44+('Parameters calculator (hide)'!$B$45*'Parameters calculator (hide)'!$B$47))</f>
        <v>#N/A</v>
      </c>
      <c r="N51" s="5" t="e">
        <f ca="1">(IF('Demand adjustments for Covid'!$F$9="No",F51,SUM('Demand background (hide)'!DT40,'Demand background (hide)'!DV40:DW40))*(1-'Parameters calculator (hide)'!$B$43))*(1-'Parameters calculator (hide)'!$B$44+('Parameters calculator (hide)'!$B$45*'Parameters calculator (hide)'!$B$47))</f>
        <v>#N/A</v>
      </c>
      <c r="P51" s="5">
        <f t="shared" ca="1" si="4"/>
        <v>0</v>
      </c>
      <c r="Q51" s="5">
        <f t="shared" ca="1" si="5"/>
        <v>0</v>
      </c>
      <c r="R51" s="5">
        <f t="shared" ca="1" si="6"/>
        <v>0</v>
      </c>
      <c r="S51" s="5">
        <f t="shared" ca="1" si="7"/>
        <v>0</v>
      </c>
      <c r="T51" s="5" t="e">
        <f ca="1">M51/IF(Summary!$C$8&lt;&gt;"Patients",1,$I$9)</f>
        <v>#N/A</v>
      </c>
      <c r="U51" s="5" t="e">
        <f ca="1">((N51-M51)/IF(Summary!$C$8&lt;&gt;"Patients",1,$I$9))</f>
        <v>#N/A</v>
      </c>
      <c r="V51" s="5">
        <f t="shared" si="8"/>
        <v>0</v>
      </c>
      <c r="X51" s="5" t="e">
        <f ca="1">(VLOOKUP(D51,'SPC background (hide)'!$AG$2:$AN$54,8,0)/IF(Summary!$C$8&lt;&gt;"Patients",1,$I$9))*(1-$I$4)*(1-$I$5+($I$6*$I$7))</f>
        <v>#N/A</v>
      </c>
    </row>
    <row r="52" spans="1:24" x14ac:dyDescent="0.2">
      <c r="A52" s="87">
        <f t="shared" ca="1" si="9"/>
        <v>44767</v>
      </c>
      <c r="B52" s="67" t="str">
        <f t="shared" ca="1" si="11"/>
        <v/>
      </c>
      <c r="C52" s="67" t="str">
        <f t="shared" ca="1" si="12"/>
        <v/>
      </c>
      <c r="D52" s="67">
        <f t="shared" ca="1" si="10"/>
        <v>30</v>
      </c>
      <c r="E52" s="5" t="e">
        <f ca="1">IF(LEFT(Demand!$C$8,1)="H",VLOOKUP($D52,'SPC background (hide)'!$AG$2:$AS$54,12,0),'Demand background (hide)'!X41)</f>
        <v>#N/A</v>
      </c>
      <c r="F52" s="5" t="e">
        <f ca="1">IF(LEFT(Demand!$C$8,1)="H",VLOOKUP($D52,'SPC background (hide)'!$AG$2:$AS$54,13,0),E52*1.1)</f>
        <v>#N/A</v>
      </c>
      <c r="G52" s="5" t="str">
        <f>IF(Setup!$I$15="Yes",VLOOKUP(D52,'SPC background (hide)'!$AG$2:$AT$54,14,0)/IF(Summary!$C$8="Patients",'Summary Calculations (hide)'!$I$9,1),"")</f>
        <v/>
      </c>
      <c r="H52" s="67" t="str">
        <f>IF(Setup!$I$13="Yes",'Planned background (hide)'!$V$23/IF(Summary!$C$8="Patients",'Summary Calculations (hide)'!$I$9,1),"")</f>
        <v/>
      </c>
      <c r="I52" s="5">
        <f ca="1">IFERROR(HLOOKUP(A52,'Capacity calculation (hide)'!$BK$1:$DK$4,4,0),Capacity!$I$15)</f>
        <v>0</v>
      </c>
      <c r="J52" s="5">
        <f ca="1">HLOOKUP(D52,'Capacity calculation (hide)'!$BK$110:$DK$111,2,0)</f>
        <v>0</v>
      </c>
      <c r="K52" s="5">
        <f ca="1">IF(I52-IF(Setup!$I$15="Yes",$G52,0)-IF(Setup!$I$13="Yes",$H52,0)&lt;0,0,I52-IF(Setup!$I$15="Yes",$G52,0)-IF(Setup!$I$13="Yes",$H52,0))</f>
        <v>0</v>
      </c>
      <c r="L52" s="5">
        <f t="shared" ca="1" si="3"/>
        <v>0</v>
      </c>
      <c r="M52" s="5" t="e">
        <f ca="1">(IF('Demand adjustments for Covid'!$F$9="No",E52,SUM('Demand background (hide)'!DS41,'Demand background (hide)'!DV41:DW41))*(1-'Parameters calculator (hide)'!$B$43))*(1-'Parameters calculator (hide)'!$B$44+('Parameters calculator (hide)'!$B$45*'Parameters calculator (hide)'!$B$47))</f>
        <v>#N/A</v>
      </c>
      <c r="N52" s="5" t="e">
        <f ca="1">(IF('Demand adjustments for Covid'!$F$9="No",F52,SUM('Demand background (hide)'!DT41,'Demand background (hide)'!DV41:DW41))*(1-'Parameters calculator (hide)'!$B$43))*(1-'Parameters calculator (hide)'!$B$44+('Parameters calculator (hide)'!$B$45*'Parameters calculator (hide)'!$B$47))</f>
        <v>#N/A</v>
      </c>
      <c r="P52" s="5">
        <f t="shared" ca="1" si="4"/>
        <v>0</v>
      </c>
      <c r="Q52" s="5">
        <f t="shared" ca="1" si="5"/>
        <v>0</v>
      </c>
      <c r="R52" s="5">
        <f t="shared" ca="1" si="6"/>
        <v>0</v>
      </c>
      <c r="S52" s="5">
        <f t="shared" ca="1" si="7"/>
        <v>0</v>
      </c>
      <c r="T52" s="5" t="e">
        <f ca="1">M52/IF(Summary!$C$8&lt;&gt;"Patients",1,$I$9)</f>
        <v>#N/A</v>
      </c>
      <c r="U52" s="5" t="e">
        <f ca="1">((N52-M52)/IF(Summary!$C$8&lt;&gt;"Patients",1,$I$9))</f>
        <v>#N/A</v>
      </c>
      <c r="V52" s="5">
        <f t="shared" si="8"/>
        <v>0</v>
      </c>
      <c r="X52" s="5" t="e">
        <f ca="1">(VLOOKUP(D52,'SPC background (hide)'!$AG$2:$AN$54,8,0)/IF(Summary!$C$8&lt;&gt;"Patients",1,$I$9))*(1-$I$4)*(1-$I$5+($I$6*$I$7))</f>
        <v>#N/A</v>
      </c>
    </row>
    <row r="53" spans="1:24" x14ac:dyDescent="0.2">
      <c r="A53" s="87">
        <f t="shared" ca="1" si="9"/>
        <v>44774</v>
      </c>
      <c r="B53" s="67" t="str">
        <f t="shared" ca="1" si="11"/>
        <v/>
      </c>
      <c r="C53" s="67" t="str">
        <f t="shared" ca="1" si="12"/>
        <v>Aug</v>
      </c>
      <c r="D53" s="67">
        <f t="shared" ca="1" si="10"/>
        <v>31</v>
      </c>
      <c r="E53" s="5" t="e">
        <f ca="1">IF(LEFT(Demand!$C$8,1)="H",VLOOKUP($D53,'SPC background (hide)'!$AG$2:$AS$54,12,0),'Demand background (hide)'!X42)</f>
        <v>#N/A</v>
      </c>
      <c r="F53" s="5" t="e">
        <f ca="1">IF(LEFT(Demand!$C$8,1)="H",VLOOKUP($D53,'SPC background (hide)'!$AG$2:$AS$54,13,0),E53*1.1)</f>
        <v>#N/A</v>
      </c>
      <c r="G53" s="5" t="str">
        <f>IF(Setup!$I$15="Yes",VLOOKUP(D53,'SPC background (hide)'!$AG$2:$AT$54,14,0)/IF(Summary!$C$8="Patients",'Summary Calculations (hide)'!$I$9,1),"")</f>
        <v/>
      </c>
      <c r="H53" s="67" t="str">
        <f>IF(Setup!$I$13="Yes",'Planned background (hide)'!$V$23/IF(Summary!$C$8="Patients",'Summary Calculations (hide)'!$I$9,1),"")</f>
        <v/>
      </c>
      <c r="I53" s="5">
        <f ca="1">IFERROR(HLOOKUP(A53,'Capacity calculation (hide)'!$BK$1:$DK$4,4,0),Capacity!$I$15)</f>
        <v>0</v>
      </c>
      <c r="J53" s="5">
        <f ca="1">HLOOKUP(D53,'Capacity calculation (hide)'!$BK$110:$DK$111,2,0)</f>
        <v>0</v>
      </c>
      <c r="K53" s="5">
        <f ca="1">IF(I53-IF(Setup!$I$15="Yes",$G53,0)-IF(Setup!$I$13="Yes",$H53,0)&lt;0,0,I53-IF(Setup!$I$15="Yes",$G53,0)-IF(Setup!$I$13="Yes",$H53,0))</f>
        <v>0</v>
      </c>
      <c r="L53" s="5">
        <f t="shared" ca="1" si="3"/>
        <v>0</v>
      </c>
      <c r="M53" s="5" t="e">
        <f ca="1">(IF('Demand adjustments for Covid'!$F$9="No",E53,SUM('Demand background (hide)'!DS42,'Demand background (hide)'!DV42:DW42))*(1-'Parameters calculator (hide)'!$B$43))*(1-'Parameters calculator (hide)'!$B$44+('Parameters calculator (hide)'!$B$45*'Parameters calculator (hide)'!$B$47))</f>
        <v>#N/A</v>
      </c>
      <c r="N53" s="5" t="e">
        <f ca="1">(IF('Demand adjustments for Covid'!$F$9="No",F53,SUM('Demand background (hide)'!DT42,'Demand background (hide)'!DV42:DW42))*(1-'Parameters calculator (hide)'!$B$43))*(1-'Parameters calculator (hide)'!$B$44+('Parameters calculator (hide)'!$B$45*'Parameters calculator (hide)'!$B$47))</f>
        <v>#N/A</v>
      </c>
      <c r="P53" s="5">
        <f t="shared" ca="1" si="4"/>
        <v>0</v>
      </c>
      <c r="Q53" s="5">
        <f t="shared" ca="1" si="5"/>
        <v>0</v>
      </c>
      <c r="R53" s="5">
        <f t="shared" ca="1" si="6"/>
        <v>0</v>
      </c>
      <c r="S53" s="5">
        <f t="shared" ca="1" si="7"/>
        <v>0</v>
      </c>
      <c r="T53" s="5" t="e">
        <f ca="1">M53/IF(Summary!$C$8&lt;&gt;"Patients",1,$I$9)</f>
        <v>#N/A</v>
      </c>
      <c r="U53" s="5" t="e">
        <f ca="1">((N53-M53)/IF(Summary!$C$8&lt;&gt;"Patients",1,$I$9))</f>
        <v>#N/A</v>
      </c>
      <c r="V53" s="5">
        <f t="shared" si="8"/>
        <v>0</v>
      </c>
      <c r="X53" s="5" t="e">
        <f ca="1">(VLOOKUP(D53,'SPC background (hide)'!$AG$2:$AN$54,8,0)/IF(Summary!$C$8&lt;&gt;"Patients",1,$I$9))*(1-$I$4)*(1-$I$5+($I$6*$I$7))</f>
        <v>#N/A</v>
      </c>
    </row>
    <row r="54" spans="1:24" x14ac:dyDescent="0.2">
      <c r="A54" s="87">
        <f t="shared" ca="1" si="9"/>
        <v>44781</v>
      </c>
      <c r="B54" s="67" t="str">
        <f t="shared" ca="1" si="11"/>
        <v/>
      </c>
      <c r="C54" s="67" t="str">
        <f t="shared" ca="1" si="12"/>
        <v/>
      </c>
      <c r="D54" s="67">
        <f t="shared" ca="1" si="10"/>
        <v>32</v>
      </c>
      <c r="E54" s="5" t="e">
        <f ca="1">IF(LEFT(Demand!$C$8,1)="H",VLOOKUP($D54,'SPC background (hide)'!$AG$2:$AS$54,12,0),'Demand background (hide)'!X43)</f>
        <v>#N/A</v>
      </c>
      <c r="F54" s="5" t="e">
        <f ca="1">IF(LEFT(Demand!$C$8,1)="H",VLOOKUP($D54,'SPC background (hide)'!$AG$2:$AS$54,13,0),E54*1.1)</f>
        <v>#N/A</v>
      </c>
      <c r="G54" s="5" t="str">
        <f>IF(Setup!$I$15="Yes",VLOOKUP(D54,'SPC background (hide)'!$AG$2:$AT$54,14,0)/IF(Summary!$C$8="Patients",'Summary Calculations (hide)'!$I$9,1),"")</f>
        <v/>
      </c>
      <c r="H54" s="67" t="str">
        <f>IF(Setup!$I$13="Yes",'Planned background (hide)'!$V$23/IF(Summary!$C$8="Patients",'Summary Calculations (hide)'!$I$9,1),"")</f>
        <v/>
      </c>
      <c r="I54" s="5">
        <f ca="1">IFERROR(HLOOKUP(A54,'Capacity calculation (hide)'!$BK$1:$DK$4,4,0),Capacity!$I$15)</f>
        <v>0</v>
      </c>
      <c r="J54" s="5">
        <f ca="1">HLOOKUP(D54,'Capacity calculation (hide)'!$BK$110:$DK$111,2,0)</f>
        <v>0</v>
      </c>
      <c r="K54" s="5">
        <f ca="1">IF(I54-IF(Setup!$I$15="Yes",$G54,0)-IF(Setup!$I$13="Yes",$H54,0)&lt;0,0,I54-IF(Setup!$I$15="Yes",$G54,0)-IF(Setup!$I$13="Yes",$H54,0))</f>
        <v>0</v>
      </c>
      <c r="L54" s="5">
        <f t="shared" ca="1" si="3"/>
        <v>0</v>
      </c>
      <c r="M54" s="5" t="e">
        <f ca="1">(IF('Demand adjustments for Covid'!$F$9="No",E54,SUM('Demand background (hide)'!DS43,'Demand background (hide)'!DV43:DW43))*(1-'Parameters calculator (hide)'!$B$43))*(1-'Parameters calculator (hide)'!$B$44+('Parameters calculator (hide)'!$B$45*'Parameters calculator (hide)'!$B$47))</f>
        <v>#N/A</v>
      </c>
      <c r="N54" s="5" t="e">
        <f ca="1">(IF('Demand adjustments for Covid'!$F$9="No",F54,SUM('Demand background (hide)'!DT43,'Demand background (hide)'!DV43:DW43))*(1-'Parameters calculator (hide)'!$B$43))*(1-'Parameters calculator (hide)'!$B$44+('Parameters calculator (hide)'!$B$45*'Parameters calculator (hide)'!$B$47))</f>
        <v>#N/A</v>
      </c>
      <c r="P54" s="5">
        <f t="shared" ca="1" si="4"/>
        <v>0</v>
      </c>
      <c r="Q54" s="5">
        <f t="shared" ca="1" si="5"/>
        <v>0</v>
      </c>
      <c r="R54" s="5">
        <f t="shared" ca="1" si="6"/>
        <v>0</v>
      </c>
      <c r="S54" s="5">
        <f t="shared" ca="1" si="7"/>
        <v>0</v>
      </c>
      <c r="T54" s="5" t="e">
        <f ca="1">M54/IF(Summary!$C$8&lt;&gt;"Patients",1,$I$9)</f>
        <v>#N/A</v>
      </c>
      <c r="U54" s="5" t="e">
        <f ca="1">((N54-M54)/IF(Summary!$C$8&lt;&gt;"Patients",1,$I$9))</f>
        <v>#N/A</v>
      </c>
      <c r="V54" s="5">
        <f t="shared" si="8"/>
        <v>0</v>
      </c>
      <c r="X54" s="5" t="e">
        <f ca="1">(VLOOKUP(D54,'SPC background (hide)'!$AG$2:$AN$54,8,0)/IF(Summary!$C$8&lt;&gt;"Patients",1,$I$9))*(1-$I$4)*(1-$I$5+($I$6*$I$7))</f>
        <v>#N/A</v>
      </c>
    </row>
    <row r="55" spans="1:24" x14ac:dyDescent="0.2">
      <c r="A55" s="87">
        <f t="shared" ca="1" si="9"/>
        <v>44788</v>
      </c>
      <c r="B55" s="67" t="str">
        <f t="shared" ca="1" si="11"/>
        <v/>
      </c>
      <c r="C55" s="67" t="str">
        <f t="shared" ca="1" si="12"/>
        <v/>
      </c>
      <c r="D55" s="67">
        <f t="shared" ca="1" si="10"/>
        <v>33</v>
      </c>
      <c r="E55" s="5" t="e">
        <f ca="1">IF(LEFT(Demand!$C$8,1)="H",VLOOKUP($D55,'SPC background (hide)'!$AG$2:$AS$54,12,0),'Demand background (hide)'!X44)</f>
        <v>#N/A</v>
      </c>
      <c r="F55" s="5" t="e">
        <f ca="1">IF(LEFT(Demand!$C$8,1)="H",VLOOKUP($D55,'SPC background (hide)'!$AG$2:$AS$54,13,0),E55*1.1)</f>
        <v>#N/A</v>
      </c>
      <c r="G55" s="5" t="str">
        <f>IF(Setup!$I$15="Yes",VLOOKUP(D55,'SPC background (hide)'!$AG$2:$AT$54,14,0)/IF(Summary!$C$8="Patients",'Summary Calculations (hide)'!$I$9,1),"")</f>
        <v/>
      </c>
      <c r="H55" s="67" t="str">
        <f>IF(Setup!$I$13="Yes",'Planned background (hide)'!$V$23/IF(Summary!$C$8="Patients",'Summary Calculations (hide)'!$I$9,1),"")</f>
        <v/>
      </c>
      <c r="I55" s="5">
        <f ca="1">IFERROR(HLOOKUP(A55,'Capacity calculation (hide)'!$BK$1:$DK$4,4,0),Capacity!$I$15)</f>
        <v>0</v>
      </c>
      <c r="J55" s="5">
        <f ca="1">HLOOKUP(D55,'Capacity calculation (hide)'!$BK$110:$DK$111,2,0)</f>
        <v>0</v>
      </c>
      <c r="K55" s="5">
        <f ca="1">IF(I55-IF(Setup!$I$15="Yes",$G55,0)-IF(Setup!$I$13="Yes",$H55,0)&lt;0,0,I55-IF(Setup!$I$15="Yes",$G55,0)-IF(Setup!$I$13="Yes",$H55,0))</f>
        <v>0</v>
      </c>
      <c r="L55" s="5">
        <f t="shared" ca="1" si="3"/>
        <v>0</v>
      </c>
      <c r="M55" s="5" t="e">
        <f ca="1">(IF('Demand adjustments for Covid'!$F$9="No",E55,SUM('Demand background (hide)'!DS44,'Demand background (hide)'!DV44:DW44))*(1-'Parameters calculator (hide)'!$B$43))*(1-'Parameters calculator (hide)'!$B$44+('Parameters calculator (hide)'!$B$45*'Parameters calculator (hide)'!$B$47))</f>
        <v>#N/A</v>
      </c>
      <c r="N55" s="5" t="e">
        <f ca="1">(IF('Demand adjustments for Covid'!$F$9="No",F55,SUM('Demand background (hide)'!DT44,'Demand background (hide)'!DV44:DW44))*(1-'Parameters calculator (hide)'!$B$43))*(1-'Parameters calculator (hide)'!$B$44+('Parameters calculator (hide)'!$B$45*'Parameters calculator (hide)'!$B$47))</f>
        <v>#N/A</v>
      </c>
      <c r="P55" s="5">
        <f t="shared" ca="1" si="4"/>
        <v>0</v>
      </c>
      <c r="Q55" s="5">
        <f t="shared" ca="1" si="5"/>
        <v>0</v>
      </c>
      <c r="R55" s="5">
        <f t="shared" ca="1" si="6"/>
        <v>0</v>
      </c>
      <c r="S55" s="5">
        <f t="shared" ca="1" si="7"/>
        <v>0</v>
      </c>
      <c r="T55" s="5" t="e">
        <f ca="1">M55/IF(Summary!$C$8&lt;&gt;"Patients",1,$I$9)</f>
        <v>#N/A</v>
      </c>
      <c r="U55" s="5" t="e">
        <f ca="1">((N55-M55)/IF(Summary!$C$8&lt;&gt;"Patients",1,$I$9))</f>
        <v>#N/A</v>
      </c>
      <c r="V55" s="5">
        <f t="shared" si="8"/>
        <v>0</v>
      </c>
      <c r="X55" s="5" t="e">
        <f ca="1">(VLOOKUP(D55,'SPC background (hide)'!$AG$2:$AN$54,8,0)/IF(Summary!$C$8&lt;&gt;"Patients",1,$I$9))*(1-$I$4)*(1-$I$5+($I$6*$I$7))</f>
        <v>#N/A</v>
      </c>
    </row>
    <row r="56" spans="1:24" x14ac:dyDescent="0.2">
      <c r="A56" s="87">
        <f t="shared" ca="1" si="9"/>
        <v>44795</v>
      </c>
      <c r="B56" s="67" t="str">
        <f t="shared" ca="1" si="11"/>
        <v/>
      </c>
      <c r="C56" s="67" t="str">
        <f t="shared" ca="1" si="12"/>
        <v/>
      </c>
      <c r="D56" s="67">
        <f t="shared" ca="1" si="10"/>
        <v>34</v>
      </c>
      <c r="E56" s="5" t="e">
        <f ca="1">IF(LEFT(Demand!$C$8,1)="H",VLOOKUP($D56,'SPC background (hide)'!$AG$2:$AS$54,12,0),'Demand background (hide)'!X45)</f>
        <v>#N/A</v>
      </c>
      <c r="F56" s="5" t="e">
        <f ca="1">IF(LEFT(Demand!$C$8,1)="H",VLOOKUP($D56,'SPC background (hide)'!$AG$2:$AS$54,13,0),E56*1.1)</f>
        <v>#N/A</v>
      </c>
      <c r="G56" s="5" t="str">
        <f>IF(Setup!$I$15="Yes",VLOOKUP(D56,'SPC background (hide)'!$AG$2:$AT$54,14,0)/IF(Summary!$C$8="Patients",'Summary Calculations (hide)'!$I$9,1),"")</f>
        <v/>
      </c>
      <c r="H56" s="67" t="str">
        <f>IF(Setup!$I$13="Yes",'Planned background (hide)'!$V$23/IF(Summary!$C$8="Patients",'Summary Calculations (hide)'!$I$9,1),"")</f>
        <v/>
      </c>
      <c r="I56" s="5">
        <f ca="1">IFERROR(HLOOKUP(A56,'Capacity calculation (hide)'!$BK$1:$DK$4,4,0),Capacity!$I$15)</f>
        <v>0</v>
      </c>
      <c r="J56" s="5">
        <f ca="1">HLOOKUP(D56,'Capacity calculation (hide)'!$BK$110:$DK$111,2,0)</f>
        <v>0</v>
      </c>
      <c r="K56" s="5">
        <f ca="1">IF(I56-IF(Setup!$I$15="Yes",$G56,0)-IF(Setup!$I$13="Yes",$H56,0)&lt;0,0,I56-IF(Setup!$I$15="Yes",$G56,0)-IF(Setup!$I$13="Yes",$H56,0))</f>
        <v>0</v>
      </c>
      <c r="L56" s="5">
        <f t="shared" ca="1" si="3"/>
        <v>0</v>
      </c>
      <c r="M56" s="5" t="e">
        <f ca="1">(IF('Demand adjustments for Covid'!$F$9="No",E56,SUM('Demand background (hide)'!DS45,'Demand background (hide)'!DV45:DW45))*(1-'Parameters calculator (hide)'!$B$43))*(1-'Parameters calculator (hide)'!$B$44+('Parameters calculator (hide)'!$B$45*'Parameters calculator (hide)'!$B$47))</f>
        <v>#N/A</v>
      </c>
      <c r="N56" s="5" t="e">
        <f ca="1">(IF('Demand adjustments for Covid'!$F$9="No",F56,SUM('Demand background (hide)'!DT45,'Demand background (hide)'!DV45:DW45))*(1-'Parameters calculator (hide)'!$B$43))*(1-'Parameters calculator (hide)'!$B$44+('Parameters calculator (hide)'!$B$45*'Parameters calculator (hide)'!$B$47))</f>
        <v>#N/A</v>
      </c>
      <c r="P56" s="5">
        <f t="shared" ca="1" si="4"/>
        <v>0</v>
      </c>
      <c r="Q56" s="5">
        <f t="shared" ca="1" si="5"/>
        <v>0</v>
      </c>
      <c r="R56" s="5">
        <f t="shared" ca="1" si="6"/>
        <v>0</v>
      </c>
      <c r="S56" s="5">
        <f t="shared" ca="1" si="7"/>
        <v>0</v>
      </c>
      <c r="T56" s="5" t="e">
        <f ca="1">M56/IF(Summary!$C$8&lt;&gt;"Patients",1,$I$9)</f>
        <v>#N/A</v>
      </c>
      <c r="U56" s="5" t="e">
        <f ca="1">((N56-M56)/IF(Summary!$C$8&lt;&gt;"Patients",1,$I$9))</f>
        <v>#N/A</v>
      </c>
      <c r="V56" s="5">
        <f t="shared" si="8"/>
        <v>0</v>
      </c>
      <c r="X56" s="5" t="e">
        <f ca="1">(VLOOKUP(D56,'SPC background (hide)'!$AG$2:$AN$54,8,0)/IF(Summary!$C$8&lt;&gt;"Patients",1,$I$9))*(1-$I$4)*(1-$I$5+($I$6*$I$7))</f>
        <v>#N/A</v>
      </c>
    </row>
    <row r="57" spans="1:24" x14ac:dyDescent="0.2">
      <c r="A57" s="87">
        <f t="shared" ca="1" si="9"/>
        <v>44802</v>
      </c>
      <c r="B57" s="67" t="str">
        <f t="shared" ca="1" si="11"/>
        <v/>
      </c>
      <c r="C57" s="67" t="str">
        <f t="shared" ca="1" si="12"/>
        <v/>
      </c>
      <c r="D57" s="67">
        <f t="shared" ca="1" si="10"/>
        <v>35</v>
      </c>
      <c r="E57" s="5" t="e">
        <f ca="1">IF(LEFT(Demand!$C$8,1)="H",VLOOKUP($D57,'SPC background (hide)'!$AG$2:$AS$54,12,0),'Demand background (hide)'!X46)</f>
        <v>#N/A</v>
      </c>
      <c r="F57" s="5" t="e">
        <f ca="1">IF(LEFT(Demand!$C$8,1)="H",VLOOKUP($D57,'SPC background (hide)'!$AG$2:$AS$54,13,0),E57*1.1)</f>
        <v>#N/A</v>
      </c>
      <c r="G57" s="5" t="str">
        <f>IF(Setup!$I$15="Yes",VLOOKUP(D57,'SPC background (hide)'!$AG$2:$AT$54,14,0)/IF(Summary!$C$8="Patients",'Summary Calculations (hide)'!$I$9,1),"")</f>
        <v/>
      </c>
      <c r="H57" s="67" t="str">
        <f>IF(Setup!$I$13="Yes",'Planned background (hide)'!$V$23/IF(Summary!$C$8="Patients",'Summary Calculations (hide)'!$I$9,1),"")</f>
        <v/>
      </c>
      <c r="I57" s="5">
        <f ca="1">IFERROR(HLOOKUP(A57,'Capacity calculation (hide)'!$BK$1:$DK$4,4,0),Capacity!$I$15)</f>
        <v>0</v>
      </c>
      <c r="J57" s="5">
        <f ca="1">HLOOKUP(D57,'Capacity calculation (hide)'!$BK$110:$DK$111,2,0)</f>
        <v>0</v>
      </c>
      <c r="K57" s="5">
        <f ca="1">IF(I57-IF(Setup!$I$15="Yes",$G57,0)-IF(Setup!$I$13="Yes",$H57,0)&lt;0,0,I57-IF(Setup!$I$15="Yes",$G57,0)-IF(Setup!$I$13="Yes",$H57,0))</f>
        <v>0</v>
      </c>
      <c r="L57" s="5">
        <f t="shared" ca="1" si="3"/>
        <v>0</v>
      </c>
      <c r="M57" s="5" t="e">
        <f ca="1">(IF('Demand adjustments for Covid'!$F$9="No",E57,SUM('Demand background (hide)'!DS46,'Demand background (hide)'!DV46:DW46))*(1-'Parameters calculator (hide)'!$B$43))*(1-'Parameters calculator (hide)'!$B$44+('Parameters calculator (hide)'!$B$45*'Parameters calculator (hide)'!$B$47))</f>
        <v>#N/A</v>
      </c>
      <c r="N57" s="5" t="e">
        <f ca="1">(IF('Demand adjustments for Covid'!$F$9="No",F57,SUM('Demand background (hide)'!DT46,'Demand background (hide)'!DV46:DW46))*(1-'Parameters calculator (hide)'!$B$43))*(1-'Parameters calculator (hide)'!$B$44+('Parameters calculator (hide)'!$B$45*'Parameters calculator (hide)'!$B$47))</f>
        <v>#N/A</v>
      </c>
      <c r="P57" s="5">
        <f t="shared" ca="1" si="4"/>
        <v>0</v>
      </c>
      <c r="Q57" s="5">
        <f t="shared" ca="1" si="5"/>
        <v>0</v>
      </c>
      <c r="R57" s="5">
        <f t="shared" ca="1" si="6"/>
        <v>0</v>
      </c>
      <c r="S57" s="5">
        <f t="shared" ca="1" si="7"/>
        <v>0</v>
      </c>
      <c r="T57" s="5" t="e">
        <f ca="1">M57/IF(Summary!$C$8&lt;&gt;"Patients",1,$I$9)</f>
        <v>#N/A</v>
      </c>
      <c r="U57" s="5" t="e">
        <f ca="1">((N57-M57)/IF(Summary!$C$8&lt;&gt;"Patients",1,$I$9))</f>
        <v>#N/A</v>
      </c>
      <c r="V57" s="5">
        <f t="shared" si="8"/>
        <v>0</v>
      </c>
      <c r="X57" s="5" t="e">
        <f ca="1">(VLOOKUP(D57,'SPC background (hide)'!$AG$2:$AN$54,8,0)/IF(Summary!$C$8&lt;&gt;"Patients",1,$I$9))*(1-$I$4)*(1-$I$5+($I$6*$I$7))</f>
        <v>#N/A</v>
      </c>
    </row>
    <row r="58" spans="1:24" x14ac:dyDescent="0.2">
      <c r="A58" s="87">
        <f t="shared" ca="1" si="9"/>
        <v>44809</v>
      </c>
      <c r="B58" s="67" t="str">
        <f t="shared" ca="1" si="11"/>
        <v/>
      </c>
      <c r="C58" s="67" t="str">
        <f t="shared" ca="1" si="12"/>
        <v>Sep</v>
      </c>
      <c r="D58" s="67">
        <f t="shared" ca="1" si="10"/>
        <v>36</v>
      </c>
      <c r="E58" s="5" t="e">
        <f ca="1">IF(LEFT(Demand!$C$8,1)="H",VLOOKUP($D58,'SPC background (hide)'!$AG$2:$AS$54,12,0),'Demand background (hide)'!X47)</f>
        <v>#N/A</v>
      </c>
      <c r="F58" s="5" t="e">
        <f ca="1">IF(LEFT(Demand!$C$8,1)="H",VLOOKUP($D58,'SPC background (hide)'!$AG$2:$AS$54,13,0),E58*1.1)</f>
        <v>#N/A</v>
      </c>
      <c r="G58" s="5" t="str">
        <f>IF(Setup!$I$15="Yes",VLOOKUP(D58,'SPC background (hide)'!$AG$2:$AT$54,14,0)/IF(Summary!$C$8="Patients",'Summary Calculations (hide)'!$I$9,1),"")</f>
        <v/>
      </c>
      <c r="H58" s="67" t="str">
        <f>IF(Setup!$I$13="Yes",'Planned background (hide)'!$V$23/IF(Summary!$C$8="Patients",'Summary Calculations (hide)'!$I$9,1),"")</f>
        <v/>
      </c>
      <c r="I58" s="5">
        <f ca="1">IFERROR(HLOOKUP(A58,'Capacity calculation (hide)'!$BK$1:$DK$4,4,0),Capacity!$I$15)</f>
        <v>0</v>
      </c>
      <c r="J58" s="5">
        <f ca="1">HLOOKUP(D58,'Capacity calculation (hide)'!$BK$110:$DK$111,2,0)</f>
        <v>0</v>
      </c>
      <c r="K58" s="5">
        <f ca="1">IF(I58-IF(Setup!$I$15="Yes",$G58,0)-IF(Setup!$I$13="Yes",$H58,0)&lt;0,0,I58-IF(Setup!$I$15="Yes",$G58,0)-IF(Setup!$I$13="Yes",$H58,0))</f>
        <v>0</v>
      </c>
      <c r="L58" s="5">
        <f t="shared" ca="1" si="3"/>
        <v>0</v>
      </c>
      <c r="M58" s="5" t="e">
        <f ca="1">(IF('Demand adjustments for Covid'!$F$9="No",E58,SUM('Demand background (hide)'!DS47,'Demand background (hide)'!DV47:DW47))*(1-'Parameters calculator (hide)'!$B$43))*(1-'Parameters calculator (hide)'!$B$44+('Parameters calculator (hide)'!$B$45*'Parameters calculator (hide)'!$B$47))</f>
        <v>#N/A</v>
      </c>
      <c r="N58" s="5" t="e">
        <f ca="1">(IF('Demand adjustments for Covid'!$F$9="No",F58,SUM('Demand background (hide)'!DT47,'Demand background (hide)'!DV47:DW47))*(1-'Parameters calculator (hide)'!$B$43))*(1-'Parameters calculator (hide)'!$B$44+('Parameters calculator (hide)'!$B$45*'Parameters calculator (hide)'!$B$47))</f>
        <v>#N/A</v>
      </c>
      <c r="P58" s="5">
        <f t="shared" ca="1" si="4"/>
        <v>0</v>
      </c>
      <c r="Q58" s="5">
        <f t="shared" ca="1" si="5"/>
        <v>0</v>
      </c>
      <c r="R58" s="5">
        <f t="shared" ca="1" si="6"/>
        <v>0</v>
      </c>
      <c r="S58" s="5">
        <f t="shared" ca="1" si="7"/>
        <v>0</v>
      </c>
      <c r="T58" s="5" t="e">
        <f ca="1">M58/IF(Summary!$C$8&lt;&gt;"Patients",1,$I$9)</f>
        <v>#N/A</v>
      </c>
      <c r="U58" s="5" t="e">
        <f ca="1">((N58-M58)/IF(Summary!$C$8&lt;&gt;"Patients",1,$I$9))</f>
        <v>#N/A</v>
      </c>
      <c r="V58" s="5">
        <f t="shared" si="8"/>
        <v>0</v>
      </c>
      <c r="X58" s="5" t="e">
        <f ca="1">(VLOOKUP(D58,'SPC background (hide)'!$AG$2:$AN$54,8,0)/IF(Summary!$C$8&lt;&gt;"Patients",1,$I$9))*(1-$I$4)*(1-$I$5+($I$6*$I$7))</f>
        <v>#N/A</v>
      </c>
    </row>
    <row r="59" spans="1:24" x14ac:dyDescent="0.2">
      <c r="A59" s="87">
        <f t="shared" ca="1" si="9"/>
        <v>44816</v>
      </c>
      <c r="B59" s="67" t="str">
        <f t="shared" ca="1" si="11"/>
        <v/>
      </c>
      <c r="C59" s="67" t="str">
        <f t="shared" ca="1" si="12"/>
        <v/>
      </c>
      <c r="D59" s="67">
        <f t="shared" ca="1" si="10"/>
        <v>37</v>
      </c>
      <c r="E59" s="5" t="e">
        <f ca="1">IF(LEFT(Demand!$C$8,1)="H",VLOOKUP($D59,'SPC background (hide)'!$AG$2:$AS$54,12,0),'Demand background (hide)'!X48)</f>
        <v>#N/A</v>
      </c>
      <c r="F59" s="5" t="e">
        <f ca="1">IF(LEFT(Demand!$C$8,1)="H",VLOOKUP($D59,'SPC background (hide)'!$AG$2:$AS$54,13,0),E59*1.1)</f>
        <v>#N/A</v>
      </c>
      <c r="G59" s="5" t="str">
        <f>IF(Setup!$I$15="Yes",VLOOKUP(D59,'SPC background (hide)'!$AG$2:$AT$54,14,0)/IF(Summary!$C$8="Patients",'Summary Calculations (hide)'!$I$9,1),"")</f>
        <v/>
      </c>
      <c r="H59" s="67" t="str">
        <f>IF(Setup!$I$13="Yes",'Planned background (hide)'!$V$23/IF(Summary!$C$8="Patients",'Summary Calculations (hide)'!$I$9,1),"")</f>
        <v/>
      </c>
      <c r="I59" s="5">
        <f ca="1">IFERROR(HLOOKUP(A59,'Capacity calculation (hide)'!$BK$1:$DK$4,4,0),Capacity!$I$15)</f>
        <v>0</v>
      </c>
      <c r="J59" s="5">
        <f ca="1">HLOOKUP(D59,'Capacity calculation (hide)'!$BK$110:$DK$111,2,0)</f>
        <v>0</v>
      </c>
      <c r="K59" s="5">
        <f ca="1">IF(I59-IF(Setup!$I$15="Yes",$G59,0)-IF(Setup!$I$13="Yes",$H59,0)&lt;0,0,I59-IF(Setup!$I$15="Yes",$G59,0)-IF(Setup!$I$13="Yes",$H59,0))</f>
        <v>0</v>
      </c>
      <c r="L59" s="5">
        <f t="shared" ca="1" si="3"/>
        <v>0</v>
      </c>
      <c r="M59" s="5" t="e">
        <f ca="1">(IF('Demand adjustments for Covid'!$F$9="No",E59,SUM('Demand background (hide)'!DS48,'Demand background (hide)'!DV48:DW48))*(1-'Parameters calculator (hide)'!$B$43))*(1-'Parameters calculator (hide)'!$B$44+('Parameters calculator (hide)'!$B$45*'Parameters calculator (hide)'!$B$47))</f>
        <v>#N/A</v>
      </c>
      <c r="N59" s="5" t="e">
        <f ca="1">(IF('Demand adjustments for Covid'!$F$9="No",F59,SUM('Demand background (hide)'!DT48,'Demand background (hide)'!DV48:DW48))*(1-'Parameters calculator (hide)'!$B$43))*(1-'Parameters calculator (hide)'!$B$44+('Parameters calculator (hide)'!$B$45*'Parameters calculator (hide)'!$B$47))</f>
        <v>#N/A</v>
      </c>
      <c r="P59" s="5">
        <f t="shared" ca="1" si="4"/>
        <v>0</v>
      </c>
      <c r="Q59" s="5">
        <f t="shared" ca="1" si="5"/>
        <v>0</v>
      </c>
      <c r="R59" s="5">
        <f t="shared" ca="1" si="6"/>
        <v>0</v>
      </c>
      <c r="S59" s="5">
        <f t="shared" ca="1" si="7"/>
        <v>0</v>
      </c>
      <c r="T59" s="5" t="e">
        <f ca="1">M59/IF(Summary!$C$8&lt;&gt;"Patients",1,$I$9)</f>
        <v>#N/A</v>
      </c>
      <c r="U59" s="5" t="e">
        <f ca="1">((N59-M59)/IF(Summary!$C$8&lt;&gt;"Patients",1,$I$9))</f>
        <v>#N/A</v>
      </c>
      <c r="V59" s="5">
        <f t="shared" si="8"/>
        <v>0</v>
      </c>
      <c r="X59" s="5" t="e">
        <f ca="1">(VLOOKUP(D59,'SPC background (hide)'!$AG$2:$AN$54,8,0)/IF(Summary!$C$8&lt;&gt;"Patients",1,$I$9))*(1-$I$4)*(1-$I$5+($I$6*$I$7))</f>
        <v>#N/A</v>
      </c>
    </row>
    <row r="60" spans="1:24" x14ac:dyDescent="0.2">
      <c r="A60" s="87">
        <f t="shared" ca="1" si="9"/>
        <v>44823</v>
      </c>
      <c r="B60" s="67" t="str">
        <f t="shared" ca="1" si="11"/>
        <v/>
      </c>
      <c r="C60" s="67" t="str">
        <f t="shared" ca="1" si="12"/>
        <v/>
      </c>
      <c r="D60" s="67">
        <f t="shared" ca="1" si="10"/>
        <v>38</v>
      </c>
      <c r="E60" s="5" t="e">
        <f ca="1">IF(LEFT(Demand!$C$8,1)="H",VLOOKUP($D60,'SPC background (hide)'!$AG$2:$AS$54,12,0),'Demand background (hide)'!X49)</f>
        <v>#N/A</v>
      </c>
      <c r="F60" s="5" t="e">
        <f ca="1">IF(LEFT(Demand!$C$8,1)="H",VLOOKUP($D60,'SPC background (hide)'!$AG$2:$AS$54,13,0),E60*1.1)</f>
        <v>#N/A</v>
      </c>
      <c r="G60" s="5" t="str">
        <f>IF(Setup!$I$15="Yes",VLOOKUP(D60,'SPC background (hide)'!$AG$2:$AT$54,14,0)/IF(Summary!$C$8="Patients",'Summary Calculations (hide)'!$I$9,1),"")</f>
        <v/>
      </c>
      <c r="H60" s="67" t="str">
        <f>IF(Setup!$I$13="Yes",'Planned background (hide)'!$V$23/IF(Summary!$C$8="Patients",'Summary Calculations (hide)'!$I$9,1),"")</f>
        <v/>
      </c>
      <c r="I60" s="5">
        <f ca="1">IFERROR(HLOOKUP(A60,'Capacity calculation (hide)'!$BK$1:$DK$4,4,0),Capacity!$I$15)</f>
        <v>0</v>
      </c>
      <c r="J60" s="5">
        <f ca="1">HLOOKUP(D60,'Capacity calculation (hide)'!$BK$110:$DK$111,2,0)</f>
        <v>0</v>
      </c>
      <c r="K60" s="5">
        <f ca="1">IF(I60-IF(Setup!$I$15="Yes",$G60,0)-IF(Setup!$I$13="Yes",$H60,0)&lt;0,0,I60-IF(Setup!$I$15="Yes",$G60,0)-IF(Setup!$I$13="Yes",$H60,0))</f>
        <v>0</v>
      </c>
      <c r="L60" s="5">
        <f t="shared" ca="1" si="3"/>
        <v>0</v>
      </c>
      <c r="M60" s="5" t="e">
        <f ca="1">(IF('Demand adjustments for Covid'!$F$9="No",E60,SUM('Demand background (hide)'!DS49,'Demand background (hide)'!DV49:DW49))*(1-'Parameters calculator (hide)'!$B$43))*(1-'Parameters calculator (hide)'!$B$44+('Parameters calculator (hide)'!$B$45*'Parameters calculator (hide)'!$B$47))</f>
        <v>#N/A</v>
      </c>
      <c r="N60" s="5" t="e">
        <f ca="1">(IF('Demand adjustments for Covid'!$F$9="No",F60,SUM('Demand background (hide)'!DT49,'Demand background (hide)'!DV49:DW49))*(1-'Parameters calculator (hide)'!$B$43))*(1-'Parameters calculator (hide)'!$B$44+('Parameters calculator (hide)'!$B$45*'Parameters calculator (hide)'!$B$47))</f>
        <v>#N/A</v>
      </c>
      <c r="P60" s="5">
        <f t="shared" ca="1" si="4"/>
        <v>0</v>
      </c>
      <c r="Q60" s="5">
        <f t="shared" ca="1" si="5"/>
        <v>0</v>
      </c>
      <c r="R60" s="5">
        <f t="shared" ca="1" si="6"/>
        <v>0</v>
      </c>
      <c r="S60" s="5">
        <f t="shared" ca="1" si="7"/>
        <v>0</v>
      </c>
      <c r="T60" s="5" t="e">
        <f ca="1">M60/IF(Summary!$C$8&lt;&gt;"Patients",1,$I$9)</f>
        <v>#N/A</v>
      </c>
      <c r="U60" s="5" t="e">
        <f ca="1">((N60-M60)/IF(Summary!$C$8&lt;&gt;"Patients",1,$I$9))</f>
        <v>#N/A</v>
      </c>
      <c r="V60" s="5">
        <f t="shared" si="8"/>
        <v>0</v>
      </c>
      <c r="X60" s="5" t="e">
        <f ca="1">(VLOOKUP(D60,'SPC background (hide)'!$AG$2:$AN$54,8,0)/IF(Summary!$C$8&lt;&gt;"Patients",1,$I$9))*(1-$I$4)*(1-$I$5+($I$6*$I$7))</f>
        <v>#N/A</v>
      </c>
    </row>
    <row r="61" spans="1:24" x14ac:dyDescent="0.2">
      <c r="A61" s="87">
        <f t="shared" ca="1" si="9"/>
        <v>44830</v>
      </c>
      <c r="B61" s="67" t="str">
        <f t="shared" ca="1" si="11"/>
        <v/>
      </c>
      <c r="C61" s="67" t="str">
        <f t="shared" ca="1" si="12"/>
        <v/>
      </c>
      <c r="D61" s="67">
        <f t="shared" ca="1" si="10"/>
        <v>39</v>
      </c>
      <c r="E61" s="5" t="e">
        <f ca="1">IF(LEFT(Demand!$C$8,1)="H",VLOOKUP($D61,'SPC background (hide)'!$AG$2:$AS$54,12,0),'Demand background (hide)'!X50)</f>
        <v>#N/A</v>
      </c>
      <c r="F61" s="5" t="e">
        <f ca="1">IF(LEFT(Demand!$C$8,1)="H",VLOOKUP($D61,'SPC background (hide)'!$AG$2:$AS$54,13,0),E61*1.1)</f>
        <v>#N/A</v>
      </c>
      <c r="G61" s="5" t="str">
        <f>IF(Setup!$I$15="Yes",VLOOKUP(D61,'SPC background (hide)'!$AG$2:$AT$54,14,0)/IF(Summary!$C$8="Patients",'Summary Calculations (hide)'!$I$9,1),"")</f>
        <v/>
      </c>
      <c r="H61" s="67" t="str">
        <f>IF(Setup!$I$13="Yes",'Planned background (hide)'!$V$23/IF(Summary!$C$8="Patients",'Summary Calculations (hide)'!$I$9,1),"")</f>
        <v/>
      </c>
      <c r="I61" s="5">
        <f ca="1">IFERROR(HLOOKUP(A61,'Capacity calculation (hide)'!$BK$1:$DK$4,4,0),Capacity!$I$15)</f>
        <v>0</v>
      </c>
      <c r="J61" s="5">
        <f ca="1">HLOOKUP(D61,'Capacity calculation (hide)'!$BK$110:$DK$111,2,0)</f>
        <v>0</v>
      </c>
      <c r="K61" s="5">
        <f ca="1">IF(I61-IF(Setup!$I$15="Yes",$G61,0)-IF(Setup!$I$13="Yes",$H61,0)&lt;0,0,I61-IF(Setup!$I$15="Yes",$G61,0)-IF(Setup!$I$13="Yes",$H61,0))</f>
        <v>0</v>
      </c>
      <c r="L61" s="5">
        <f t="shared" ca="1" si="3"/>
        <v>0</v>
      </c>
      <c r="M61" s="5" t="e">
        <f ca="1">(IF('Demand adjustments for Covid'!$F$9="No",E61,SUM('Demand background (hide)'!DS50,'Demand background (hide)'!DV50:DW50))*(1-'Parameters calculator (hide)'!$B$43))*(1-'Parameters calculator (hide)'!$B$44+('Parameters calculator (hide)'!$B$45*'Parameters calculator (hide)'!$B$47))</f>
        <v>#N/A</v>
      </c>
      <c r="N61" s="5" t="e">
        <f ca="1">(IF('Demand adjustments for Covid'!$F$9="No",F61,SUM('Demand background (hide)'!DT50,'Demand background (hide)'!DV50:DW50))*(1-'Parameters calculator (hide)'!$B$43))*(1-'Parameters calculator (hide)'!$B$44+('Parameters calculator (hide)'!$B$45*'Parameters calculator (hide)'!$B$47))</f>
        <v>#N/A</v>
      </c>
      <c r="P61" s="5">
        <f t="shared" ca="1" si="4"/>
        <v>0</v>
      </c>
      <c r="Q61" s="5">
        <f t="shared" ca="1" si="5"/>
        <v>0</v>
      </c>
      <c r="R61" s="5">
        <f t="shared" ca="1" si="6"/>
        <v>0</v>
      </c>
      <c r="S61" s="5">
        <f t="shared" ca="1" si="7"/>
        <v>0</v>
      </c>
      <c r="T61" s="5" t="e">
        <f ca="1">M61/IF(Summary!$C$8&lt;&gt;"Patients",1,$I$9)</f>
        <v>#N/A</v>
      </c>
      <c r="U61" s="5" t="e">
        <f ca="1">((N61-M61)/IF(Summary!$C$8&lt;&gt;"Patients",1,$I$9))</f>
        <v>#N/A</v>
      </c>
      <c r="V61" s="5">
        <f t="shared" si="8"/>
        <v>0</v>
      </c>
      <c r="X61" s="5" t="e">
        <f ca="1">(VLOOKUP(D61,'SPC background (hide)'!$AG$2:$AN$54,8,0)/IF(Summary!$C$8&lt;&gt;"Patients",1,$I$9))*(1-$I$4)*(1-$I$5+($I$6*$I$7))</f>
        <v>#N/A</v>
      </c>
    </row>
    <row r="62" spans="1:24" x14ac:dyDescent="0.2">
      <c r="A62" s="87">
        <f t="shared" ca="1" si="9"/>
        <v>44837</v>
      </c>
      <c r="B62" s="67" t="str">
        <f t="shared" ca="1" si="11"/>
        <v/>
      </c>
      <c r="C62" s="67" t="str">
        <f t="shared" ca="1" si="12"/>
        <v>Oct</v>
      </c>
      <c r="D62" s="67">
        <f t="shared" ca="1" si="10"/>
        <v>40</v>
      </c>
      <c r="E62" s="5" t="e">
        <f ca="1">IF(LEFT(Demand!$C$8,1)="H",VLOOKUP($D62,'SPC background (hide)'!$AG$2:$AS$54,12,0),'Demand background (hide)'!X51)</f>
        <v>#N/A</v>
      </c>
      <c r="F62" s="5" t="e">
        <f ca="1">IF(LEFT(Demand!$C$8,1)="H",VLOOKUP($D62,'SPC background (hide)'!$AG$2:$AS$54,13,0),E62*1.1)</f>
        <v>#N/A</v>
      </c>
      <c r="G62" s="5" t="str">
        <f>IF(Setup!$I$15="Yes",VLOOKUP(D62,'SPC background (hide)'!$AG$2:$AT$54,14,0)/IF(Summary!$C$8="Patients",'Summary Calculations (hide)'!$I$9,1),"")</f>
        <v/>
      </c>
      <c r="H62" s="67" t="str">
        <f>IF(Setup!$I$13="Yes",'Planned background (hide)'!$V$23/IF(Summary!$C$8="Patients",'Summary Calculations (hide)'!$I$9,1),"")</f>
        <v/>
      </c>
      <c r="I62" s="5">
        <f ca="1">IFERROR(HLOOKUP(A62,'Capacity calculation (hide)'!$BK$1:$DK$4,4,0),Capacity!$I$15)</f>
        <v>0</v>
      </c>
      <c r="J62" s="5">
        <f ca="1">HLOOKUP(D62,'Capacity calculation (hide)'!$BK$110:$DK$111,2,0)</f>
        <v>0</v>
      </c>
      <c r="K62" s="5">
        <f ca="1">IF(I62-IF(Setup!$I$15="Yes",$G62,0)-IF(Setup!$I$13="Yes",$H62,0)&lt;0,0,I62-IF(Setup!$I$15="Yes",$G62,0)-IF(Setup!$I$13="Yes",$H62,0))</f>
        <v>0</v>
      </c>
      <c r="L62" s="5">
        <f t="shared" ca="1" si="3"/>
        <v>0</v>
      </c>
      <c r="M62" s="5" t="e">
        <f ca="1">(IF('Demand adjustments for Covid'!$F$9="No",E62,SUM('Demand background (hide)'!DS51,'Demand background (hide)'!DV51:DW51))*(1-'Parameters calculator (hide)'!$B$43))*(1-'Parameters calculator (hide)'!$B$44+('Parameters calculator (hide)'!$B$45*'Parameters calculator (hide)'!$B$47))</f>
        <v>#N/A</v>
      </c>
      <c r="N62" s="5" t="e">
        <f ca="1">(IF('Demand adjustments for Covid'!$F$9="No",F62,SUM('Demand background (hide)'!DT51,'Demand background (hide)'!DV51:DW51))*(1-'Parameters calculator (hide)'!$B$43))*(1-'Parameters calculator (hide)'!$B$44+('Parameters calculator (hide)'!$B$45*'Parameters calculator (hide)'!$B$47))</f>
        <v>#N/A</v>
      </c>
      <c r="P62" s="5">
        <f t="shared" ca="1" si="4"/>
        <v>0</v>
      </c>
      <c r="Q62" s="5">
        <f t="shared" ca="1" si="5"/>
        <v>0</v>
      </c>
      <c r="R62" s="5">
        <f t="shared" ca="1" si="6"/>
        <v>0</v>
      </c>
      <c r="S62" s="5">
        <f t="shared" ca="1" si="7"/>
        <v>0</v>
      </c>
      <c r="T62" s="5" t="e">
        <f ca="1">M62/IF(Summary!$C$8&lt;&gt;"Patients",1,$I$9)</f>
        <v>#N/A</v>
      </c>
      <c r="U62" s="5" t="e">
        <f ca="1">((N62-M62)/IF(Summary!$C$8&lt;&gt;"Patients",1,$I$9))</f>
        <v>#N/A</v>
      </c>
      <c r="V62" s="5">
        <f t="shared" si="8"/>
        <v>0</v>
      </c>
      <c r="X62" s="5" t="e">
        <f ca="1">(VLOOKUP(D62,'SPC background (hide)'!$AG$2:$AN$54,8,0)/IF(Summary!$C$8&lt;&gt;"Patients",1,$I$9))*(1-$I$4)*(1-$I$5+($I$6*$I$7))</f>
        <v>#N/A</v>
      </c>
    </row>
    <row r="63" spans="1:24" x14ac:dyDescent="0.2">
      <c r="A63" s="87">
        <f t="shared" ca="1" si="9"/>
        <v>44844</v>
      </c>
      <c r="B63" s="67" t="str">
        <f t="shared" ca="1" si="11"/>
        <v/>
      </c>
      <c r="C63" s="67" t="str">
        <f t="shared" ca="1" si="12"/>
        <v/>
      </c>
      <c r="D63" s="67">
        <f t="shared" ca="1" si="10"/>
        <v>41</v>
      </c>
      <c r="E63" s="5" t="e">
        <f ca="1">IF(LEFT(Demand!$C$8,1)="H",VLOOKUP($D63,'SPC background (hide)'!$AG$2:$AS$54,12,0),'Demand background (hide)'!X52)</f>
        <v>#N/A</v>
      </c>
      <c r="F63" s="5" t="e">
        <f ca="1">IF(LEFT(Demand!$C$8,1)="H",VLOOKUP($D63,'SPC background (hide)'!$AG$2:$AS$54,13,0),E63*1.1)</f>
        <v>#N/A</v>
      </c>
      <c r="G63" s="5" t="str">
        <f>IF(Setup!$I$15="Yes",VLOOKUP(D63,'SPC background (hide)'!$AG$2:$AT$54,14,0)/IF(Summary!$C$8="Patients",'Summary Calculations (hide)'!$I$9,1),"")</f>
        <v/>
      </c>
      <c r="H63" s="67" t="str">
        <f>IF(Setup!$I$13="Yes",'Planned background (hide)'!$V$23/IF(Summary!$C$8="Patients",'Summary Calculations (hide)'!$I$9,1),"")</f>
        <v/>
      </c>
      <c r="I63" s="5">
        <f ca="1">IFERROR(HLOOKUP(A63,'Capacity calculation (hide)'!$BK$1:$DK$4,4,0),Capacity!$I$15)</f>
        <v>0</v>
      </c>
      <c r="J63" s="5">
        <f ca="1">HLOOKUP(D63,'Capacity calculation (hide)'!$BK$110:$DK$111,2,0)</f>
        <v>0</v>
      </c>
      <c r="K63" s="5">
        <f ca="1">IF(I63-IF(Setup!$I$15="Yes",$G63,0)-IF(Setup!$I$13="Yes",$H63,0)&lt;0,0,I63-IF(Setup!$I$15="Yes",$G63,0)-IF(Setup!$I$13="Yes",$H63,0))</f>
        <v>0</v>
      </c>
      <c r="L63" s="5">
        <f t="shared" ca="1" si="3"/>
        <v>0</v>
      </c>
      <c r="M63" s="5" t="e">
        <f ca="1">(IF('Demand adjustments for Covid'!$F$9="No",E63,SUM('Demand background (hide)'!DS52,'Demand background (hide)'!DV52:DW52))*(1-'Parameters calculator (hide)'!$B$43))*(1-'Parameters calculator (hide)'!$B$44+('Parameters calculator (hide)'!$B$45*'Parameters calculator (hide)'!$B$47))</f>
        <v>#N/A</v>
      </c>
      <c r="N63" s="5" t="e">
        <f ca="1">(IF('Demand adjustments for Covid'!$F$9="No",F63,SUM('Demand background (hide)'!DT52,'Demand background (hide)'!DV52:DW52))*(1-'Parameters calculator (hide)'!$B$43))*(1-'Parameters calculator (hide)'!$B$44+('Parameters calculator (hide)'!$B$45*'Parameters calculator (hide)'!$B$47))</f>
        <v>#N/A</v>
      </c>
      <c r="P63" s="5">
        <f t="shared" ca="1" si="4"/>
        <v>0</v>
      </c>
      <c r="Q63" s="5">
        <f t="shared" ca="1" si="5"/>
        <v>0</v>
      </c>
      <c r="R63" s="5">
        <f t="shared" ca="1" si="6"/>
        <v>0</v>
      </c>
      <c r="S63" s="5">
        <f t="shared" ca="1" si="7"/>
        <v>0</v>
      </c>
      <c r="T63" s="5" t="e">
        <f ca="1">M63/IF(Summary!$C$8&lt;&gt;"Patients",1,$I$9)</f>
        <v>#N/A</v>
      </c>
      <c r="U63" s="5" t="e">
        <f ca="1">((N63-M63)/IF(Summary!$C$8&lt;&gt;"Patients",1,$I$9))</f>
        <v>#N/A</v>
      </c>
      <c r="V63" s="5">
        <f t="shared" si="8"/>
        <v>0</v>
      </c>
      <c r="X63" s="5" t="e">
        <f ca="1">(VLOOKUP(D63,'SPC background (hide)'!$AG$2:$AN$54,8,0)/IF(Summary!$C$8&lt;&gt;"Patients",1,$I$9))*(1-$I$4)*(1-$I$5+($I$6*$I$7))</f>
        <v>#N/A</v>
      </c>
    </row>
    <row r="64" spans="1:24" x14ac:dyDescent="0.2">
      <c r="A64" s="87">
        <f t="shared" ca="1" si="9"/>
        <v>44851</v>
      </c>
      <c r="B64" s="67" t="str">
        <f t="shared" ca="1" si="11"/>
        <v/>
      </c>
      <c r="C64" s="67" t="str">
        <f t="shared" ca="1" si="12"/>
        <v/>
      </c>
      <c r="D64" s="67">
        <f t="shared" ca="1" si="10"/>
        <v>42</v>
      </c>
      <c r="E64" s="5" t="e">
        <f ca="1">IF(LEFT(Demand!$C$8,1)="H",VLOOKUP($D64,'SPC background (hide)'!$AG$2:$AS$54,12,0),'Demand background (hide)'!X53)</f>
        <v>#N/A</v>
      </c>
      <c r="F64" s="5" t="e">
        <f ca="1">IF(LEFT(Demand!$C$8,1)="H",VLOOKUP($D64,'SPC background (hide)'!$AG$2:$AS$54,13,0),E64*1.1)</f>
        <v>#N/A</v>
      </c>
      <c r="G64" s="5" t="str">
        <f>IF(Setup!$I$15="Yes",VLOOKUP(D64,'SPC background (hide)'!$AG$2:$AT$54,14,0)/IF(Summary!$C$8="Patients",'Summary Calculations (hide)'!$I$9,1),"")</f>
        <v/>
      </c>
      <c r="H64" s="67" t="str">
        <f>IF(Setup!$I$13="Yes",'Planned background (hide)'!$V$23/IF(Summary!$C$8="Patients",'Summary Calculations (hide)'!$I$9,1),"")</f>
        <v/>
      </c>
      <c r="I64" s="5">
        <f ca="1">IFERROR(HLOOKUP(A64,'Capacity calculation (hide)'!$BK$1:$DK$4,4,0),Capacity!$I$15)</f>
        <v>0</v>
      </c>
      <c r="J64" s="5">
        <f ca="1">HLOOKUP(D64,'Capacity calculation (hide)'!$BK$110:$DK$111,2,0)</f>
        <v>0</v>
      </c>
      <c r="K64" s="5">
        <f ca="1">IF(I64-IF(Setup!$I$15="Yes",$G64,0)-IF(Setup!$I$13="Yes",$H64,0)&lt;0,0,I64-IF(Setup!$I$15="Yes",$G64,0)-IF(Setup!$I$13="Yes",$H64,0))</f>
        <v>0</v>
      </c>
      <c r="L64" s="5">
        <f t="shared" ca="1" si="3"/>
        <v>0</v>
      </c>
      <c r="M64" s="5" t="e">
        <f ca="1">(IF('Demand adjustments for Covid'!$F$9="No",E64,SUM('Demand background (hide)'!DS53,'Demand background (hide)'!DV53:DW53))*(1-'Parameters calculator (hide)'!$B$43))*(1-'Parameters calculator (hide)'!$B$44+('Parameters calculator (hide)'!$B$45*'Parameters calculator (hide)'!$B$47))</f>
        <v>#N/A</v>
      </c>
      <c r="N64" s="5" t="e">
        <f ca="1">(IF('Demand adjustments for Covid'!$F$9="No",F64,SUM('Demand background (hide)'!DT53,'Demand background (hide)'!DV53:DW53))*(1-'Parameters calculator (hide)'!$B$43))*(1-'Parameters calculator (hide)'!$B$44+('Parameters calculator (hide)'!$B$45*'Parameters calculator (hide)'!$B$47))</f>
        <v>#N/A</v>
      </c>
      <c r="P64" s="5">
        <f t="shared" ca="1" si="4"/>
        <v>0</v>
      </c>
      <c r="Q64" s="5">
        <f t="shared" ca="1" si="5"/>
        <v>0</v>
      </c>
      <c r="R64" s="5">
        <f t="shared" ca="1" si="6"/>
        <v>0</v>
      </c>
      <c r="S64" s="5">
        <f t="shared" ca="1" si="7"/>
        <v>0</v>
      </c>
      <c r="T64" s="5" t="e">
        <f ca="1">M64/IF(Summary!$C$8&lt;&gt;"Patients",1,$I$9)</f>
        <v>#N/A</v>
      </c>
      <c r="U64" s="5" t="e">
        <f ca="1">((N64-M64)/IF(Summary!$C$8&lt;&gt;"Patients",1,$I$9))</f>
        <v>#N/A</v>
      </c>
      <c r="V64" s="5">
        <f t="shared" si="8"/>
        <v>0</v>
      </c>
      <c r="X64" s="5" t="e">
        <f ca="1">(VLOOKUP(D64,'SPC background (hide)'!$AG$2:$AN$54,8,0)/IF(Summary!$C$8&lt;&gt;"Patients",1,$I$9))*(1-$I$4)*(1-$I$5+($I$6*$I$7))</f>
        <v>#N/A</v>
      </c>
    </row>
    <row r="65" spans="1:24" x14ac:dyDescent="0.2">
      <c r="A65" s="87">
        <f t="shared" ca="1" si="9"/>
        <v>44858</v>
      </c>
      <c r="B65" s="67" t="str">
        <f t="shared" ca="1" si="11"/>
        <v/>
      </c>
      <c r="C65" s="67" t="str">
        <f t="shared" ca="1" si="12"/>
        <v/>
      </c>
      <c r="D65" s="67">
        <f t="shared" ca="1" si="10"/>
        <v>43</v>
      </c>
      <c r="E65" s="5" t="e">
        <f ca="1">IF(LEFT(Demand!$C$8,1)="H",VLOOKUP($D65,'SPC background (hide)'!$AG$2:$AS$54,12,0),'Demand background (hide)'!X54)</f>
        <v>#N/A</v>
      </c>
      <c r="F65" s="5" t="e">
        <f ca="1">IF(LEFT(Demand!$C$8,1)="H",VLOOKUP($D65,'SPC background (hide)'!$AG$2:$AS$54,13,0),E65*1.1)</f>
        <v>#N/A</v>
      </c>
      <c r="G65" s="5" t="str">
        <f>IF(Setup!$I$15="Yes",VLOOKUP(D65,'SPC background (hide)'!$AG$2:$AT$54,14,0)/IF(Summary!$C$8="Patients",'Summary Calculations (hide)'!$I$9,1),"")</f>
        <v/>
      </c>
      <c r="H65" s="67" t="str">
        <f>IF(Setup!$I$13="Yes",'Planned background (hide)'!$V$23/IF(Summary!$C$8="Patients",'Summary Calculations (hide)'!$I$9,1),"")</f>
        <v/>
      </c>
      <c r="I65" s="5">
        <f ca="1">IFERROR(HLOOKUP(A65,'Capacity calculation (hide)'!$BK$1:$DK$4,4,0),Capacity!$I$15)</f>
        <v>0</v>
      </c>
      <c r="J65" s="5">
        <f ca="1">HLOOKUP(D65,'Capacity calculation (hide)'!$BK$110:$DK$111,2,0)</f>
        <v>0</v>
      </c>
      <c r="K65" s="5">
        <f ca="1">IF(I65-IF(Setup!$I$15="Yes",$G65,0)-IF(Setup!$I$13="Yes",$H65,0)&lt;0,0,I65-IF(Setup!$I$15="Yes",$G65,0)-IF(Setup!$I$13="Yes",$H65,0))</f>
        <v>0</v>
      </c>
      <c r="L65" s="5">
        <f t="shared" ca="1" si="3"/>
        <v>0</v>
      </c>
      <c r="M65" s="5" t="e">
        <f ca="1">(IF('Demand adjustments for Covid'!$F$9="No",E65,SUM('Demand background (hide)'!DS54,'Demand background (hide)'!DV54:DW54))*(1-'Parameters calculator (hide)'!$B$43))*(1-'Parameters calculator (hide)'!$B$44+('Parameters calculator (hide)'!$B$45*'Parameters calculator (hide)'!$B$47))</f>
        <v>#N/A</v>
      </c>
      <c r="N65" s="5" t="e">
        <f ca="1">(IF('Demand adjustments for Covid'!$F$9="No",F65,SUM('Demand background (hide)'!DT54,'Demand background (hide)'!DV54:DW54))*(1-'Parameters calculator (hide)'!$B$43))*(1-'Parameters calculator (hide)'!$B$44+('Parameters calculator (hide)'!$B$45*'Parameters calculator (hide)'!$B$47))</f>
        <v>#N/A</v>
      </c>
      <c r="P65" s="5">
        <f t="shared" ca="1" si="4"/>
        <v>0</v>
      </c>
      <c r="Q65" s="5">
        <f t="shared" ca="1" si="5"/>
        <v>0</v>
      </c>
      <c r="R65" s="5">
        <f t="shared" ca="1" si="6"/>
        <v>0</v>
      </c>
      <c r="S65" s="5">
        <f t="shared" ca="1" si="7"/>
        <v>0</v>
      </c>
      <c r="T65" s="5" t="e">
        <f ca="1">M65/IF(Summary!$C$8&lt;&gt;"Patients",1,$I$9)</f>
        <v>#N/A</v>
      </c>
      <c r="U65" s="5" t="e">
        <f ca="1">((N65-M65)/IF(Summary!$C$8&lt;&gt;"Patients",1,$I$9))</f>
        <v>#N/A</v>
      </c>
      <c r="V65" s="5">
        <f t="shared" si="8"/>
        <v>0</v>
      </c>
      <c r="X65" s="5" t="e">
        <f ca="1">(VLOOKUP(D65,'SPC background (hide)'!$AG$2:$AN$54,8,0)/IF(Summary!$C$8&lt;&gt;"Patients",1,$I$9))*(1-$I$4)*(1-$I$5+($I$6*$I$7))</f>
        <v>#N/A</v>
      </c>
    </row>
    <row r="66" spans="1:24" x14ac:dyDescent="0.2">
      <c r="A66" s="87">
        <f t="shared" ca="1" si="9"/>
        <v>44865</v>
      </c>
      <c r="B66" s="67" t="str">
        <f t="shared" ca="1" si="11"/>
        <v/>
      </c>
      <c r="C66" s="67" t="str">
        <f t="shared" ca="1" si="12"/>
        <v/>
      </c>
      <c r="D66" s="67">
        <f t="shared" ca="1" si="10"/>
        <v>44</v>
      </c>
      <c r="E66" s="5" t="e">
        <f ca="1">IF(LEFT(Demand!$C$8,1)="H",VLOOKUP($D66,'SPC background (hide)'!$AG$2:$AS$54,12,0),'Demand background (hide)'!X55)</f>
        <v>#N/A</v>
      </c>
      <c r="F66" s="5" t="e">
        <f ca="1">IF(LEFT(Demand!$C$8,1)="H",VLOOKUP($D66,'SPC background (hide)'!$AG$2:$AS$54,13,0),E66*1.1)</f>
        <v>#N/A</v>
      </c>
      <c r="G66" s="5" t="str">
        <f>IF(Setup!$I$15="Yes",VLOOKUP(D66,'SPC background (hide)'!$AG$2:$AT$54,14,0)/IF(Summary!$C$8="Patients",'Summary Calculations (hide)'!$I$9,1),"")</f>
        <v/>
      </c>
      <c r="H66" s="67" t="str">
        <f>IF(Setup!$I$13="Yes",'Planned background (hide)'!$V$23/IF(Summary!$C$8="Patients",'Summary Calculations (hide)'!$I$9,1),"")</f>
        <v/>
      </c>
      <c r="I66" s="5">
        <f ca="1">IFERROR(HLOOKUP(A66,'Capacity calculation (hide)'!$BK$1:$DK$4,4,0),Capacity!$I$15)</f>
        <v>0</v>
      </c>
      <c r="J66" s="5">
        <f ca="1">HLOOKUP(D66,'Capacity calculation (hide)'!$BK$110:$DK$111,2,0)</f>
        <v>0</v>
      </c>
      <c r="K66" s="5">
        <f ca="1">IF(I66-IF(Setup!$I$15="Yes",$G66,0)-IF(Setup!$I$13="Yes",$H66,0)&lt;0,0,I66-IF(Setup!$I$15="Yes",$G66,0)-IF(Setup!$I$13="Yes",$H66,0))</f>
        <v>0</v>
      </c>
      <c r="L66" s="5">
        <f t="shared" ca="1" si="3"/>
        <v>0</v>
      </c>
      <c r="M66" s="5" t="e">
        <f ca="1">(IF('Demand adjustments for Covid'!$F$9="No",E66,SUM('Demand background (hide)'!DS55,'Demand background (hide)'!DV55:DW55))*(1-'Parameters calculator (hide)'!$B$43))*(1-'Parameters calculator (hide)'!$B$44+('Parameters calculator (hide)'!$B$45*'Parameters calculator (hide)'!$B$47))</f>
        <v>#N/A</v>
      </c>
      <c r="N66" s="5" t="e">
        <f ca="1">(IF('Demand adjustments for Covid'!$F$9="No",F66,SUM('Demand background (hide)'!DT55,'Demand background (hide)'!DV55:DW55))*(1-'Parameters calculator (hide)'!$B$43))*(1-'Parameters calculator (hide)'!$B$44+('Parameters calculator (hide)'!$B$45*'Parameters calculator (hide)'!$B$47))</f>
        <v>#N/A</v>
      </c>
      <c r="P66" s="5">
        <f t="shared" ca="1" si="4"/>
        <v>0</v>
      </c>
      <c r="Q66" s="5">
        <f t="shared" ca="1" si="5"/>
        <v>0</v>
      </c>
      <c r="R66" s="5">
        <f t="shared" ca="1" si="6"/>
        <v>0</v>
      </c>
      <c r="S66" s="5">
        <f t="shared" ca="1" si="7"/>
        <v>0</v>
      </c>
      <c r="T66" s="5" t="e">
        <f ca="1">M66/IF(Summary!$C$8&lt;&gt;"Patients",1,$I$9)</f>
        <v>#N/A</v>
      </c>
      <c r="U66" s="5" t="e">
        <f ca="1">((N66-M66)/IF(Summary!$C$8&lt;&gt;"Patients",1,$I$9))</f>
        <v>#N/A</v>
      </c>
      <c r="V66" s="5">
        <f t="shared" si="8"/>
        <v>0</v>
      </c>
      <c r="X66" s="5" t="e">
        <f ca="1">(VLOOKUP(D66,'SPC background (hide)'!$AG$2:$AN$54,8,0)/IF(Summary!$C$8&lt;&gt;"Patients",1,$I$9))*(1-$I$4)*(1-$I$5+($I$6*$I$7))</f>
        <v>#N/A</v>
      </c>
    </row>
    <row r="67" spans="1:24" x14ac:dyDescent="0.2">
      <c r="A67" s="297">
        <f t="shared" ca="1" si="9"/>
        <v>44872</v>
      </c>
      <c r="B67" s="67" t="str">
        <f t="shared" ca="1" si="11"/>
        <v/>
      </c>
      <c r="C67" s="67" t="str">
        <f t="shared" ca="1" si="12"/>
        <v>Nov</v>
      </c>
      <c r="D67" s="59">
        <f ca="1">IF(MAX(D15:D66)=53,WEEKNUM(A67,21),53)</f>
        <v>53</v>
      </c>
      <c r="E67" s="5" t="e">
        <f ca="1">VLOOKUP($D67,'SPC background (hide)'!$AG$2:$AS$54,12,0)</f>
        <v>#N/A</v>
      </c>
      <c r="F67" s="5" t="e">
        <f ca="1">VLOOKUP($D67,'SPC background (hide)'!$AG$2:$AS$54,13,0)</f>
        <v>#N/A</v>
      </c>
      <c r="G67" s="5" t="str">
        <f>IF(Setup!$I$15="Yes",VLOOKUP(D67,'SPC background (hide)'!$AG$2:$AT$54,14,0)/IF(Summary!$C$8="Patients",'Summary Calculations (hide)'!$I$9,1),"")</f>
        <v/>
      </c>
      <c r="H67" s="67" t="str">
        <f>IF(Setup!$I$13="Yes",'Planned background (hide)'!$V$23/IF(Summary!$C$8="Patients",'Summary Calculations (hide)'!$I$9,1),"")</f>
        <v/>
      </c>
      <c r="I67" s="5">
        <f ca="1">IFERROR(HLOOKUP(A67,'Capacity calculation (hide)'!$BK$1:$DK$4,4,0),Capacity!$I$15)</f>
        <v>0</v>
      </c>
      <c r="J67" s="5" t="e">
        <f ca="1">HLOOKUP(D67,'Capacity calculation (hide)'!$BK$110:$DK$111,2,0)</f>
        <v>#N/A</v>
      </c>
      <c r="K67" s="5">
        <f ca="1">IF(I67-IF(Setup!$I$15="Yes",$G67,0)-IF(Setup!$I$13="Yes",$H67,0)&lt;0,0,I67-IF(Setup!$I$15="Yes",$G67,0)-IF(Setup!$I$13="Yes",$H67,0))</f>
        <v>0</v>
      </c>
      <c r="L67" s="5" t="e">
        <f t="shared" ref="L67" ca="1" si="13">J67</f>
        <v>#N/A</v>
      </c>
      <c r="M67" s="5" t="e">
        <f ca="1">(IF('Demand adjustments for Covid'!$F$9="No",E67,SUM('Demand background (hide)'!DS56,'Demand background (hide)'!DV56:DW56))*(1-'Parameters calculator (hide)'!$B$43))*(1-'Parameters calculator (hide)'!$B$44+('Parameters calculator (hide)'!$B$45*'Parameters calculator (hide)'!$B$47))</f>
        <v>#N/A</v>
      </c>
      <c r="N67" s="5" t="e">
        <f ca="1">(IF('Demand adjustments for Covid'!$F$9="No",F67,SUM('Demand background (hide)'!DT56,'Demand background (hide)'!DV56:DW56))*(1-'Parameters calculator (hide)'!$B$43))*(1-'Parameters calculator (hide)'!$B$44+('Parameters calculator (hide)'!$B$45*'Parameters calculator (hide)'!$B$47))</f>
        <v>#N/A</v>
      </c>
      <c r="O67" s="67"/>
      <c r="P67" s="5">
        <f t="shared" ref="P67" ca="1" si="14">I67</f>
        <v>0</v>
      </c>
      <c r="Q67" s="5" t="e">
        <f t="shared" ref="Q67" ca="1" si="15">J67</f>
        <v>#N/A</v>
      </c>
      <c r="R67" s="5">
        <f t="shared" ref="R67" ca="1" si="16">IF(P67-V67&lt;0,0,P67-V67)</f>
        <v>0</v>
      </c>
      <c r="S67" s="5" t="e">
        <f t="shared" ref="S67" ca="1" si="17">IF(R67=0,IF(P67+Q67-V67&lt;0,0,P67+Q67-V67),Q67)</f>
        <v>#N/A</v>
      </c>
      <c r="T67" s="5" t="e">
        <f ca="1">M67/IF(Summary!$C$8&lt;&gt;"Patients",1,$I$9)</f>
        <v>#N/A</v>
      </c>
      <c r="U67" s="5" t="e">
        <f ca="1">((N67-M67)/IF(Summary!$C$8&lt;&gt;"Patients",1,$I$9))</f>
        <v>#N/A</v>
      </c>
      <c r="V67" s="5">
        <f t="shared" ref="V67" si="18">SUM(G67:H67)</f>
        <v>0</v>
      </c>
      <c r="W67" s="67"/>
      <c r="X67" s="5" t="e">
        <f ca="1">(VLOOKUP(D67,'SPC background (hide)'!$AG$2:$AN$54,8,0)/IF(Summary!$C$8&lt;&gt;"Patients",1,$I$9))*(1-$I$4)*(1-$I$5+($I$6*$I$7))</f>
        <v>#N/A</v>
      </c>
    </row>
    <row r="68" spans="1:24" s="67" customFormat="1" x14ac:dyDescent="0.2">
      <c r="X68" s="5"/>
    </row>
    <row r="69" spans="1:24" x14ac:dyDescent="0.2">
      <c r="X69" s="5"/>
    </row>
    <row r="70" spans="1:24" x14ac:dyDescent="0.2">
      <c r="D70" t="s">
        <v>290</v>
      </c>
      <c r="E70" s="5" t="e">
        <f ca="1">AVERAGE(E15:E67)</f>
        <v>#N/A</v>
      </c>
      <c r="F70" s="5" t="e">
        <f ca="1">AVERAGE(F15:F67)</f>
        <v>#N/A</v>
      </c>
      <c r="G70" s="5" t="str">
        <f>IF(Setup!$I$15="Yes",AVERAGE(G15:G67),"")</f>
        <v/>
      </c>
      <c r="H70" s="5" t="str">
        <f>IF(Setup!$I$13="Yes",AVERAGE(H15:H67),"")</f>
        <v/>
      </c>
      <c r="I70" s="5">
        <f ca="1">AVERAGE(I15:I67)</f>
        <v>0</v>
      </c>
      <c r="J70" s="5" t="e">
        <f ca="1">AVERAGE(J15:J67)</f>
        <v>#N/A</v>
      </c>
      <c r="K70" s="5">
        <f ca="1">AVERAGE(K15:K67)</f>
        <v>0</v>
      </c>
      <c r="L70" s="5" t="e">
        <f ca="1">AVERAGE(L15:L67)</f>
        <v>#N/A</v>
      </c>
      <c r="M70" s="104" t="e">
        <f ca="1">IF(Summary!B15=0,AVERAGE(M15:M67)/IF(Summary!$C$8&lt;&gt;"Patients",1,$I$9),AVERAGE('Planning (hide)'!C4:C55))</f>
        <v>#N/A</v>
      </c>
      <c r="N70" s="104" t="e" cm="1">
        <f t="array" aca="1" ref="N70" ca="1">IF(Summary!B15=0,AVERAGE(N15:N67)/IF(Summary!$C$8&lt;&gt;"Patients",1,$I$9),AVERAGE('Planning (hide)'!C4:C55+'Planning (hide)'!D4:D55))</f>
        <v>#N/A</v>
      </c>
      <c r="R70" s="5">
        <f ca="1">AVERAGE(R15:R67)</f>
        <v>0</v>
      </c>
      <c r="S70" s="5" t="e">
        <f ca="1">AVERAGE(S15:S67)</f>
        <v>#N/A</v>
      </c>
      <c r="V70" s="104">
        <f>IF(AND(Setup!$I$13="No",Setup!$I$15="No"),0,IF(H70&lt;&gt;"",H70,0)+IF(G70&lt;&gt;"",G70,0))</f>
        <v>0</v>
      </c>
      <c r="X70" s="5" t="e">
        <f ca="1">AVERAGE(X15:X67)</f>
        <v>#N/A</v>
      </c>
    </row>
    <row r="71" spans="1:24" x14ac:dyDescent="0.2">
      <c r="E71" s="60"/>
      <c r="I71" t="s">
        <v>308</v>
      </c>
      <c r="K71" s="104">
        <f ca="1">(K70)/IF(Summary!$C$8&lt;&gt;"Patients",1,$I$9)</f>
        <v>0</v>
      </c>
      <c r="L71" s="104" t="e">
        <f ca="1">(L70)/IF(Summary!$C$8&lt;&gt;"Patients",1,$I$9)</f>
        <v>#N/A</v>
      </c>
      <c r="M71" s="5"/>
      <c r="N71" s="5" t="e">
        <f ca="1">N70-M70</f>
        <v>#N/A</v>
      </c>
      <c r="R71" s="5">
        <f ca="1">SUM(R15:R67)</f>
        <v>0</v>
      </c>
      <c r="S71" s="5" t="e">
        <f ca="1">SUM(S15:S67)</f>
        <v>#N/A</v>
      </c>
      <c r="V71" s="5">
        <f>SUM(V15:V67)</f>
        <v>0</v>
      </c>
      <c r="X71" s="5" t="e">
        <f ca="1">SUM(X15:X67)</f>
        <v>#N/A</v>
      </c>
    </row>
    <row r="72" spans="1:24" x14ac:dyDescent="0.2">
      <c r="E72" s="5"/>
      <c r="F72" s="5"/>
      <c r="J72" s="5"/>
      <c r="K72" s="5"/>
      <c r="L72" s="5"/>
      <c r="M72" s="5"/>
      <c r="N72" s="5"/>
      <c r="X72" s="5" t="e">
        <f ca="1">AVERAGE(X15:X67)</f>
        <v>#N/A</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4.25" x14ac:dyDescent="0.2"/>
  <cols>
    <col min="1" max="1" width="27.25" bestFit="1" customWidth="1"/>
    <col min="2" max="2" width="20.75" bestFit="1" customWidth="1"/>
    <col min="3" max="3" width="60.625" bestFit="1" customWidth="1"/>
    <col min="4" max="4" width="15.25" customWidth="1"/>
    <col min="5" max="5" width="20" bestFit="1" customWidth="1"/>
    <col min="8" max="8" width="18.5" bestFit="1" customWidth="1"/>
    <col min="13" max="13" width="11.625" bestFit="1" customWidth="1"/>
    <col min="14" max="14" width="10.125" bestFit="1" customWidth="1"/>
  </cols>
  <sheetData>
    <row r="2" spans="1:29" x14ac:dyDescent="0.2">
      <c r="M2" t="s">
        <v>1128</v>
      </c>
    </row>
    <row r="3" spans="1:29" x14ac:dyDescent="0.2">
      <c r="A3" t="s">
        <v>1114</v>
      </c>
      <c r="B3" s="301">
        <f>Summary!$D$42</f>
        <v>0</v>
      </c>
      <c r="H3" t="s">
        <v>153</v>
      </c>
      <c r="I3" t="s">
        <v>148</v>
      </c>
      <c r="J3" t="s">
        <v>149</v>
      </c>
      <c r="K3" t="s">
        <v>156</v>
      </c>
      <c r="L3" t="s">
        <v>1126</v>
      </c>
      <c r="M3" t="s">
        <v>531</v>
      </c>
      <c r="N3" t="s">
        <v>1127</v>
      </c>
    </row>
    <row r="4" spans="1:29" x14ac:dyDescent="0.2">
      <c r="A4" t="s">
        <v>1115</v>
      </c>
      <c r="B4" s="301">
        <f>Summary!$D$43</f>
        <v>0</v>
      </c>
      <c r="H4">
        <v>1</v>
      </c>
      <c r="I4">
        <f>'SPC background (hide)'!L4</f>
        <v>99</v>
      </c>
      <c r="J4">
        <f ca="1">'SPC background (hide)'!M4</f>
        <v>1</v>
      </c>
      <c r="K4" s="5">
        <f ca="1">'SPC background (hide)'!O4</f>
        <v>0</v>
      </c>
      <c r="L4" t="str">
        <f ca="1">IFERROR(VLOOKUP(H4,'SPC background (hide)'!$AI$2:$AJ$54,2,FALSE),"")</f>
        <v/>
      </c>
      <c r="M4" s="5">
        <f ca="1">'SPC background (hide)'!P4</f>
        <v>0</v>
      </c>
      <c r="N4" s="5">
        <f ca="1">'SPC background (hide)'!Q4</f>
        <v>0</v>
      </c>
    </row>
    <row r="5" spans="1:29" x14ac:dyDescent="0.2">
      <c r="A5" t="s">
        <v>75</v>
      </c>
      <c r="B5" s="3" t="e">
        <f ca="1">'Summary Calculations (hide)'!I4</f>
        <v>#N/A</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
      <c r="A6" t="s">
        <v>1116</v>
      </c>
      <c r="B6" s="3" t="e">
        <f ca="1">'Summary Calculations (hide)'!I5</f>
        <v>#N/A</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
      <c r="A7" t="s">
        <v>99</v>
      </c>
      <c r="B7" s="3" t="e">
        <f ca="1">'Summary Calculations (hide)'!I6</f>
        <v>#N/A</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
      <c r="A8" t="s">
        <v>418</v>
      </c>
      <c r="B8" s="3">
        <f ca="1">'Summary Calculations (hide)'!I7</f>
        <v>1</v>
      </c>
      <c r="H8" s="67">
        <v>5</v>
      </c>
      <c r="I8" s="67">
        <f ca="1">'SPC background (hide)'!L8</f>
        <v>1</v>
      </c>
      <c r="J8" s="67">
        <f ca="1">'SPC background (hide)'!M8</f>
        <v>52</v>
      </c>
      <c r="K8" s="5">
        <f ca="1">'SPC background (hide)'!O8</f>
        <v>0</v>
      </c>
      <c r="L8" s="67">
        <f ca="1">IFERROR(VLOOKUP(H8,'SPC background (hide)'!$AI$2:$AJ$54,2,FALSE),"")</f>
        <v>0</v>
      </c>
      <c r="M8" s="5" t="str">
        <f ca="1">'SPC background (hide)'!P8</f>
        <v/>
      </c>
      <c r="N8" s="5" t="str">
        <f ca="1">'SPC background (hide)'!Q8</f>
        <v/>
      </c>
    </row>
    <row r="10" spans="1:29" x14ac:dyDescent="0.2">
      <c r="A10" t="s">
        <v>1148</v>
      </c>
      <c r="B10" s="3"/>
      <c r="H10" t="s">
        <v>1125</v>
      </c>
      <c r="T10" t="s">
        <v>1131</v>
      </c>
    </row>
    <row r="11" spans="1:29" x14ac:dyDescent="0.2">
      <c r="A11" t="s">
        <v>1117</v>
      </c>
      <c r="B11" s="3" t="e">
        <f ca="1">(1-B5)*(1-(B6+B7))</f>
        <v>#N/A</v>
      </c>
      <c r="C11" s="51" t="s">
        <v>1144</v>
      </c>
      <c r="D11" t="s">
        <v>1138</v>
      </c>
      <c r="T11" t="s">
        <v>1132</v>
      </c>
      <c r="U11" t="s">
        <v>1133</v>
      </c>
      <c r="V11" t="s">
        <v>1134</v>
      </c>
      <c r="W11" t="s">
        <v>1135</v>
      </c>
      <c r="X11" t="s">
        <v>1136</v>
      </c>
      <c r="Y11" t="s">
        <v>1137</v>
      </c>
      <c r="Z11" t="s">
        <v>156</v>
      </c>
      <c r="AA11" t="s">
        <v>1141</v>
      </c>
      <c r="AB11" t="s">
        <v>1142</v>
      </c>
      <c r="AC11" t="s">
        <v>1143</v>
      </c>
    </row>
    <row r="12" spans="1:29" x14ac:dyDescent="0.2">
      <c r="A12" t="s">
        <v>1118</v>
      </c>
      <c r="B12" s="3" t="e">
        <f ca="1">(1-B5) * (B7*B8)</f>
        <v>#N/A</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2">
      <c r="A13" t="s">
        <v>1122</v>
      </c>
      <c r="B13" s="3" t="e">
        <f ca="1">B11+B12</f>
        <v>#N/A</v>
      </c>
      <c r="C13" s="51" t="s">
        <v>1123</v>
      </c>
      <c r="H13" s="297">
        <f ca="1">'Summary Calculations (hide)'!A15</f>
        <v>44508</v>
      </c>
      <c r="I13">
        <f ca="1">'Summary Calculations (hide)'!B15</f>
        <v>2021</v>
      </c>
      <c r="J13" t="str">
        <f ca="1">'Summary Calculations (hide)'!C15</f>
        <v>Nov</v>
      </c>
      <c r="K13">
        <f ca="1">'Summary Calculations (hide)'!D15</f>
        <v>45</v>
      </c>
      <c r="L13" t="e">
        <f ca="1">VLOOKUP($K13,'SPC background (hide)'!$AG$2:$AS$54,3,0)</f>
        <v>#N/A</v>
      </c>
      <c r="M13" t="e">
        <f ca="1">((VLOOKUP(L13,$H$4:$N$8,4,FALSE)*(1-$B$5)*(1-$B$6+($B$7*$B$8))))</f>
        <v>#N/A</v>
      </c>
      <c r="N13" s="67" t="e">
        <f ca="1">((VLOOKUP(L13,$H$4:$N$8,5,FALSE)*(1-$B$5)*(1-$B$6+($B$7*$B$8))))</f>
        <v>#N/A</v>
      </c>
      <c r="R13" s="5">
        <f ca="1">(VLOOKUP(K13,'Summary Calculations (hide)'!$D$15:$L$67,8,0)+VLOOKUP(K13,'Summary Calculations (hide)'!$D$15:$L$67,9,0))*IF(Summary!$C$8="Patients",'Summary Calculations (hide)'!$I$9,1)</f>
        <v>0</v>
      </c>
      <c r="AA13" t="e">
        <f ca="1">IF(Summary!$C$8="Patients", 'Parameters calculator (hide)'!$H$63,'Parameters calculator (hide)'!$H$62)</f>
        <v>#VALUE!</v>
      </c>
      <c r="AB13" s="67" t="e">
        <f ca="1">IF(Summary!$C$8="Patients", 'Parameters calculator (hide)'!$I$63,'Parameters calculator (hide)'!$I$62)</f>
        <v>#VALUE!</v>
      </c>
      <c r="AC13" t="e">
        <f ca="1">AB13-AA13</f>
        <v>#VALUE!</v>
      </c>
    </row>
    <row r="14" spans="1:29" x14ac:dyDescent="0.2">
      <c r="A14" t="s">
        <v>1119</v>
      </c>
      <c r="B14" s="3" t="e">
        <f ca="1">1 - B7</f>
        <v>#N/A</v>
      </c>
      <c r="C14" s="51" t="s">
        <v>1146</v>
      </c>
      <c r="H14" s="297">
        <f ca="1">'Summary Calculations (hide)'!A16</f>
        <v>44515</v>
      </c>
      <c r="I14" t="str">
        <f ca="1">'Summary Calculations (hide)'!B16</f>
        <v/>
      </c>
      <c r="J14" t="str">
        <f ca="1">'Summary Calculations (hide)'!C16</f>
        <v/>
      </c>
      <c r="K14">
        <f ca="1">'Summary Calculations (hide)'!D16</f>
        <v>46</v>
      </c>
      <c r="L14" s="67" t="e">
        <f ca="1">VLOOKUP($K14,'SPC background (hide)'!$AG$2:$AS$54,3,0)</f>
        <v>#N/A</v>
      </c>
      <c r="M14" s="67" t="e">
        <f t="shared" ref="M14:M64" ca="1" si="0">((VLOOKUP(L14,$H$4:$N$8,4,FALSE)*(1-$B$5)*(1-$B$6+($B$7*$B$8))))</f>
        <v>#N/A</v>
      </c>
      <c r="N14" s="67" t="e">
        <f t="shared" ref="N14:N64" ca="1" si="1">((VLOOKUP(L14,$H$4:$N$8,5,FALSE)*(1-$B$5)*(1-$B$6+($B$7*$B$8))))</f>
        <v>#N/A</v>
      </c>
      <c r="O14" s="67"/>
      <c r="P14" s="67"/>
      <c r="Q14" s="67"/>
      <c r="R14" s="5">
        <f ca="1">(VLOOKUP(K14,'Summary Calculations (hide)'!$D$15:$L$67,8,0)+VLOOKUP(K14,'Summary Calculations (hide)'!$D$15:$L$67,9,0))*IF(Summary!$C$8="Patients",'Summary Calculations (hide)'!$I$9,1)</f>
        <v>0</v>
      </c>
      <c r="AA14" s="67" t="e">
        <f ca="1">IF(Summary!$C$8="Patients", 'Parameters calculator (hide)'!$H$63,'Parameters calculator (hide)'!$H$62)</f>
        <v>#VALUE!</v>
      </c>
      <c r="AB14" s="67" t="e">
        <f ca="1">IF(Summary!$C$8="Patients", 'Parameters calculator (hide)'!$I$63,'Parameters calculator (hide)'!$I$62)</f>
        <v>#VALUE!</v>
      </c>
      <c r="AC14" s="67" t="e">
        <f t="shared" ref="AC14:AC64" ca="1" si="2">AB14-AA14</f>
        <v>#VALUE!</v>
      </c>
    </row>
    <row r="15" spans="1:29" x14ac:dyDescent="0.2">
      <c r="A15" t="s">
        <v>1120</v>
      </c>
      <c r="B15" s="3" t="e">
        <f ca="1">B7*B8</f>
        <v>#N/A</v>
      </c>
      <c r="C15" s="51" t="s">
        <v>1147</v>
      </c>
      <c r="H15" s="297">
        <f ca="1">'Summary Calculations (hide)'!A17</f>
        <v>44522</v>
      </c>
      <c r="I15" t="str">
        <f ca="1">'Summary Calculations (hide)'!B17</f>
        <v/>
      </c>
      <c r="J15" t="str">
        <f ca="1">'Summary Calculations (hide)'!C17</f>
        <v/>
      </c>
      <c r="K15">
        <f ca="1">'Summary Calculations (hide)'!D17</f>
        <v>47</v>
      </c>
      <c r="L15" s="67" t="e">
        <f ca="1">VLOOKUP($K15,'SPC background (hide)'!$AG$2:$AS$54,3,0)</f>
        <v>#N/A</v>
      </c>
      <c r="M15" s="67" t="e">
        <f t="shared" ca="1" si="0"/>
        <v>#N/A</v>
      </c>
      <c r="N15" s="67" t="e">
        <f t="shared" ca="1" si="1"/>
        <v>#N/A</v>
      </c>
      <c r="O15" s="67"/>
      <c r="P15" s="67"/>
      <c r="Q15" s="67"/>
      <c r="R15" s="5">
        <f ca="1">(VLOOKUP(K15,'Summary Calculations (hide)'!$D$15:$L$67,8,0)+VLOOKUP(K15,'Summary Calculations (hide)'!$D$15:$L$67,9,0))*IF(Summary!$C$8="Patients",'Summary Calculations (hide)'!$I$9,1)</f>
        <v>0</v>
      </c>
      <c r="AA15" s="67" t="e">
        <f ca="1">IF(Summary!$C$8="Patients", 'Parameters calculator (hide)'!$H$63,'Parameters calculator (hide)'!$H$62)</f>
        <v>#VALUE!</v>
      </c>
      <c r="AB15" s="67" t="e">
        <f ca="1">IF(Summary!$C$8="Patients", 'Parameters calculator (hide)'!$I$63,'Parameters calculator (hide)'!$I$62)</f>
        <v>#VALUE!</v>
      </c>
      <c r="AC15" s="67" t="e">
        <f t="shared" ca="1" si="2"/>
        <v>#VALUE!</v>
      </c>
    </row>
    <row r="16" spans="1:29" x14ac:dyDescent="0.2">
      <c r="A16" t="s">
        <v>1130</v>
      </c>
      <c r="B16" s="3" t="e">
        <f ca="1">B14+B15</f>
        <v>#N/A</v>
      </c>
      <c r="C16" s="51" t="s">
        <v>1124</v>
      </c>
      <c r="H16" s="297">
        <f ca="1">'Summary Calculations (hide)'!A18</f>
        <v>44529</v>
      </c>
      <c r="I16" t="str">
        <f ca="1">'Summary Calculations (hide)'!B18</f>
        <v/>
      </c>
      <c r="J16" t="str">
        <f ca="1">'Summary Calculations (hide)'!C18</f>
        <v/>
      </c>
      <c r="K16">
        <f ca="1">'Summary Calculations (hide)'!D18</f>
        <v>48</v>
      </c>
      <c r="L16" s="67" t="e">
        <f ca="1">VLOOKUP($K16,'SPC background (hide)'!$AG$2:$AS$54,3,0)</f>
        <v>#N/A</v>
      </c>
      <c r="M16" s="67" t="e">
        <f t="shared" ca="1" si="0"/>
        <v>#N/A</v>
      </c>
      <c r="N16" s="67" t="e">
        <f t="shared" ca="1" si="1"/>
        <v>#N/A</v>
      </c>
      <c r="O16" s="67"/>
      <c r="P16" s="67"/>
      <c r="Q16" s="67"/>
      <c r="R16" s="5">
        <f ca="1">(VLOOKUP(K16,'Summary Calculations (hide)'!$D$15:$L$67,8,0)+VLOOKUP(K16,'Summary Calculations (hide)'!$D$15:$L$67,9,0))*IF(Summary!$C$8="Patients",'Summary Calculations (hide)'!$I$9,1)</f>
        <v>0</v>
      </c>
      <c r="AA16" s="67" t="e">
        <f ca="1">IF(Summary!$C$8="Patients", 'Parameters calculator (hide)'!$H$63,'Parameters calculator (hide)'!$H$62)</f>
        <v>#VALUE!</v>
      </c>
      <c r="AB16" s="67" t="e">
        <f ca="1">IF(Summary!$C$8="Patients", 'Parameters calculator (hide)'!$I$63,'Parameters calculator (hide)'!$I$62)</f>
        <v>#VALUE!</v>
      </c>
      <c r="AC16" s="67" t="e">
        <f t="shared" ca="1" si="2"/>
        <v>#VALUE!</v>
      </c>
    </row>
    <row r="17" spans="1:29" x14ac:dyDescent="0.2">
      <c r="H17" s="297">
        <f ca="1">'Summary Calculations (hide)'!A19</f>
        <v>44536</v>
      </c>
      <c r="I17" t="str">
        <f ca="1">'Summary Calculations (hide)'!B19</f>
        <v/>
      </c>
      <c r="J17" t="str">
        <f ca="1">'Summary Calculations (hide)'!C19</f>
        <v>Dec</v>
      </c>
      <c r="K17">
        <f ca="1">'Summary Calculations (hide)'!D19</f>
        <v>49</v>
      </c>
      <c r="L17" s="67" t="e">
        <f ca="1">VLOOKUP($K17,'SPC background (hide)'!$AG$2:$AS$54,3,0)</f>
        <v>#N/A</v>
      </c>
      <c r="M17" s="67" t="e">
        <f t="shared" ca="1" si="0"/>
        <v>#N/A</v>
      </c>
      <c r="N17" s="67" t="e">
        <f t="shared" ca="1" si="1"/>
        <v>#N/A</v>
      </c>
      <c r="O17" s="67"/>
      <c r="P17" s="67"/>
      <c r="Q17" s="67"/>
      <c r="R17" s="5">
        <f ca="1">(VLOOKUP(K17,'Summary Calculations (hide)'!$D$15:$L$67,8,0)+VLOOKUP(K17,'Summary Calculations (hide)'!$D$15:$L$67,9,0))*IF(Summary!$C$8="Patients",'Summary Calculations (hide)'!$I$9,1)</f>
        <v>0</v>
      </c>
      <c r="AA17" s="67" t="e">
        <f ca="1">IF(Summary!$C$8="Patients", 'Parameters calculator (hide)'!$H$63,'Parameters calculator (hide)'!$H$62)</f>
        <v>#VALUE!</v>
      </c>
      <c r="AB17" s="67" t="e">
        <f ca="1">IF(Summary!$C$8="Patients", 'Parameters calculator (hide)'!$I$63,'Parameters calculator (hide)'!$I$62)</f>
        <v>#VALUE!</v>
      </c>
      <c r="AC17" s="67" t="e">
        <f t="shared" ca="1" si="2"/>
        <v>#VALUE!</v>
      </c>
    </row>
    <row r="18" spans="1:29" x14ac:dyDescent="0.2">
      <c r="A18" s="3"/>
      <c r="B18" s="3"/>
      <c r="C18" s="3"/>
      <c r="H18" s="297">
        <f ca="1">'Summary Calculations (hide)'!A20</f>
        <v>44543</v>
      </c>
      <c r="I18" t="str">
        <f ca="1">'Summary Calculations (hide)'!B20</f>
        <v/>
      </c>
      <c r="J18" t="str">
        <f ca="1">'Summary Calculations (hide)'!C20</f>
        <v/>
      </c>
      <c r="K18">
        <f ca="1">'Summary Calculations (hide)'!D20</f>
        <v>50</v>
      </c>
      <c r="L18" s="67" t="e">
        <f ca="1">VLOOKUP($K18,'SPC background (hide)'!$AG$2:$AS$54,3,0)</f>
        <v>#N/A</v>
      </c>
      <c r="M18" s="67" t="e">
        <f t="shared" ca="1" si="0"/>
        <v>#N/A</v>
      </c>
      <c r="N18" s="67" t="e">
        <f t="shared" ca="1" si="1"/>
        <v>#N/A</v>
      </c>
      <c r="O18" s="67"/>
      <c r="P18" s="67"/>
      <c r="Q18" s="67"/>
      <c r="R18" s="5">
        <f ca="1">(VLOOKUP(K18,'Summary Calculations (hide)'!$D$15:$L$67,8,0)+VLOOKUP(K18,'Summary Calculations (hide)'!$D$15:$L$67,9,0))*IF(Summary!$C$8="Patients",'Summary Calculations (hide)'!$I$9,1)</f>
        <v>0</v>
      </c>
      <c r="AA18" s="67" t="e">
        <f ca="1">IF(Summary!$C$8="Patients", 'Parameters calculator (hide)'!$H$63,'Parameters calculator (hide)'!$H$62)</f>
        <v>#VALUE!</v>
      </c>
      <c r="AB18" s="67" t="e">
        <f ca="1">IF(Summary!$C$8="Patients", 'Parameters calculator (hide)'!$I$63,'Parameters calculator (hide)'!$I$62)</f>
        <v>#VALUE!</v>
      </c>
      <c r="AC18" s="67" t="e">
        <f t="shared" ca="1" si="2"/>
        <v>#VALUE!</v>
      </c>
    </row>
    <row r="19" spans="1:29" x14ac:dyDescent="0.2">
      <c r="A19" s="3"/>
      <c r="B19" s="3"/>
      <c r="C19" s="3"/>
      <c r="H19" s="297">
        <f ca="1">'Summary Calculations (hide)'!A21</f>
        <v>44550</v>
      </c>
      <c r="I19" t="str">
        <f ca="1">'Summary Calculations (hide)'!B21</f>
        <v/>
      </c>
      <c r="J19" t="str">
        <f ca="1">'Summary Calculations (hide)'!C21</f>
        <v/>
      </c>
      <c r="K19">
        <f ca="1">'Summary Calculations (hide)'!D21</f>
        <v>51</v>
      </c>
      <c r="L19" s="67" t="e">
        <f ca="1">VLOOKUP($K19,'SPC background (hide)'!$AG$2:$AS$54,3,0)</f>
        <v>#N/A</v>
      </c>
      <c r="M19" s="67" t="e">
        <f t="shared" ca="1" si="0"/>
        <v>#N/A</v>
      </c>
      <c r="N19" s="67" t="e">
        <f t="shared" ca="1" si="1"/>
        <v>#N/A</v>
      </c>
      <c r="O19" s="67"/>
      <c r="P19" s="67"/>
      <c r="Q19" s="67"/>
      <c r="R19" s="5">
        <f ca="1">(VLOOKUP(K19,'Summary Calculations (hide)'!$D$15:$L$67,8,0)+VLOOKUP(K19,'Summary Calculations (hide)'!$D$15:$L$67,9,0))*IF(Summary!$C$8="Patients",'Summary Calculations (hide)'!$I$9,1)</f>
        <v>0</v>
      </c>
      <c r="AA19" s="67" t="e">
        <f ca="1">IF(Summary!$C$8="Patients", 'Parameters calculator (hide)'!$H$63,'Parameters calculator (hide)'!$H$62)</f>
        <v>#VALUE!</v>
      </c>
      <c r="AB19" s="67" t="e">
        <f ca="1">IF(Summary!$C$8="Patients", 'Parameters calculator (hide)'!$I$63,'Parameters calculator (hide)'!$I$62)</f>
        <v>#VALUE!</v>
      </c>
      <c r="AC19" s="67" t="e">
        <f t="shared" ca="1" si="2"/>
        <v>#VALUE!</v>
      </c>
    </row>
    <row r="20" spans="1:29" x14ac:dyDescent="0.2">
      <c r="A20" s="3"/>
      <c r="B20" s="3"/>
      <c r="C20" s="3"/>
      <c r="H20" s="297">
        <f ca="1">'Summary Calculations (hide)'!A22</f>
        <v>44557</v>
      </c>
      <c r="I20" t="str">
        <f ca="1">'Summary Calculations (hide)'!B22</f>
        <v/>
      </c>
      <c r="J20" t="str">
        <f ca="1">'Summary Calculations (hide)'!C22</f>
        <v/>
      </c>
      <c r="K20">
        <f ca="1">'Summary Calculations (hide)'!D22</f>
        <v>52</v>
      </c>
      <c r="L20" s="67" t="e">
        <f ca="1">VLOOKUP($K20,'SPC background (hide)'!$AG$2:$AS$54,3,0)</f>
        <v>#N/A</v>
      </c>
      <c r="M20" s="67" t="e">
        <f t="shared" ca="1" si="0"/>
        <v>#N/A</v>
      </c>
      <c r="N20" s="67" t="e">
        <f t="shared" ca="1" si="1"/>
        <v>#N/A</v>
      </c>
      <c r="O20" s="67"/>
      <c r="P20" s="67"/>
      <c r="Q20" s="67"/>
      <c r="R20" s="5">
        <f ca="1">(VLOOKUP(K20,'Summary Calculations (hide)'!$D$15:$L$67,8,0)+VLOOKUP(K20,'Summary Calculations (hide)'!$D$15:$L$67,9,0))*IF(Summary!$C$8="Patients",'Summary Calculations (hide)'!$I$9,1)</f>
        <v>0</v>
      </c>
      <c r="AA20" s="67" t="e">
        <f ca="1">IF(Summary!$C$8="Patients", 'Parameters calculator (hide)'!$H$63,'Parameters calculator (hide)'!$H$62)</f>
        <v>#VALUE!</v>
      </c>
      <c r="AB20" s="67" t="e">
        <f ca="1">IF(Summary!$C$8="Patients", 'Parameters calculator (hide)'!$I$63,'Parameters calculator (hide)'!$I$62)</f>
        <v>#VALUE!</v>
      </c>
      <c r="AC20" s="67" t="e">
        <f t="shared" ca="1" si="2"/>
        <v>#VALUE!</v>
      </c>
    </row>
    <row r="21" spans="1:29" x14ac:dyDescent="0.2">
      <c r="A21" s="3"/>
      <c r="B21" s="3"/>
      <c r="C21" s="3"/>
      <c r="H21" s="297">
        <f ca="1">'Summary Calculations (hide)'!A23</f>
        <v>44564</v>
      </c>
      <c r="I21">
        <f ca="1">'Summary Calculations (hide)'!B23</f>
        <v>2022</v>
      </c>
      <c r="J21" t="str">
        <f ca="1">'Summary Calculations (hide)'!C23</f>
        <v>Jan</v>
      </c>
      <c r="K21">
        <f ca="1">'Summary Calculations (hide)'!D23</f>
        <v>1</v>
      </c>
      <c r="L21" s="67" t="e">
        <f ca="1">VLOOKUP($K21,'SPC background (hide)'!$AG$2:$AS$54,3,0)</f>
        <v>#N/A</v>
      </c>
      <c r="M21" s="67" t="e">
        <f t="shared" ca="1" si="0"/>
        <v>#N/A</v>
      </c>
      <c r="N21" s="67" t="e">
        <f t="shared" ca="1" si="1"/>
        <v>#N/A</v>
      </c>
      <c r="O21" s="67"/>
      <c r="P21" s="67"/>
      <c r="Q21" s="67"/>
      <c r="R21" s="5">
        <f ca="1">(VLOOKUP(K21,'Summary Calculations (hide)'!$D$15:$L$67,8,0)+VLOOKUP(K21,'Summary Calculations (hide)'!$D$15:$L$67,9,0))*IF(Summary!$C$8="Patients",'Summary Calculations (hide)'!$I$9,1)</f>
        <v>0</v>
      </c>
      <c r="AA21" s="67" t="e">
        <f ca="1">IF(Summary!$C$8="Patients", 'Parameters calculator (hide)'!$H$63,'Parameters calculator (hide)'!$H$62)</f>
        <v>#VALUE!</v>
      </c>
      <c r="AB21" s="67" t="e">
        <f ca="1">IF(Summary!$C$8="Patients", 'Parameters calculator (hide)'!$I$63,'Parameters calculator (hide)'!$I$62)</f>
        <v>#VALUE!</v>
      </c>
      <c r="AC21" s="67" t="e">
        <f t="shared" ca="1" si="2"/>
        <v>#VALUE!</v>
      </c>
    </row>
    <row r="22" spans="1:29" x14ac:dyDescent="0.2">
      <c r="A22" s="3"/>
      <c r="B22" s="3"/>
      <c r="C22" s="3"/>
      <c r="H22" s="297">
        <f ca="1">'Summary Calculations (hide)'!A24</f>
        <v>44571</v>
      </c>
      <c r="I22" t="str">
        <f ca="1">'Summary Calculations (hide)'!B24</f>
        <v/>
      </c>
      <c r="J22" t="str">
        <f ca="1">'Summary Calculations (hide)'!C24</f>
        <v/>
      </c>
      <c r="K22">
        <f ca="1">'Summary Calculations (hide)'!D24</f>
        <v>2</v>
      </c>
      <c r="L22" s="67" t="e">
        <f ca="1">VLOOKUP($K22,'SPC background (hide)'!$AG$2:$AS$54,3,0)</f>
        <v>#N/A</v>
      </c>
      <c r="M22" s="67" t="e">
        <f t="shared" ca="1" si="0"/>
        <v>#N/A</v>
      </c>
      <c r="N22" s="67" t="e">
        <f t="shared" ca="1" si="1"/>
        <v>#N/A</v>
      </c>
      <c r="O22" s="67"/>
      <c r="P22" s="67"/>
      <c r="Q22" s="67"/>
      <c r="R22" s="5">
        <f ca="1">(VLOOKUP(K22,'Summary Calculations (hide)'!$D$15:$L$67,8,0)+VLOOKUP(K22,'Summary Calculations (hide)'!$D$15:$L$67,9,0))*IF(Summary!$C$8="Patients",'Summary Calculations (hide)'!$I$9,1)</f>
        <v>0</v>
      </c>
      <c r="AA22" s="67" t="e">
        <f ca="1">IF(Summary!$C$8="Patients", 'Parameters calculator (hide)'!$H$63,'Parameters calculator (hide)'!$H$62)</f>
        <v>#VALUE!</v>
      </c>
      <c r="AB22" s="67" t="e">
        <f ca="1">IF(Summary!$C$8="Patients", 'Parameters calculator (hide)'!$I$63,'Parameters calculator (hide)'!$I$62)</f>
        <v>#VALUE!</v>
      </c>
      <c r="AC22" s="67" t="e">
        <f t="shared" ca="1" si="2"/>
        <v>#VALUE!</v>
      </c>
    </row>
    <row r="23" spans="1:29" x14ac:dyDescent="0.2">
      <c r="A23" s="3"/>
      <c r="B23" s="3"/>
      <c r="C23" s="3"/>
      <c r="H23" s="297">
        <f ca="1">'Summary Calculations (hide)'!A25</f>
        <v>44578</v>
      </c>
      <c r="I23" t="str">
        <f ca="1">'Summary Calculations (hide)'!B25</f>
        <v/>
      </c>
      <c r="J23" t="str">
        <f ca="1">'Summary Calculations (hide)'!C25</f>
        <v/>
      </c>
      <c r="K23">
        <f ca="1">'Summary Calculations (hide)'!D25</f>
        <v>3</v>
      </c>
      <c r="L23" s="67" t="e">
        <f ca="1">VLOOKUP($K23,'SPC background (hide)'!$AG$2:$AS$54,3,0)</f>
        <v>#N/A</v>
      </c>
      <c r="M23" s="67" t="e">
        <f t="shared" ca="1" si="0"/>
        <v>#N/A</v>
      </c>
      <c r="N23" s="67" t="e">
        <f t="shared" ca="1" si="1"/>
        <v>#N/A</v>
      </c>
      <c r="O23" s="67"/>
      <c r="P23" s="67"/>
      <c r="Q23" s="67"/>
      <c r="R23" s="5">
        <f ca="1">(VLOOKUP(K23,'Summary Calculations (hide)'!$D$15:$L$67,8,0)+VLOOKUP(K23,'Summary Calculations (hide)'!$D$15:$L$67,9,0))*IF(Summary!$C$8="Patients",'Summary Calculations (hide)'!$I$9,1)</f>
        <v>0</v>
      </c>
      <c r="AA23" s="67" t="e">
        <f ca="1">IF(Summary!$C$8="Patients", 'Parameters calculator (hide)'!$H$63,'Parameters calculator (hide)'!$H$62)</f>
        <v>#VALUE!</v>
      </c>
      <c r="AB23" s="67" t="e">
        <f ca="1">IF(Summary!$C$8="Patients", 'Parameters calculator (hide)'!$I$63,'Parameters calculator (hide)'!$I$62)</f>
        <v>#VALUE!</v>
      </c>
      <c r="AC23" s="67" t="e">
        <f t="shared" ca="1" si="2"/>
        <v>#VALUE!</v>
      </c>
    </row>
    <row r="24" spans="1:29" x14ac:dyDescent="0.2">
      <c r="A24" s="3"/>
      <c r="B24" s="3"/>
      <c r="C24" s="3"/>
      <c r="H24" s="297">
        <f ca="1">'Summary Calculations (hide)'!A26</f>
        <v>44585</v>
      </c>
      <c r="I24" t="str">
        <f ca="1">'Summary Calculations (hide)'!B26</f>
        <v/>
      </c>
      <c r="J24" t="str">
        <f ca="1">'Summary Calculations (hide)'!C26</f>
        <v/>
      </c>
      <c r="K24">
        <f ca="1">'Summary Calculations (hide)'!D26</f>
        <v>4</v>
      </c>
      <c r="L24" s="67" t="e">
        <f ca="1">VLOOKUP($K24,'SPC background (hide)'!$AG$2:$AS$54,3,0)</f>
        <v>#N/A</v>
      </c>
      <c r="M24" s="67" t="e">
        <f t="shared" ca="1" si="0"/>
        <v>#N/A</v>
      </c>
      <c r="N24" s="67" t="e">
        <f t="shared" ca="1" si="1"/>
        <v>#N/A</v>
      </c>
      <c r="O24" s="67"/>
      <c r="P24" s="67"/>
      <c r="Q24" s="67"/>
      <c r="R24" s="5">
        <f ca="1">(VLOOKUP(K24,'Summary Calculations (hide)'!$D$15:$L$67,8,0)+VLOOKUP(K24,'Summary Calculations (hide)'!$D$15:$L$67,9,0))*IF(Summary!$C$8="Patients",'Summary Calculations (hide)'!$I$9,1)</f>
        <v>0</v>
      </c>
      <c r="AA24" s="67" t="e">
        <f ca="1">IF(Summary!$C$8="Patients", 'Parameters calculator (hide)'!$H$63,'Parameters calculator (hide)'!$H$62)</f>
        <v>#VALUE!</v>
      </c>
      <c r="AB24" s="67" t="e">
        <f ca="1">IF(Summary!$C$8="Patients", 'Parameters calculator (hide)'!$I$63,'Parameters calculator (hide)'!$I$62)</f>
        <v>#VALUE!</v>
      </c>
      <c r="AC24" s="67" t="e">
        <f t="shared" ca="1" si="2"/>
        <v>#VALUE!</v>
      </c>
    </row>
    <row r="25" spans="1:29" x14ac:dyDescent="0.2">
      <c r="A25" s="3"/>
      <c r="B25" s="3"/>
      <c r="C25" s="3"/>
      <c r="H25" s="297">
        <f ca="1">'Summary Calculations (hide)'!A27</f>
        <v>44592</v>
      </c>
      <c r="I25" t="str">
        <f ca="1">'Summary Calculations (hide)'!B27</f>
        <v/>
      </c>
      <c r="J25" t="str">
        <f ca="1">'Summary Calculations (hide)'!C27</f>
        <v/>
      </c>
      <c r="K25">
        <f ca="1">'Summary Calculations (hide)'!D27</f>
        <v>5</v>
      </c>
      <c r="L25" s="67" t="e">
        <f ca="1">VLOOKUP($K25,'SPC background (hide)'!$AG$2:$AS$54,3,0)</f>
        <v>#N/A</v>
      </c>
      <c r="M25" s="67" t="e">
        <f t="shared" ca="1" si="0"/>
        <v>#N/A</v>
      </c>
      <c r="N25" s="67" t="e">
        <f t="shared" ca="1" si="1"/>
        <v>#N/A</v>
      </c>
      <c r="O25" s="67"/>
      <c r="P25" s="67"/>
      <c r="Q25" s="67"/>
      <c r="R25" s="5">
        <f ca="1">(VLOOKUP(K25,'Summary Calculations (hide)'!$D$15:$L$67,8,0)+VLOOKUP(K25,'Summary Calculations (hide)'!$D$15:$L$67,9,0))*IF(Summary!$C$8="Patients",'Summary Calculations (hide)'!$I$9,1)</f>
        <v>0</v>
      </c>
      <c r="AA25" s="67" t="e">
        <f ca="1">IF(Summary!$C$8="Patients", 'Parameters calculator (hide)'!$H$63,'Parameters calculator (hide)'!$H$62)</f>
        <v>#VALUE!</v>
      </c>
      <c r="AB25" s="67" t="e">
        <f ca="1">IF(Summary!$C$8="Patients", 'Parameters calculator (hide)'!$I$63,'Parameters calculator (hide)'!$I$62)</f>
        <v>#VALUE!</v>
      </c>
      <c r="AC25" s="67" t="e">
        <f t="shared" ca="1" si="2"/>
        <v>#VALUE!</v>
      </c>
    </row>
    <row r="26" spans="1:29" ht="15" x14ac:dyDescent="0.25">
      <c r="A26" s="3"/>
      <c r="B26" s="3"/>
      <c r="C26" s="302"/>
      <c r="H26" s="297">
        <f ca="1">'Summary Calculations (hide)'!A28</f>
        <v>44599</v>
      </c>
      <c r="I26" t="str">
        <f ca="1">'Summary Calculations (hide)'!B28</f>
        <v/>
      </c>
      <c r="J26" t="str">
        <f ca="1">'Summary Calculations (hide)'!C28</f>
        <v>Feb</v>
      </c>
      <c r="K26">
        <f ca="1">'Summary Calculations (hide)'!D28</f>
        <v>6</v>
      </c>
      <c r="L26" s="67" t="e">
        <f ca="1">VLOOKUP($K26,'SPC background (hide)'!$AG$2:$AS$54,3,0)</f>
        <v>#N/A</v>
      </c>
      <c r="M26" s="67" t="e">
        <f t="shared" ca="1" si="0"/>
        <v>#N/A</v>
      </c>
      <c r="N26" s="67" t="e">
        <f t="shared" ca="1" si="1"/>
        <v>#N/A</v>
      </c>
      <c r="O26" s="67"/>
      <c r="P26" s="67"/>
      <c r="Q26" s="67"/>
      <c r="R26" s="5">
        <f ca="1">(VLOOKUP(K26,'Summary Calculations (hide)'!$D$15:$L$67,8,0)+VLOOKUP(K26,'Summary Calculations (hide)'!$D$15:$L$67,9,0))*IF(Summary!$C$8="Patients",'Summary Calculations (hide)'!$I$9,1)</f>
        <v>0</v>
      </c>
      <c r="AA26" s="67" t="e">
        <f ca="1">IF(Summary!$C$8="Patients", 'Parameters calculator (hide)'!$H$63,'Parameters calculator (hide)'!$H$62)</f>
        <v>#VALUE!</v>
      </c>
      <c r="AB26" s="67" t="e">
        <f ca="1">IF(Summary!$C$8="Patients", 'Parameters calculator (hide)'!$I$63,'Parameters calculator (hide)'!$I$62)</f>
        <v>#VALUE!</v>
      </c>
      <c r="AC26" s="67" t="e">
        <f t="shared" ca="1" si="2"/>
        <v>#VALUE!</v>
      </c>
    </row>
    <row r="27" spans="1:29" x14ac:dyDescent="0.2">
      <c r="A27" s="3"/>
      <c r="B27" s="3"/>
      <c r="C27" s="3"/>
      <c r="H27" s="297">
        <f ca="1">'Summary Calculations (hide)'!A29</f>
        <v>44606</v>
      </c>
      <c r="I27" t="str">
        <f ca="1">'Summary Calculations (hide)'!B29</f>
        <v/>
      </c>
      <c r="J27" t="str">
        <f ca="1">'Summary Calculations (hide)'!C29</f>
        <v/>
      </c>
      <c r="K27">
        <f ca="1">'Summary Calculations (hide)'!D29</f>
        <v>7</v>
      </c>
      <c r="L27" s="67" t="e">
        <f ca="1">VLOOKUP($K27,'SPC background (hide)'!$AG$2:$AS$54,3,0)</f>
        <v>#N/A</v>
      </c>
      <c r="M27" s="67" t="e">
        <f t="shared" ca="1" si="0"/>
        <v>#N/A</v>
      </c>
      <c r="N27" s="67" t="e">
        <f t="shared" ca="1" si="1"/>
        <v>#N/A</v>
      </c>
      <c r="O27" s="67"/>
      <c r="P27" s="67"/>
      <c r="Q27" s="67"/>
      <c r="R27" s="5">
        <f ca="1">(VLOOKUP(K27,'Summary Calculations (hide)'!$D$15:$L$67,8,0)+VLOOKUP(K27,'Summary Calculations (hide)'!$D$15:$L$67,9,0))*IF(Summary!$C$8="Patients",'Summary Calculations (hide)'!$I$9,1)</f>
        <v>0</v>
      </c>
      <c r="AA27" s="67" t="e">
        <f ca="1">IF(Summary!$C$8="Patients", 'Parameters calculator (hide)'!$H$63,'Parameters calculator (hide)'!$H$62)</f>
        <v>#VALUE!</v>
      </c>
      <c r="AB27" s="67" t="e">
        <f ca="1">IF(Summary!$C$8="Patients", 'Parameters calculator (hide)'!$I$63,'Parameters calculator (hide)'!$I$62)</f>
        <v>#VALUE!</v>
      </c>
      <c r="AC27" s="67" t="e">
        <f t="shared" ca="1" si="2"/>
        <v>#VALUE!</v>
      </c>
    </row>
    <row r="28" spans="1:29" x14ac:dyDescent="0.2">
      <c r="A28" s="3"/>
      <c r="B28" s="3"/>
      <c r="C28" s="3"/>
      <c r="H28" s="297">
        <f ca="1">'Summary Calculations (hide)'!A30</f>
        <v>44613</v>
      </c>
      <c r="I28" t="str">
        <f ca="1">'Summary Calculations (hide)'!B30</f>
        <v/>
      </c>
      <c r="J28" t="str">
        <f ca="1">'Summary Calculations (hide)'!C30</f>
        <v/>
      </c>
      <c r="K28">
        <f ca="1">'Summary Calculations (hide)'!D30</f>
        <v>8</v>
      </c>
      <c r="L28" s="67" t="e">
        <f ca="1">VLOOKUP($K28,'SPC background (hide)'!$AG$2:$AS$54,3,0)</f>
        <v>#N/A</v>
      </c>
      <c r="M28" s="67" t="e">
        <f t="shared" ca="1" si="0"/>
        <v>#N/A</v>
      </c>
      <c r="N28" s="67" t="e">
        <f t="shared" ca="1" si="1"/>
        <v>#N/A</v>
      </c>
      <c r="O28" s="67"/>
      <c r="P28" s="67"/>
      <c r="Q28" s="67"/>
      <c r="R28" s="5">
        <f ca="1">(VLOOKUP(K28,'Summary Calculations (hide)'!$D$15:$L$67,8,0)+VLOOKUP(K28,'Summary Calculations (hide)'!$D$15:$L$67,9,0))*IF(Summary!$C$8="Patients",'Summary Calculations (hide)'!$I$9,1)</f>
        <v>0</v>
      </c>
      <c r="AA28" s="67" t="e">
        <f ca="1">IF(Summary!$C$8="Patients", 'Parameters calculator (hide)'!$H$63,'Parameters calculator (hide)'!$H$62)</f>
        <v>#VALUE!</v>
      </c>
      <c r="AB28" s="67" t="e">
        <f ca="1">IF(Summary!$C$8="Patients", 'Parameters calculator (hide)'!$I$63,'Parameters calculator (hide)'!$I$62)</f>
        <v>#VALUE!</v>
      </c>
      <c r="AC28" s="67" t="e">
        <f t="shared" ca="1" si="2"/>
        <v>#VALUE!</v>
      </c>
    </row>
    <row r="29" spans="1:29" x14ac:dyDescent="0.2">
      <c r="A29" s="3"/>
      <c r="B29" s="3"/>
      <c r="C29" s="3"/>
      <c r="H29" s="297">
        <f ca="1">'Summary Calculations (hide)'!A31</f>
        <v>44620</v>
      </c>
      <c r="I29" t="str">
        <f ca="1">'Summary Calculations (hide)'!B31</f>
        <v/>
      </c>
      <c r="J29" t="str">
        <f ca="1">'Summary Calculations (hide)'!C31</f>
        <v/>
      </c>
      <c r="K29">
        <f ca="1">'Summary Calculations (hide)'!D31</f>
        <v>9</v>
      </c>
      <c r="L29" s="67" t="e">
        <f ca="1">VLOOKUP($K29,'SPC background (hide)'!$AG$2:$AS$54,3,0)</f>
        <v>#N/A</v>
      </c>
      <c r="M29" s="67" t="e">
        <f t="shared" ca="1" si="0"/>
        <v>#N/A</v>
      </c>
      <c r="N29" s="67" t="e">
        <f t="shared" ca="1" si="1"/>
        <v>#N/A</v>
      </c>
      <c r="O29" s="67"/>
      <c r="P29" s="67"/>
      <c r="Q29" s="67"/>
      <c r="R29" s="5">
        <f ca="1">(VLOOKUP(K29,'Summary Calculations (hide)'!$D$15:$L$67,8,0)+VLOOKUP(K29,'Summary Calculations (hide)'!$D$15:$L$67,9,0))*IF(Summary!$C$8="Patients",'Summary Calculations (hide)'!$I$9,1)</f>
        <v>0</v>
      </c>
      <c r="AA29" s="67" t="e">
        <f ca="1">IF(Summary!$C$8="Patients", 'Parameters calculator (hide)'!$H$63,'Parameters calculator (hide)'!$H$62)</f>
        <v>#VALUE!</v>
      </c>
      <c r="AB29" s="67" t="e">
        <f ca="1">IF(Summary!$C$8="Patients", 'Parameters calculator (hide)'!$I$63,'Parameters calculator (hide)'!$I$62)</f>
        <v>#VALUE!</v>
      </c>
      <c r="AC29" s="67" t="e">
        <f t="shared" ca="1" si="2"/>
        <v>#VALUE!</v>
      </c>
    </row>
    <row r="30" spans="1:29" x14ac:dyDescent="0.2">
      <c r="A30" s="3"/>
      <c r="B30" s="3"/>
      <c r="C30" s="3"/>
      <c r="H30" s="297">
        <f ca="1">'Summary Calculations (hide)'!A32</f>
        <v>44627</v>
      </c>
      <c r="I30" t="str">
        <f ca="1">'Summary Calculations (hide)'!B32</f>
        <v/>
      </c>
      <c r="J30" t="str">
        <f ca="1">'Summary Calculations (hide)'!C32</f>
        <v>Mar</v>
      </c>
      <c r="K30">
        <f ca="1">'Summary Calculations (hide)'!D32</f>
        <v>10</v>
      </c>
      <c r="L30" s="67" t="e">
        <f ca="1">VLOOKUP($K30,'SPC background (hide)'!$AG$2:$AS$54,3,0)</f>
        <v>#N/A</v>
      </c>
      <c r="M30" s="67" t="e">
        <f t="shared" ca="1" si="0"/>
        <v>#N/A</v>
      </c>
      <c r="N30" s="67" t="e">
        <f t="shared" ca="1" si="1"/>
        <v>#N/A</v>
      </c>
      <c r="O30" s="67"/>
      <c r="P30" s="67"/>
      <c r="Q30" s="67"/>
      <c r="R30" s="5">
        <f ca="1">(VLOOKUP(K30,'Summary Calculations (hide)'!$D$15:$L$67,8,0)+VLOOKUP(K30,'Summary Calculations (hide)'!$D$15:$L$67,9,0))*IF(Summary!$C$8="Patients",'Summary Calculations (hide)'!$I$9,1)</f>
        <v>0</v>
      </c>
      <c r="AA30" s="67" t="e">
        <f ca="1">IF(Summary!$C$8="Patients", 'Parameters calculator (hide)'!$H$63,'Parameters calculator (hide)'!$H$62)</f>
        <v>#VALUE!</v>
      </c>
      <c r="AB30" s="67" t="e">
        <f ca="1">IF(Summary!$C$8="Patients", 'Parameters calculator (hide)'!$I$63,'Parameters calculator (hide)'!$I$62)</f>
        <v>#VALUE!</v>
      </c>
      <c r="AC30" s="67" t="e">
        <f t="shared" ca="1" si="2"/>
        <v>#VALUE!</v>
      </c>
    </row>
    <row r="31" spans="1:29" x14ac:dyDescent="0.2">
      <c r="A31" s="3"/>
      <c r="B31" s="3"/>
      <c r="C31" s="3"/>
      <c r="H31" s="297">
        <f ca="1">'Summary Calculations (hide)'!A33</f>
        <v>44634</v>
      </c>
      <c r="I31" t="str">
        <f ca="1">'Summary Calculations (hide)'!B33</f>
        <v/>
      </c>
      <c r="J31" t="str">
        <f ca="1">'Summary Calculations (hide)'!C33</f>
        <v/>
      </c>
      <c r="K31">
        <f ca="1">'Summary Calculations (hide)'!D33</f>
        <v>11</v>
      </c>
      <c r="L31" s="67" t="e">
        <f ca="1">VLOOKUP($K31,'SPC background (hide)'!$AG$2:$AS$54,3,0)</f>
        <v>#N/A</v>
      </c>
      <c r="M31" s="67" t="e">
        <f t="shared" ca="1" si="0"/>
        <v>#N/A</v>
      </c>
      <c r="N31" s="67" t="e">
        <f t="shared" ca="1" si="1"/>
        <v>#N/A</v>
      </c>
      <c r="O31" s="67"/>
      <c r="P31" s="67"/>
      <c r="Q31" s="67"/>
      <c r="R31" s="5">
        <f ca="1">(VLOOKUP(K31,'Summary Calculations (hide)'!$D$15:$L$67,8,0)+VLOOKUP(K31,'Summary Calculations (hide)'!$D$15:$L$67,9,0))*IF(Summary!$C$8="Patients",'Summary Calculations (hide)'!$I$9,1)</f>
        <v>0</v>
      </c>
      <c r="AA31" s="67" t="e">
        <f ca="1">IF(Summary!$C$8="Patients", 'Parameters calculator (hide)'!$H$63,'Parameters calculator (hide)'!$H$62)</f>
        <v>#VALUE!</v>
      </c>
      <c r="AB31" s="67" t="e">
        <f ca="1">IF(Summary!$C$8="Patients", 'Parameters calculator (hide)'!$I$63,'Parameters calculator (hide)'!$I$62)</f>
        <v>#VALUE!</v>
      </c>
      <c r="AC31" s="67" t="e">
        <f t="shared" ca="1" si="2"/>
        <v>#VALUE!</v>
      </c>
    </row>
    <row r="32" spans="1:29" x14ac:dyDescent="0.2">
      <c r="A32" s="3"/>
      <c r="B32" s="3"/>
      <c r="C32" s="3"/>
      <c r="H32" s="297">
        <f ca="1">'Summary Calculations (hide)'!A34</f>
        <v>44641</v>
      </c>
      <c r="I32" t="str">
        <f ca="1">'Summary Calculations (hide)'!B34</f>
        <v/>
      </c>
      <c r="J32" t="str">
        <f ca="1">'Summary Calculations (hide)'!C34</f>
        <v/>
      </c>
      <c r="K32">
        <f ca="1">'Summary Calculations (hide)'!D34</f>
        <v>12</v>
      </c>
      <c r="L32" s="67" t="e">
        <f ca="1">VLOOKUP($K32,'SPC background (hide)'!$AG$2:$AS$54,3,0)</f>
        <v>#N/A</v>
      </c>
      <c r="M32" s="67" t="e">
        <f t="shared" ca="1" si="0"/>
        <v>#N/A</v>
      </c>
      <c r="N32" s="67" t="e">
        <f t="shared" ca="1" si="1"/>
        <v>#N/A</v>
      </c>
      <c r="O32" s="67"/>
      <c r="P32" s="67"/>
      <c r="Q32" s="67"/>
      <c r="R32" s="5">
        <f ca="1">(VLOOKUP(K32,'Summary Calculations (hide)'!$D$15:$L$67,8,0)+VLOOKUP(K32,'Summary Calculations (hide)'!$D$15:$L$67,9,0))*IF(Summary!$C$8="Patients",'Summary Calculations (hide)'!$I$9,1)</f>
        <v>0</v>
      </c>
      <c r="AA32" s="67" t="e">
        <f ca="1">IF(Summary!$C$8="Patients", 'Parameters calculator (hide)'!$H$63,'Parameters calculator (hide)'!$H$62)</f>
        <v>#VALUE!</v>
      </c>
      <c r="AB32" s="67" t="e">
        <f ca="1">IF(Summary!$C$8="Patients", 'Parameters calculator (hide)'!$I$63,'Parameters calculator (hide)'!$I$62)</f>
        <v>#VALUE!</v>
      </c>
      <c r="AC32" s="67" t="e">
        <f t="shared" ca="1" si="2"/>
        <v>#VALUE!</v>
      </c>
    </row>
    <row r="33" spans="1:29" x14ac:dyDescent="0.2">
      <c r="B33" t="s">
        <v>1149</v>
      </c>
      <c r="H33" s="297">
        <f ca="1">'Summary Calculations (hide)'!A35</f>
        <v>44648</v>
      </c>
      <c r="I33" t="str">
        <f ca="1">'Summary Calculations (hide)'!B35</f>
        <v/>
      </c>
      <c r="J33" t="str">
        <f ca="1">'Summary Calculations (hide)'!C35</f>
        <v/>
      </c>
      <c r="K33">
        <f ca="1">'Summary Calculations (hide)'!D35</f>
        <v>13</v>
      </c>
      <c r="L33" s="67" t="e">
        <f ca="1">VLOOKUP($K33,'SPC background (hide)'!$AG$2:$AS$54,3,0)</f>
        <v>#N/A</v>
      </c>
      <c r="M33" s="67" t="e">
        <f t="shared" ca="1" si="0"/>
        <v>#N/A</v>
      </c>
      <c r="N33" s="67" t="e">
        <f t="shared" ca="1" si="1"/>
        <v>#N/A</v>
      </c>
      <c r="O33" s="67"/>
      <c r="P33" s="67"/>
      <c r="Q33" s="67"/>
      <c r="R33" s="5">
        <f ca="1">(VLOOKUP(K33,'Summary Calculations (hide)'!$D$15:$L$67,8,0)+VLOOKUP(K33,'Summary Calculations (hide)'!$D$15:$L$67,9,0))*IF(Summary!$C$8="Patients",'Summary Calculations (hide)'!$I$9,1)</f>
        <v>0</v>
      </c>
      <c r="AA33" s="67" t="e">
        <f ca="1">IF(Summary!$C$8="Patients", 'Parameters calculator (hide)'!$H$63,'Parameters calculator (hide)'!$H$62)</f>
        <v>#VALUE!</v>
      </c>
      <c r="AB33" s="67" t="e">
        <f ca="1">IF(Summary!$C$8="Patients", 'Parameters calculator (hide)'!$I$63,'Parameters calculator (hide)'!$I$62)</f>
        <v>#VALUE!</v>
      </c>
      <c r="AC33" s="67" t="e">
        <f t="shared" ca="1" si="2"/>
        <v>#VALUE!</v>
      </c>
    </row>
    <row r="34" spans="1:29" x14ac:dyDescent="0.2">
      <c r="A34" t="s">
        <v>1121</v>
      </c>
      <c r="B34" s="5">
        <f ca="1">'Parameters calculator (hide)'!C79</f>
        <v>900</v>
      </c>
      <c r="H34" s="297">
        <f ca="1">'Summary Calculations (hide)'!A36</f>
        <v>44655</v>
      </c>
      <c r="I34" t="str">
        <f ca="1">'Summary Calculations (hide)'!B36</f>
        <v/>
      </c>
      <c r="J34" t="str">
        <f ca="1">'Summary Calculations (hide)'!C36</f>
        <v>Apr</v>
      </c>
      <c r="K34">
        <f ca="1">'Summary Calculations (hide)'!D36</f>
        <v>14</v>
      </c>
      <c r="L34" s="67" t="e">
        <f ca="1">VLOOKUP($K34,'SPC background (hide)'!$AG$2:$AS$54,3,0)</f>
        <v>#N/A</v>
      </c>
      <c r="M34" s="67" t="e">
        <f t="shared" ca="1" si="0"/>
        <v>#N/A</v>
      </c>
      <c r="N34" s="67" t="e">
        <f t="shared" ca="1" si="1"/>
        <v>#N/A</v>
      </c>
      <c r="O34" s="67"/>
      <c r="P34" s="67"/>
      <c r="Q34" s="67"/>
      <c r="R34" s="5">
        <f ca="1">(VLOOKUP(K34,'Summary Calculations (hide)'!$D$15:$L$67,8,0)+VLOOKUP(K34,'Summary Calculations (hide)'!$D$15:$L$67,9,0))*IF(Summary!$C$8="Patients",'Summary Calculations (hide)'!$I$9,1)</f>
        <v>0</v>
      </c>
      <c r="AA34" s="67" t="e">
        <f ca="1">IF(Summary!$C$8="Patients", 'Parameters calculator (hide)'!$H$63,'Parameters calculator (hide)'!$H$62)</f>
        <v>#VALUE!</v>
      </c>
      <c r="AB34" s="67" t="e">
        <f ca="1">IF(Summary!$C$8="Patients", 'Parameters calculator (hide)'!$I$63,'Parameters calculator (hide)'!$I$62)</f>
        <v>#VALUE!</v>
      </c>
      <c r="AC34" s="67" t="e">
        <f t="shared" ca="1" si="2"/>
        <v>#VALUE!</v>
      </c>
    </row>
    <row r="35" spans="1:29" x14ac:dyDescent="0.2">
      <c r="H35" s="297">
        <f ca="1">'Summary Calculations (hide)'!A37</f>
        <v>44662</v>
      </c>
      <c r="I35" t="str">
        <f ca="1">'Summary Calculations (hide)'!B37</f>
        <v/>
      </c>
      <c r="J35" t="str">
        <f ca="1">'Summary Calculations (hide)'!C37</f>
        <v/>
      </c>
      <c r="K35">
        <f ca="1">'Summary Calculations (hide)'!D37</f>
        <v>15</v>
      </c>
      <c r="L35" s="67" t="e">
        <f ca="1">VLOOKUP($K35,'SPC background (hide)'!$AG$2:$AS$54,3,0)</f>
        <v>#N/A</v>
      </c>
      <c r="M35" s="67" t="e">
        <f t="shared" ca="1" si="0"/>
        <v>#N/A</v>
      </c>
      <c r="N35" s="67" t="e">
        <f t="shared" ca="1" si="1"/>
        <v>#N/A</v>
      </c>
      <c r="O35" s="67"/>
      <c r="P35" s="67"/>
      <c r="Q35" s="67"/>
      <c r="R35" s="5">
        <f ca="1">(VLOOKUP(K35,'Summary Calculations (hide)'!$D$15:$L$67,8,0)+VLOOKUP(K35,'Summary Calculations (hide)'!$D$15:$L$67,9,0))*IF(Summary!$C$8="Patients",'Summary Calculations (hide)'!$I$9,1)</f>
        <v>0</v>
      </c>
      <c r="AA35" s="67" t="e">
        <f ca="1">IF(Summary!$C$8="Patients", 'Parameters calculator (hide)'!$H$63,'Parameters calculator (hide)'!$H$62)</f>
        <v>#VALUE!</v>
      </c>
      <c r="AB35" s="67" t="e">
        <f ca="1">IF(Summary!$C$8="Patients", 'Parameters calculator (hide)'!$I$63,'Parameters calculator (hide)'!$I$62)</f>
        <v>#VALUE!</v>
      </c>
      <c r="AC35" s="67" t="e">
        <f t="shared" ca="1" si="2"/>
        <v>#VALUE!</v>
      </c>
    </row>
    <row r="36" spans="1:29" x14ac:dyDescent="0.2">
      <c r="H36" s="297">
        <f ca="1">'Summary Calculations (hide)'!A38</f>
        <v>44669</v>
      </c>
      <c r="I36" t="str">
        <f ca="1">'Summary Calculations (hide)'!B38</f>
        <v/>
      </c>
      <c r="J36" t="str">
        <f ca="1">'Summary Calculations (hide)'!C38</f>
        <v/>
      </c>
      <c r="K36">
        <f ca="1">'Summary Calculations (hide)'!D38</f>
        <v>16</v>
      </c>
      <c r="L36" s="67" t="e">
        <f ca="1">VLOOKUP($K36,'SPC background (hide)'!$AG$2:$AS$54,3,0)</f>
        <v>#N/A</v>
      </c>
      <c r="M36" s="67" t="e">
        <f t="shared" ca="1" si="0"/>
        <v>#N/A</v>
      </c>
      <c r="N36" s="67" t="e">
        <f t="shared" ca="1" si="1"/>
        <v>#N/A</v>
      </c>
      <c r="O36" s="67"/>
      <c r="P36" s="67"/>
      <c r="Q36" s="67"/>
      <c r="R36" s="5">
        <f ca="1">(VLOOKUP(K36,'Summary Calculations (hide)'!$D$15:$L$67,8,0)+VLOOKUP(K36,'Summary Calculations (hide)'!$D$15:$L$67,9,0))*IF(Summary!$C$8="Patients",'Summary Calculations (hide)'!$I$9,1)</f>
        <v>0</v>
      </c>
      <c r="AA36" s="67" t="e">
        <f ca="1">IF(Summary!$C$8="Patients", 'Parameters calculator (hide)'!$H$63,'Parameters calculator (hide)'!$H$62)</f>
        <v>#VALUE!</v>
      </c>
      <c r="AB36" s="67" t="e">
        <f ca="1">IF(Summary!$C$8="Patients", 'Parameters calculator (hide)'!$I$63,'Parameters calculator (hide)'!$I$62)</f>
        <v>#VALUE!</v>
      </c>
      <c r="AC36" s="67" t="e">
        <f t="shared" ca="1" si="2"/>
        <v>#VALUE!</v>
      </c>
    </row>
    <row r="37" spans="1:29" x14ac:dyDescent="0.2">
      <c r="H37" s="297">
        <f ca="1">'Summary Calculations (hide)'!A39</f>
        <v>44676</v>
      </c>
      <c r="I37" t="str">
        <f ca="1">'Summary Calculations (hide)'!B39</f>
        <v/>
      </c>
      <c r="J37" t="str">
        <f ca="1">'Summary Calculations (hide)'!C39</f>
        <v/>
      </c>
      <c r="K37">
        <f ca="1">'Summary Calculations (hide)'!D39</f>
        <v>17</v>
      </c>
      <c r="L37" s="67" t="e">
        <f ca="1">VLOOKUP($K37,'SPC background (hide)'!$AG$2:$AS$54,3,0)</f>
        <v>#N/A</v>
      </c>
      <c r="M37" s="67" t="e">
        <f t="shared" ca="1" si="0"/>
        <v>#N/A</v>
      </c>
      <c r="N37" s="67" t="e">
        <f t="shared" ca="1" si="1"/>
        <v>#N/A</v>
      </c>
      <c r="O37" s="67"/>
      <c r="P37" s="67"/>
      <c r="Q37" s="67"/>
      <c r="R37" s="5">
        <f ca="1">(VLOOKUP(K37,'Summary Calculations (hide)'!$D$15:$L$67,8,0)+VLOOKUP(K37,'Summary Calculations (hide)'!$D$15:$L$67,9,0))*IF(Summary!$C$8="Patients",'Summary Calculations (hide)'!$I$9,1)</f>
        <v>0</v>
      </c>
      <c r="AA37" s="67" t="e">
        <f ca="1">IF(Summary!$C$8="Patients", 'Parameters calculator (hide)'!$H$63,'Parameters calculator (hide)'!$H$62)</f>
        <v>#VALUE!</v>
      </c>
      <c r="AB37" s="67" t="e">
        <f ca="1">IF(Summary!$C$8="Patients", 'Parameters calculator (hide)'!$I$63,'Parameters calculator (hide)'!$I$62)</f>
        <v>#VALUE!</v>
      </c>
      <c r="AC37" s="67" t="e">
        <f t="shared" ca="1" si="2"/>
        <v>#VALUE!</v>
      </c>
    </row>
    <row r="38" spans="1:29" x14ac:dyDescent="0.2">
      <c r="H38" s="297">
        <f ca="1">'Summary Calculations (hide)'!A40</f>
        <v>44683</v>
      </c>
      <c r="I38" t="str">
        <f ca="1">'Summary Calculations (hide)'!B40</f>
        <v/>
      </c>
      <c r="J38" t="str">
        <f ca="1">'Summary Calculations (hide)'!C40</f>
        <v>May</v>
      </c>
      <c r="K38">
        <f ca="1">'Summary Calculations (hide)'!D40</f>
        <v>18</v>
      </c>
      <c r="L38" s="67" t="e">
        <f ca="1">VLOOKUP($K38,'SPC background (hide)'!$AG$2:$AS$54,3,0)</f>
        <v>#N/A</v>
      </c>
      <c r="M38" s="67" t="e">
        <f t="shared" ca="1" si="0"/>
        <v>#N/A</v>
      </c>
      <c r="N38" s="67" t="e">
        <f t="shared" ca="1" si="1"/>
        <v>#N/A</v>
      </c>
      <c r="O38" s="67"/>
      <c r="P38" s="67"/>
      <c r="Q38" s="67"/>
      <c r="R38" s="5">
        <f ca="1">(VLOOKUP(K38,'Summary Calculations (hide)'!$D$15:$L$67,8,0)+VLOOKUP(K38,'Summary Calculations (hide)'!$D$15:$L$67,9,0))*IF(Summary!$C$8="Patients",'Summary Calculations (hide)'!$I$9,1)</f>
        <v>0</v>
      </c>
      <c r="AA38" s="67" t="e">
        <f ca="1">IF(Summary!$C$8="Patients", 'Parameters calculator (hide)'!$H$63,'Parameters calculator (hide)'!$H$62)</f>
        <v>#VALUE!</v>
      </c>
      <c r="AB38" s="67" t="e">
        <f ca="1">IF(Summary!$C$8="Patients", 'Parameters calculator (hide)'!$I$63,'Parameters calculator (hide)'!$I$62)</f>
        <v>#VALUE!</v>
      </c>
      <c r="AC38" s="67" t="e">
        <f t="shared" ca="1" si="2"/>
        <v>#VALUE!</v>
      </c>
    </row>
    <row r="39" spans="1:29" x14ac:dyDescent="0.2">
      <c r="H39" s="297">
        <f ca="1">'Summary Calculations (hide)'!A41</f>
        <v>44690</v>
      </c>
      <c r="I39" t="str">
        <f ca="1">'Summary Calculations (hide)'!B41</f>
        <v/>
      </c>
      <c r="J39" t="str">
        <f ca="1">'Summary Calculations (hide)'!C41</f>
        <v/>
      </c>
      <c r="K39">
        <f ca="1">'Summary Calculations (hide)'!D41</f>
        <v>19</v>
      </c>
      <c r="L39" s="67" t="e">
        <f ca="1">VLOOKUP($K39,'SPC background (hide)'!$AG$2:$AS$54,3,0)</f>
        <v>#N/A</v>
      </c>
      <c r="M39" s="67" t="e">
        <f t="shared" ca="1" si="0"/>
        <v>#N/A</v>
      </c>
      <c r="N39" s="67" t="e">
        <f t="shared" ca="1" si="1"/>
        <v>#N/A</v>
      </c>
      <c r="O39" s="67"/>
      <c r="P39" s="67"/>
      <c r="Q39" s="67"/>
      <c r="R39" s="5">
        <f ca="1">(VLOOKUP(K39,'Summary Calculations (hide)'!$D$15:$L$67,8,0)+VLOOKUP(K39,'Summary Calculations (hide)'!$D$15:$L$67,9,0))*IF(Summary!$C$8="Patients",'Summary Calculations (hide)'!$I$9,1)</f>
        <v>0</v>
      </c>
      <c r="AA39" s="67" t="e">
        <f ca="1">IF(Summary!$C$8="Patients", 'Parameters calculator (hide)'!$H$63,'Parameters calculator (hide)'!$H$62)</f>
        <v>#VALUE!</v>
      </c>
      <c r="AB39" s="67" t="e">
        <f ca="1">IF(Summary!$C$8="Patients", 'Parameters calculator (hide)'!$I$63,'Parameters calculator (hide)'!$I$62)</f>
        <v>#VALUE!</v>
      </c>
      <c r="AC39" s="67" t="e">
        <f t="shared" ca="1" si="2"/>
        <v>#VALUE!</v>
      </c>
    </row>
    <row r="40" spans="1:29" x14ac:dyDescent="0.2">
      <c r="H40" s="297">
        <f ca="1">'Summary Calculations (hide)'!A42</f>
        <v>44697</v>
      </c>
      <c r="I40" t="str">
        <f ca="1">'Summary Calculations (hide)'!B42</f>
        <v/>
      </c>
      <c r="J40" t="str">
        <f ca="1">'Summary Calculations (hide)'!C42</f>
        <v/>
      </c>
      <c r="K40">
        <f ca="1">'Summary Calculations (hide)'!D42</f>
        <v>20</v>
      </c>
      <c r="L40" s="67" t="e">
        <f ca="1">VLOOKUP($K40,'SPC background (hide)'!$AG$2:$AS$54,3,0)</f>
        <v>#N/A</v>
      </c>
      <c r="M40" s="67" t="e">
        <f t="shared" ca="1" si="0"/>
        <v>#N/A</v>
      </c>
      <c r="N40" s="67" t="e">
        <f t="shared" ca="1" si="1"/>
        <v>#N/A</v>
      </c>
      <c r="O40" s="67"/>
      <c r="P40" s="67"/>
      <c r="Q40" s="67"/>
      <c r="R40" s="5">
        <f ca="1">(VLOOKUP(K40,'Summary Calculations (hide)'!$D$15:$L$67,8,0)+VLOOKUP(K40,'Summary Calculations (hide)'!$D$15:$L$67,9,0))*IF(Summary!$C$8="Patients",'Summary Calculations (hide)'!$I$9,1)</f>
        <v>0</v>
      </c>
      <c r="AA40" s="67" t="e">
        <f ca="1">IF(Summary!$C$8="Patients", 'Parameters calculator (hide)'!$H$63,'Parameters calculator (hide)'!$H$62)</f>
        <v>#VALUE!</v>
      </c>
      <c r="AB40" s="67" t="e">
        <f ca="1">IF(Summary!$C$8="Patients", 'Parameters calculator (hide)'!$I$63,'Parameters calculator (hide)'!$I$62)</f>
        <v>#VALUE!</v>
      </c>
      <c r="AC40" s="67" t="e">
        <f t="shared" ca="1" si="2"/>
        <v>#VALUE!</v>
      </c>
    </row>
    <row r="41" spans="1:29" x14ac:dyDescent="0.2">
      <c r="H41" s="297">
        <f ca="1">'Summary Calculations (hide)'!A43</f>
        <v>44704</v>
      </c>
      <c r="I41" t="str">
        <f ca="1">'Summary Calculations (hide)'!B43</f>
        <v/>
      </c>
      <c r="J41" t="str">
        <f ca="1">'Summary Calculations (hide)'!C43</f>
        <v/>
      </c>
      <c r="K41">
        <f ca="1">'Summary Calculations (hide)'!D43</f>
        <v>21</v>
      </c>
      <c r="L41" s="67" t="e">
        <f ca="1">VLOOKUP($K41,'SPC background (hide)'!$AG$2:$AS$54,3,0)</f>
        <v>#N/A</v>
      </c>
      <c r="M41" s="67" t="e">
        <f t="shared" ca="1" si="0"/>
        <v>#N/A</v>
      </c>
      <c r="N41" s="67" t="e">
        <f t="shared" ca="1" si="1"/>
        <v>#N/A</v>
      </c>
      <c r="O41" s="67"/>
      <c r="P41" s="67"/>
      <c r="Q41" s="67"/>
      <c r="R41" s="5">
        <f ca="1">(VLOOKUP(K41,'Summary Calculations (hide)'!$D$15:$L$67,8,0)+VLOOKUP(K41,'Summary Calculations (hide)'!$D$15:$L$67,9,0))*IF(Summary!$C$8="Patients",'Summary Calculations (hide)'!$I$9,1)</f>
        <v>0</v>
      </c>
      <c r="AA41" s="67" t="e">
        <f ca="1">IF(Summary!$C$8="Patients", 'Parameters calculator (hide)'!$H$63,'Parameters calculator (hide)'!$H$62)</f>
        <v>#VALUE!</v>
      </c>
      <c r="AB41" s="67" t="e">
        <f ca="1">IF(Summary!$C$8="Patients", 'Parameters calculator (hide)'!$I$63,'Parameters calculator (hide)'!$I$62)</f>
        <v>#VALUE!</v>
      </c>
      <c r="AC41" s="67" t="e">
        <f t="shared" ca="1" si="2"/>
        <v>#VALUE!</v>
      </c>
    </row>
    <row r="42" spans="1:29" x14ac:dyDescent="0.2">
      <c r="H42" s="297">
        <f ca="1">'Summary Calculations (hide)'!A44</f>
        <v>44711</v>
      </c>
      <c r="I42" t="str">
        <f ca="1">'Summary Calculations (hide)'!B44</f>
        <v/>
      </c>
      <c r="J42" t="str">
        <f ca="1">'Summary Calculations (hide)'!C44</f>
        <v/>
      </c>
      <c r="K42">
        <f ca="1">'Summary Calculations (hide)'!D44</f>
        <v>22</v>
      </c>
      <c r="L42" s="67" t="e">
        <f ca="1">VLOOKUP($K42,'SPC background (hide)'!$AG$2:$AS$54,3,0)</f>
        <v>#N/A</v>
      </c>
      <c r="M42" s="67" t="e">
        <f t="shared" ca="1" si="0"/>
        <v>#N/A</v>
      </c>
      <c r="N42" s="67" t="e">
        <f t="shared" ca="1" si="1"/>
        <v>#N/A</v>
      </c>
      <c r="O42" s="67"/>
      <c r="P42" s="67"/>
      <c r="Q42" s="67"/>
      <c r="R42" s="5">
        <f ca="1">(VLOOKUP(K42,'Summary Calculations (hide)'!$D$15:$L$67,8,0)+VLOOKUP(K42,'Summary Calculations (hide)'!$D$15:$L$67,9,0))*IF(Summary!$C$8="Patients",'Summary Calculations (hide)'!$I$9,1)</f>
        <v>0</v>
      </c>
      <c r="AA42" s="67" t="e">
        <f ca="1">IF(Summary!$C$8="Patients", 'Parameters calculator (hide)'!$H$63,'Parameters calculator (hide)'!$H$62)</f>
        <v>#VALUE!</v>
      </c>
      <c r="AB42" s="67" t="e">
        <f ca="1">IF(Summary!$C$8="Patients", 'Parameters calculator (hide)'!$I$63,'Parameters calculator (hide)'!$I$62)</f>
        <v>#VALUE!</v>
      </c>
      <c r="AC42" s="67" t="e">
        <f t="shared" ca="1" si="2"/>
        <v>#VALUE!</v>
      </c>
    </row>
    <row r="43" spans="1:29" x14ac:dyDescent="0.2">
      <c r="H43" s="297">
        <f ca="1">'Summary Calculations (hide)'!A45</f>
        <v>44718</v>
      </c>
      <c r="I43" t="str">
        <f ca="1">'Summary Calculations (hide)'!B45</f>
        <v/>
      </c>
      <c r="J43" t="str">
        <f ca="1">'Summary Calculations (hide)'!C45</f>
        <v>Jun</v>
      </c>
      <c r="K43">
        <f ca="1">'Summary Calculations (hide)'!D45</f>
        <v>23</v>
      </c>
      <c r="L43" s="67" t="e">
        <f ca="1">VLOOKUP($K43,'SPC background (hide)'!$AG$2:$AS$54,3,0)</f>
        <v>#N/A</v>
      </c>
      <c r="M43" s="67" t="e">
        <f t="shared" ca="1" si="0"/>
        <v>#N/A</v>
      </c>
      <c r="N43" s="67" t="e">
        <f t="shared" ca="1" si="1"/>
        <v>#N/A</v>
      </c>
      <c r="O43" s="67"/>
      <c r="P43" s="67"/>
      <c r="Q43" s="67"/>
      <c r="R43" s="5">
        <f ca="1">(VLOOKUP(K43,'Summary Calculations (hide)'!$D$15:$L$67,8,0)+VLOOKUP(K43,'Summary Calculations (hide)'!$D$15:$L$67,9,0))*IF(Summary!$C$8="Patients",'Summary Calculations (hide)'!$I$9,1)</f>
        <v>0</v>
      </c>
      <c r="AA43" s="67" t="e">
        <f ca="1">IF(Summary!$C$8="Patients", 'Parameters calculator (hide)'!$H$63,'Parameters calculator (hide)'!$H$62)</f>
        <v>#VALUE!</v>
      </c>
      <c r="AB43" s="67" t="e">
        <f ca="1">IF(Summary!$C$8="Patients", 'Parameters calculator (hide)'!$I$63,'Parameters calculator (hide)'!$I$62)</f>
        <v>#VALUE!</v>
      </c>
      <c r="AC43" s="67" t="e">
        <f t="shared" ca="1" si="2"/>
        <v>#VALUE!</v>
      </c>
    </row>
    <row r="44" spans="1:29" x14ac:dyDescent="0.2">
      <c r="H44" s="297">
        <f ca="1">'Summary Calculations (hide)'!A46</f>
        <v>44725</v>
      </c>
      <c r="I44" t="str">
        <f ca="1">'Summary Calculations (hide)'!B46</f>
        <v/>
      </c>
      <c r="J44" t="str">
        <f ca="1">'Summary Calculations (hide)'!C46</f>
        <v/>
      </c>
      <c r="K44">
        <f ca="1">'Summary Calculations (hide)'!D46</f>
        <v>24</v>
      </c>
      <c r="L44" s="67" t="e">
        <f ca="1">VLOOKUP($K44,'SPC background (hide)'!$AG$2:$AS$54,3,0)</f>
        <v>#N/A</v>
      </c>
      <c r="M44" s="67" t="e">
        <f t="shared" ca="1" si="0"/>
        <v>#N/A</v>
      </c>
      <c r="N44" s="67" t="e">
        <f t="shared" ca="1" si="1"/>
        <v>#N/A</v>
      </c>
      <c r="O44" s="67"/>
      <c r="P44" s="67"/>
      <c r="Q44" s="67"/>
      <c r="R44" s="5">
        <f ca="1">(VLOOKUP(K44,'Summary Calculations (hide)'!$D$15:$L$67,8,0)+VLOOKUP(K44,'Summary Calculations (hide)'!$D$15:$L$67,9,0))*IF(Summary!$C$8="Patients",'Summary Calculations (hide)'!$I$9,1)</f>
        <v>0</v>
      </c>
      <c r="AA44" s="67" t="e">
        <f ca="1">IF(Summary!$C$8="Patients", 'Parameters calculator (hide)'!$H$63,'Parameters calculator (hide)'!$H$62)</f>
        <v>#VALUE!</v>
      </c>
      <c r="AB44" s="67" t="e">
        <f ca="1">IF(Summary!$C$8="Patients", 'Parameters calculator (hide)'!$I$63,'Parameters calculator (hide)'!$I$62)</f>
        <v>#VALUE!</v>
      </c>
      <c r="AC44" s="67" t="e">
        <f t="shared" ca="1" si="2"/>
        <v>#VALUE!</v>
      </c>
    </row>
    <row r="45" spans="1:29" x14ac:dyDescent="0.2">
      <c r="H45" s="297">
        <f ca="1">'Summary Calculations (hide)'!A47</f>
        <v>44732</v>
      </c>
      <c r="I45" t="str">
        <f ca="1">'Summary Calculations (hide)'!B47</f>
        <v/>
      </c>
      <c r="J45" t="str">
        <f ca="1">'Summary Calculations (hide)'!C47</f>
        <v/>
      </c>
      <c r="K45">
        <f ca="1">'Summary Calculations (hide)'!D47</f>
        <v>25</v>
      </c>
      <c r="L45" s="67" t="e">
        <f ca="1">VLOOKUP($K45,'SPC background (hide)'!$AG$2:$AS$54,3,0)</f>
        <v>#N/A</v>
      </c>
      <c r="M45" s="67" t="e">
        <f t="shared" ca="1" si="0"/>
        <v>#N/A</v>
      </c>
      <c r="N45" s="67" t="e">
        <f t="shared" ca="1" si="1"/>
        <v>#N/A</v>
      </c>
      <c r="O45" s="67"/>
      <c r="P45" s="67"/>
      <c r="Q45" s="67"/>
      <c r="R45" s="5">
        <f ca="1">(VLOOKUP(K45,'Summary Calculations (hide)'!$D$15:$L$67,8,0)+VLOOKUP(K45,'Summary Calculations (hide)'!$D$15:$L$67,9,0))*IF(Summary!$C$8="Patients",'Summary Calculations (hide)'!$I$9,1)</f>
        <v>0</v>
      </c>
      <c r="AA45" s="67" t="e">
        <f ca="1">IF(Summary!$C$8="Patients", 'Parameters calculator (hide)'!$H$63,'Parameters calculator (hide)'!$H$62)</f>
        <v>#VALUE!</v>
      </c>
      <c r="AB45" s="67" t="e">
        <f ca="1">IF(Summary!$C$8="Patients", 'Parameters calculator (hide)'!$I$63,'Parameters calculator (hide)'!$I$62)</f>
        <v>#VALUE!</v>
      </c>
      <c r="AC45" s="67" t="e">
        <f t="shared" ca="1" si="2"/>
        <v>#VALUE!</v>
      </c>
    </row>
    <row r="46" spans="1:29" x14ac:dyDescent="0.2">
      <c r="H46" s="297">
        <f ca="1">'Summary Calculations (hide)'!A48</f>
        <v>44739</v>
      </c>
      <c r="I46" t="str">
        <f ca="1">'Summary Calculations (hide)'!B48</f>
        <v/>
      </c>
      <c r="J46" t="str">
        <f ca="1">'Summary Calculations (hide)'!C48</f>
        <v/>
      </c>
      <c r="K46">
        <f ca="1">'Summary Calculations (hide)'!D48</f>
        <v>26</v>
      </c>
      <c r="L46" s="67" t="e">
        <f ca="1">VLOOKUP($K46,'SPC background (hide)'!$AG$2:$AS$54,3,0)</f>
        <v>#N/A</v>
      </c>
      <c r="M46" s="67" t="e">
        <f t="shared" ca="1" si="0"/>
        <v>#N/A</v>
      </c>
      <c r="N46" s="67" t="e">
        <f t="shared" ca="1" si="1"/>
        <v>#N/A</v>
      </c>
      <c r="O46" s="67"/>
      <c r="P46" s="67"/>
      <c r="Q46" s="67"/>
      <c r="R46" s="5">
        <f ca="1">(VLOOKUP(K46,'Summary Calculations (hide)'!$D$15:$L$67,8,0)+VLOOKUP(K46,'Summary Calculations (hide)'!$D$15:$L$67,9,0))*IF(Summary!$C$8="Patients",'Summary Calculations (hide)'!$I$9,1)</f>
        <v>0</v>
      </c>
      <c r="AA46" s="67" t="e">
        <f ca="1">IF(Summary!$C$8="Patients", 'Parameters calculator (hide)'!$H$63,'Parameters calculator (hide)'!$H$62)</f>
        <v>#VALUE!</v>
      </c>
      <c r="AB46" s="67" t="e">
        <f ca="1">IF(Summary!$C$8="Patients", 'Parameters calculator (hide)'!$I$63,'Parameters calculator (hide)'!$I$62)</f>
        <v>#VALUE!</v>
      </c>
      <c r="AC46" s="67" t="e">
        <f t="shared" ca="1" si="2"/>
        <v>#VALUE!</v>
      </c>
    </row>
    <row r="47" spans="1:29" x14ac:dyDescent="0.2">
      <c r="H47" s="297">
        <f ca="1">'Summary Calculations (hide)'!A49</f>
        <v>44746</v>
      </c>
      <c r="I47" t="str">
        <f ca="1">'Summary Calculations (hide)'!B49</f>
        <v/>
      </c>
      <c r="J47" t="str">
        <f ca="1">'Summary Calculations (hide)'!C49</f>
        <v>Jul</v>
      </c>
      <c r="K47">
        <f ca="1">'Summary Calculations (hide)'!D49</f>
        <v>27</v>
      </c>
      <c r="L47" s="67" t="e">
        <f ca="1">VLOOKUP($K47,'SPC background (hide)'!$AG$2:$AS$54,3,0)</f>
        <v>#N/A</v>
      </c>
      <c r="M47" s="67" t="e">
        <f t="shared" ca="1" si="0"/>
        <v>#N/A</v>
      </c>
      <c r="N47" s="67" t="e">
        <f t="shared" ca="1" si="1"/>
        <v>#N/A</v>
      </c>
      <c r="O47" s="67"/>
      <c r="P47" s="67"/>
      <c r="Q47" s="67"/>
      <c r="R47" s="5">
        <f ca="1">(VLOOKUP(K47,'Summary Calculations (hide)'!$D$15:$L$67,8,0)+VLOOKUP(K47,'Summary Calculations (hide)'!$D$15:$L$67,9,0))*IF(Summary!$C$8="Patients",'Summary Calculations (hide)'!$I$9,1)</f>
        <v>0</v>
      </c>
      <c r="AA47" s="67" t="e">
        <f ca="1">IF(Summary!$C$8="Patients", 'Parameters calculator (hide)'!$H$63,'Parameters calculator (hide)'!$H$62)</f>
        <v>#VALUE!</v>
      </c>
      <c r="AB47" s="67" t="e">
        <f ca="1">IF(Summary!$C$8="Patients", 'Parameters calculator (hide)'!$I$63,'Parameters calculator (hide)'!$I$62)</f>
        <v>#VALUE!</v>
      </c>
      <c r="AC47" s="67" t="e">
        <f t="shared" ca="1" si="2"/>
        <v>#VALUE!</v>
      </c>
    </row>
    <row r="48" spans="1:29" x14ac:dyDescent="0.2">
      <c r="H48" s="297">
        <f ca="1">'Summary Calculations (hide)'!A50</f>
        <v>44753</v>
      </c>
      <c r="I48" t="str">
        <f ca="1">'Summary Calculations (hide)'!B50</f>
        <v/>
      </c>
      <c r="J48" t="str">
        <f ca="1">'Summary Calculations (hide)'!C50</f>
        <v/>
      </c>
      <c r="K48">
        <f ca="1">'Summary Calculations (hide)'!D50</f>
        <v>28</v>
      </c>
      <c r="L48" s="67" t="e">
        <f ca="1">VLOOKUP($K48,'SPC background (hide)'!$AG$2:$AS$54,3,0)</f>
        <v>#N/A</v>
      </c>
      <c r="M48" s="67" t="e">
        <f t="shared" ca="1" si="0"/>
        <v>#N/A</v>
      </c>
      <c r="N48" s="67" t="e">
        <f t="shared" ca="1" si="1"/>
        <v>#N/A</v>
      </c>
      <c r="O48" s="67"/>
      <c r="P48" s="67"/>
      <c r="Q48" s="67"/>
      <c r="R48" s="5">
        <f ca="1">(VLOOKUP(K48,'Summary Calculations (hide)'!$D$15:$L$67,8,0)+VLOOKUP(K48,'Summary Calculations (hide)'!$D$15:$L$67,9,0))*IF(Summary!$C$8="Patients",'Summary Calculations (hide)'!$I$9,1)</f>
        <v>0</v>
      </c>
      <c r="AA48" s="67" t="e">
        <f ca="1">IF(Summary!$C$8="Patients", 'Parameters calculator (hide)'!$H$63,'Parameters calculator (hide)'!$H$62)</f>
        <v>#VALUE!</v>
      </c>
      <c r="AB48" s="67" t="e">
        <f ca="1">IF(Summary!$C$8="Patients", 'Parameters calculator (hide)'!$I$63,'Parameters calculator (hide)'!$I$62)</f>
        <v>#VALUE!</v>
      </c>
      <c r="AC48" s="67" t="e">
        <f t="shared" ca="1" si="2"/>
        <v>#VALUE!</v>
      </c>
    </row>
    <row r="49" spans="8:29" x14ac:dyDescent="0.2">
      <c r="H49" s="297">
        <f ca="1">'Summary Calculations (hide)'!A51</f>
        <v>44760</v>
      </c>
      <c r="I49" t="str">
        <f ca="1">'Summary Calculations (hide)'!B51</f>
        <v/>
      </c>
      <c r="J49" t="str">
        <f ca="1">'Summary Calculations (hide)'!C51</f>
        <v/>
      </c>
      <c r="K49">
        <f ca="1">'Summary Calculations (hide)'!D51</f>
        <v>29</v>
      </c>
      <c r="L49" s="67" t="e">
        <f ca="1">VLOOKUP($K49,'SPC background (hide)'!$AG$2:$AS$54,3,0)</f>
        <v>#N/A</v>
      </c>
      <c r="M49" s="67" t="e">
        <f t="shared" ca="1" si="0"/>
        <v>#N/A</v>
      </c>
      <c r="N49" s="67" t="e">
        <f t="shared" ca="1" si="1"/>
        <v>#N/A</v>
      </c>
      <c r="O49" s="67"/>
      <c r="P49" s="67"/>
      <c r="Q49" s="67"/>
      <c r="R49" s="5">
        <f ca="1">(VLOOKUP(K49,'Summary Calculations (hide)'!$D$15:$L$67,8,0)+VLOOKUP(K49,'Summary Calculations (hide)'!$D$15:$L$67,9,0))*IF(Summary!$C$8="Patients",'Summary Calculations (hide)'!$I$9,1)</f>
        <v>0</v>
      </c>
      <c r="AA49" s="67" t="e">
        <f ca="1">IF(Summary!$C$8="Patients", 'Parameters calculator (hide)'!$H$63,'Parameters calculator (hide)'!$H$62)</f>
        <v>#VALUE!</v>
      </c>
      <c r="AB49" s="67" t="e">
        <f ca="1">IF(Summary!$C$8="Patients", 'Parameters calculator (hide)'!$I$63,'Parameters calculator (hide)'!$I$62)</f>
        <v>#VALUE!</v>
      </c>
      <c r="AC49" s="67" t="e">
        <f t="shared" ca="1" si="2"/>
        <v>#VALUE!</v>
      </c>
    </row>
    <row r="50" spans="8:29" x14ac:dyDescent="0.2">
      <c r="H50" s="297">
        <f ca="1">'Summary Calculations (hide)'!A52</f>
        <v>44767</v>
      </c>
      <c r="I50" t="str">
        <f ca="1">'Summary Calculations (hide)'!B52</f>
        <v/>
      </c>
      <c r="J50" t="str">
        <f ca="1">'Summary Calculations (hide)'!C52</f>
        <v/>
      </c>
      <c r="K50">
        <f ca="1">'Summary Calculations (hide)'!D52</f>
        <v>30</v>
      </c>
      <c r="L50" s="67" t="e">
        <f ca="1">VLOOKUP($K50,'SPC background (hide)'!$AG$2:$AS$54,3,0)</f>
        <v>#N/A</v>
      </c>
      <c r="M50" s="67" t="e">
        <f t="shared" ca="1" si="0"/>
        <v>#N/A</v>
      </c>
      <c r="N50" s="67" t="e">
        <f t="shared" ca="1" si="1"/>
        <v>#N/A</v>
      </c>
      <c r="O50" s="67"/>
      <c r="P50" s="67"/>
      <c r="Q50" s="67"/>
      <c r="R50" s="5">
        <f ca="1">(VLOOKUP(K50,'Summary Calculations (hide)'!$D$15:$L$67,8,0)+VLOOKUP(K50,'Summary Calculations (hide)'!$D$15:$L$67,9,0))*IF(Summary!$C$8="Patients",'Summary Calculations (hide)'!$I$9,1)</f>
        <v>0</v>
      </c>
      <c r="AA50" s="67" t="e">
        <f ca="1">IF(Summary!$C$8="Patients", 'Parameters calculator (hide)'!$H$63,'Parameters calculator (hide)'!$H$62)</f>
        <v>#VALUE!</v>
      </c>
      <c r="AB50" s="67" t="e">
        <f ca="1">IF(Summary!$C$8="Patients", 'Parameters calculator (hide)'!$I$63,'Parameters calculator (hide)'!$I$62)</f>
        <v>#VALUE!</v>
      </c>
      <c r="AC50" s="67" t="e">
        <f t="shared" ca="1" si="2"/>
        <v>#VALUE!</v>
      </c>
    </row>
    <row r="51" spans="8:29" x14ac:dyDescent="0.2">
      <c r="H51" s="297">
        <f ca="1">'Summary Calculations (hide)'!A53</f>
        <v>44774</v>
      </c>
      <c r="I51" t="str">
        <f ca="1">'Summary Calculations (hide)'!B53</f>
        <v/>
      </c>
      <c r="J51" t="str">
        <f ca="1">'Summary Calculations (hide)'!C53</f>
        <v>Aug</v>
      </c>
      <c r="K51">
        <f ca="1">'Summary Calculations (hide)'!D53</f>
        <v>31</v>
      </c>
      <c r="L51" s="67" t="e">
        <f ca="1">VLOOKUP($K51,'SPC background (hide)'!$AG$2:$AS$54,3,0)</f>
        <v>#N/A</v>
      </c>
      <c r="M51" s="67" t="e">
        <f t="shared" ca="1" si="0"/>
        <v>#N/A</v>
      </c>
      <c r="N51" s="67" t="e">
        <f t="shared" ca="1" si="1"/>
        <v>#N/A</v>
      </c>
      <c r="O51" s="67"/>
      <c r="P51" s="67"/>
      <c r="Q51" s="67"/>
      <c r="R51" s="5">
        <f ca="1">(VLOOKUP(K51,'Summary Calculations (hide)'!$D$15:$L$67,8,0)+VLOOKUP(K51,'Summary Calculations (hide)'!$D$15:$L$67,9,0))*IF(Summary!$C$8="Patients",'Summary Calculations (hide)'!$I$9,1)</f>
        <v>0</v>
      </c>
      <c r="AA51" s="67" t="e">
        <f ca="1">IF(Summary!$C$8="Patients", 'Parameters calculator (hide)'!$H$63,'Parameters calculator (hide)'!$H$62)</f>
        <v>#VALUE!</v>
      </c>
      <c r="AB51" s="67" t="e">
        <f ca="1">IF(Summary!$C$8="Patients", 'Parameters calculator (hide)'!$I$63,'Parameters calculator (hide)'!$I$62)</f>
        <v>#VALUE!</v>
      </c>
      <c r="AC51" s="67" t="e">
        <f t="shared" ca="1" si="2"/>
        <v>#VALUE!</v>
      </c>
    </row>
    <row r="52" spans="8:29" x14ac:dyDescent="0.2">
      <c r="H52" s="297">
        <f ca="1">'Summary Calculations (hide)'!A54</f>
        <v>44781</v>
      </c>
      <c r="I52" t="str">
        <f ca="1">'Summary Calculations (hide)'!B54</f>
        <v/>
      </c>
      <c r="J52" t="str">
        <f ca="1">'Summary Calculations (hide)'!C54</f>
        <v/>
      </c>
      <c r="K52">
        <f ca="1">'Summary Calculations (hide)'!D54</f>
        <v>32</v>
      </c>
      <c r="L52" s="67" t="e">
        <f ca="1">VLOOKUP($K52,'SPC background (hide)'!$AG$2:$AS$54,3,0)</f>
        <v>#N/A</v>
      </c>
      <c r="M52" s="67" t="e">
        <f t="shared" ca="1" si="0"/>
        <v>#N/A</v>
      </c>
      <c r="N52" s="67" t="e">
        <f t="shared" ca="1" si="1"/>
        <v>#N/A</v>
      </c>
      <c r="O52" s="67"/>
      <c r="P52" s="67"/>
      <c r="Q52" s="67"/>
      <c r="R52" s="5">
        <f ca="1">(VLOOKUP(K52,'Summary Calculations (hide)'!$D$15:$L$67,8,0)+VLOOKUP(K52,'Summary Calculations (hide)'!$D$15:$L$67,9,0))*IF(Summary!$C$8="Patients",'Summary Calculations (hide)'!$I$9,1)</f>
        <v>0</v>
      </c>
      <c r="AA52" s="67" t="e">
        <f ca="1">IF(Summary!$C$8="Patients", 'Parameters calculator (hide)'!$H$63,'Parameters calculator (hide)'!$H$62)</f>
        <v>#VALUE!</v>
      </c>
      <c r="AB52" s="67" t="e">
        <f ca="1">IF(Summary!$C$8="Patients", 'Parameters calculator (hide)'!$I$63,'Parameters calculator (hide)'!$I$62)</f>
        <v>#VALUE!</v>
      </c>
      <c r="AC52" s="67" t="e">
        <f t="shared" ca="1" si="2"/>
        <v>#VALUE!</v>
      </c>
    </row>
    <row r="53" spans="8:29" x14ac:dyDescent="0.2">
      <c r="H53" s="297">
        <f ca="1">'Summary Calculations (hide)'!A55</f>
        <v>44788</v>
      </c>
      <c r="I53" t="str">
        <f ca="1">'Summary Calculations (hide)'!B55</f>
        <v/>
      </c>
      <c r="J53" t="str">
        <f ca="1">'Summary Calculations (hide)'!C55</f>
        <v/>
      </c>
      <c r="K53">
        <f ca="1">'Summary Calculations (hide)'!D55</f>
        <v>33</v>
      </c>
      <c r="L53" s="67" t="e">
        <f ca="1">VLOOKUP($K53,'SPC background (hide)'!$AG$2:$AS$54,3,0)</f>
        <v>#N/A</v>
      </c>
      <c r="M53" s="67" t="e">
        <f t="shared" ca="1" si="0"/>
        <v>#N/A</v>
      </c>
      <c r="N53" s="67" t="e">
        <f t="shared" ca="1" si="1"/>
        <v>#N/A</v>
      </c>
      <c r="O53" s="67"/>
      <c r="P53" s="67"/>
      <c r="Q53" s="67"/>
      <c r="R53" s="5">
        <f ca="1">(VLOOKUP(K53,'Summary Calculations (hide)'!$D$15:$L$67,8,0)+VLOOKUP(K53,'Summary Calculations (hide)'!$D$15:$L$67,9,0))*IF(Summary!$C$8="Patients",'Summary Calculations (hide)'!$I$9,1)</f>
        <v>0</v>
      </c>
      <c r="AA53" s="67" t="e">
        <f ca="1">IF(Summary!$C$8="Patients", 'Parameters calculator (hide)'!$H$63,'Parameters calculator (hide)'!$H$62)</f>
        <v>#VALUE!</v>
      </c>
      <c r="AB53" s="67" t="e">
        <f ca="1">IF(Summary!$C$8="Patients", 'Parameters calculator (hide)'!$I$63,'Parameters calculator (hide)'!$I$62)</f>
        <v>#VALUE!</v>
      </c>
      <c r="AC53" s="67" t="e">
        <f t="shared" ca="1" si="2"/>
        <v>#VALUE!</v>
      </c>
    </row>
    <row r="54" spans="8:29" x14ac:dyDescent="0.2">
      <c r="H54" s="297">
        <f ca="1">'Summary Calculations (hide)'!A56</f>
        <v>44795</v>
      </c>
      <c r="I54" t="str">
        <f ca="1">'Summary Calculations (hide)'!B56</f>
        <v/>
      </c>
      <c r="J54" t="str">
        <f ca="1">'Summary Calculations (hide)'!C56</f>
        <v/>
      </c>
      <c r="K54">
        <f ca="1">'Summary Calculations (hide)'!D56</f>
        <v>34</v>
      </c>
      <c r="L54" s="67" t="e">
        <f ca="1">VLOOKUP($K54,'SPC background (hide)'!$AG$2:$AS$54,3,0)</f>
        <v>#N/A</v>
      </c>
      <c r="M54" s="67" t="e">
        <f t="shared" ca="1" si="0"/>
        <v>#N/A</v>
      </c>
      <c r="N54" s="67" t="e">
        <f t="shared" ca="1" si="1"/>
        <v>#N/A</v>
      </c>
      <c r="O54" s="67"/>
      <c r="P54" s="67"/>
      <c r="Q54" s="67"/>
      <c r="R54" s="5">
        <f ca="1">(VLOOKUP(K54,'Summary Calculations (hide)'!$D$15:$L$67,8,0)+VLOOKUP(K54,'Summary Calculations (hide)'!$D$15:$L$67,9,0))*IF(Summary!$C$8="Patients",'Summary Calculations (hide)'!$I$9,1)</f>
        <v>0</v>
      </c>
      <c r="AA54" s="67" t="e">
        <f ca="1">IF(Summary!$C$8="Patients", 'Parameters calculator (hide)'!$H$63,'Parameters calculator (hide)'!$H$62)</f>
        <v>#VALUE!</v>
      </c>
      <c r="AB54" s="67" t="e">
        <f ca="1">IF(Summary!$C$8="Patients", 'Parameters calculator (hide)'!$I$63,'Parameters calculator (hide)'!$I$62)</f>
        <v>#VALUE!</v>
      </c>
      <c r="AC54" s="67" t="e">
        <f t="shared" ca="1" si="2"/>
        <v>#VALUE!</v>
      </c>
    </row>
    <row r="55" spans="8:29" x14ac:dyDescent="0.2">
      <c r="H55" s="297">
        <f ca="1">'Summary Calculations (hide)'!A57</f>
        <v>44802</v>
      </c>
      <c r="I55" t="str">
        <f ca="1">'Summary Calculations (hide)'!B57</f>
        <v/>
      </c>
      <c r="J55" t="str">
        <f ca="1">'Summary Calculations (hide)'!C57</f>
        <v/>
      </c>
      <c r="K55">
        <f ca="1">'Summary Calculations (hide)'!D57</f>
        <v>35</v>
      </c>
      <c r="L55" s="67" t="e">
        <f ca="1">VLOOKUP($K55,'SPC background (hide)'!$AG$2:$AS$54,3,0)</f>
        <v>#N/A</v>
      </c>
      <c r="M55" s="67" t="e">
        <f t="shared" ca="1" si="0"/>
        <v>#N/A</v>
      </c>
      <c r="N55" s="67" t="e">
        <f t="shared" ca="1" si="1"/>
        <v>#N/A</v>
      </c>
      <c r="O55" s="67"/>
      <c r="P55" s="67"/>
      <c r="Q55" s="67"/>
      <c r="R55" s="5">
        <f ca="1">(VLOOKUP(K55,'Summary Calculations (hide)'!$D$15:$L$67,8,0)+VLOOKUP(K55,'Summary Calculations (hide)'!$D$15:$L$67,9,0))*IF(Summary!$C$8="Patients",'Summary Calculations (hide)'!$I$9,1)</f>
        <v>0</v>
      </c>
      <c r="AA55" s="67" t="e">
        <f ca="1">IF(Summary!$C$8="Patients", 'Parameters calculator (hide)'!$H$63,'Parameters calculator (hide)'!$H$62)</f>
        <v>#VALUE!</v>
      </c>
      <c r="AB55" s="67" t="e">
        <f ca="1">IF(Summary!$C$8="Patients", 'Parameters calculator (hide)'!$I$63,'Parameters calculator (hide)'!$I$62)</f>
        <v>#VALUE!</v>
      </c>
      <c r="AC55" s="67" t="e">
        <f t="shared" ca="1" si="2"/>
        <v>#VALUE!</v>
      </c>
    </row>
    <row r="56" spans="8:29" x14ac:dyDescent="0.2">
      <c r="H56" s="297">
        <f ca="1">'Summary Calculations (hide)'!A58</f>
        <v>44809</v>
      </c>
      <c r="I56" t="str">
        <f ca="1">'Summary Calculations (hide)'!B58</f>
        <v/>
      </c>
      <c r="J56" t="str">
        <f ca="1">'Summary Calculations (hide)'!C58</f>
        <v>Sep</v>
      </c>
      <c r="K56">
        <f ca="1">'Summary Calculations (hide)'!D58</f>
        <v>36</v>
      </c>
      <c r="L56" s="67" t="e">
        <f ca="1">VLOOKUP($K56,'SPC background (hide)'!$AG$2:$AS$54,3,0)</f>
        <v>#N/A</v>
      </c>
      <c r="M56" s="67" t="e">
        <f t="shared" ca="1" si="0"/>
        <v>#N/A</v>
      </c>
      <c r="N56" s="67" t="e">
        <f t="shared" ca="1" si="1"/>
        <v>#N/A</v>
      </c>
      <c r="O56" s="67"/>
      <c r="P56" s="67"/>
      <c r="Q56" s="67"/>
      <c r="R56" s="5">
        <f ca="1">(VLOOKUP(K56,'Summary Calculations (hide)'!$D$15:$L$67,8,0)+VLOOKUP(K56,'Summary Calculations (hide)'!$D$15:$L$67,9,0))*IF(Summary!$C$8="Patients",'Summary Calculations (hide)'!$I$9,1)</f>
        <v>0</v>
      </c>
      <c r="AA56" s="67" t="e">
        <f ca="1">IF(Summary!$C$8="Patients", 'Parameters calculator (hide)'!$H$63,'Parameters calculator (hide)'!$H$62)</f>
        <v>#VALUE!</v>
      </c>
      <c r="AB56" s="67" t="e">
        <f ca="1">IF(Summary!$C$8="Patients", 'Parameters calculator (hide)'!$I$63,'Parameters calculator (hide)'!$I$62)</f>
        <v>#VALUE!</v>
      </c>
      <c r="AC56" s="67" t="e">
        <f t="shared" ca="1" si="2"/>
        <v>#VALUE!</v>
      </c>
    </row>
    <row r="57" spans="8:29" x14ac:dyDescent="0.2">
      <c r="H57" s="297">
        <f ca="1">'Summary Calculations (hide)'!A59</f>
        <v>44816</v>
      </c>
      <c r="I57" t="str">
        <f ca="1">'Summary Calculations (hide)'!B59</f>
        <v/>
      </c>
      <c r="J57" t="str">
        <f ca="1">'Summary Calculations (hide)'!C59</f>
        <v/>
      </c>
      <c r="K57">
        <f ca="1">'Summary Calculations (hide)'!D59</f>
        <v>37</v>
      </c>
      <c r="L57" s="67" t="e">
        <f ca="1">VLOOKUP($K57,'SPC background (hide)'!$AG$2:$AS$54,3,0)</f>
        <v>#N/A</v>
      </c>
      <c r="M57" s="67" t="e">
        <f t="shared" ca="1" si="0"/>
        <v>#N/A</v>
      </c>
      <c r="N57" s="67" t="e">
        <f t="shared" ca="1" si="1"/>
        <v>#N/A</v>
      </c>
      <c r="O57" s="67"/>
      <c r="P57" s="67"/>
      <c r="Q57" s="67"/>
      <c r="R57" s="5">
        <f ca="1">(VLOOKUP(K57,'Summary Calculations (hide)'!$D$15:$L$67,8,0)+VLOOKUP(K57,'Summary Calculations (hide)'!$D$15:$L$67,9,0))*IF(Summary!$C$8="Patients",'Summary Calculations (hide)'!$I$9,1)</f>
        <v>0</v>
      </c>
      <c r="AA57" s="67" t="e">
        <f ca="1">IF(Summary!$C$8="Patients", 'Parameters calculator (hide)'!$H$63,'Parameters calculator (hide)'!$H$62)</f>
        <v>#VALUE!</v>
      </c>
      <c r="AB57" s="67" t="e">
        <f ca="1">IF(Summary!$C$8="Patients", 'Parameters calculator (hide)'!$I$63,'Parameters calculator (hide)'!$I$62)</f>
        <v>#VALUE!</v>
      </c>
      <c r="AC57" s="67" t="e">
        <f t="shared" ca="1" si="2"/>
        <v>#VALUE!</v>
      </c>
    </row>
    <row r="58" spans="8:29" x14ac:dyDescent="0.2">
      <c r="H58" s="297">
        <f ca="1">'Summary Calculations (hide)'!A60</f>
        <v>44823</v>
      </c>
      <c r="I58" t="str">
        <f ca="1">'Summary Calculations (hide)'!B60</f>
        <v/>
      </c>
      <c r="J58" t="str">
        <f ca="1">'Summary Calculations (hide)'!C60</f>
        <v/>
      </c>
      <c r="K58">
        <f ca="1">'Summary Calculations (hide)'!D60</f>
        <v>38</v>
      </c>
      <c r="L58" s="67" t="e">
        <f ca="1">VLOOKUP($K58,'SPC background (hide)'!$AG$2:$AS$54,3,0)</f>
        <v>#N/A</v>
      </c>
      <c r="M58" s="67" t="e">
        <f t="shared" ca="1" si="0"/>
        <v>#N/A</v>
      </c>
      <c r="N58" s="67" t="e">
        <f t="shared" ca="1" si="1"/>
        <v>#N/A</v>
      </c>
      <c r="O58" s="67"/>
      <c r="P58" s="67"/>
      <c r="Q58" s="67"/>
      <c r="R58" s="5">
        <f ca="1">(VLOOKUP(K58,'Summary Calculations (hide)'!$D$15:$L$67,8,0)+VLOOKUP(K58,'Summary Calculations (hide)'!$D$15:$L$67,9,0))*IF(Summary!$C$8="Patients",'Summary Calculations (hide)'!$I$9,1)</f>
        <v>0</v>
      </c>
      <c r="AA58" s="67" t="e">
        <f ca="1">IF(Summary!$C$8="Patients", 'Parameters calculator (hide)'!$H$63,'Parameters calculator (hide)'!$H$62)</f>
        <v>#VALUE!</v>
      </c>
      <c r="AB58" s="67" t="e">
        <f ca="1">IF(Summary!$C$8="Patients", 'Parameters calculator (hide)'!$I$63,'Parameters calculator (hide)'!$I$62)</f>
        <v>#VALUE!</v>
      </c>
      <c r="AC58" s="67" t="e">
        <f t="shared" ca="1" si="2"/>
        <v>#VALUE!</v>
      </c>
    </row>
    <row r="59" spans="8:29" x14ac:dyDescent="0.2">
      <c r="H59" s="297">
        <f ca="1">'Summary Calculations (hide)'!A61</f>
        <v>44830</v>
      </c>
      <c r="I59" t="str">
        <f ca="1">'Summary Calculations (hide)'!B61</f>
        <v/>
      </c>
      <c r="J59" t="str">
        <f ca="1">'Summary Calculations (hide)'!C61</f>
        <v/>
      </c>
      <c r="K59">
        <f ca="1">'Summary Calculations (hide)'!D61</f>
        <v>39</v>
      </c>
      <c r="L59" s="67" t="e">
        <f ca="1">VLOOKUP($K59,'SPC background (hide)'!$AG$2:$AS$54,3,0)</f>
        <v>#N/A</v>
      </c>
      <c r="M59" s="67" t="e">
        <f t="shared" ca="1" si="0"/>
        <v>#N/A</v>
      </c>
      <c r="N59" s="67" t="e">
        <f t="shared" ca="1" si="1"/>
        <v>#N/A</v>
      </c>
      <c r="O59" s="67"/>
      <c r="P59" s="67"/>
      <c r="Q59" s="67"/>
      <c r="R59" s="5">
        <f ca="1">(VLOOKUP(K59,'Summary Calculations (hide)'!$D$15:$L$67,8,0)+VLOOKUP(K59,'Summary Calculations (hide)'!$D$15:$L$67,9,0))*IF(Summary!$C$8="Patients",'Summary Calculations (hide)'!$I$9,1)</f>
        <v>0</v>
      </c>
      <c r="AA59" s="67" t="e">
        <f ca="1">IF(Summary!$C$8="Patients", 'Parameters calculator (hide)'!$H$63,'Parameters calculator (hide)'!$H$62)</f>
        <v>#VALUE!</v>
      </c>
      <c r="AB59" s="67" t="e">
        <f ca="1">IF(Summary!$C$8="Patients", 'Parameters calculator (hide)'!$I$63,'Parameters calculator (hide)'!$I$62)</f>
        <v>#VALUE!</v>
      </c>
      <c r="AC59" s="67" t="e">
        <f t="shared" ca="1" si="2"/>
        <v>#VALUE!</v>
      </c>
    </row>
    <row r="60" spans="8:29" x14ac:dyDescent="0.2">
      <c r="H60" s="297">
        <f ca="1">'Summary Calculations (hide)'!A62</f>
        <v>44837</v>
      </c>
      <c r="I60" t="str">
        <f ca="1">'Summary Calculations (hide)'!B62</f>
        <v/>
      </c>
      <c r="J60" t="str">
        <f ca="1">'Summary Calculations (hide)'!C62</f>
        <v>Oct</v>
      </c>
      <c r="K60">
        <f ca="1">'Summary Calculations (hide)'!D62</f>
        <v>40</v>
      </c>
      <c r="L60" s="67" t="e">
        <f ca="1">VLOOKUP($K60,'SPC background (hide)'!$AG$2:$AS$54,3,0)</f>
        <v>#N/A</v>
      </c>
      <c r="M60" s="67" t="e">
        <f t="shared" ca="1" si="0"/>
        <v>#N/A</v>
      </c>
      <c r="N60" s="67" t="e">
        <f t="shared" ca="1" si="1"/>
        <v>#N/A</v>
      </c>
      <c r="O60" s="67"/>
      <c r="P60" s="67"/>
      <c r="Q60" s="67"/>
      <c r="R60" s="5">
        <f ca="1">(VLOOKUP(K60,'Summary Calculations (hide)'!$D$15:$L$67,8,0)+VLOOKUP(K60,'Summary Calculations (hide)'!$D$15:$L$67,9,0))*IF(Summary!$C$8="Patients",'Summary Calculations (hide)'!$I$9,1)</f>
        <v>0</v>
      </c>
      <c r="AA60" s="67" t="e">
        <f ca="1">IF(Summary!$C$8="Patients", 'Parameters calculator (hide)'!$H$63,'Parameters calculator (hide)'!$H$62)</f>
        <v>#VALUE!</v>
      </c>
      <c r="AB60" s="67" t="e">
        <f ca="1">IF(Summary!$C$8="Patients", 'Parameters calculator (hide)'!$I$63,'Parameters calculator (hide)'!$I$62)</f>
        <v>#VALUE!</v>
      </c>
      <c r="AC60" s="67" t="e">
        <f t="shared" ca="1" si="2"/>
        <v>#VALUE!</v>
      </c>
    </row>
    <row r="61" spans="8:29" x14ac:dyDescent="0.2">
      <c r="H61" s="297">
        <f ca="1">'Summary Calculations (hide)'!A63</f>
        <v>44844</v>
      </c>
      <c r="I61" t="str">
        <f ca="1">'Summary Calculations (hide)'!B63</f>
        <v/>
      </c>
      <c r="J61" t="str">
        <f ca="1">'Summary Calculations (hide)'!C63</f>
        <v/>
      </c>
      <c r="K61">
        <f ca="1">'Summary Calculations (hide)'!D63</f>
        <v>41</v>
      </c>
      <c r="L61" s="67" t="e">
        <f ca="1">VLOOKUP($K61,'SPC background (hide)'!$AG$2:$AS$54,3,0)</f>
        <v>#N/A</v>
      </c>
      <c r="M61" s="67" t="e">
        <f t="shared" ca="1" si="0"/>
        <v>#N/A</v>
      </c>
      <c r="N61" s="67" t="e">
        <f t="shared" ca="1" si="1"/>
        <v>#N/A</v>
      </c>
      <c r="O61" s="67"/>
      <c r="P61" s="67"/>
      <c r="Q61" s="67"/>
      <c r="R61" s="5">
        <f ca="1">(VLOOKUP(K61,'Summary Calculations (hide)'!$D$15:$L$67,8,0)+VLOOKUP(K61,'Summary Calculations (hide)'!$D$15:$L$67,9,0))*IF(Summary!$C$8="Patients",'Summary Calculations (hide)'!$I$9,1)</f>
        <v>0</v>
      </c>
      <c r="AA61" s="67" t="e">
        <f ca="1">IF(Summary!$C$8="Patients", 'Parameters calculator (hide)'!$H$63,'Parameters calculator (hide)'!$H$62)</f>
        <v>#VALUE!</v>
      </c>
      <c r="AB61" s="67" t="e">
        <f ca="1">IF(Summary!$C$8="Patients", 'Parameters calculator (hide)'!$I$63,'Parameters calculator (hide)'!$I$62)</f>
        <v>#VALUE!</v>
      </c>
      <c r="AC61" s="67" t="e">
        <f t="shared" ca="1" si="2"/>
        <v>#VALUE!</v>
      </c>
    </row>
    <row r="62" spans="8:29" x14ac:dyDescent="0.2">
      <c r="H62" s="297">
        <f ca="1">'Summary Calculations (hide)'!A64</f>
        <v>44851</v>
      </c>
      <c r="I62" t="str">
        <f ca="1">'Summary Calculations (hide)'!B64</f>
        <v/>
      </c>
      <c r="J62" t="str">
        <f ca="1">'Summary Calculations (hide)'!C64</f>
        <v/>
      </c>
      <c r="K62">
        <f ca="1">'Summary Calculations (hide)'!D64</f>
        <v>42</v>
      </c>
      <c r="L62" s="67" t="e">
        <f ca="1">VLOOKUP($K62,'SPC background (hide)'!$AG$2:$AS$54,3,0)</f>
        <v>#N/A</v>
      </c>
      <c r="M62" s="67" t="e">
        <f t="shared" ca="1" si="0"/>
        <v>#N/A</v>
      </c>
      <c r="N62" s="67" t="e">
        <f t="shared" ca="1" si="1"/>
        <v>#N/A</v>
      </c>
      <c r="O62" s="67"/>
      <c r="P62" s="67"/>
      <c r="Q62" s="67"/>
      <c r="R62" s="5">
        <f ca="1">(VLOOKUP(K62,'Summary Calculations (hide)'!$D$15:$L$67,8,0)+VLOOKUP(K62,'Summary Calculations (hide)'!$D$15:$L$67,9,0))*IF(Summary!$C$8="Patients",'Summary Calculations (hide)'!$I$9,1)</f>
        <v>0</v>
      </c>
      <c r="AA62" s="67" t="e">
        <f ca="1">IF(Summary!$C$8="Patients", 'Parameters calculator (hide)'!$H$63,'Parameters calculator (hide)'!$H$62)</f>
        <v>#VALUE!</v>
      </c>
      <c r="AB62" s="67" t="e">
        <f ca="1">IF(Summary!$C$8="Patients", 'Parameters calculator (hide)'!$I$63,'Parameters calculator (hide)'!$I$62)</f>
        <v>#VALUE!</v>
      </c>
      <c r="AC62" s="67" t="e">
        <f t="shared" ca="1" si="2"/>
        <v>#VALUE!</v>
      </c>
    </row>
    <row r="63" spans="8:29" x14ac:dyDescent="0.2">
      <c r="H63" s="297">
        <f ca="1">'Summary Calculations (hide)'!A65</f>
        <v>44858</v>
      </c>
      <c r="I63" t="str">
        <f ca="1">'Summary Calculations (hide)'!B65</f>
        <v/>
      </c>
      <c r="J63" t="str">
        <f ca="1">'Summary Calculations (hide)'!C65</f>
        <v/>
      </c>
      <c r="K63">
        <f ca="1">'Summary Calculations (hide)'!D65</f>
        <v>43</v>
      </c>
      <c r="L63" s="67" t="e">
        <f ca="1">VLOOKUP($K63,'SPC background (hide)'!$AG$2:$AS$54,3,0)</f>
        <v>#N/A</v>
      </c>
      <c r="M63" s="67" t="e">
        <f t="shared" ca="1" si="0"/>
        <v>#N/A</v>
      </c>
      <c r="N63" s="67" t="e">
        <f t="shared" ca="1" si="1"/>
        <v>#N/A</v>
      </c>
      <c r="O63" s="67"/>
      <c r="P63" s="67"/>
      <c r="Q63" s="67"/>
      <c r="R63" s="5">
        <f ca="1">(VLOOKUP(K63,'Summary Calculations (hide)'!$D$15:$L$67,8,0)+VLOOKUP(K63,'Summary Calculations (hide)'!$D$15:$L$67,9,0))*IF(Summary!$C$8="Patients",'Summary Calculations (hide)'!$I$9,1)</f>
        <v>0</v>
      </c>
      <c r="AA63" s="67" t="e">
        <f ca="1">IF(Summary!$C$8="Patients", 'Parameters calculator (hide)'!$H$63,'Parameters calculator (hide)'!$H$62)</f>
        <v>#VALUE!</v>
      </c>
      <c r="AB63" s="67" t="e">
        <f ca="1">IF(Summary!$C$8="Patients", 'Parameters calculator (hide)'!$I$63,'Parameters calculator (hide)'!$I$62)</f>
        <v>#VALUE!</v>
      </c>
      <c r="AC63" s="67" t="e">
        <f t="shared" ca="1" si="2"/>
        <v>#VALUE!</v>
      </c>
    </row>
    <row r="64" spans="8:29" x14ac:dyDescent="0.2">
      <c r="H64" s="297">
        <f ca="1">'Summary Calculations (hide)'!A66</f>
        <v>44865</v>
      </c>
      <c r="I64" t="str">
        <f ca="1">'Summary Calculations (hide)'!B66</f>
        <v/>
      </c>
      <c r="J64" t="str">
        <f ca="1">'Summary Calculations (hide)'!C66</f>
        <v/>
      </c>
      <c r="K64">
        <f ca="1">'Summary Calculations (hide)'!D66</f>
        <v>44</v>
      </c>
      <c r="L64" s="67" t="e">
        <f ca="1">VLOOKUP($K64,'SPC background (hide)'!$AG$2:$AS$54,3,0)</f>
        <v>#N/A</v>
      </c>
      <c r="M64" s="67" t="e">
        <f t="shared" ca="1" si="0"/>
        <v>#N/A</v>
      </c>
      <c r="N64" s="67" t="e">
        <f t="shared" ca="1" si="1"/>
        <v>#N/A</v>
      </c>
      <c r="O64" s="67"/>
      <c r="P64" s="67"/>
      <c r="Q64" s="67"/>
      <c r="R64" s="5">
        <f ca="1">(VLOOKUP(K64,'Summary Calculations (hide)'!$D$15:$L$67,8,0)+VLOOKUP(K64,'Summary Calculations (hide)'!$D$15:$L$67,9,0))*IF(Summary!$C$8="Patients",'Summary Calculations (hide)'!$I$9,1)</f>
        <v>0</v>
      </c>
      <c r="AA64" s="67" t="e">
        <f ca="1">IF(Summary!$C$8="Patients", 'Parameters calculator (hide)'!$H$63,'Parameters calculator (hide)'!$H$62)</f>
        <v>#VALUE!</v>
      </c>
      <c r="AB64" s="67" t="e">
        <f ca="1">IF(Summary!$C$8="Patients", 'Parameters calculator (hide)'!$I$63,'Parameters calculator (hide)'!$I$62)</f>
        <v>#VALUE!</v>
      </c>
      <c r="AC64" s="67" t="e">
        <f t="shared" ca="1" si="2"/>
        <v>#VALUE!</v>
      </c>
    </row>
    <row r="65" spans="1:114" x14ac:dyDescent="0.2">
      <c r="H65" s="7"/>
      <c r="I65" s="3"/>
      <c r="J65" s="3"/>
      <c r="K65" s="3"/>
      <c r="L65" s="3"/>
      <c r="M65" s="3"/>
      <c r="N65" s="3"/>
      <c r="O65" s="3"/>
      <c r="P65" s="3"/>
      <c r="Q65" s="3"/>
      <c r="R65" s="67"/>
    </row>
    <row r="67" spans="1:114" ht="15" x14ac:dyDescent="0.25">
      <c r="A67" s="2"/>
    </row>
    <row r="68" spans="1:114" ht="15" x14ac:dyDescent="0.25">
      <c r="A68" s="2"/>
    </row>
    <row r="70" spans="1:114" ht="15" x14ac:dyDescent="0.25">
      <c r="BJ70" s="2"/>
    </row>
    <row r="71" spans="1:114" ht="15"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ht="15"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6" sqref="C6"/>
    </sheetView>
  </sheetViews>
  <sheetFormatPr defaultColWidth="9" defaultRowHeight="14.25" x14ac:dyDescent="0.2"/>
  <cols>
    <col min="1" max="1" width="0.75" style="67" customWidth="1"/>
    <col min="2" max="2" width="19.625" style="67" customWidth="1"/>
    <col min="3" max="4" width="10.125" style="67" customWidth="1"/>
    <col min="5" max="5" width="5.125" style="67" customWidth="1"/>
    <col min="6" max="18" width="2.25" style="67" customWidth="1"/>
    <col min="19" max="19" width="2" style="67" customWidth="1"/>
    <col min="20" max="43" width="2.25" style="67" customWidth="1"/>
    <col min="44" max="44" width="2" style="67" customWidth="1"/>
    <col min="45" max="57" width="2.25" style="67" customWidth="1"/>
    <col min="58" max="64" width="9" style="67" customWidth="1"/>
    <col min="65" max="16384" width="9" style="67"/>
  </cols>
  <sheetData>
    <row r="2" spans="2:62" ht="15" x14ac:dyDescent="0.25">
      <c r="B2" s="2" t="s">
        <v>510</v>
      </c>
    </row>
    <row r="3" spans="2:62" x14ac:dyDescent="0.2">
      <c r="C3" s="45"/>
      <c r="D3" s="45"/>
    </row>
    <row r="4" spans="2:62" x14ac:dyDescent="0.2">
      <c r="B4" s="67" t="s">
        <v>490</v>
      </c>
      <c r="C4" s="162" t="s">
        <v>21</v>
      </c>
      <c r="D4" s="45"/>
    </row>
    <row r="5" spans="2:62" x14ac:dyDescent="0.2">
      <c r="F5" s="79"/>
      <c r="G5" s="79"/>
      <c r="H5" s="79"/>
      <c r="I5" s="79"/>
      <c r="J5" s="79"/>
      <c r="K5" s="79"/>
      <c r="L5" s="79"/>
      <c r="M5" s="79"/>
      <c r="N5" s="79"/>
      <c r="O5" s="79"/>
      <c r="P5" s="79"/>
      <c r="Q5" s="79"/>
      <c r="R5" s="79"/>
      <c r="S5" s="79"/>
      <c r="T5" s="79"/>
      <c r="U5" s="79"/>
      <c r="V5" s="79"/>
      <c r="W5" s="79"/>
    </row>
    <row r="6" spans="2:62" ht="14.25" customHeight="1" x14ac:dyDescent="0.2">
      <c r="B6" s="67" t="s">
        <v>516</v>
      </c>
      <c r="C6" s="167"/>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ht="15" x14ac:dyDescent="0.25">
      <c r="B8" s="304" t="s">
        <v>1156</v>
      </c>
      <c r="C8" s="308" t="s">
        <v>22</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
      <c r="D10" s="306"/>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8.5" x14ac:dyDescent="0.2">
      <c r="B11" s="1" t="s">
        <v>1158</v>
      </c>
      <c r="C11" s="392">
        <v>0.05</v>
      </c>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
      <c r="B12" s="81"/>
      <c r="C12" s="67" t="s">
        <v>1231</v>
      </c>
      <c r="D12" s="346" t="e">
        <f ca="1">'Summary Calculations (hide)'!X70</f>
        <v>#N/A</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
      <c r="B13" s="332"/>
      <c r="C13" s="346" t="str">
        <f>IF(C11&lt;&gt;"","New value","")</f>
        <v>New value</v>
      </c>
      <c r="D13" s="346" t="e">
        <f ca="1">IF(OR(C11="",C11=1),"",D12*(1+C11))</f>
        <v>#N/A</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
      <c r="B15" s="67" t="s">
        <v>1150</v>
      </c>
      <c r="C15" s="393"/>
      <c r="D15" s="307" t="e">
        <f ca="1">'Parameters calculator (hide)'!B43</f>
        <v>#N/A</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
      <c r="B16" s="67" t="s">
        <v>1151</v>
      </c>
      <c r="C16" s="393"/>
      <c r="D16" s="307" t="e">
        <f ca="1">'Parameters calculator (hide)'!B44</f>
        <v>#N/A</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
      <c r="B17" s="67" t="s">
        <v>1152</v>
      </c>
      <c r="C17" s="393"/>
      <c r="D17" s="307" t="e">
        <f ca="1">'Parameters calculator (hide)'!B45</f>
        <v>#N/A</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
      <c r="B18" s="67" t="s">
        <v>1153</v>
      </c>
      <c r="C18" s="393"/>
      <c r="D18" s="307">
        <f ca="1">'Parameters calculator (hide)'!B46</f>
        <v>0</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
      <c r="B22" s="432" t="s">
        <v>512</v>
      </c>
      <c r="C22" s="485" t="s">
        <v>511</v>
      </c>
      <c r="D22" s="485"/>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
      <c r="B23" s="483"/>
      <c r="C23" s="486"/>
      <c r="D23" s="486"/>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8.5" hidden="1" x14ac:dyDescent="0.2">
      <c r="B24" s="484"/>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
      <c r="B26" s="163" t="s">
        <v>1112</v>
      </c>
      <c r="C26" s="220">
        <f t="shared" ref="C26:C45" si="0">IF(B26="","",COUNTIF(F26:BE26,"X"))</f>
        <v>5</v>
      </c>
      <c r="D26" s="164">
        <v>85</v>
      </c>
      <c r="F26" s="155"/>
      <c r="G26" s="155"/>
      <c r="H26" s="155"/>
      <c r="I26" s="155"/>
      <c r="J26" s="155"/>
      <c r="K26" s="155"/>
      <c r="L26" s="155"/>
      <c r="M26" s="155"/>
      <c r="N26" s="155"/>
      <c r="O26" s="155" t="s">
        <v>482</v>
      </c>
      <c r="P26" s="155"/>
      <c r="Q26" s="155"/>
      <c r="R26" s="155"/>
      <c r="S26" s="155"/>
      <c r="T26" s="155"/>
      <c r="U26" s="155" t="s">
        <v>1238</v>
      </c>
      <c r="V26" s="155" t="s">
        <v>1238</v>
      </c>
      <c r="W26" s="155" t="s">
        <v>1238</v>
      </c>
      <c r="X26" s="155" t="s">
        <v>1238</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
      <c r="B27" s="163" t="s">
        <v>1239</v>
      </c>
      <c r="C27" s="220">
        <f t="shared" si="0"/>
        <v>7</v>
      </c>
      <c r="D27" s="164">
        <v>102</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1238</v>
      </c>
      <c r="AY27" s="158" t="s">
        <v>1238</v>
      </c>
      <c r="AZ27" s="158"/>
      <c r="BA27" s="158"/>
      <c r="BB27" s="158"/>
      <c r="BC27" s="158"/>
      <c r="BD27" s="158"/>
      <c r="BE27" s="158"/>
    </row>
    <row r="28" spans="2:62" hidden="1" x14ac:dyDescent="0.2">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
      <c r="B126" s="125"/>
    </row>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row r="189" hidden="1" x14ac:dyDescent="0.2"/>
    <row r="190" hidden="1" x14ac:dyDescent="0.2"/>
    <row r="191" hidden="1" x14ac:dyDescent="0.2"/>
    <row r="192"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row r="221" hidden="1" x14ac:dyDescent="0.2"/>
    <row r="222" hidden="1" x14ac:dyDescent="0.2"/>
    <row r="223" hidden="1" x14ac:dyDescent="0.2"/>
    <row r="224" hidden="1" x14ac:dyDescent="0.2"/>
    <row r="225" hidden="1" x14ac:dyDescent="0.2"/>
    <row r="226" hidden="1" x14ac:dyDescent="0.2"/>
    <row r="227" hidden="1" x14ac:dyDescent="0.2"/>
    <row r="228" hidden="1" x14ac:dyDescent="0.2"/>
    <row r="229" hidden="1" x14ac:dyDescent="0.2"/>
    <row r="230" hidden="1" x14ac:dyDescent="0.2"/>
    <row r="231" hidden="1" x14ac:dyDescent="0.2"/>
    <row r="232" hidden="1" x14ac:dyDescent="0.2"/>
    <row r="233" hidden="1" x14ac:dyDescent="0.2"/>
    <row r="234" hidden="1" x14ac:dyDescent="0.2"/>
  </sheetData>
  <sheetProtection algorithmName="SHA-512" hashValue="GOnAaT+M/H/uZIZJ7mgKofBWB3zz4zSxU0spm4zi8b5ucg7mIGVt3E12gaz1f8lpEHDKEiXTKcn9letsPg9nhA==" saltValue="P4fkiKFOTJkY28KclXRM7Q=="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57150</xdr:rowOff>
                  </from>
                  <to>
                    <xdr:col>60</xdr:col>
                    <xdr:colOff>19050</xdr:colOff>
                    <xdr:row>4</xdr:row>
                    <xdr:rowOff>104775</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142875</xdr:rowOff>
                  </from>
                  <to>
                    <xdr:col>60</xdr:col>
                    <xdr:colOff>19050</xdr:colOff>
                    <xdr:row>8</xdr:row>
                    <xdr:rowOff>28575</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133350</xdr:rowOff>
                  </from>
                  <to>
                    <xdr:col>60</xdr:col>
                    <xdr:colOff>28575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4" sqref="A4:J5"/>
    </sheetView>
  </sheetViews>
  <sheetFormatPr defaultColWidth="8.75" defaultRowHeight="14.25" x14ac:dyDescent="0.2"/>
  <cols>
    <col min="1" max="1" width="16.75" style="67" bestFit="1" customWidth="1"/>
    <col min="2" max="14" width="8.75" style="67"/>
    <col min="15" max="15" width="22" style="67" customWidth="1"/>
    <col min="16" max="16384" width="8.75" style="67"/>
  </cols>
  <sheetData>
    <row r="1" spans="1:10" x14ac:dyDescent="0.2">
      <c r="A1" s="67" t="s">
        <v>1266</v>
      </c>
      <c r="B1" s="67">
        <v>2</v>
      </c>
    </row>
    <row r="3" spans="1:10" x14ac:dyDescent="0.2">
      <c r="A3" s="67" t="s">
        <v>1245</v>
      </c>
      <c r="B3" s="67" t="s">
        <v>14</v>
      </c>
      <c r="C3" s="67" t="s">
        <v>1246</v>
      </c>
      <c r="D3" s="67" t="s">
        <v>1247</v>
      </c>
      <c r="E3" s="67" t="s">
        <v>529</v>
      </c>
      <c r="F3" s="67" t="s">
        <v>75</v>
      </c>
      <c r="G3" s="67" t="s">
        <v>1248</v>
      </c>
      <c r="H3" s="67" t="s">
        <v>99</v>
      </c>
      <c r="I3" s="67" t="s">
        <v>1249</v>
      </c>
      <c r="J3" s="67" t="s">
        <v>391</v>
      </c>
    </row>
    <row r="4" spans="1:10" x14ac:dyDescent="0.2">
      <c r="A4" t="s">
        <v>1267</v>
      </c>
      <c r="B4" t="s">
        <v>19</v>
      </c>
      <c r="C4" s="317">
        <v>44039</v>
      </c>
      <c r="D4" t="s">
        <v>20</v>
      </c>
      <c r="E4">
        <v>0.2</v>
      </c>
      <c r="F4">
        <v>0.05</v>
      </c>
      <c r="G4">
        <v>0.12</v>
      </c>
      <c r="H4">
        <v>0.05</v>
      </c>
      <c r="I4">
        <v>0.25</v>
      </c>
      <c r="J4" t="s">
        <v>22</v>
      </c>
    </row>
    <row r="5" spans="1:10" x14ac:dyDescent="0.2">
      <c r="A5" s="67" t="s">
        <v>1293</v>
      </c>
      <c r="B5" s="67" t="s">
        <v>21</v>
      </c>
      <c r="C5" s="317">
        <v>43969</v>
      </c>
      <c r="D5" s="67" t="s">
        <v>20</v>
      </c>
      <c r="E5" s="67">
        <v>0.05</v>
      </c>
      <c r="J5" s="67" t="s">
        <v>22</v>
      </c>
    </row>
  </sheetData>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306"/>
  <sheetViews>
    <sheetView workbookViewId="0">
      <selection activeCell="C4" sqref="C4"/>
    </sheetView>
  </sheetViews>
  <sheetFormatPr defaultRowHeight="14.25" x14ac:dyDescent="0.2"/>
  <cols>
    <col min="1" max="1" width="16.75" bestFit="1" customWidth="1"/>
    <col min="2" max="2" width="9.75" bestFit="1" customWidth="1"/>
    <col min="3" max="4" width="9" hidden="1" customWidth="1"/>
    <col min="7" max="7" width="9" style="67"/>
    <col min="8" max="8" width="9" style="67" hidden="1" customWidth="1"/>
    <col min="30" max="30" width="11.75" bestFit="1" customWidth="1"/>
    <col min="31" max="31" width="10.75" customWidth="1"/>
    <col min="32" max="32" width="9" customWidth="1"/>
  </cols>
  <sheetData>
    <row r="1" spans="1:31" x14ac:dyDescent="0.2">
      <c r="A1" t="s">
        <v>556</v>
      </c>
    </row>
    <row r="2" spans="1:31" x14ac:dyDescent="0.2">
      <c r="B2" s="87"/>
      <c r="C2" t="s">
        <v>519</v>
      </c>
      <c r="E2" t="s">
        <v>494</v>
      </c>
      <c r="I2" t="s">
        <v>520</v>
      </c>
    </row>
    <row r="3" spans="1:31" x14ac:dyDescent="0.2">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2">
      <c r="A4" s="87">
        <f ca="1">IF(Planning!$C$6="",TODAY()-WEEKDAY(TODAY(),3)+7,Planning!$C$6)</f>
        <v>44515</v>
      </c>
      <c r="B4">
        <f ca="1">WEEKNUM(A4,21)</f>
        <v>46</v>
      </c>
      <c r="C4" s="5" t="e">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#N/A</v>
      </c>
      <c r="D4" s="5" t="e">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#N/A</v>
      </c>
      <c r="E4" s="5">
        <f ca="1">VLOOKUP($B4,'Summary Calculations (hide)'!$D$15:$U$67,15,0)</f>
        <v>0</v>
      </c>
      <c r="F4" s="5">
        <f ca="1">VLOOKUP($B4,'Summary Calculations (hide)'!$D$15:$U$67,16,0)</f>
        <v>0</v>
      </c>
      <c r="G4" s="5">
        <f ca="1">SUM(E4:F4)</f>
        <v>0</v>
      </c>
      <c r="H4" s="5">
        <f ca="1">IF(G4+SUM(I4:AC4)&lt;0,0,G4+SUM(I4:AC4))</f>
        <v>0</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t="e">
        <f ca="1">VLOOKUP($B4,'Summary Calculations (hide)'!$D$15:$U$67,17,0)</f>
        <v>#N/A</v>
      </c>
      <c r="AE4" s="67" t="e">
        <f ca="1">VLOOKUP($B4,'Summary Calculations (hide)'!$D$15:$U$67,18,0)</f>
        <v>#N/A</v>
      </c>
    </row>
    <row r="5" spans="1:31" x14ac:dyDescent="0.2">
      <c r="A5" s="87">
        <f ca="1">A4+7</f>
        <v>44522</v>
      </c>
      <c r="B5" s="67">
        <f t="shared" ref="B5:B55" ca="1" si="0">WEEKNUM(A5,21)</f>
        <v>47</v>
      </c>
      <c r="C5" s="5" t="e">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#N/A</v>
      </c>
      <c r="D5" s="5" t="e">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#N/A</v>
      </c>
      <c r="E5" s="5">
        <f ca="1">VLOOKUP($B5,'Summary Calculations (hide)'!$D$15:$U$67,15,0)</f>
        <v>0</v>
      </c>
      <c r="F5" s="5">
        <f ca="1">VLOOKUP($B5,'Summary Calculations (hide)'!$D$15:$U$67,16,0)</f>
        <v>0</v>
      </c>
      <c r="G5" s="5">
        <f t="shared" ref="G5:G55" ca="1" si="1">SUM(E5:F5)</f>
        <v>0</v>
      </c>
      <c r="H5" s="5">
        <f t="shared" ref="H5:H55" ca="1" si="2">IF(G5+SUM(I5:AC5)&lt;0,0,G5+SUM(I5:AC5))</f>
        <v>0</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t="e">
        <f ca="1">VLOOKUP($B5,'Summary Calculations (hide)'!$D$15:$U$67,17,0)</f>
        <v>#N/A</v>
      </c>
      <c r="AE5" s="67" t="e">
        <f ca="1">VLOOKUP($B5,'Summary Calculations (hide)'!$D$15:$U$67,18,0)</f>
        <v>#N/A</v>
      </c>
    </row>
    <row r="6" spans="1:31" x14ac:dyDescent="0.2">
      <c r="A6" s="87">
        <f t="shared" ref="A6:A55" ca="1" si="3">A5+7</f>
        <v>44529</v>
      </c>
      <c r="B6" s="67">
        <f t="shared" ca="1" si="0"/>
        <v>48</v>
      </c>
      <c r="C6" s="5" t="e">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#N/A</v>
      </c>
      <c r="D6" s="5" t="e">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#N/A</v>
      </c>
      <c r="E6" s="5">
        <f ca="1">VLOOKUP($B6,'Summary Calculations (hide)'!$D$15:$U$67,15,0)</f>
        <v>0</v>
      </c>
      <c r="F6" s="5">
        <f ca="1">VLOOKUP($B6,'Summary Calculations (hide)'!$D$15:$U$67,16,0)</f>
        <v>0</v>
      </c>
      <c r="G6" s="5">
        <f t="shared" ca="1" si="1"/>
        <v>0</v>
      </c>
      <c r="H6" s="5">
        <f t="shared" ca="1" si="2"/>
        <v>0</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t="e">
        <f ca="1">VLOOKUP($B6,'Summary Calculations (hide)'!$D$15:$U$67,17,0)</f>
        <v>#N/A</v>
      </c>
      <c r="AE6" s="67" t="e">
        <f ca="1">VLOOKUP($B6,'Summary Calculations (hide)'!$D$15:$U$67,18,0)</f>
        <v>#N/A</v>
      </c>
    </row>
    <row r="7" spans="1:31" x14ac:dyDescent="0.2">
      <c r="A7" s="87">
        <f t="shared" ca="1" si="3"/>
        <v>44536</v>
      </c>
      <c r="B7" s="67">
        <f t="shared" ca="1" si="0"/>
        <v>49</v>
      </c>
      <c r="C7" s="5" t="e">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#N/A</v>
      </c>
      <c r="D7" s="5" t="e">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#N/A</v>
      </c>
      <c r="E7" s="5">
        <f ca="1">VLOOKUP($B7,'Summary Calculations (hide)'!$D$15:$U$67,15,0)</f>
        <v>0</v>
      </c>
      <c r="F7" s="5">
        <f ca="1">VLOOKUP($B7,'Summary Calculations (hide)'!$D$15:$U$67,16,0)</f>
        <v>0</v>
      </c>
      <c r="G7" s="5">
        <f t="shared" ca="1" si="1"/>
        <v>0</v>
      </c>
      <c r="H7" s="5">
        <f t="shared" ca="1" si="2"/>
        <v>0</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t="e">
        <f ca="1">VLOOKUP($B7,'Summary Calculations (hide)'!$D$15:$U$67,17,0)</f>
        <v>#N/A</v>
      </c>
      <c r="AE7" s="67" t="e">
        <f ca="1">VLOOKUP($B7,'Summary Calculations (hide)'!$D$15:$U$67,18,0)</f>
        <v>#N/A</v>
      </c>
    </row>
    <row r="8" spans="1:31" x14ac:dyDescent="0.2">
      <c r="A8" s="87">
        <f t="shared" ca="1" si="3"/>
        <v>44543</v>
      </c>
      <c r="B8" s="67">
        <f t="shared" ca="1" si="0"/>
        <v>50</v>
      </c>
      <c r="C8" s="5" t="e">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#N/A</v>
      </c>
      <c r="D8" s="5" t="e">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#N/A</v>
      </c>
      <c r="E8" s="5">
        <f ca="1">VLOOKUP($B8,'Summary Calculations (hide)'!$D$15:$U$67,15,0)</f>
        <v>0</v>
      </c>
      <c r="F8" s="5">
        <f ca="1">VLOOKUP($B8,'Summary Calculations (hide)'!$D$15:$U$67,16,0)</f>
        <v>0</v>
      </c>
      <c r="G8" s="5">
        <f t="shared" ca="1" si="1"/>
        <v>0</v>
      </c>
      <c r="H8" s="5">
        <f t="shared" ca="1" si="2"/>
        <v>0</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t="e">
        <f ca="1">VLOOKUP($B8,'Summary Calculations (hide)'!$D$15:$U$67,17,0)</f>
        <v>#N/A</v>
      </c>
      <c r="AE8" s="67" t="e">
        <f ca="1">VLOOKUP($B8,'Summary Calculations (hide)'!$D$15:$U$67,18,0)</f>
        <v>#N/A</v>
      </c>
    </row>
    <row r="9" spans="1:31" x14ac:dyDescent="0.2">
      <c r="A9" s="87">
        <f t="shared" ca="1" si="3"/>
        <v>44550</v>
      </c>
      <c r="B9" s="67">
        <f t="shared" ca="1" si="0"/>
        <v>51</v>
      </c>
      <c r="C9" s="5" t="e">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#N/A</v>
      </c>
      <c r="D9" s="5" t="e">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#N/A</v>
      </c>
      <c r="E9" s="5">
        <f ca="1">VLOOKUP($B9,'Summary Calculations (hide)'!$D$15:$U$67,15,0)</f>
        <v>0</v>
      </c>
      <c r="F9" s="5">
        <f ca="1">VLOOKUP($B9,'Summary Calculations (hide)'!$D$15:$U$67,16,0)</f>
        <v>0</v>
      </c>
      <c r="G9" s="5">
        <f t="shared" ca="1" si="1"/>
        <v>0</v>
      </c>
      <c r="H9" s="5">
        <f t="shared" ca="1" si="2"/>
        <v>0</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t="e">
        <f ca="1">VLOOKUP($B9,'Summary Calculations (hide)'!$D$15:$U$67,17,0)</f>
        <v>#N/A</v>
      </c>
      <c r="AE9" s="67" t="e">
        <f ca="1">VLOOKUP($B9,'Summary Calculations (hide)'!$D$15:$U$67,18,0)</f>
        <v>#N/A</v>
      </c>
    </row>
    <row r="10" spans="1:31" x14ac:dyDescent="0.2">
      <c r="A10" s="87">
        <f t="shared" ca="1" si="3"/>
        <v>44557</v>
      </c>
      <c r="B10" s="67">
        <f t="shared" ca="1" si="0"/>
        <v>52</v>
      </c>
      <c r="C10" s="5" t="e">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#N/A</v>
      </c>
      <c r="D10" s="5" t="e">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#N/A</v>
      </c>
      <c r="E10" s="5">
        <f ca="1">VLOOKUP($B10,'Summary Calculations (hide)'!$D$15:$U$67,15,0)</f>
        <v>0</v>
      </c>
      <c r="F10" s="5">
        <f ca="1">VLOOKUP($B10,'Summary Calculations (hide)'!$D$15:$U$67,16,0)</f>
        <v>0</v>
      </c>
      <c r="G10" s="5">
        <f t="shared" ca="1" si="1"/>
        <v>0</v>
      </c>
      <c r="H10" s="5">
        <f t="shared" ca="1" si="2"/>
        <v>102</v>
      </c>
      <c r="I10" s="67">
        <f ca="1">IF(OFFSET(Planning!$E$25,0,ROW(A7),1,1)&lt;&gt;"",-'Planning (hide)'!$G10,0)</f>
        <v>0</v>
      </c>
      <c r="J10" s="67">
        <f ca="1">IF(OFFSET(Planning!$E$25,COLUMN(A7),ROW(A7),1,1)&lt;&gt;"",OFFSET(Planning!$D$25,COLUMN(A7),0,1,1),0)</f>
        <v>0</v>
      </c>
      <c r="K10" s="67">
        <f ca="1">IF(OFFSET(Planning!$E$25,COLUMN(B7),ROW(B7),1,1)&lt;&gt;"",OFFSET(Planning!$D$25,COLUMN(B7),0,1,1),0)</f>
        <v>102</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t="e">
        <f ca="1">VLOOKUP($B10,'Summary Calculations (hide)'!$D$15:$U$67,17,0)</f>
        <v>#N/A</v>
      </c>
      <c r="AE10" s="67" t="e">
        <f ca="1">VLOOKUP($B10,'Summary Calculations (hide)'!$D$15:$U$67,18,0)</f>
        <v>#N/A</v>
      </c>
    </row>
    <row r="11" spans="1:31" x14ac:dyDescent="0.2">
      <c r="A11" s="87">
        <f t="shared" ca="1" si="3"/>
        <v>44564</v>
      </c>
      <c r="B11" s="67">
        <f t="shared" ca="1" si="0"/>
        <v>1</v>
      </c>
      <c r="C11" s="5" t="e">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#N/A</v>
      </c>
      <c r="D11" s="5" t="e">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#N/A</v>
      </c>
      <c r="E11" s="5">
        <f ca="1">VLOOKUP($B11,'Summary Calculations (hide)'!$D$15:$U$67,15,0)</f>
        <v>0</v>
      </c>
      <c r="F11" s="5">
        <f ca="1">VLOOKUP($B11,'Summary Calculations (hide)'!$D$15:$U$67,16,0)</f>
        <v>0</v>
      </c>
      <c r="G11" s="5">
        <f t="shared" ca="1" si="1"/>
        <v>0</v>
      </c>
      <c r="H11" s="5">
        <f t="shared" ca="1" si="2"/>
        <v>0</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t="e">
        <f ca="1">VLOOKUP($B11,'Summary Calculations (hide)'!$D$15:$U$67,17,0)</f>
        <v>#N/A</v>
      </c>
      <c r="AE11" s="67" t="e">
        <f ca="1">VLOOKUP($B11,'Summary Calculations (hide)'!$D$15:$U$67,18,0)</f>
        <v>#N/A</v>
      </c>
    </row>
    <row r="12" spans="1:31" x14ac:dyDescent="0.2">
      <c r="A12" s="87">
        <f t="shared" ca="1" si="3"/>
        <v>44571</v>
      </c>
      <c r="B12" s="67">
        <f t="shared" ca="1" si="0"/>
        <v>2</v>
      </c>
      <c r="C12" s="5" t="e">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#N/A</v>
      </c>
      <c r="D12" s="5" t="e">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#N/A</v>
      </c>
      <c r="E12" s="5">
        <f ca="1">VLOOKUP($B12,'Summary Calculations (hide)'!$D$15:$U$67,15,0)</f>
        <v>0</v>
      </c>
      <c r="F12" s="5">
        <f ca="1">VLOOKUP($B12,'Summary Calculations (hide)'!$D$15:$U$67,16,0)</f>
        <v>0</v>
      </c>
      <c r="G12" s="5">
        <f t="shared" ca="1" si="1"/>
        <v>0</v>
      </c>
      <c r="H12" s="5">
        <f t="shared" ca="1" si="2"/>
        <v>102</v>
      </c>
      <c r="I12" s="67">
        <f ca="1">IF(OFFSET(Planning!$E$25,0,ROW(A9),1,1)&lt;&gt;"",-'Planning (hide)'!$G12,0)</f>
        <v>0</v>
      </c>
      <c r="J12" s="67">
        <f ca="1">IF(OFFSET(Planning!$E$25,COLUMN(A9),ROW(A9),1,1)&lt;&gt;"",OFFSET(Planning!$D$25,COLUMN(A9),0,1,1),0)</f>
        <v>0</v>
      </c>
      <c r="K12" s="67">
        <f ca="1">IF(OFFSET(Planning!$E$25,COLUMN(B9),ROW(B9),1,1)&lt;&gt;"",OFFSET(Planning!$D$25,COLUMN(B9),0,1,1),0)</f>
        <v>102</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t="e">
        <f ca="1">VLOOKUP($B12,'Summary Calculations (hide)'!$D$15:$U$67,17,0)</f>
        <v>#N/A</v>
      </c>
      <c r="AE12" s="67" t="e">
        <f ca="1">VLOOKUP($B12,'Summary Calculations (hide)'!$D$15:$U$67,18,0)</f>
        <v>#N/A</v>
      </c>
    </row>
    <row r="13" spans="1:31" x14ac:dyDescent="0.2">
      <c r="A13" s="87">
        <f t="shared" ca="1" si="3"/>
        <v>44578</v>
      </c>
      <c r="B13" s="67">
        <f t="shared" ca="1" si="0"/>
        <v>3</v>
      </c>
      <c r="C13" s="5" t="e">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#N/A</v>
      </c>
      <c r="D13" s="5" t="e">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#N/A</v>
      </c>
      <c r="E13" s="5">
        <f ca="1">VLOOKUP($B13,'Summary Calculations (hide)'!$D$15:$U$67,15,0)</f>
        <v>0</v>
      </c>
      <c r="F13" s="5">
        <f ca="1">VLOOKUP($B13,'Summary Calculations (hide)'!$D$15:$U$67,16,0)</f>
        <v>0</v>
      </c>
      <c r="G13" s="5">
        <f t="shared" ca="1" si="1"/>
        <v>0</v>
      </c>
      <c r="H13" s="5">
        <f t="shared" ca="1" si="2"/>
        <v>85</v>
      </c>
      <c r="I13" s="67">
        <f ca="1">IF(OFFSET(Planning!$E$25,0,ROW(A10),1,1)&lt;&gt;"",-'Planning (hide)'!$G13,0)</f>
        <v>0</v>
      </c>
      <c r="J13" s="67">
        <f ca="1">IF(OFFSET(Planning!$E$25,COLUMN(A10),ROW(A10),1,1)&lt;&gt;"",OFFSET(Planning!$D$25,COLUMN(A10),0,1,1),0)</f>
        <v>85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t="e">
        <f ca="1">VLOOKUP($B13,'Summary Calculations (hide)'!$D$15:$U$67,17,0)</f>
        <v>#N/A</v>
      </c>
      <c r="AE13" s="67" t="e">
        <f ca="1">VLOOKUP($B13,'Summary Calculations (hide)'!$D$15:$U$67,18,0)</f>
        <v>#N/A</v>
      </c>
    </row>
    <row r="14" spans="1:31" x14ac:dyDescent="0.2">
      <c r="A14" s="87">
        <f t="shared" ca="1" si="3"/>
        <v>44585</v>
      </c>
      <c r="B14" s="67">
        <f t="shared" ca="1" si="0"/>
        <v>4</v>
      </c>
      <c r="C14" s="5" t="e">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#N/A</v>
      </c>
      <c r="D14" s="5" t="e">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#N/A</v>
      </c>
      <c r="E14" s="5">
        <f ca="1">VLOOKUP($B14,'Summary Calculations (hide)'!$D$15:$U$67,15,0)</f>
        <v>0</v>
      </c>
      <c r="F14" s="5">
        <f ca="1">VLOOKUP($B14,'Summary Calculations (hide)'!$D$15:$U$67,16,0)</f>
        <v>0</v>
      </c>
      <c r="G14" s="5">
        <f t="shared" ca="1" si="1"/>
        <v>0</v>
      </c>
      <c r="H14" s="5">
        <f t="shared" ca="1" si="2"/>
        <v>0</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t="e">
        <f ca="1">VLOOKUP($B14,'Summary Calculations (hide)'!$D$15:$U$67,17,0)</f>
        <v>#N/A</v>
      </c>
      <c r="AE14" s="67" t="e">
        <f ca="1">VLOOKUP($B14,'Summary Calculations (hide)'!$D$15:$U$67,18,0)</f>
        <v>#N/A</v>
      </c>
    </row>
    <row r="15" spans="1:31" x14ac:dyDescent="0.2">
      <c r="A15" s="87">
        <f t="shared" ca="1" si="3"/>
        <v>44592</v>
      </c>
      <c r="B15" s="67">
        <f t="shared" ca="1" si="0"/>
        <v>5</v>
      </c>
      <c r="C15" s="5" t="e">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#N/A</v>
      </c>
      <c r="D15" s="5" t="e">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#N/A</v>
      </c>
      <c r="E15" s="5">
        <f ca="1">VLOOKUP($B15,'Summary Calculations (hide)'!$D$15:$U$67,15,0)</f>
        <v>0</v>
      </c>
      <c r="F15" s="5">
        <f ca="1">VLOOKUP($B15,'Summary Calculations (hide)'!$D$15:$U$67,16,0)</f>
        <v>0</v>
      </c>
      <c r="G15" s="5">
        <f t="shared" ca="1" si="1"/>
        <v>0</v>
      </c>
      <c r="H15" s="5">
        <f t="shared" ca="1" si="2"/>
        <v>0</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t="e">
        <f ca="1">VLOOKUP($B15,'Summary Calculations (hide)'!$D$15:$U$67,17,0)</f>
        <v>#N/A</v>
      </c>
      <c r="AE15" s="67" t="e">
        <f ca="1">VLOOKUP($B15,'Summary Calculations (hide)'!$D$15:$U$67,18,0)</f>
        <v>#N/A</v>
      </c>
    </row>
    <row r="16" spans="1:31" x14ac:dyDescent="0.2">
      <c r="A16" s="87">
        <f t="shared" ca="1" si="3"/>
        <v>44599</v>
      </c>
      <c r="B16" s="67">
        <f t="shared" ca="1" si="0"/>
        <v>6</v>
      </c>
      <c r="C16" s="5" t="e">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#N/A</v>
      </c>
      <c r="D16" s="5" t="e">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#N/A</v>
      </c>
      <c r="E16" s="5">
        <f ca="1">VLOOKUP($B16,'Summary Calculations (hide)'!$D$15:$U$67,15,0)</f>
        <v>0</v>
      </c>
      <c r="F16" s="5">
        <f ca="1">VLOOKUP($B16,'Summary Calculations (hide)'!$D$15:$U$67,16,0)</f>
        <v>0</v>
      </c>
      <c r="G16" s="5">
        <f t="shared" ca="1" si="1"/>
        <v>0</v>
      </c>
      <c r="H16" s="5">
        <f t="shared" ca="1" si="2"/>
        <v>102</v>
      </c>
      <c r="I16" s="67">
        <f ca="1">IF(OFFSET(Planning!$E$25,0,ROW(A13),1,1)&lt;&gt;"",-'Planning (hide)'!$G16,0)</f>
        <v>0</v>
      </c>
      <c r="J16" s="67">
        <f ca="1">IF(OFFSET(Planning!$E$25,COLUMN(A13),ROW(A13),1,1)&lt;&gt;"",OFFSET(Planning!$D$25,COLUMN(A13),0,1,1),0)</f>
        <v>0</v>
      </c>
      <c r="K16" s="67">
        <f ca="1">IF(OFFSET(Planning!$E$25,COLUMN(B13),ROW(B13),1,1)&lt;&gt;"",OFFSET(Planning!$D$25,COLUMN(B13),0,1,1),0)</f>
        <v>102</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t="e">
        <f ca="1">VLOOKUP($B16,'Summary Calculations (hide)'!$D$15:$U$67,17,0)</f>
        <v>#N/A</v>
      </c>
      <c r="AE16" s="67" t="e">
        <f ca="1">VLOOKUP($B16,'Summary Calculations (hide)'!$D$15:$U$67,18,0)</f>
        <v>#N/A</v>
      </c>
    </row>
    <row r="17" spans="1:31" x14ac:dyDescent="0.2">
      <c r="A17" s="87">
        <f t="shared" ca="1" si="3"/>
        <v>44606</v>
      </c>
      <c r="B17" s="67">
        <f t="shared" ca="1" si="0"/>
        <v>7</v>
      </c>
      <c r="C17" s="5" t="e">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#N/A</v>
      </c>
      <c r="D17" s="5" t="e">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#N/A</v>
      </c>
      <c r="E17" s="5">
        <f ca="1">VLOOKUP($B17,'Summary Calculations (hide)'!$D$15:$U$67,15,0)</f>
        <v>0</v>
      </c>
      <c r="F17" s="5">
        <f ca="1">VLOOKUP($B17,'Summary Calculations (hide)'!$D$15:$U$67,16,0)</f>
        <v>0</v>
      </c>
      <c r="G17" s="5">
        <f t="shared" ca="1" si="1"/>
        <v>0</v>
      </c>
      <c r="H17" s="5">
        <f t="shared" ca="1" si="2"/>
        <v>0</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t="e">
        <f ca="1">VLOOKUP($B17,'Summary Calculations (hide)'!$D$15:$U$67,17,0)</f>
        <v>#N/A</v>
      </c>
      <c r="AE17" s="67" t="e">
        <f ca="1">VLOOKUP($B17,'Summary Calculations (hide)'!$D$15:$U$67,18,0)</f>
        <v>#N/A</v>
      </c>
    </row>
    <row r="18" spans="1:31" x14ac:dyDescent="0.2">
      <c r="A18" s="87">
        <f t="shared" ca="1" si="3"/>
        <v>44613</v>
      </c>
      <c r="B18" s="67">
        <f t="shared" ca="1" si="0"/>
        <v>8</v>
      </c>
      <c r="C18" s="5" t="e">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#N/A</v>
      </c>
      <c r="D18" s="5" t="e">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#N/A</v>
      </c>
      <c r="E18" s="5">
        <f ca="1">VLOOKUP($B18,'Summary Calculations (hide)'!$D$15:$U$67,15,0)</f>
        <v>0</v>
      </c>
      <c r="F18" s="5">
        <f ca="1">VLOOKUP($B18,'Summary Calculations (hide)'!$D$15:$U$67,16,0)</f>
        <v>0</v>
      </c>
      <c r="G18" s="5">
        <f t="shared" ca="1" si="1"/>
        <v>0</v>
      </c>
      <c r="H18" s="5">
        <f t="shared" ca="1" si="2"/>
        <v>0</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t="e">
        <f ca="1">VLOOKUP($B18,'Summary Calculations (hide)'!$D$15:$U$67,17,0)</f>
        <v>#N/A</v>
      </c>
      <c r="AE18" s="67" t="e">
        <f ca="1">VLOOKUP($B18,'Summary Calculations (hide)'!$D$15:$U$67,18,0)</f>
        <v>#N/A</v>
      </c>
    </row>
    <row r="19" spans="1:31" x14ac:dyDescent="0.2">
      <c r="A19" s="87">
        <f t="shared" ca="1" si="3"/>
        <v>44620</v>
      </c>
      <c r="B19" s="67">
        <f t="shared" ca="1" si="0"/>
        <v>9</v>
      </c>
      <c r="C19" s="5" t="e">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#N/A</v>
      </c>
      <c r="D19" s="5" t="e">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#N/A</v>
      </c>
      <c r="E19" s="5">
        <f ca="1">VLOOKUP($B19,'Summary Calculations (hide)'!$D$15:$U$67,15,0)</f>
        <v>0</v>
      </c>
      <c r="F19" s="5">
        <f ca="1">VLOOKUP($B19,'Summary Calculations (hide)'!$D$15:$U$67,16,0)</f>
        <v>0</v>
      </c>
      <c r="G19" s="5">
        <f t="shared" ca="1" si="1"/>
        <v>0</v>
      </c>
      <c r="H19" s="5">
        <f t="shared" ca="1" si="2"/>
        <v>85</v>
      </c>
      <c r="I19" s="67">
        <f ca="1">IF(OFFSET(Planning!$E$25,0,ROW(A16),1,1)&lt;&gt;"",-'Planning (hide)'!$G19,0)</f>
        <v>0</v>
      </c>
      <c r="J19" s="67">
        <f ca="1">IF(OFFSET(Planning!$E$25,COLUMN(A16),ROW(A16),1,1)&lt;&gt;"",OFFSET(Planning!$D$25,COLUMN(A16),0,1,1),0)</f>
        <v>85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t="e">
        <f ca="1">VLOOKUP($B19,'Summary Calculations (hide)'!$D$15:$U$67,17,0)</f>
        <v>#N/A</v>
      </c>
      <c r="AE19" s="67" t="e">
        <f ca="1">VLOOKUP($B19,'Summary Calculations (hide)'!$D$15:$U$67,18,0)</f>
        <v>#N/A</v>
      </c>
    </row>
    <row r="20" spans="1:31" x14ac:dyDescent="0.2">
      <c r="A20" s="87">
        <f t="shared" ca="1" si="3"/>
        <v>44627</v>
      </c>
      <c r="B20" s="67">
        <f t="shared" ca="1" si="0"/>
        <v>10</v>
      </c>
      <c r="C20" s="5" t="e">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#N/A</v>
      </c>
      <c r="D20" s="5" t="e">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#N/A</v>
      </c>
      <c r="E20" s="5">
        <f ca="1">VLOOKUP($B20,'Summary Calculations (hide)'!$D$15:$U$67,15,0)</f>
        <v>0</v>
      </c>
      <c r="F20" s="5">
        <f ca="1">VLOOKUP($B20,'Summary Calculations (hide)'!$D$15:$U$67,16,0)</f>
        <v>0</v>
      </c>
      <c r="G20" s="5">
        <f t="shared" ca="1" si="1"/>
        <v>0</v>
      </c>
      <c r="H20" s="5">
        <f t="shared" ca="1" si="2"/>
        <v>85</v>
      </c>
      <c r="I20" s="67">
        <f ca="1">IF(OFFSET(Planning!$E$25,0,ROW(A17),1,1)&lt;&gt;"",-'Planning (hide)'!$G20,0)</f>
        <v>0</v>
      </c>
      <c r="J20" s="67">
        <f ca="1">IF(OFFSET(Planning!$E$25,COLUMN(A17),ROW(A17),1,1)&lt;&gt;"",OFFSET(Planning!$D$25,COLUMN(A17),0,1,1),0)</f>
        <v>85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t="e">
        <f ca="1">VLOOKUP($B20,'Summary Calculations (hide)'!$D$15:$U$67,17,0)</f>
        <v>#N/A</v>
      </c>
      <c r="AE20" s="67" t="e">
        <f ca="1">VLOOKUP($B20,'Summary Calculations (hide)'!$D$15:$U$67,18,0)</f>
        <v>#N/A</v>
      </c>
    </row>
    <row r="21" spans="1:31" x14ac:dyDescent="0.2">
      <c r="A21" s="87">
        <f t="shared" ca="1" si="3"/>
        <v>44634</v>
      </c>
      <c r="B21" s="67">
        <f t="shared" ca="1" si="0"/>
        <v>11</v>
      </c>
      <c r="C21" s="5" t="e">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#N/A</v>
      </c>
      <c r="D21" s="5" t="e">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#N/A</v>
      </c>
      <c r="E21" s="5">
        <f ca="1">VLOOKUP($B21,'Summary Calculations (hide)'!$D$15:$U$67,15,0)</f>
        <v>0</v>
      </c>
      <c r="F21" s="5">
        <f ca="1">VLOOKUP($B21,'Summary Calculations (hide)'!$D$15:$U$67,16,0)</f>
        <v>0</v>
      </c>
      <c r="G21" s="5">
        <f t="shared" ca="1" si="1"/>
        <v>0</v>
      </c>
      <c r="H21" s="5">
        <f t="shared" ca="1" si="2"/>
        <v>85</v>
      </c>
      <c r="I21" s="67">
        <f ca="1">IF(OFFSET(Planning!$E$25,0,ROW(A18),1,1)&lt;&gt;"",-'Planning (hide)'!$G21,0)</f>
        <v>0</v>
      </c>
      <c r="J21" s="67">
        <f ca="1">IF(OFFSET(Planning!$E$25,COLUMN(A18),ROW(A18),1,1)&lt;&gt;"",OFFSET(Planning!$D$25,COLUMN(A18),0,1,1),0)</f>
        <v>85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t="e">
        <f ca="1">VLOOKUP($B21,'Summary Calculations (hide)'!$D$15:$U$67,17,0)</f>
        <v>#N/A</v>
      </c>
      <c r="AE21" s="67" t="e">
        <f ca="1">VLOOKUP($B21,'Summary Calculations (hide)'!$D$15:$U$67,18,0)</f>
        <v>#N/A</v>
      </c>
    </row>
    <row r="22" spans="1:31" x14ac:dyDescent="0.2">
      <c r="A22" s="87">
        <f t="shared" ca="1" si="3"/>
        <v>44641</v>
      </c>
      <c r="B22" s="67">
        <f t="shared" ca="1" si="0"/>
        <v>12</v>
      </c>
      <c r="C22" s="5" t="e">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#N/A</v>
      </c>
      <c r="D22" s="5" t="e">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#N/A</v>
      </c>
      <c r="E22" s="5">
        <f ca="1">VLOOKUP($B22,'Summary Calculations (hide)'!$D$15:$U$67,15,0)</f>
        <v>0</v>
      </c>
      <c r="F22" s="5">
        <f ca="1">VLOOKUP($B22,'Summary Calculations (hide)'!$D$15:$U$67,16,0)</f>
        <v>0</v>
      </c>
      <c r="G22" s="5">
        <f t="shared" ca="1" si="1"/>
        <v>0</v>
      </c>
      <c r="H22" s="5">
        <f t="shared" ca="1" si="2"/>
        <v>85</v>
      </c>
      <c r="I22" s="67">
        <f ca="1">IF(OFFSET(Planning!$E$25,0,ROW(A19),1,1)&lt;&gt;"",-'Planning (hide)'!$G22,0)</f>
        <v>0</v>
      </c>
      <c r="J22" s="67">
        <f ca="1">IF(OFFSET(Planning!$E$25,COLUMN(A19),ROW(A19),1,1)&lt;&gt;"",OFFSET(Planning!$D$25,COLUMN(A19),0,1,1),0)</f>
        <v>85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t="e">
        <f ca="1">VLOOKUP($B22,'Summary Calculations (hide)'!$D$15:$U$67,17,0)</f>
        <v>#N/A</v>
      </c>
      <c r="AE22" s="67" t="e">
        <f ca="1">VLOOKUP($B22,'Summary Calculations (hide)'!$D$15:$U$67,18,0)</f>
        <v>#N/A</v>
      </c>
    </row>
    <row r="23" spans="1:31" x14ac:dyDescent="0.2">
      <c r="A23" s="87">
        <f t="shared" ca="1" si="3"/>
        <v>44648</v>
      </c>
      <c r="B23" s="67">
        <f t="shared" ca="1" si="0"/>
        <v>13</v>
      </c>
      <c r="C23" s="5" t="e">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#N/A</v>
      </c>
      <c r="D23" s="5" t="e">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#N/A</v>
      </c>
      <c r="E23" s="5">
        <f ca="1">VLOOKUP($B23,'Summary Calculations (hide)'!$D$15:$U$67,15,0)</f>
        <v>0</v>
      </c>
      <c r="F23" s="5">
        <f ca="1">VLOOKUP($B23,'Summary Calculations (hide)'!$D$15:$U$67,16,0)</f>
        <v>0</v>
      </c>
      <c r="G23" s="5">
        <f t="shared" ca="1" si="1"/>
        <v>0</v>
      </c>
      <c r="H23" s="5">
        <f t="shared" ca="1" si="2"/>
        <v>0</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t="e">
        <f ca="1">VLOOKUP($B23,'Summary Calculations (hide)'!$D$15:$U$67,17,0)</f>
        <v>#N/A</v>
      </c>
      <c r="AE23" s="67" t="e">
        <f ca="1">VLOOKUP($B23,'Summary Calculations (hide)'!$D$15:$U$67,18,0)</f>
        <v>#N/A</v>
      </c>
    </row>
    <row r="24" spans="1:31" x14ac:dyDescent="0.2">
      <c r="A24" s="87">
        <f t="shared" ca="1" si="3"/>
        <v>44655</v>
      </c>
      <c r="B24" s="67">
        <f t="shared" ca="1" si="0"/>
        <v>14</v>
      </c>
      <c r="C24" s="5" t="e">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#N/A</v>
      </c>
      <c r="D24" s="5" t="e">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#N/A</v>
      </c>
      <c r="E24" s="5">
        <f ca="1">VLOOKUP($B24,'Summary Calculations (hide)'!$D$15:$U$67,15,0)</f>
        <v>0</v>
      </c>
      <c r="F24" s="5">
        <f ca="1">VLOOKUP($B24,'Summary Calculations (hide)'!$D$15:$U$67,16,0)</f>
        <v>0</v>
      </c>
      <c r="G24" s="5">
        <f t="shared" ca="1" si="1"/>
        <v>0</v>
      </c>
      <c r="H24" s="5">
        <f t="shared" ca="1" si="2"/>
        <v>102</v>
      </c>
      <c r="I24" s="67">
        <f ca="1">IF(OFFSET(Planning!$E$25,0,ROW(A21),1,1)&lt;&gt;"",-'Planning (hide)'!$G24,0)</f>
        <v>0</v>
      </c>
      <c r="J24" s="67">
        <f ca="1">IF(OFFSET(Planning!$E$25,COLUMN(A21),ROW(A21),1,1)&lt;&gt;"",OFFSET(Planning!$D$25,COLUMN(A21),0,1,1),0)</f>
        <v>0</v>
      </c>
      <c r="K24" s="67">
        <f ca="1">IF(OFFSET(Planning!$E$25,COLUMN(B21),ROW(B21),1,1)&lt;&gt;"",OFFSET(Planning!$D$25,COLUMN(B21),0,1,1),0)</f>
        <v>102</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t="e">
        <f ca="1">VLOOKUP($B24,'Summary Calculations (hide)'!$D$15:$U$67,17,0)</f>
        <v>#N/A</v>
      </c>
      <c r="AE24" s="67" t="e">
        <f ca="1">VLOOKUP($B24,'Summary Calculations (hide)'!$D$15:$U$67,18,0)</f>
        <v>#N/A</v>
      </c>
    </row>
    <row r="25" spans="1:31" x14ac:dyDescent="0.2">
      <c r="A25" s="87">
        <f t="shared" ca="1" si="3"/>
        <v>44662</v>
      </c>
      <c r="B25" s="67">
        <f t="shared" ca="1" si="0"/>
        <v>15</v>
      </c>
      <c r="C25" s="5" t="e">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#N/A</v>
      </c>
      <c r="D25" s="5" t="e">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#N/A</v>
      </c>
      <c r="E25" s="5">
        <f ca="1">VLOOKUP($B25,'Summary Calculations (hide)'!$D$15:$U$67,15,0)</f>
        <v>0</v>
      </c>
      <c r="F25" s="5">
        <f ca="1">VLOOKUP($B25,'Summary Calculations (hide)'!$D$15:$U$67,16,0)</f>
        <v>0</v>
      </c>
      <c r="G25" s="5">
        <f t="shared" ca="1" si="1"/>
        <v>0</v>
      </c>
      <c r="H25" s="5">
        <f t="shared" ca="1" si="2"/>
        <v>102</v>
      </c>
      <c r="I25" s="67">
        <f ca="1">IF(OFFSET(Planning!$E$25,0,ROW(A22),1,1)&lt;&gt;"",-'Planning (hide)'!$G25,0)</f>
        <v>0</v>
      </c>
      <c r="J25" s="67">
        <f ca="1">IF(OFFSET(Planning!$E$25,COLUMN(A22),ROW(A22),1,1)&lt;&gt;"",OFFSET(Planning!$D$25,COLUMN(A22),0,1,1),0)</f>
        <v>0</v>
      </c>
      <c r="K25" s="67">
        <f ca="1">IF(OFFSET(Planning!$E$25,COLUMN(B22),ROW(B22),1,1)&lt;&gt;"",OFFSET(Planning!$D$25,COLUMN(B22),0,1,1),0)</f>
        <v>102</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t="e">
        <f ca="1">VLOOKUP($B25,'Summary Calculations (hide)'!$D$15:$U$67,17,0)</f>
        <v>#N/A</v>
      </c>
      <c r="AE25" s="67" t="e">
        <f ca="1">VLOOKUP($B25,'Summary Calculations (hide)'!$D$15:$U$67,18,0)</f>
        <v>#N/A</v>
      </c>
    </row>
    <row r="26" spans="1:31" x14ac:dyDescent="0.2">
      <c r="A26" s="87">
        <f t="shared" ca="1" si="3"/>
        <v>44669</v>
      </c>
      <c r="B26" s="67">
        <f t="shared" ca="1" si="0"/>
        <v>16</v>
      </c>
      <c r="C26" s="5" t="e">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#N/A</v>
      </c>
      <c r="D26" s="5" t="e">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#N/A</v>
      </c>
      <c r="E26" s="5">
        <f ca="1">VLOOKUP($B26,'Summary Calculations (hide)'!$D$15:$U$67,15,0)</f>
        <v>0</v>
      </c>
      <c r="F26" s="5">
        <f ca="1">VLOOKUP($B26,'Summary Calculations (hide)'!$D$15:$U$67,16,0)</f>
        <v>0</v>
      </c>
      <c r="G26" s="5">
        <f t="shared" ca="1" si="1"/>
        <v>0</v>
      </c>
      <c r="H26" s="5">
        <f t="shared" ca="1" si="2"/>
        <v>0</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t="e">
        <f ca="1">VLOOKUP($B26,'Summary Calculations (hide)'!$D$15:$U$67,17,0)</f>
        <v>#N/A</v>
      </c>
      <c r="AE26" s="67" t="e">
        <f ca="1">VLOOKUP($B26,'Summary Calculations (hide)'!$D$15:$U$67,18,0)</f>
        <v>#N/A</v>
      </c>
    </row>
    <row r="27" spans="1:31" x14ac:dyDescent="0.2">
      <c r="A27" s="87">
        <f t="shared" ca="1" si="3"/>
        <v>44676</v>
      </c>
      <c r="B27" s="67">
        <f t="shared" ca="1" si="0"/>
        <v>17</v>
      </c>
      <c r="C27" s="5" t="e">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#N/A</v>
      </c>
      <c r="D27" s="5" t="e">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#N/A</v>
      </c>
      <c r="E27" s="5">
        <f ca="1">VLOOKUP($B27,'Summary Calculations (hide)'!$D$15:$U$67,15,0)</f>
        <v>0</v>
      </c>
      <c r="F27" s="5">
        <f ca="1">VLOOKUP($B27,'Summary Calculations (hide)'!$D$15:$U$67,16,0)</f>
        <v>0</v>
      </c>
      <c r="G27" s="5">
        <f t="shared" ca="1" si="1"/>
        <v>0</v>
      </c>
      <c r="H27" s="5">
        <f t="shared" ca="1" si="2"/>
        <v>0</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t="e">
        <f ca="1">VLOOKUP($B27,'Summary Calculations (hide)'!$D$15:$U$67,17,0)</f>
        <v>#N/A</v>
      </c>
      <c r="AE27" s="67" t="e">
        <f ca="1">VLOOKUP($B27,'Summary Calculations (hide)'!$D$15:$U$67,18,0)</f>
        <v>#N/A</v>
      </c>
    </row>
    <row r="28" spans="1:31" x14ac:dyDescent="0.2">
      <c r="A28" s="87">
        <f t="shared" ca="1" si="3"/>
        <v>44683</v>
      </c>
      <c r="B28" s="67">
        <f t="shared" ca="1" si="0"/>
        <v>18</v>
      </c>
      <c r="C28" s="5" t="e">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#N/A</v>
      </c>
      <c r="D28" s="5" t="e">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#N/A</v>
      </c>
      <c r="E28" s="5">
        <f ca="1">VLOOKUP($B28,'Summary Calculations (hide)'!$D$15:$U$67,15,0)</f>
        <v>0</v>
      </c>
      <c r="F28" s="5">
        <f ca="1">VLOOKUP($B28,'Summary Calculations (hide)'!$D$15:$U$67,16,0)</f>
        <v>0</v>
      </c>
      <c r="G28" s="5">
        <f t="shared" ca="1" si="1"/>
        <v>0</v>
      </c>
      <c r="H28" s="5">
        <f t="shared" ca="1" si="2"/>
        <v>0</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t="e">
        <f ca="1">VLOOKUP($B28,'Summary Calculations (hide)'!$D$15:$U$67,17,0)</f>
        <v>#N/A</v>
      </c>
      <c r="AE28" s="67" t="e">
        <f ca="1">VLOOKUP($B28,'Summary Calculations (hide)'!$D$15:$U$67,18,0)</f>
        <v>#N/A</v>
      </c>
    </row>
    <row r="29" spans="1:31" x14ac:dyDescent="0.2">
      <c r="A29" s="87">
        <f t="shared" ca="1" si="3"/>
        <v>44690</v>
      </c>
      <c r="B29" s="67">
        <f t="shared" ca="1" si="0"/>
        <v>19</v>
      </c>
      <c r="C29" s="5" t="e">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#N/A</v>
      </c>
      <c r="D29" s="5" t="e">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#N/A</v>
      </c>
      <c r="E29" s="5">
        <f ca="1">VLOOKUP($B29,'Summary Calculations (hide)'!$D$15:$U$67,15,0)</f>
        <v>0</v>
      </c>
      <c r="F29" s="5">
        <f ca="1">VLOOKUP($B29,'Summary Calculations (hide)'!$D$15:$U$67,16,0)</f>
        <v>0</v>
      </c>
      <c r="G29" s="5">
        <f t="shared" ca="1" si="1"/>
        <v>0</v>
      </c>
      <c r="H29" s="5">
        <f t="shared" ca="1" si="2"/>
        <v>0</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t="e">
        <f ca="1">VLOOKUP($B29,'Summary Calculations (hide)'!$D$15:$U$67,17,0)</f>
        <v>#N/A</v>
      </c>
      <c r="AE29" s="67" t="e">
        <f ca="1">VLOOKUP($B29,'Summary Calculations (hide)'!$D$15:$U$67,18,0)</f>
        <v>#N/A</v>
      </c>
    </row>
    <row r="30" spans="1:31" x14ac:dyDescent="0.2">
      <c r="A30" s="87">
        <f t="shared" ca="1" si="3"/>
        <v>44697</v>
      </c>
      <c r="B30" s="67">
        <f t="shared" ca="1" si="0"/>
        <v>20</v>
      </c>
      <c r="C30" s="5" t="e">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#N/A</v>
      </c>
      <c r="D30" s="5" t="e">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#N/A</v>
      </c>
      <c r="E30" s="5">
        <f ca="1">VLOOKUP($B30,'Summary Calculations (hide)'!$D$15:$U$67,15,0)</f>
        <v>0</v>
      </c>
      <c r="F30" s="5">
        <f ca="1">VLOOKUP($B30,'Summary Calculations (hide)'!$D$15:$U$67,16,0)</f>
        <v>0</v>
      </c>
      <c r="G30" s="5">
        <f t="shared" ca="1" si="1"/>
        <v>0</v>
      </c>
      <c r="H30" s="5">
        <f t="shared" ca="1" si="2"/>
        <v>0</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t="e">
        <f ca="1">VLOOKUP($B30,'Summary Calculations (hide)'!$D$15:$U$67,17,0)</f>
        <v>#N/A</v>
      </c>
      <c r="AE30" s="67" t="e">
        <f ca="1">VLOOKUP($B30,'Summary Calculations (hide)'!$D$15:$U$67,18,0)</f>
        <v>#N/A</v>
      </c>
    </row>
    <row r="31" spans="1:31" x14ac:dyDescent="0.2">
      <c r="A31" s="87">
        <f t="shared" ca="1" si="3"/>
        <v>44704</v>
      </c>
      <c r="B31" s="67">
        <f t="shared" ca="1" si="0"/>
        <v>21</v>
      </c>
      <c r="C31" s="5" t="e">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#N/A</v>
      </c>
      <c r="D31" s="5" t="e">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#N/A</v>
      </c>
      <c r="E31" s="5">
        <f ca="1">VLOOKUP($B31,'Summary Calculations (hide)'!$D$15:$U$67,15,0)</f>
        <v>0</v>
      </c>
      <c r="F31" s="5">
        <f ca="1">VLOOKUP($B31,'Summary Calculations (hide)'!$D$15:$U$67,16,0)</f>
        <v>0</v>
      </c>
      <c r="G31" s="5">
        <f t="shared" ca="1" si="1"/>
        <v>0</v>
      </c>
      <c r="H31" s="5">
        <f t="shared" ca="1" si="2"/>
        <v>0</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t="e">
        <f ca="1">VLOOKUP($B31,'Summary Calculations (hide)'!$D$15:$U$67,17,0)</f>
        <v>#N/A</v>
      </c>
      <c r="AE31" s="67" t="e">
        <f ca="1">VLOOKUP($B31,'Summary Calculations (hide)'!$D$15:$U$67,18,0)</f>
        <v>#N/A</v>
      </c>
    </row>
    <row r="32" spans="1:31" x14ac:dyDescent="0.2">
      <c r="A32" s="87">
        <f t="shared" ca="1" si="3"/>
        <v>44711</v>
      </c>
      <c r="B32" s="67">
        <f t="shared" ca="1" si="0"/>
        <v>22</v>
      </c>
      <c r="C32" s="5" t="e">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#N/A</v>
      </c>
      <c r="D32" s="5" t="e">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#N/A</v>
      </c>
      <c r="E32" s="5">
        <f ca="1">VLOOKUP($B32,'Summary Calculations (hide)'!$D$15:$U$67,15,0)</f>
        <v>0</v>
      </c>
      <c r="F32" s="5">
        <f ca="1">VLOOKUP($B32,'Summary Calculations (hide)'!$D$15:$U$67,16,0)</f>
        <v>0</v>
      </c>
      <c r="G32" s="5">
        <f t="shared" ca="1" si="1"/>
        <v>0</v>
      </c>
      <c r="H32" s="5">
        <f t="shared" ca="1" si="2"/>
        <v>0</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t="e">
        <f ca="1">VLOOKUP($B32,'Summary Calculations (hide)'!$D$15:$U$67,17,0)</f>
        <v>#N/A</v>
      </c>
      <c r="AE32" s="67" t="e">
        <f ca="1">VLOOKUP($B32,'Summary Calculations (hide)'!$D$15:$U$67,18,0)</f>
        <v>#N/A</v>
      </c>
    </row>
    <row r="33" spans="1:31" x14ac:dyDescent="0.2">
      <c r="A33" s="87">
        <f t="shared" ca="1" si="3"/>
        <v>44718</v>
      </c>
      <c r="B33" s="67">
        <f t="shared" ca="1" si="0"/>
        <v>23</v>
      </c>
      <c r="C33" s="5" t="e">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#N/A</v>
      </c>
      <c r="D33" s="5" t="e">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#N/A</v>
      </c>
      <c r="E33" s="5">
        <f ca="1">VLOOKUP($B33,'Summary Calculations (hide)'!$D$15:$U$67,15,0)</f>
        <v>0</v>
      </c>
      <c r="F33" s="5">
        <f ca="1">VLOOKUP($B33,'Summary Calculations (hide)'!$D$15:$U$67,16,0)</f>
        <v>0</v>
      </c>
      <c r="G33" s="5">
        <f t="shared" ca="1" si="1"/>
        <v>0</v>
      </c>
      <c r="H33" s="5">
        <f t="shared" ca="1" si="2"/>
        <v>0</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t="e">
        <f ca="1">VLOOKUP($B33,'Summary Calculations (hide)'!$D$15:$U$67,17,0)</f>
        <v>#N/A</v>
      </c>
      <c r="AE33" s="67" t="e">
        <f ca="1">VLOOKUP($B33,'Summary Calculations (hide)'!$D$15:$U$67,18,0)</f>
        <v>#N/A</v>
      </c>
    </row>
    <row r="34" spans="1:31" x14ac:dyDescent="0.2">
      <c r="A34" s="87">
        <f t="shared" ca="1" si="3"/>
        <v>44725</v>
      </c>
      <c r="B34" s="67">
        <f t="shared" ca="1" si="0"/>
        <v>24</v>
      </c>
      <c r="C34" s="5" t="e">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#N/A</v>
      </c>
      <c r="D34" s="5" t="e">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#N/A</v>
      </c>
      <c r="E34" s="5">
        <f ca="1">VLOOKUP($B34,'Summary Calculations (hide)'!$D$15:$U$67,15,0)</f>
        <v>0</v>
      </c>
      <c r="F34" s="5">
        <f ca="1">VLOOKUP($B34,'Summary Calculations (hide)'!$D$15:$U$67,16,0)</f>
        <v>0</v>
      </c>
      <c r="G34" s="5">
        <f t="shared" ca="1" si="1"/>
        <v>0</v>
      </c>
      <c r="H34" s="5">
        <f t="shared" ca="1" si="2"/>
        <v>0</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t="e">
        <f ca="1">VLOOKUP($B34,'Summary Calculations (hide)'!$D$15:$U$67,17,0)</f>
        <v>#N/A</v>
      </c>
      <c r="AE34" s="67" t="e">
        <f ca="1">VLOOKUP($B34,'Summary Calculations (hide)'!$D$15:$U$67,18,0)</f>
        <v>#N/A</v>
      </c>
    </row>
    <row r="35" spans="1:31" x14ac:dyDescent="0.2">
      <c r="A35" s="87">
        <f t="shared" ca="1" si="3"/>
        <v>44732</v>
      </c>
      <c r="B35" s="67">
        <f t="shared" ca="1" si="0"/>
        <v>25</v>
      </c>
      <c r="C35" s="5" t="e">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#N/A</v>
      </c>
      <c r="D35" s="5" t="e">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#N/A</v>
      </c>
      <c r="E35" s="5">
        <f ca="1">VLOOKUP($B35,'Summary Calculations (hide)'!$D$15:$U$67,15,0)</f>
        <v>0</v>
      </c>
      <c r="F35" s="5">
        <f ca="1">VLOOKUP($B35,'Summary Calculations (hide)'!$D$15:$U$67,16,0)</f>
        <v>0</v>
      </c>
      <c r="G35" s="5">
        <f t="shared" ca="1" si="1"/>
        <v>0</v>
      </c>
      <c r="H35" s="5">
        <f t="shared" ca="1" si="2"/>
        <v>0</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t="e">
        <f ca="1">VLOOKUP($B35,'Summary Calculations (hide)'!$D$15:$U$67,17,0)</f>
        <v>#N/A</v>
      </c>
      <c r="AE35" s="67" t="e">
        <f ca="1">VLOOKUP($B35,'Summary Calculations (hide)'!$D$15:$U$67,18,0)</f>
        <v>#N/A</v>
      </c>
    </row>
    <row r="36" spans="1:31" x14ac:dyDescent="0.2">
      <c r="A36" s="87">
        <f t="shared" ca="1" si="3"/>
        <v>44739</v>
      </c>
      <c r="B36" s="67">
        <f t="shared" ca="1" si="0"/>
        <v>26</v>
      </c>
      <c r="C36" s="5" t="e">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#N/A</v>
      </c>
      <c r="D36" s="5" t="e">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#N/A</v>
      </c>
      <c r="E36" s="5">
        <f ca="1">VLOOKUP($B36,'Summary Calculations (hide)'!$D$15:$U$67,15,0)</f>
        <v>0</v>
      </c>
      <c r="F36" s="5">
        <f ca="1">VLOOKUP($B36,'Summary Calculations (hide)'!$D$15:$U$67,16,0)</f>
        <v>0</v>
      </c>
      <c r="G36" s="5">
        <f t="shared" ca="1" si="1"/>
        <v>0</v>
      </c>
      <c r="H36" s="5">
        <f t="shared" ca="1" si="2"/>
        <v>0</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t="e">
        <f ca="1">VLOOKUP($B36,'Summary Calculations (hide)'!$D$15:$U$67,17,0)</f>
        <v>#N/A</v>
      </c>
      <c r="AE36" s="67" t="e">
        <f ca="1">VLOOKUP($B36,'Summary Calculations (hide)'!$D$15:$U$67,18,0)</f>
        <v>#N/A</v>
      </c>
    </row>
    <row r="37" spans="1:31" x14ac:dyDescent="0.2">
      <c r="A37" s="87">
        <f t="shared" ca="1" si="3"/>
        <v>44746</v>
      </c>
      <c r="B37" s="67">
        <f t="shared" ca="1" si="0"/>
        <v>27</v>
      </c>
      <c r="C37" s="5" t="e">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#N/A</v>
      </c>
      <c r="D37" s="5" t="e">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#N/A</v>
      </c>
      <c r="E37" s="5">
        <f ca="1">VLOOKUP($B37,'Summary Calculations (hide)'!$D$15:$U$67,15,0)</f>
        <v>0</v>
      </c>
      <c r="F37" s="5">
        <f ca="1">VLOOKUP($B37,'Summary Calculations (hide)'!$D$15:$U$67,16,0)</f>
        <v>0</v>
      </c>
      <c r="G37" s="5">
        <f t="shared" ca="1" si="1"/>
        <v>0</v>
      </c>
      <c r="H37" s="5">
        <f t="shared" ca="1" si="2"/>
        <v>0</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t="e">
        <f ca="1">VLOOKUP($B37,'Summary Calculations (hide)'!$D$15:$U$67,17,0)</f>
        <v>#N/A</v>
      </c>
      <c r="AE37" s="67" t="e">
        <f ca="1">VLOOKUP($B37,'Summary Calculations (hide)'!$D$15:$U$67,18,0)</f>
        <v>#N/A</v>
      </c>
    </row>
    <row r="38" spans="1:31" x14ac:dyDescent="0.2">
      <c r="A38" s="87">
        <f t="shared" ca="1" si="3"/>
        <v>44753</v>
      </c>
      <c r="B38" s="67">
        <f t="shared" ca="1" si="0"/>
        <v>28</v>
      </c>
      <c r="C38" s="5" t="e">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#N/A</v>
      </c>
      <c r="D38" s="5" t="e">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#N/A</v>
      </c>
      <c r="E38" s="5">
        <f ca="1">VLOOKUP($B38,'Summary Calculations (hide)'!$D$15:$U$67,15,0)</f>
        <v>0</v>
      </c>
      <c r="F38" s="5">
        <f ca="1">VLOOKUP($B38,'Summary Calculations (hide)'!$D$15:$U$67,16,0)</f>
        <v>0</v>
      </c>
      <c r="G38" s="5">
        <f t="shared" ca="1" si="1"/>
        <v>0</v>
      </c>
      <c r="H38" s="5">
        <f t="shared" ca="1" si="2"/>
        <v>0</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t="e">
        <f ca="1">VLOOKUP($B38,'Summary Calculations (hide)'!$D$15:$U$67,17,0)</f>
        <v>#N/A</v>
      </c>
      <c r="AE38" s="67" t="e">
        <f ca="1">VLOOKUP($B38,'Summary Calculations (hide)'!$D$15:$U$67,18,0)</f>
        <v>#N/A</v>
      </c>
    </row>
    <row r="39" spans="1:31" x14ac:dyDescent="0.2">
      <c r="A39" s="87">
        <f t="shared" ca="1" si="3"/>
        <v>44760</v>
      </c>
      <c r="B39" s="67">
        <f t="shared" ca="1" si="0"/>
        <v>29</v>
      </c>
      <c r="C39" s="5" t="e">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#N/A</v>
      </c>
      <c r="D39" s="5" t="e">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#N/A</v>
      </c>
      <c r="E39" s="5">
        <f ca="1">VLOOKUP($B39,'Summary Calculations (hide)'!$D$15:$U$67,15,0)</f>
        <v>0</v>
      </c>
      <c r="F39" s="5">
        <f ca="1">VLOOKUP($B39,'Summary Calculations (hide)'!$D$15:$U$67,16,0)</f>
        <v>0</v>
      </c>
      <c r="G39" s="5">
        <f t="shared" ca="1" si="1"/>
        <v>0</v>
      </c>
      <c r="H39" s="5">
        <f t="shared" ca="1" si="2"/>
        <v>0</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t="e">
        <f ca="1">VLOOKUP($B39,'Summary Calculations (hide)'!$D$15:$U$67,17,0)</f>
        <v>#N/A</v>
      </c>
      <c r="AE39" s="67" t="e">
        <f ca="1">VLOOKUP($B39,'Summary Calculations (hide)'!$D$15:$U$67,18,0)</f>
        <v>#N/A</v>
      </c>
    </row>
    <row r="40" spans="1:31" x14ac:dyDescent="0.2">
      <c r="A40" s="87">
        <f t="shared" ca="1" si="3"/>
        <v>44767</v>
      </c>
      <c r="B40" s="67">
        <f t="shared" ca="1" si="0"/>
        <v>30</v>
      </c>
      <c r="C40" s="5" t="e">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#N/A</v>
      </c>
      <c r="D40" s="5" t="e">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#N/A</v>
      </c>
      <c r="E40" s="5">
        <f ca="1">VLOOKUP($B40,'Summary Calculations (hide)'!$D$15:$U$67,15,0)</f>
        <v>0</v>
      </c>
      <c r="F40" s="5">
        <f ca="1">VLOOKUP($B40,'Summary Calculations (hide)'!$D$15:$U$67,16,0)</f>
        <v>0</v>
      </c>
      <c r="G40" s="5">
        <f t="shared" ca="1" si="1"/>
        <v>0</v>
      </c>
      <c r="H40" s="5">
        <f t="shared" ca="1" si="2"/>
        <v>0</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t="e">
        <f ca="1">VLOOKUP($B40,'Summary Calculations (hide)'!$D$15:$U$67,17,0)</f>
        <v>#N/A</v>
      </c>
      <c r="AE40" s="67" t="e">
        <f ca="1">VLOOKUP($B40,'Summary Calculations (hide)'!$D$15:$U$67,18,0)</f>
        <v>#N/A</v>
      </c>
    </row>
    <row r="41" spans="1:31" x14ac:dyDescent="0.2">
      <c r="A41" s="87">
        <f t="shared" ca="1" si="3"/>
        <v>44774</v>
      </c>
      <c r="B41" s="67">
        <f t="shared" ca="1" si="0"/>
        <v>31</v>
      </c>
      <c r="C41" s="5" t="e">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#N/A</v>
      </c>
      <c r="D41" s="5" t="e">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#N/A</v>
      </c>
      <c r="E41" s="5">
        <f ca="1">VLOOKUP($B41,'Summary Calculations (hide)'!$D$15:$U$67,15,0)</f>
        <v>0</v>
      </c>
      <c r="F41" s="5">
        <f ca="1">VLOOKUP($B41,'Summary Calculations (hide)'!$D$15:$U$67,16,0)</f>
        <v>0</v>
      </c>
      <c r="G41" s="5">
        <f t="shared" ca="1" si="1"/>
        <v>0</v>
      </c>
      <c r="H41" s="5">
        <f t="shared" ca="1" si="2"/>
        <v>0</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t="e">
        <f ca="1">VLOOKUP($B41,'Summary Calculations (hide)'!$D$15:$U$67,17,0)</f>
        <v>#N/A</v>
      </c>
      <c r="AE41" s="67" t="e">
        <f ca="1">VLOOKUP($B41,'Summary Calculations (hide)'!$D$15:$U$67,18,0)</f>
        <v>#N/A</v>
      </c>
    </row>
    <row r="42" spans="1:31" x14ac:dyDescent="0.2">
      <c r="A42" s="87">
        <f ca="1">A41+7</f>
        <v>44781</v>
      </c>
      <c r="B42" s="67">
        <f t="shared" ca="1" si="0"/>
        <v>32</v>
      </c>
      <c r="C42" s="5" t="e">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#N/A</v>
      </c>
      <c r="D42" s="5" t="e">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#N/A</v>
      </c>
      <c r="E42" s="5">
        <f ca="1">VLOOKUP($B42,'Summary Calculations (hide)'!$D$15:$U$67,15,0)</f>
        <v>0</v>
      </c>
      <c r="F42" s="5">
        <f ca="1">VLOOKUP($B42,'Summary Calculations (hide)'!$D$15:$U$67,16,0)</f>
        <v>0</v>
      </c>
      <c r="G42" s="5">
        <f t="shared" ca="1" si="1"/>
        <v>0</v>
      </c>
      <c r="H42" s="5">
        <f t="shared" ca="1" si="2"/>
        <v>0</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t="e">
        <f ca="1">VLOOKUP($B42,'Summary Calculations (hide)'!$D$15:$U$67,17,0)</f>
        <v>#N/A</v>
      </c>
      <c r="AE42" s="67" t="e">
        <f ca="1">VLOOKUP($B42,'Summary Calculations (hide)'!$D$15:$U$67,18,0)</f>
        <v>#N/A</v>
      </c>
    </row>
    <row r="43" spans="1:31" x14ac:dyDescent="0.2">
      <c r="A43" s="87">
        <f t="shared" ca="1" si="3"/>
        <v>44788</v>
      </c>
      <c r="B43" s="67">
        <f t="shared" ca="1" si="0"/>
        <v>33</v>
      </c>
      <c r="C43" s="5" t="e">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#N/A</v>
      </c>
      <c r="D43" s="5" t="e">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#N/A</v>
      </c>
      <c r="E43" s="5">
        <f ca="1">VLOOKUP($B43,'Summary Calculations (hide)'!$D$15:$U$67,15,0)</f>
        <v>0</v>
      </c>
      <c r="F43" s="5">
        <f ca="1">VLOOKUP($B43,'Summary Calculations (hide)'!$D$15:$U$67,16,0)</f>
        <v>0</v>
      </c>
      <c r="G43" s="5">
        <f t="shared" ca="1" si="1"/>
        <v>0</v>
      </c>
      <c r="H43" s="5">
        <f t="shared" ca="1" si="2"/>
        <v>0</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t="e">
        <f ca="1">VLOOKUP($B43,'Summary Calculations (hide)'!$D$15:$U$67,17,0)</f>
        <v>#N/A</v>
      </c>
      <c r="AE43" s="67" t="e">
        <f ca="1">VLOOKUP($B43,'Summary Calculations (hide)'!$D$15:$U$67,18,0)</f>
        <v>#N/A</v>
      </c>
    </row>
    <row r="44" spans="1:31" x14ac:dyDescent="0.2">
      <c r="A44" s="87">
        <f t="shared" ca="1" si="3"/>
        <v>44795</v>
      </c>
      <c r="B44" s="67">
        <f t="shared" ca="1" si="0"/>
        <v>34</v>
      </c>
      <c r="C44" s="5" t="e">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#N/A</v>
      </c>
      <c r="D44" s="5" t="e">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#N/A</v>
      </c>
      <c r="E44" s="5">
        <f ca="1">VLOOKUP($B44,'Summary Calculations (hide)'!$D$15:$U$67,15,0)</f>
        <v>0</v>
      </c>
      <c r="F44" s="5">
        <f ca="1">VLOOKUP($B44,'Summary Calculations (hide)'!$D$15:$U$67,16,0)</f>
        <v>0</v>
      </c>
      <c r="G44" s="5">
        <f t="shared" ca="1" si="1"/>
        <v>0</v>
      </c>
      <c r="H44" s="5">
        <f t="shared" ca="1" si="2"/>
        <v>0</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t="e">
        <f ca="1">VLOOKUP($B44,'Summary Calculations (hide)'!$D$15:$U$67,17,0)</f>
        <v>#N/A</v>
      </c>
      <c r="AE44" s="67" t="e">
        <f ca="1">VLOOKUP($B44,'Summary Calculations (hide)'!$D$15:$U$67,18,0)</f>
        <v>#N/A</v>
      </c>
    </row>
    <row r="45" spans="1:31" x14ac:dyDescent="0.2">
      <c r="A45" s="87">
        <f t="shared" ca="1" si="3"/>
        <v>44802</v>
      </c>
      <c r="B45" s="67">
        <f t="shared" ca="1" si="0"/>
        <v>35</v>
      </c>
      <c r="C45" s="5" t="e">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#N/A</v>
      </c>
      <c r="D45" s="5" t="e">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#N/A</v>
      </c>
      <c r="E45" s="5">
        <f ca="1">VLOOKUP($B45,'Summary Calculations (hide)'!$D$15:$U$67,15,0)</f>
        <v>0</v>
      </c>
      <c r="F45" s="5">
        <f ca="1">VLOOKUP($B45,'Summary Calculations (hide)'!$D$15:$U$67,16,0)</f>
        <v>0</v>
      </c>
      <c r="G45" s="5">
        <f t="shared" ca="1" si="1"/>
        <v>0</v>
      </c>
      <c r="H45" s="5">
        <f t="shared" ca="1" si="2"/>
        <v>0</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t="e">
        <f ca="1">VLOOKUP($B45,'Summary Calculations (hide)'!$D$15:$U$67,17,0)</f>
        <v>#N/A</v>
      </c>
      <c r="AE45" s="67" t="e">
        <f ca="1">VLOOKUP($B45,'Summary Calculations (hide)'!$D$15:$U$67,18,0)</f>
        <v>#N/A</v>
      </c>
    </row>
    <row r="46" spans="1:31" x14ac:dyDescent="0.2">
      <c r="A46" s="87">
        <f t="shared" ca="1" si="3"/>
        <v>44809</v>
      </c>
      <c r="B46" s="67">
        <f t="shared" ca="1" si="0"/>
        <v>36</v>
      </c>
      <c r="C46" s="5" t="e">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#N/A</v>
      </c>
      <c r="D46" s="5" t="e">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#N/A</v>
      </c>
      <c r="E46" s="5">
        <f ca="1">VLOOKUP($B46,'Summary Calculations (hide)'!$D$15:$U$67,15,0)</f>
        <v>0</v>
      </c>
      <c r="F46" s="5">
        <f ca="1">VLOOKUP($B46,'Summary Calculations (hide)'!$D$15:$U$67,16,0)</f>
        <v>0</v>
      </c>
      <c r="G46" s="5">
        <f t="shared" ca="1" si="1"/>
        <v>0</v>
      </c>
      <c r="H46" s="5">
        <f t="shared" ca="1" si="2"/>
        <v>0</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t="e">
        <f ca="1">VLOOKUP($B46,'Summary Calculations (hide)'!$D$15:$U$67,17,0)</f>
        <v>#N/A</v>
      </c>
      <c r="AE46" s="67" t="e">
        <f ca="1">VLOOKUP($B46,'Summary Calculations (hide)'!$D$15:$U$67,18,0)</f>
        <v>#N/A</v>
      </c>
    </row>
    <row r="47" spans="1:31" x14ac:dyDescent="0.2">
      <c r="A47" s="87">
        <f t="shared" ca="1" si="3"/>
        <v>44816</v>
      </c>
      <c r="B47" s="67">
        <f t="shared" ca="1" si="0"/>
        <v>37</v>
      </c>
      <c r="C47" s="5" t="e">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#N/A</v>
      </c>
      <c r="D47" s="5" t="e">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#N/A</v>
      </c>
      <c r="E47" s="5">
        <f ca="1">VLOOKUP($B47,'Summary Calculations (hide)'!$D$15:$U$67,15,0)</f>
        <v>0</v>
      </c>
      <c r="F47" s="5">
        <f ca="1">VLOOKUP($B47,'Summary Calculations (hide)'!$D$15:$U$67,16,0)</f>
        <v>0</v>
      </c>
      <c r="G47" s="5">
        <f t="shared" ca="1" si="1"/>
        <v>0</v>
      </c>
      <c r="H47" s="5">
        <f t="shared" ca="1" si="2"/>
        <v>0</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t="e">
        <f ca="1">VLOOKUP($B47,'Summary Calculations (hide)'!$D$15:$U$67,17,0)</f>
        <v>#N/A</v>
      </c>
      <c r="AE47" s="67" t="e">
        <f ca="1">VLOOKUP($B47,'Summary Calculations (hide)'!$D$15:$U$67,18,0)</f>
        <v>#N/A</v>
      </c>
    </row>
    <row r="48" spans="1:31" x14ac:dyDescent="0.2">
      <c r="A48" s="87">
        <f t="shared" ca="1" si="3"/>
        <v>44823</v>
      </c>
      <c r="B48" s="67">
        <f t="shared" ca="1" si="0"/>
        <v>38</v>
      </c>
      <c r="C48" s="5" t="e">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#N/A</v>
      </c>
      <c r="D48" s="5" t="e">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#N/A</v>
      </c>
      <c r="E48" s="5">
        <f ca="1">VLOOKUP($B48,'Summary Calculations (hide)'!$D$15:$U$67,15,0)</f>
        <v>0</v>
      </c>
      <c r="F48" s="5">
        <f ca="1">VLOOKUP($B48,'Summary Calculations (hide)'!$D$15:$U$67,16,0)</f>
        <v>0</v>
      </c>
      <c r="G48" s="5">
        <f t="shared" ca="1" si="1"/>
        <v>0</v>
      </c>
      <c r="H48" s="5">
        <f t="shared" ca="1" si="2"/>
        <v>102</v>
      </c>
      <c r="I48" s="67">
        <f ca="1">IF(OFFSET(Planning!$E$25,0,ROW(A45),1,1)&lt;&gt;"",-'Planning (hide)'!$G48,0)</f>
        <v>0</v>
      </c>
      <c r="J48" s="67">
        <f ca="1">IF(OFFSET(Planning!$E$25,COLUMN(A45),ROW(A45),1,1)&lt;&gt;"",OFFSET(Planning!$D$25,COLUMN(A45),0,1,1),0)</f>
        <v>0</v>
      </c>
      <c r="K48" s="67">
        <f ca="1">IF(OFFSET(Planning!$E$25,COLUMN(B45),ROW(B45),1,1)&lt;&gt;"",OFFSET(Planning!$D$25,COLUMN(B45),0,1,1),0)</f>
        <v>102</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t="e">
        <f ca="1">VLOOKUP($B48,'Summary Calculations (hide)'!$D$15:$U$67,17,0)</f>
        <v>#N/A</v>
      </c>
      <c r="AE48" s="67" t="e">
        <f ca="1">VLOOKUP($B48,'Summary Calculations (hide)'!$D$15:$U$67,18,0)</f>
        <v>#N/A</v>
      </c>
    </row>
    <row r="49" spans="1:31" x14ac:dyDescent="0.2">
      <c r="A49" s="87">
        <f t="shared" ca="1" si="3"/>
        <v>44830</v>
      </c>
      <c r="B49" s="67">
        <f t="shared" ca="1" si="0"/>
        <v>39</v>
      </c>
      <c r="C49" s="5" t="e">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#N/A</v>
      </c>
      <c r="D49" s="5" t="e">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#N/A</v>
      </c>
      <c r="E49" s="5">
        <f ca="1">VLOOKUP($B49,'Summary Calculations (hide)'!$D$15:$U$67,15,0)</f>
        <v>0</v>
      </c>
      <c r="F49" s="5">
        <f ca="1">VLOOKUP($B49,'Summary Calculations (hide)'!$D$15:$U$67,16,0)</f>
        <v>0</v>
      </c>
      <c r="G49" s="5">
        <f t="shared" ca="1" si="1"/>
        <v>0</v>
      </c>
      <c r="H49" s="5">
        <f t="shared" ca="1" si="2"/>
        <v>102</v>
      </c>
      <c r="I49" s="67">
        <f ca="1">IF(OFFSET(Planning!$E$25,0,ROW(A46),1,1)&lt;&gt;"",-'Planning (hide)'!$G49,0)</f>
        <v>0</v>
      </c>
      <c r="J49" s="67">
        <f ca="1">IF(OFFSET(Planning!$E$25,COLUMN(A46),ROW(A46),1,1)&lt;&gt;"",OFFSET(Planning!$D$25,COLUMN(A46),0,1,1),0)</f>
        <v>0</v>
      </c>
      <c r="K49" s="67">
        <f ca="1">IF(OFFSET(Planning!$E$25,COLUMN(B46),ROW(B46),1,1)&lt;&gt;"",OFFSET(Planning!$D$25,COLUMN(B46),0,1,1),0)</f>
        <v>102</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t="e">
        <f ca="1">VLOOKUP($B49,'Summary Calculations (hide)'!$D$15:$U$67,17,0)</f>
        <v>#N/A</v>
      </c>
      <c r="AE49" s="67" t="e">
        <f ca="1">VLOOKUP($B49,'Summary Calculations (hide)'!$D$15:$U$67,18,0)</f>
        <v>#N/A</v>
      </c>
    </row>
    <row r="50" spans="1:31" x14ac:dyDescent="0.2">
      <c r="A50" s="87">
        <f t="shared" ca="1" si="3"/>
        <v>44837</v>
      </c>
      <c r="B50" s="67">
        <f t="shared" ca="1" si="0"/>
        <v>40</v>
      </c>
      <c r="C50" s="5" t="e">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#N/A</v>
      </c>
      <c r="D50" s="5" t="e">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#N/A</v>
      </c>
      <c r="E50" s="5">
        <f ca="1">VLOOKUP($B50,'Summary Calculations (hide)'!$D$15:$U$67,15,0)</f>
        <v>0</v>
      </c>
      <c r="F50" s="5">
        <f ca="1">VLOOKUP($B50,'Summary Calculations (hide)'!$D$15:$U$67,16,0)</f>
        <v>0</v>
      </c>
      <c r="G50" s="5">
        <f t="shared" ca="1" si="1"/>
        <v>0</v>
      </c>
      <c r="H50" s="5">
        <f t="shared" ca="1" si="2"/>
        <v>0</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t="e">
        <f ca="1">VLOOKUP($B50,'Summary Calculations (hide)'!$D$15:$U$67,17,0)</f>
        <v>#N/A</v>
      </c>
      <c r="AE50" s="67" t="e">
        <f ca="1">VLOOKUP($B50,'Summary Calculations (hide)'!$D$15:$U$67,18,0)</f>
        <v>#N/A</v>
      </c>
    </row>
    <row r="51" spans="1:31" x14ac:dyDescent="0.2">
      <c r="A51" s="87">
        <f t="shared" ca="1" si="3"/>
        <v>44844</v>
      </c>
      <c r="B51" s="67">
        <f t="shared" ca="1" si="0"/>
        <v>41</v>
      </c>
      <c r="C51" s="5" t="e">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#N/A</v>
      </c>
      <c r="D51" s="5" t="e">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#N/A</v>
      </c>
      <c r="E51" s="5">
        <f ca="1">VLOOKUP($B51,'Summary Calculations (hide)'!$D$15:$U$67,15,0)</f>
        <v>0</v>
      </c>
      <c r="F51" s="5">
        <f ca="1">VLOOKUP($B51,'Summary Calculations (hide)'!$D$15:$U$67,16,0)</f>
        <v>0</v>
      </c>
      <c r="G51" s="5">
        <f t="shared" ca="1" si="1"/>
        <v>0</v>
      </c>
      <c r="H51" s="5">
        <f t="shared" ca="1" si="2"/>
        <v>0</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t="e">
        <f ca="1">VLOOKUP($B51,'Summary Calculations (hide)'!$D$15:$U$67,17,0)</f>
        <v>#N/A</v>
      </c>
      <c r="AE51" s="67" t="e">
        <f ca="1">VLOOKUP($B51,'Summary Calculations (hide)'!$D$15:$U$67,18,0)</f>
        <v>#N/A</v>
      </c>
    </row>
    <row r="52" spans="1:31" x14ac:dyDescent="0.2">
      <c r="A52" s="87">
        <f t="shared" ca="1" si="3"/>
        <v>44851</v>
      </c>
      <c r="B52" s="67">
        <f t="shared" ca="1" si="0"/>
        <v>42</v>
      </c>
      <c r="C52" s="5" t="e">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#N/A</v>
      </c>
      <c r="D52" s="5" t="e">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#N/A</v>
      </c>
      <c r="E52" s="5">
        <f ca="1">VLOOKUP($B52,'Summary Calculations (hide)'!$D$15:$U$67,15,0)</f>
        <v>0</v>
      </c>
      <c r="F52" s="5">
        <f ca="1">VLOOKUP($B52,'Summary Calculations (hide)'!$D$15:$U$67,16,0)</f>
        <v>0</v>
      </c>
      <c r="G52" s="5">
        <f t="shared" ca="1" si="1"/>
        <v>0</v>
      </c>
      <c r="H52" s="5">
        <f t="shared" ca="1" si="2"/>
        <v>0</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t="e">
        <f ca="1">VLOOKUP($B52,'Summary Calculations (hide)'!$D$15:$U$67,17,0)</f>
        <v>#N/A</v>
      </c>
      <c r="AE52" s="67" t="e">
        <f ca="1">VLOOKUP($B52,'Summary Calculations (hide)'!$D$15:$U$67,18,0)</f>
        <v>#N/A</v>
      </c>
    </row>
    <row r="53" spans="1:31" x14ac:dyDescent="0.2">
      <c r="A53" s="87">
        <f t="shared" ca="1" si="3"/>
        <v>44858</v>
      </c>
      <c r="B53" s="67">
        <f t="shared" ca="1" si="0"/>
        <v>43</v>
      </c>
      <c r="C53" s="5" t="e">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#N/A</v>
      </c>
      <c r="D53" s="5" t="e">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#N/A</v>
      </c>
      <c r="E53" s="5">
        <f ca="1">VLOOKUP($B53,'Summary Calculations (hide)'!$D$15:$U$67,15,0)</f>
        <v>0</v>
      </c>
      <c r="F53" s="5">
        <f ca="1">VLOOKUP($B53,'Summary Calculations (hide)'!$D$15:$U$67,16,0)</f>
        <v>0</v>
      </c>
      <c r="G53" s="5">
        <f t="shared" ca="1" si="1"/>
        <v>0</v>
      </c>
      <c r="H53" s="5">
        <f t="shared" ca="1" si="2"/>
        <v>0</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t="e">
        <f ca="1">VLOOKUP($B53,'Summary Calculations (hide)'!$D$15:$U$67,17,0)</f>
        <v>#N/A</v>
      </c>
      <c r="AE53" s="67" t="e">
        <f ca="1">VLOOKUP($B53,'Summary Calculations (hide)'!$D$15:$U$67,18,0)</f>
        <v>#N/A</v>
      </c>
    </row>
    <row r="54" spans="1:31" x14ac:dyDescent="0.2">
      <c r="A54" s="87">
        <f t="shared" ca="1" si="3"/>
        <v>44865</v>
      </c>
      <c r="B54" s="67">
        <f t="shared" ca="1" si="0"/>
        <v>44</v>
      </c>
      <c r="C54" s="5" t="e">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#N/A</v>
      </c>
      <c r="D54" s="5" t="e">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#N/A</v>
      </c>
      <c r="E54" s="5">
        <f ca="1">VLOOKUP($B54,'Summary Calculations (hide)'!$D$15:$U$67,15,0)</f>
        <v>0</v>
      </c>
      <c r="F54" s="5">
        <f ca="1">VLOOKUP($B54,'Summary Calculations (hide)'!$D$15:$U$67,16,0)</f>
        <v>0</v>
      </c>
      <c r="G54" s="5">
        <f t="shared" ca="1" si="1"/>
        <v>0</v>
      </c>
      <c r="H54" s="5">
        <f t="shared" ca="1" si="2"/>
        <v>0</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t="e">
        <f ca="1">VLOOKUP($B54,'Summary Calculations (hide)'!$D$15:$U$67,17,0)</f>
        <v>#N/A</v>
      </c>
      <c r="AE54" s="67" t="e">
        <f ca="1">VLOOKUP($B54,'Summary Calculations (hide)'!$D$15:$U$67,18,0)</f>
        <v>#N/A</v>
      </c>
    </row>
    <row r="55" spans="1:31" x14ac:dyDescent="0.2">
      <c r="A55" s="87">
        <f t="shared" ca="1" si="3"/>
        <v>44872</v>
      </c>
      <c r="B55" s="67">
        <f t="shared" ca="1" si="0"/>
        <v>45</v>
      </c>
      <c r="C55" s="5" t="e">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#N/A</v>
      </c>
      <c r="D55" s="5" t="e">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#N/A</v>
      </c>
      <c r="E55" s="5">
        <f ca="1">VLOOKUP($B55,'Summary Calculations (hide)'!$D$15:$U$67,15,0)</f>
        <v>0</v>
      </c>
      <c r="F55" s="5">
        <f ca="1">VLOOKUP($B55,'Summary Calculations (hide)'!$D$15:$U$67,16,0)</f>
        <v>0</v>
      </c>
      <c r="G55" s="5">
        <f t="shared" ca="1" si="1"/>
        <v>0</v>
      </c>
      <c r="H55" s="5">
        <f t="shared" ca="1" si="2"/>
        <v>0</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t="e">
        <f ca="1">VLOOKUP($B55,'Summary Calculations (hide)'!$D$15:$U$67,17,0)</f>
        <v>#N/A</v>
      </c>
      <c r="AE55" s="67" t="e">
        <f ca="1">VLOOKUP($B55,'Summary Calculations (hide)'!$D$15:$U$67,18,0)</f>
        <v>#N/A</v>
      </c>
    </row>
    <row r="62" spans="1:31" x14ac:dyDescent="0.2">
      <c r="C62" s="5"/>
    </row>
    <row r="63" spans="1:31" x14ac:dyDescent="0.2">
      <c r="C63" s="5"/>
    </row>
    <row r="64" spans="1:31" x14ac:dyDescent="0.2">
      <c r="C64" s="5"/>
    </row>
    <row r="65" spans="3:3" x14ac:dyDescent="0.2">
      <c r="C65" s="5"/>
    </row>
    <row r="66" spans="3:3" x14ac:dyDescent="0.2">
      <c r="C66" s="5"/>
    </row>
    <row r="67" spans="3:3" x14ac:dyDescent="0.2">
      <c r="C67" s="5"/>
    </row>
    <row r="68" spans="3:3" x14ac:dyDescent="0.2">
      <c r="C68" s="5"/>
    </row>
    <row r="69" spans="3:3" x14ac:dyDescent="0.2">
      <c r="C69" s="5"/>
    </row>
    <row r="70" spans="3:3" x14ac:dyDescent="0.2">
      <c r="C70" s="5"/>
    </row>
    <row r="71" spans="3:3" x14ac:dyDescent="0.2">
      <c r="C71" s="5"/>
    </row>
    <row r="72" spans="3:3" x14ac:dyDescent="0.2">
      <c r="C72" s="5"/>
    </row>
    <row r="73" spans="3:3" x14ac:dyDescent="0.2">
      <c r="C73" s="5"/>
    </row>
    <row r="74" spans="3:3" x14ac:dyDescent="0.2">
      <c r="C74" s="5"/>
    </row>
    <row r="75" spans="3:3" x14ac:dyDescent="0.2">
      <c r="C75" s="5"/>
    </row>
    <row r="76" spans="3:3" x14ac:dyDescent="0.2">
      <c r="C76" s="5"/>
    </row>
    <row r="77" spans="3:3" x14ac:dyDescent="0.2">
      <c r="C77" s="5"/>
    </row>
    <row r="78" spans="3:3" x14ac:dyDescent="0.2">
      <c r="C78" s="5"/>
    </row>
    <row r="79" spans="3:3" x14ac:dyDescent="0.2">
      <c r="C79" s="5"/>
    </row>
    <row r="80" spans="3:3" x14ac:dyDescent="0.2">
      <c r="C80" s="5"/>
    </row>
    <row r="81" spans="3:3" x14ac:dyDescent="0.2">
      <c r="C81" s="5"/>
    </row>
    <row r="82" spans="3:3" x14ac:dyDescent="0.2">
      <c r="C82" s="5"/>
    </row>
    <row r="83" spans="3:3" x14ac:dyDescent="0.2">
      <c r="C83" s="5"/>
    </row>
    <row r="84" spans="3:3" x14ac:dyDescent="0.2">
      <c r="C84" s="5"/>
    </row>
    <row r="85" spans="3:3" x14ac:dyDescent="0.2">
      <c r="C85" s="5"/>
    </row>
    <row r="86" spans="3:3" x14ac:dyDescent="0.2">
      <c r="C86" s="5"/>
    </row>
    <row r="87" spans="3:3" x14ac:dyDescent="0.2">
      <c r="C87" s="5"/>
    </row>
    <row r="88" spans="3:3" x14ac:dyDescent="0.2">
      <c r="C88" s="5"/>
    </row>
    <row r="89" spans="3:3" x14ac:dyDescent="0.2">
      <c r="C89" s="5"/>
    </row>
    <row r="90" spans="3:3" x14ac:dyDescent="0.2">
      <c r="C90" s="5"/>
    </row>
    <row r="91" spans="3:3" x14ac:dyDescent="0.2">
      <c r="C91" s="5"/>
    </row>
    <row r="92" spans="3:3" x14ac:dyDescent="0.2">
      <c r="C92" s="5"/>
    </row>
    <row r="93" spans="3:3" x14ac:dyDescent="0.2">
      <c r="C93" s="5"/>
    </row>
    <row r="94" spans="3:3" x14ac:dyDescent="0.2">
      <c r="C94" s="5"/>
    </row>
    <row r="95" spans="3:3" x14ac:dyDescent="0.2">
      <c r="C95" s="5"/>
    </row>
    <row r="96" spans="3:3" x14ac:dyDescent="0.2">
      <c r="C96" s="5"/>
    </row>
    <row r="97" spans="3:3" x14ac:dyDescent="0.2">
      <c r="C97" s="5"/>
    </row>
    <row r="98" spans="3:3" x14ac:dyDescent="0.2">
      <c r="C98" s="5"/>
    </row>
    <row r="99" spans="3:3" x14ac:dyDescent="0.2">
      <c r="C99" s="5"/>
    </row>
    <row r="100" spans="3:3" x14ac:dyDescent="0.2">
      <c r="C100" s="5"/>
    </row>
    <row r="101" spans="3:3" x14ac:dyDescent="0.2">
      <c r="C101" s="5"/>
    </row>
    <row r="102" spans="3:3" x14ac:dyDescent="0.2">
      <c r="C102" s="5"/>
    </row>
    <row r="103" spans="3:3" x14ac:dyDescent="0.2">
      <c r="C103" s="5"/>
    </row>
    <row r="104" spans="3:3" x14ac:dyDescent="0.2">
      <c r="C104" s="5"/>
    </row>
    <row r="105" spans="3:3" x14ac:dyDescent="0.2">
      <c r="C105" s="5"/>
    </row>
    <row r="106" spans="3:3" x14ac:dyDescent="0.2">
      <c r="C106" s="5"/>
    </row>
    <row r="107" spans="3:3" x14ac:dyDescent="0.2">
      <c r="C107" s="5"/>
    </row>
    <row r="108" spans="3:3" x14ac:dyDescent="0.2">
      <c r="C108" s="5"/>
    </row>
    <row r="109" spans="3:3" x14ac:dyDescent="0.2">
      <c r="C109" s="5"/>
    </row>
    <row r="110" spans="3:3" x14ac:dyDescent="0.2">
      <c r="C110" s="5"/>
    </row>
    <row r="111" spans="3:3" x14ac:dyDescent="0.2">
      <c r="C111" s="5"/>
    </row>
    <row r="112" spans="3:3" x14ac:dyDescent="0.2">
      <c r="C112" s="5"/>
    </row>
    <row r="113" spans="3:3" x14ac:dyDescent="0.2">
      <c r="C113" s="5"/>
    </row>
    <row r="114" spans="3:3" x14ac:dyDescent="0.2">
      <c r="C114" s="5"/>
    </row>
    <row r="115" spans="3:3" x14ac:dyDescent="0.2">
      <c r="C115" s="5"/>
    </row>
    <row r="116" spans="3:3" x14ac:dyDescent="0.2">
      <c r="C116" s="5"/>
    </row>
    <row r="117" spans="3:3" x14ac:dyDescent="0.2">
      <c r="C117" s="5"/>
    </row>
    <row r="118" spans="3:3" x14ac:dyDescent="0.2">
      <c r="C118" s="5"/>
    </row>
    <row r="119" spans="3:3" x14ac:dyDescent="0.2">
      <c r="C119" s="5"/>
    </row>
    <row r="120" spans="3:3" x14ac:dyDescent="0.2">
      <c r="C120" s="5"/>
    </row>
    <row r="121" spans="3:3" x14ac:dyDescent="0.2">
      <c r="C121" s="5"/>
    </row>
    <row r="122" spans="3:3" x14ac:dyDescent="0.2">
      <c r="C122" s="5"/>
    </row>
    <row r="123" spans="3:3" x14ac:dyDescent="0.2">
      <c r="C123" s="5"/>
    </row>
    <row r="124" spans="3:3" x14ac:dyDescent="0.2">
      <c r="C124" s="5"/>
    </row>
    <row r="125" spans="3:3" x14ac:dyDescent="0.2">
      <c r="C125" s="5"/>
    </row>
    <row r="126" spans="3:3" x14ac:dyDescent="0.2">
      <c r="C126" s="5"/>
    </row>
    <row r="127" spans="3:3" x14ac:dyDescent="0.2">
      <c r="C127" s="5"/>
    </row>
    <row r="128" spans="3:3" x14ac:dyDescent="0.2">
      <c r="C128" s="5"/>
    </row>
    <row r="129" spans="3:3" x14ac:dyDescent="0.2">
      <c r="C129" s="5"/>
    </row>
    <row r="130" spans="3:3" x14ac:dyDescent="0.2">
      <c r="C130" s="5"/>
    </row>
    <row r="131" spans="3:3" x14ac:dyDescent="0.2">
      <c r="C131" s="5"/>
    </row>
    <row r="132" spans="3:3" x14ac:dyDescent="0.2">
      <c r="C132" s="5"/>
    </row>
    <row r="133" spans="3:3" x14ac:dyDescent="0.2">
      <c r="C133" s="5"/>
    </row>
    <row r="134" spans="3:3" x14ac:dyDescent="0.2">
      <c r="C134" s="5"/>
    </row>
    <row r="135" spans="3:3" x14ac:dyDescent="0.2">
      <c r="C135" s="5"/>
    </row>
    <row r="136" spans="3:3" x14ac:dyDescent="0.2">
      <c r="C136" s="5"/>
    </row>
    <row r="137" spans="3:3" x14ac:dyDescent="0.2">
      <c r="C137" s="5"/>
    </row>
    <row r="138" spans="3:3" x14ac:dyDescent="0.2">
      <c r="C138" s="5"/>
    </row>
    <row r="139" spans="3:3" x14ac:dyDescent="0.2">
      <c r="C139" s="5"/>
    </row>
    <row r="140" spans="3:3" x14ac:dyDescent="0.2">
      <c r="C140" s="5"/>
    </row>
    <row r="141" spans="3:3" x14ac:dyDescent="0.2">
      <c r="C141" s="5"/>
    </row>
    <row r="142" spans="3:3" x14ac:dyDescent="0.2">
      <c r="C142" s="5"/>
    </row>
    <row r="143" spans="3:3" x14ac:dyDescent="0.2">
      <c r="C143" s="5"/>
    </row>
    <row r="144" spans="3:3" x14ac:dyDescent="0.2">
      <c r="C144" s="5"/>
    </row>
    <row r="145" spans="3:3" x14ac:dyDescent="0.2">
      <c r="C145" s="5"/>
    </row>
    <row r="146" spans="3:3" x14ac:dyDescent="0.2">
      <c r="C146" s="5"/>
    </row>
    <row r="147" spans="3:3" x14ac:dyDescent="0.2">
      <c r="C147" s="5"/>
    </row>
    <row r="148" spans="3:3" x14ac:dyDescent="0.2">
      <c r="C148" s="5"/>
    </row>
    <row r="149" spans="3:3" x14ac:dyDescent="0.2">
      <c r="C149" s="5"/>
    </row>
    <row r="150" spans="3:3" x14ac:dyDescent="0.2">
      <c r="C150" s="5"/>
    </row>
    <row r="151" spans="3:3" x14ac:dyDescent="0.2">
      <c r="C151" s="5"/>
    </row>
    <row r="152" spans="3:3" x14ac:dyDescent="0.2">
      <c r="C152" s="5"/>
    </row>
    <row r="153" spans="3:3" x14ac:dyDescent="0.2">
      <c r="C153" s="5"/>
    </row>
    <row r="154" spans="3:3" x14ac:dyDescent="0.2">
      <c r="C154" s="5"/>
    </row>
    <row r="155" spans="3:3" x14ac:dyDescent="0.2">
      <c r="C155" s="5"/>
    </row>
    <row r="156" spans="3:3" x14ac:dyDescent="0.2">
      <c r="C156" s="5"/>
    </row>
    <row r="157" spans="3:3" x14ac:dyDescent="0.2">
      <c r="C157" s="5"/>
    </row>
    <row r="158" spans="3:3" x14ac:dyDescent="0.2">
      <c r="C158" s="5"/>
    </row>
    <row r="159" spans="3:3" x14ac:dyDescent="0.2">
      <c r="C159" s="5"/>
    </row>
    <row r="160" spans="3:3" x14ac:dyDescent="0.2">
      <c r="C160" s="5"/>
    </row>
    <row r="161" spans="3:3" x14ac:dyDescent="0.2">
      <c r="C161" s="5"/>
    </row>
    <row r="162" spans="3:3" x14ac:dyDescent="0.2">
      <c r="C162" s="5"/>
    </row>
    <row r="163" spans="3:3" x14ac:dyDescent="0.2">
      <c r="C163" s="5"/>
    </row>
    <row r="164" spans="3:3" x14ac:dyDescent="0.2">
      <c r="C164" s="5"/>
    </row>
    <row r="165" spans="3:3" x14ac:dyDescent="0.2">
      <c r="C165" s="5"/>
    </row>
    <row r="166" spans="3:3" x14ac:dyDescent="0.2">
      <c r="C166" s="5"/>
    </row>
    <row r="167" spans="3:3" x14ac:dyDescent="0.2">
      <c r="C167" s="5"/>
    </row>
    <row r="168" spans="3:3" x14ac:dyDescent="0.2">
      <c r="C168" s="5"/>
    </row>
    <row r="169" spans="3:3" x14ac:dyDescent="0.2">
      <c r="C169" s="5"/>
    </row>
    <row r="170" spans="3:3" x14ac:dyDescent="0.2">
      <c r="C170" s="5"/>
    </row>
    <row r="171" spans="3:3" x14ac:dyDescent="0.2">
      <c r="C171" s="5"/>
    </row>
    <row r="172" spans="3:3" x14ac:dyDescent="0.2">
      <c r="C172" s="5"/>
    </row>
    <row r="173" spans="3:3" x14ac:dyDescent="0.2">
      <c r="C173" s="5"/>
    </row>
    <row r="174" spans="3:3" x14ac:dyDescent="0.2">
      <c r="C174" s="5"/>
    </row>
    <row r="175" spans="3:3" x14ac:dyDescent="0.2">
      <c r="C175" s="5"/>
    </row>
    <row r="176" spans="3:3" x14ac:dyDescent="0.2">
      <c r="C176" s="5"/>
    </row>
    <row r="177" spans="3:3" x14ac:dyDescent="0.2">
      <c r="C177" s="5"/>
    </row>
    <row r="178" spans="3:3" x14ac:dyDescent="0.2">
      <c r="C178" s="5"/>
    </row>
    <row r="179" spans="3:3" x14ac:dyDescent="0.2">
      <c r="C179" s="5"/>
    </row>
    <row r="180" spans="3:3" x14ac:dyDescent="0.2">
      <c r="C180" s="5"/>
    </row>
    <row r="181" spans="3:3" x14ac:dyDescent="0.2">
      <c r="C181" s="5"/>
    </row>
    <row r="182" spans="3:3" x14ac:dyDescent="0.2">
      <c r="C182" s="5"/>
    </row>
    <row r="183" spans="3:3" x14ac:dyDescent="0.2">
      <c r="C183" s="5"/>
    </row>
    <row r="184" spans="3:3" x14ac:dyDescent="0.2">
      <c r="C184" s="5"/>
    </row>
    <row r="185" spans="3:3" x14ac:dyDescent="0.2">
      <c r="C185" s="5"/>
    </row>
    <row r="186" spans="3:3" x14ac:dyDescent="0.2">
      <c r="C186" s="5"/>
    </row>
    <row r="187" spans="3:3" x14ac:dyDescent="0.2">
      <c r="C187" s="5"/>
    </row>
    <row r="188" spans="3:3" x14ac:dyDescent="0.2">
      <c r="C188" s="5"/>
    </row>
    <row r="189" spans="3:3" x14ac:dyDescent="0.2">
      <c r="C189" s="5"/>
    </row>
    <row r="190" spans="3:3" x14ac:dyDescent="0.2">
      <c r="C190" s="5"/>
    </row>
    <row r="191" spans="3:3" x14ac:dyDescent="0.2">
      <c r="C191" s="5"/>
    </row>
    <row r="192" spans="3:3" x14ac:dyDescent="0.2">
      <c r="C192" s="5"/>
    </row>
    <row r="193" spans="3:3" x14ac:dyDescent="0.2">
      <c r="C193" s="5"/>
    </row>
    <row r="194" spans="3:3" x14ac:dyDescent="0.2">
      <c r="C194" s="5"/>
    </row>
    <row r="195" spans="3:3" x14ac:dyDescent="0.2">
      <c r="C195" s="5"/>
    </row>
    <row r="196" spans="3:3" x14ac:dyDescent="0.2">
      <c r="C196" s="5"/>
    </row>
    <row r="197" spans="3:3" x14ac:dyDescent="0.2">
      <c r="C197" s="5"/>
    </row>
    <row r="198" spans="3:3" x14ac:dyDescent="0.2">
      <c r="C198" s="5"/>
    </row>
    <row r="199" spans="3:3" x14ac:dyDescent="0.2">
      <c r="C199" s="5"/>
    </row>
    <row r="200" spans="3:3" x14ac:dyDescent="0.2">
      <c r="C200" s="5"/>
    </row>
    <row r="201" spans="3:3" x14ac:dyDescent="0.2">
      <c r="C201" s="5"/>
    </row>
    <row r="202" spans="3:3" x14ac:dyDescent="0.2">
      <c r="C202" s="5"/>
    </row>
    <row r="203" spans="3:3" x14ac:dyDescent="0.2">
      <c r="C203" s="5"/>
    </row>
    <row r="204" spans="3:3" x14ac:dyDescent="0.2">
      <c r="C204" s="5"/>
    </row>
    <row r="205" spans="3:3" x14ac:dyDescent="0.2">
      <c r="C205" s="5"/>
    </row>
    <row r="206" spans="3:3" x14ac:dyDescent="0.2">
      <c r="C206" s="5"/>
    </row>
    <row r="207" spans="3:3" x14ac:dyDescent="0.2">
      <c r="C207" s="5"/>
    </row>
    <row r="208" spans="3:3" x14ac:dyDescent="0.2">
      <c r="C208" s="5"/>
    </row>
    <row r="209" spans="3:3" x14ac:dyDescent="0.2">
      <c r="C209" s="5"/>
    </row>
    <row r="210" spans="3:3" x14ac:dyDescent="0.2">
      <c r="C210" s="5"/>
    </row>
    <row r="211" spans="3:3" x14ac:dyDescent="0.2">
      <c r="C211" s="5"/>
    </row>
    <row r="212" spans="3:3" x14ac:dyDescent="0.2">
      <c r="C212" s="5"/>
    </row>
    <row r="213" spans="3:3" x14ac:dyDescent="0.2">
      <c r="C213" s="5"/>
    </row>
    <row r="214" spans="3:3" x14ac:dyDescent="0.2">
      <c r="C214" s="5"/>
    </row>
    <row r="215" spans="3:3" x14ac:dyDescent="0.2">
      <c r="C215" s="5"/>
    </row>
    <row r="216" spans="3:3" x14ac:dyDescent="0.2">
      <c r="C216" s="5"/>
    </row>
    <row r="217" spans="3:3" x14ac:dyDescent="0.2">
      <c r="C217" s="5"/>
    </row>
    <row r="218" spans="3:3" x14ac:dyDescent="0.2">
      <c r="C218" s="5"/>
    </row>
    <row r="219" spans="3:3" x14ac:dyDescent="0.2">
      <c r="C219" s="5"/>
    </row>
    <row r="220" spans="3:3" x14ac:dyDescent="0.2">
      <c r="C220" s="5"/>
    </row>
    <row r="221" spans="3:3" x14ac:dyDescent="0.2">
      <c r="C221" s="5"/>
    </row>
    <row r="222" spans="3:3" x14ac:dyDescent="0.2">
      <c r="C222" s="5"/>
    </row>
    <row r="223" spans="3:3" x14ac:dyDescent="0.2">
      <c r="C223" s="5"/>
    </row>
    <row r="224" spans="3:3" x14ac:dyDescent="0.2">
      <c r="C224" s="5"/>
    </row>
    <row r="225" spans="3:3" x14ac:dyDescent="0.2">
      <c r="C225" s="5"/>
    </row>
    <row r="226" spans="3:3" x14ac:dyDescent="0.2">
      <c r="C226" s="5"/>
    </row>
    <row r="227" spans="3:3" x14ac:dyDescent="0.2">
      <c r="C227" s="5"/>
    </row>
    <row r="228" spans="3:3" x14ac:dyDescent="0.2">
      <c r="C228" s="5"/>
    </row>
    <row r="229" spans="3:3" x14ac:dyDescent="0.2">
      <c r="C229" s="5"/>
    </row>
    <row r="230" spans="3:3" x14ac:dyDescent="0.2">
      <c r="C230" s="5"/>
    </row>
    <row r="231" spans="3:3" x14ac:dyDescent="0.2">
      <c r="C231" s="5"/>
    </row>
    <row r="232" spans="3:3" x14ac:dyDescent="0.2">
      <c r="C232" s="5"/>
    </row>
    <row r="233" spans="3:3" x14ac:dyDescent="0.2">
      <c r="C233" s="5"/>
    </row>
    <row r="234" spans="3:3" x14ac:dyDescent="0.2">
      <c r="C234" s="5"/>
    </row>
    <row r="235" spans="3:3" x14ac:dyDescent="0.2">
      <c r="C235" s="5"/>
    </row>
    <row r="236" spans="3:3" x14ac:dyDescent="0.2">
      <c r="C236" s="5"/>
    </row>
    <row r="237" spans="3:3" x14ac:dyDescent="0.2">
      <c r="C237" s="5"/>
    </row>
    <row r="238" spans="3:3" x14ac:dyDescent="0.2">
      <c r="C238" s="5"/>
    </row>
    <row r="239" spans="3:3" x14ac:dyDescent="0.2">
      <c r="C239" s="5"/>
    </row>
    <row r="240" spans="3:3" x14ac:dyDescent="0.2">
      <c r="C240" s="5"/>
    </row>
    <row r="241" spans="3:3" x14ac:dyDescent="0.2">
      <c r="C241" s="5"/>
    </row>
    <row r="242" spans="3:3" x14ac:dyDescent="0.2">
      <c r="C242" s="5"/>
    </row>
    <row r="243" spans="3:3" x14ac:dyDescent="0.2">
      <c r="C243" s="5"/>
    </row>
    <row r="244" spans="3:3" x14ac:dyDescent="0.2">
      <c r="C244" s="5"/>
    </row>
    <row r="245" spans="3:3" x14ac:dyDescent="0.2">
      <c r="C245" s="5"/>
    </row>
    <row r="246" spans="3:3" x14ac:dyDescent="0.2">
      <c r="C246" s="5"/>
    </row>
    <row r="247" spans="3:3" x14ac:dyDescent="0.2">
      <c r="C247" s="5"/>
    </row>
    <row r="248" spans="3:3" x14ac:dyDescent="0.2">
      <c r="C248" s="5"/>
    </row>
    <row r="249" spans="3:3" x14ac:dyDescent="0.2">
      <c r="C249" s="5"/>
    </row>
    <row r="250" spans="3:3" x14ac:dyDescent="0.2">
      <c r="C250" s="5"/>
    </row>
    <row r="251" spans="3:3" x14ac:dyDescent="0.2">
      <c r="C251" s="5"/>
    </row>
    <row r="252" spans="3:3" x14ac:dyDescent="0.2">
      <c r="C252" s="5"/>
    </row>
    <row r="253" spans="3:3" x14ac:dyDescent="0.2">
      <c r="C253" s="5"/>
    </row>
    <row r="254" spans="3:3" x14ac:dyDescent="0.2">
      <c r="C254" s="5"/>
    </row>
    <row r="255" spans="3:3" x14ac:dyDescent="0.2">
      <c r="C255" s="5"/>
    </row>
    <row r="256" spans="3:3" x14ac:dyDescent="0.2">
      <c r="C256" s="5"/>
    </row>
    <row r="257" spans="3:3" x14ac:dyDescent="0.2">
      <c r="C257" s="5"/>
    </row>
    <row r="258" spans="3:3" x14ac:dyDescent="0.2">
      <c r="C258" s="5"/>
    </row>
    <row r="259" spans="3:3" x14ac:dyDescent="0.2">
      <c r="C259" s="5"/>
    </row>
    <row r="260" spans="3:3" x14ac:dyDescent="0.2">
      <c r="C260" s="5"/>
    </row>
    <row r="261" spans="3:3" x14ac:dyDescent="0.2">
      <c r="C261" s="5"/>
    </row>
    <row r="262" spans="3:3" x14ac:dyDescent="0.2">
      <c r="C262" s="5"/>
    </row>
    <row r="263" spans="3:3" x14ac:dyDescent="0.2">
      <c r="C263" s="5"/>
    </row>
    <row r="264" spans="3:3" x14ac:dyDescent="0.2">
      <c r="C264" s="5"/>
    </row>
    <row r="265" spans="3:3" x14ac:dyDescent="0.2">
      <c r="C265" s="5"/>
    </row>
    <row r="266" spans="3:3" x14ac:dyDescent="0.2">
      <c r="C266" s="5"/>
    </row>
    <row r="267" spans="3:3" x14ac:dyDescent="0.2">
      <c r="C267" s="5"/>
    </row>
    <row r="268" spans="3:3" x14ac:dyDescent="0.2">
      <c r="C268" s="5"/>
    </row>
    <row r="269" spans="3:3" x14ac:dyDescent="0.2">
      <c r="C269" s="5"/>
    </row>
    <row r="270" spans="3:3" x14ac:dyDescent="0.2">
      <c r="C270" s="5"/>
    </row>
    <row r="271" spans="3:3" x14ac:dyDescent="0.2">
      <c r="C271" s="5"/>
    </row>
    <row r="272" spans="3:3" x14ac:dyDescent="0.2">
      <c r="C272" s="5"/>
    </row>
    <row r="273" spans="3:3" x14ac:dyDescent="0.2">
      <c r="C273" s="5"/>
    </row>
    <row r="274" spans="3:3" x14ac:dyDescent="0.2">
      <c r="C274" s="5"/>
    </row>
    <row r="275" spans="3:3" x14ac:dyDescent="0.2">
      <c r="C275" s="5"/>
    </row>
    <row r="276" spans="3:3" x14ac:dyDescent="0.2">
      <c r="C276" s="5"/>
    </row>
    <row r="277" spans="3:3" x14ac:dyDescent="0.2">
      <c r="C277" s="5"/>
    </row>
    <row r="278" spans="3:3" x14ac:dyDescent="0.2">
      <c r="C278" s="5"/>
    </row>
    <row r="279" spans="3:3" x14ac:dyDescent="0.2">
      <c r="C279" s="5"/>
    </row>
    <row r="280" spans="3:3" x14ac:dyDescent="0.2">
      <c r="C280" s="5"/>
    </row>
    <row r="281" spans="3:3" x14ac:dyDescent="0.2">
      <c r="C281" s="5"/>
    </row>
    <row r="282" spans="3:3" x14ac:dyDescent="0.2">
      <c r="C282" s="5"/>
    </row>
    <row r="283" spans="3:3" x14ac:dyDescent="0.2">
      <c r="C283" s="5"/>
    </row>
    <row r="284" spans="3:3" x14ac:dyDescent="0.2">
      <c r="C284" s="5"/>
    </row>
    <row r="285" spans="3:3" x14ac:dyDescent="0.2">
      <c r="C285" s="5"/>
    </row>
    <row r="286" spans="3:3" x14ac:dyDescent="0.2">
      <c r="C286" s="5"/>
    </row>
    <row r="287" spans="3:3" x14ac:dyDescent="0.2">
      <c r="C287" s="5"/>
    </row>
    <row r="288" spans="3:3" x14ac:dyDescent="0.2">
      <c r="C288" s="5"/>
    </row>
    <row r="289" spans="3:3" x14ac:dyDescent="0.2">
      <c r="C289" s="5"/>
    </row>
    <row r="290" spans="3:3" x14ac:dyDescent="0.2">
      <c r="C290" s="5"/>
    </row>
    <row r="291" spans="3:3" x14ac:dyDescent="0.2">
      <c r="C291" s="5"/>
    </row>
    <row r="292" spans="3:3" x14ac:dyDescent="0.2">
      <c r="C292" s="5"/>
    </row>
    <row r="293" spans="3:3" x14ac:dyDescent="0.2">
      <c r="C293" s="5"/>
    </row>
    <row r="294" spans="3:3" x14ac:dyDescent="0.2">
      <c r="C294" s="5"/>
    </row>
    <row r="295" spans="3:3" x14ac:dyDescent="0.2">
      <c r="C295" s="5"/>
    </row>
    <row r="296" spans="3:3" x14ac:dyDescent="0.2">
      <c r="C296" s="5"/>
    </row>
    <row r="297" spans="3:3" x14ac:dyDescent="0.2">
      <c r="C297" s="5"/>
    </row>
    <row r="298" spans="3:3" x14ac:dyDescent="0.2">
      <c r="C298" s="5"/>
    </row>
    <row r="299" spans="3:3" x14ac:dyDescent="0.2">
      <c r="C299" s="5"/>
    </row>
    <row r="300" spans="3:3" x14ac:dyDescent="0.2">
      <c r="C300" s="5"/>
    </row>
    <row r="301" spans="3:3" x14ac:dyDescent="0.2">
      <c r="C301" s="5"/>
    </row>
    <row r="302" spans="3:3" x14ac:dyDescent="0.2">
      <c r="C302" s="5"/>
    </row>
    <row r="303" spans="3:3" x14ac:dyDescent="0.2">
      <c r="C303" s="5"/>
    </row>
    <row r="304" spans="3:3" x14ac:dyDescent="0.2">
      <c r="C304" s="5"/>
    </row>
    <row r="305" spans="3:3" x14ac:dyDescent="0.2">
      <c r="C305" s="5"/>
    </row>
    <row r="306" spans="3:3" x14ac:dyDescent="0.2">
      <c r="C306" s="5"/>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4.25" x14ac:dyDescent="0.2"/>
  <cols>
    <col min="1" max="1" width="36.25" customWidth="1"/>
    <col min="2" max="2" width="38.125" customWidth="1"/>
  </cols>
  <sheetData>
    <row r="3" spans="1:3" ht="15" x14ac:dyDescent="0.25">
      <c r="A3" s="165" t="s">
        <v>528</v>
      </c>
      <c r="B3" s="165" t="s">
        <v>11</v>
      </c>
    </row>
    <row r="4" spans="1:3" x14ac:dyDescent="0.2">
      <c r="A4" s="166" t="s">
        <v>529</v>
      </c>
      <c r="B4" s="166" t="s">
        <v>530</v>
      </c>
      <c r="C4" s="5" t="e">
        <f ca="1">'Summary Calculations (hide)'!X72</f>
        <v>#N/A</v>
      </c>
    </row>
    <row r="5" spans="1:3" x14ac:dyDescent="0.2">
      <c r="A5" s="166" t="s">
        <v>531</v>
      </c>
      <c r="B5" s="166" t="s">
        <v>532</v>
      </c>
      <c r="C5" s="5" t="e">
        <f ca="1">'Summary Calculations (hide)'!M70</f>
        <v>#N/A</v>
      </c>
    </row>
    <row r="6" spans="1:3" x14ac:dyDescent="0.2">
      <c r="A6" s="166" t="s">
        <v>533</v>
      </c>
      <c r="B6" s="166" t="s">
        <v>534</v>
      </c>
      <c r="C6" s="5" t="e">
        <f ca="1">'Summary Calculations (hide)'!N70</f>
        <v>#N/A</v>
      </c>
    </row>
    <row r="7" spans="1:3" ht="42.75" x14ac:dyDescent="0.2">
      <c r="A7" s="166" t="s">
        <v>99</v>
      </c>
      <c r="B7" s="166" t="s">
        <v>535</v>
      </c>
      <c r="C7" t="e">
        <f ca="1">'Parameters calculator (hide)'!B45</f>
        <v>#N/A</v>
      </c>
    </row>
    <row r="8" spans="1:3" ht="28.5" x14ac:dyDescent="0.2">
      <c r="A8" s="166" t="s">
        <v>536</v>
      </c>
      <c r="B8" s="166" t="s">
        <v>537</v>
      </c>
      <c r="C8">
        <f ca="1">'Parameters calculator (hide)'!B46</f>
        <v>0</v>
      </c>
    </row>
    <row r="9" spans="1:3" ht="42.75" x14ac:dyDescent="0.2">
      <c r="A9" s="166" t="s">
        <v>538</v>
      </c>
      <c r="B9" s="166" t="s">
        <v>539</v>
      </c>
      <c r="C9">
        <v>0</v>
      </c>
    </row>
    <row r="10" spans="1:3" ht="28.5" x14ac:dyDescent="0.2">
      <c r="A10" s="166" t="s">
        <v>540</v>
      </c>
      <c r="B10" s="166" t="s">
        <v>541</v>
      </c>
      <c r="C10">
        <v>0</v>
      </c>
    </row>
    <row r="11" spans="1:3" ht="57" x14ac:dyDescent="0.2">
      <c r="A11" s="166" t="s">
        <v>542</v>
      </c>
      <c r="B11" s="166" t="s">
        <v>543</v>
      </c>
      <c r="C11">
        <f ca="1">'Parameters calculator (hide)'!B47</f>
        <v>1</v>
      </c>
    </row>
    <row r="12" spans="1:3" x14ac:dyDescent="0.2">
      <c r="A12" s="166" t="s">
        <v>494</v>
      </c>
      <c r="B12" s="166" t="s">
        <v>544</v>
      </c>
      <c r="C12" s="5" t="e">
        <f ca="1">SUM('Summary Calculations (hide)'!R70:S70)</f>
        <v>#N/A</v>
      </c>
    </row>
    <row r="13" spans="1:3" x14ac:dyDescent="0.2">
      <c r="A13" s="166" t="s">
        <v>545</v>
      </c>
      <c r="B13" s="166" t="s">
        <v>546</v>
      </c>
      <c r="C13" s="5" t="e">
        <f ca="1">'Parameters calculator (hide)'!F63</f>
        <v>#VALUE!</v>
      </c>
    </row>
    <row r="14" spans="1:3" x14ac:dyDescent="0.2">
      <c r="A14" s="166" t="s">
        <v>547</v>
      </c>
      <c r="B14" s="166" t="s">
        <v>548</v>
      </c>
      <c r="C14" s="5">
        <f ca="1">'Parameters calculator (hide)'!B79</f>
        <v>30</v>
      </c>
    </row>
    <row r="15" spans="1:3" x14ac:dyDescent="0.2">
      <c r="A15" s="166" t="s">
        <v>75</v>
      </c>
      <c r="B15" s="166" t="s">
        <v>549</v>
      </c>
      <c r="C15" t="e">
        <f ca="1">'Parameters calculator (hide)'!B43+'Parameters calculator (hide)'!B44</f>
        <v>#N/A</v>
      </c>
    </row>
    <row r="16" spans="1:3" x14ac:dyDescent="0.2">
      <c r="A16" s="166" t="s">
        <v>550</v>
      </c>
      <c r="B16" s="166" t="s">
        <v>551</v>
      </c>
      <c r="C16">
        <v>0</v>
      </c>
    </row>
    <row r="17" spans="1:3" x14ac:dyDescent="0.2">
      <c r="A17" s="166" t="s">
        <v>552</v>
      </c>
      <c r="B17" s="166" t="s">
        <v>553</v>
      </c>
      <c r="C17">
        <f>IF(Summary!$C$8="Patients",0,1)</f>
        <v>0</v>
      </c>
    </row>
    <row r="18" spans="1:3" ht="28.5" x14ac:dyDescent="0.2">
      <c r="A18" s="166" t="s">
        <v>554</v>
      </c>
      <c r="B18" s="166" t="s">
        <v>555</v>
      </c>
      <c r="C18">
        <f>IF(C17=0,1,'Summary Calculations (hide)'!$I$9)</f>
        <v>1</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Bytheway, Mark</cp:lastModifiedBy>
  <dcterms:created xsi:type="dcterms:W3CDTF">2018-01-30T12:52:20Z</dcterms:created>
  <dcterms:modified xsi:type="dcterms:W3CDTF">2021-11-11T14:18:07Z</dcterms:modified>
</cp:coreProperties>
</file>