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MBytheway\Data\Desktop\Updates\"/>
    </mc:Choice>
  </mc:AlternateContent>
  <xr:revisionPtr revIDLastSave="0" documentId="13_ncr:1_{5BB9D501-3EAA-4B82-A086-1EE92960047C}" xr6:coauthVersionLast="45" xr6:coauthVersionMax="45" xr10:uidLastSave="{00000000-0000-0000-0000-000000000000}"/>
  <bookViews>
    <workbookView xWindow="-120" yWindow="-120" windowWidth="23280" windowHeight="15000" tabRatio="794" firstSheet="3" activeTab="2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BK1" i="31" s="1"/>
  <c r="E6" i="30"/>
  <c r="D6" i="30"/>
  <c r="B7" i="30"/>
  <c r="A7" i="30" s="1"/>
  <c r="A15" i="36" l="1"/>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J1"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10" i="31" l="1"/>
  <c r="DK110" i="31" s="1"/>
  <c r="DK3" i="31"/>
  <c r="DK1" i="31" s="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Q30" i="17" s="1"/>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P56" i="17" l="1"/>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E55" i="36" l="1"/>
  <c r="AL13" i="15"/>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AP54" i="15" l="1"/>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F55" i="36" s="1"/>
  <c r="R71" i="17"/>
  <c r="E32" i="18" s="1"/>
  <c r="R70" i="17"/>
  <c r="AR13" i="15"/>
  <c r="AR25" i="15"/>
  <c r="AR26" i="15"/>
  <c r="AR12" i="15"/>
  <c r="AR11" i="15"/>
  <c r="AR48" i="15" l="1"/>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S71" i="17"/>
  <c r="E33" i="18" s="1"/>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48" i="17"/>
  <c r="X33" i="17"/>
  <c r="X64" i="17"/>
  <c r="X29" i="17"/>
  <c r="X28" i="17"/>
  <c r="X27" i="17"/>
  <c r="X21" i="17"/>
  <c r="X35" i="17"/>
  <c r="X19" i="17"/>
  <c r="X17" i="17"/>
  <c r="X50" i="17"/>
  <c r="X39" i="17"/>
  <c r="G56" i="26"/>
  <c r="G55" i="26"/>
  <c r="G57" i="26"/>
  <c r="F62" i="26" l="1"/>
  <c r="H62" i="26" s="1"/>
  <c r="X72" i="17"/>
  <c r="C4" i="37" s="1"/>
  <c r="X71" i="17"/>
  <c r="E30" i="18" s="1"/>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U5" i="6"/>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B61" i="18" l="1"/>
  <c r="C29" i="36"/>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5"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D5" i="36" l="1"/>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0024D0CC-AA38-46F9-A298-30FC0940B0A0}">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<sst xmlns="http://schemas.openxmlformats.org/spreadsheetml/2006/main" count="2564" uniqueCount="1305">
  <si>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</si>
  <si>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</si>
  <si>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</si>
  <si>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</si>
  <si>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</si>
  <si>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</si>
  <si>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</si>
  <si>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</si>
  <si>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</si>
  <si>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</si>
  <si>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</si>
  <si>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</si>
  <si>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</si>
  <si>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</si>
  <si>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</si>
  <si>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</si>
  <si>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</si>
  <si>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</si>
  <si>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</si>
  <si>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</si>
  <si>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</si>
  <si>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</si>
  <si>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</si>
  <si>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</si>
  <si>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</si>
  <si>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</si>
  <si>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</si>
  <si>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</si>
  <si>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</si>
  <si>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</si>
  <si>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</si>
  <si>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</si>
  <si>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</si>
  <si>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</si>
  <si>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</si>
  <si>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</si>
  <si>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</si>
  <si>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</si>
  <si>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</si>
  <si>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</si>
  <si>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</si>
  <si>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</si>
  <si>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</si>
  <si>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</si>
  <si>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</si>
  <si>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</si>
  <si>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</si>
  <si>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</si>
  <si>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</si>
  <si>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</si>
  <si>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</si>
  <si>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</si>
  <si>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</si>
  <si>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</si>
  <si>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</si>
  <si>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</si>
  <si>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</si>
  <si>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</si>
  <si>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</si>
  <si>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</si>
  <si>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</si>
  <si>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</si>
  <si>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</si>
  <si>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</si>
  <si>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</si>
  <si>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</si>
  <si>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</si>
  <si>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</si>
  <si>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</si>
  <si>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</si>
  <si>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</si>
  <si>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</si>
  <si>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</si>
  <si>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</si>
  <si>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</si>
  <si>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</si>
  <si>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</si>
  <si>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</si>
  <si>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</si>
  <si>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</si>
  <si>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</si>
  <si>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</si>
  <si>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</si>
  <si>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</si>
  <si>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</si>
  <si>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</si>
  <si>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</si>
  <si>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</si>
  <si>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</si>
  <si>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</si>
  <si>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</si>
  <si>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</si>
  <si>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</si>
  <si>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</si>
  <si>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</si>
  <si>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</si>
  <si>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</si>
  <si>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</si>
  <si>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</si>
  <si>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</si>
  <si>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</si>
  <si>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</si>
  <si>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</si>
  <si>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</si>
  <si>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</si>
  <si>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</si>
  <si>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</si>
  <si>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</si>
  <si>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</si>
  <si>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</si>
  <si>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</si>
  <si>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</si>
  <si>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</si>
  <si>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</si>
  <si>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</si>
  <si>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</si>
  <si>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</si>
  <si>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</si>
  <si>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</si>
  <si>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</si>
  <si>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</si>
  <si>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</si>
  <si>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</si>
  <si>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</si>
  <si>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</si>
  <si>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</si>
  <si>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</si>
  <si>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</si>
  <si>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</si>
  <si>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</si>
  <si>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</si>
  <si>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</si>
  <si>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</si>
  <si>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</si>
  <si>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</si>
  <si>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</si>
  <si>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</si>
  <si>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</si>
  <si>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</si>
  <si>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</si>
  <si>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</si>
  <si>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</si>
  <si>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</si>
  <si>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</si>
  <si>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</si>
  <si>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</si>
  <si>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</si>
  <si>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</si>
  <si>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</si>
  <si>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</si>
  <si>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</si>
  <si>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</si>
  <si>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</si>
  <si>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</si>
  <si>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</si>
  <si>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</si>
  <si>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</si>
  <si>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</si>
  <si>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</si>
  <si>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</si>
  <si>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</si>
  <si>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</si>
  <si>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</si>
  <si>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</si>
  <si>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</si>
  <si>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</si>
  <si>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</si>
  <si>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</si>
  <si>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</si>
  <si>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</si>
  <si>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</si>
  <si>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</si>
  <si>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</si>
  <si>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</si>
  <si>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</si>
  <si>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</si>
  <si>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</si>
  <si>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</si>
  <si>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</si>
  <si>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</si>
  <si>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</si>
  <si>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</si>
  <si>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</si>
  <si>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</si>
  <si>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</si>
  <si>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</si>
  <si>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</si>
  <si>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</si>
  <si>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</si>
  <si>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</si>
  <si>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</si>
  <si>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</si>
  <si>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</si>
  <si>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</si>
  <si>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</si>
  <si>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</si>
  <si>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</si>
  <si>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</si>
  <si>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</si>
  <si>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</si>
  <si>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</si>
  <si>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</si>
  <si>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</si>
  <si>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</si>
  <si>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</si>
  <si>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</si>
  <si>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</si>
  <si>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</si>
  <si>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</si>
  <si>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</si>
  <si>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</si>
  <si>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</si>
  <si>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</si>
  <si>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</si>
  <si>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</si>
  <si>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</si>
  <si>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</si>
  <si>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</si>
  <si>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</si>
  <si>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</si>
  <si>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</si>
  <si>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</si>
  <si>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</si>
  <si>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</si>
  <si>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</si>
  <si>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</si>
  <si>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</si>
  <si>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</si>
  <si>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</si>
  <si>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</si>
  <si>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</si>
  <si>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</si>
  <si>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</si>
  <si>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</si>
  <si>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</si>
  <si>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</si>
  <si>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</si>
  <si>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</si>
  <si>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</si>
  <si>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</si>
  <si>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</si>
  <si>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</si>
  <si>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</si>
  <si>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</si>
  <si>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</si>
  <si>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</si>
  <si>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</si>
  <si>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</si>
  <si>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</si>
  <si>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</si>
  <si>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</si>
  <si>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</si>
  <si>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</si>
  <si>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</si>
  <si>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</si>
  <si>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</si>
  <si>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</si>
  <si>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</si>
  <si>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</si>
  <si>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</si>
  <si>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</si>
  <si>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</si>
  <si>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</si>
  <si>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</si>
  <si>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</si>
  <si>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</si>
  <si>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</si>
  <si>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</si>
  <si>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</si>
  <si>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</si>
  <si>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</si>
  <si>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</si>
  <si>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</si>
  <si>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</si>
  <si>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</si>
  <si>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</si>
  <si>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</si>
  <si>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</si>
  <si>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</si>
  <si>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</si>
  <si>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</si>
  <si>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</si>
  <si>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</si>
  <si>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</si>
  <si>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</si>
  <si>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</si>
  <si>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</si>
  <si>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</si>
  <si>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</si>
  <si>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</si>
  <si>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</si>
  <si>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</si>
  <si>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</si>
  <si>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</si>
  <si>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</si>
  <si>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</si>
  <si>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</si>
  <si>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</si>
  <si>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</si>
  <si>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</si>
  <si>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</si>
  <si>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</si>
  <si>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</si>
  <si>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</si>
  <si>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</si>
  <si>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</si>
  <si>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</si>
  <si>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</si>
  <si>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</si>
  <si>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</si>
  <si>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</si>
  <si>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</si>
  <si>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</si>
  <si>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</si>
  <si>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</si>
  <si>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</si>
  <si>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</si>
  <si>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</si>
  <si>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</si>
  <si>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</si>
  <si>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</si>
  <si>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</si>
  <si>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</si>
  <si>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</si>
  <si>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</si>
  <si>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</si>
  <si>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</si>
  <si>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</si>
  <si>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</si>
  <si>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</si>
  <si>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</si>
  <si>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</si>
  <si>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</si>
  <si>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</si>
  <si>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</si>
  <si>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</si>
  <si>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</si>
  <si>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</si>
  <si>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</si>
  <si>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</si>
  <si>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</si>
  <si>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</si>
  <si>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</si>
  <si>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</si>
  <si>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</si>
  <si>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</si>
  <si>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</si>
  <si>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</si>
  <si>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</si>
  <si>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</si>
  <si>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</si>
  <si>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</si>
  <si>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</si>
  <si>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</si>
  <si>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</si>
  <si>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</si>
  <si>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</si>
  <si>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</si>
  <si>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</si>
  <si>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</si>
  <si>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</si>
  <si>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</si>
  <si>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</si>
  <si>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</si>
  <si>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</si>
  <si>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</si>
  <si>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</si>
  <si>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</si>
  <si>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</si>
  <si>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</si>
  <si>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</si>
  <si>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</si>
  <si>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</si>
  <si>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</si>
  <si>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</si>
  <si>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</si>
  <si>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</si>
  <si>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</si>
  <si>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</si>
  <si>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</si>
  <si>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</si>
  <si>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</si>
  <si>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</si>
  <si>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</si>
  <si>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</si>
  <si>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</si>
  <si>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</si>
  <si>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</si>
  <si>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</si>
  <si>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</si>
  <si>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</si>
  <si>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</si>
  <si>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</si>
  <si>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</si>
  <si>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</si>
  <si>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</si>
  <si>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</si>
  <si>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</si>
  <si>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</si>
  <si>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</si>
  <si>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</si>
  <si>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</si>
  <si>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</si>
  <si>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</si>
  <si>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</si>
  <si>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</si>
  <si>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</si>
  <si>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</si>
  <si>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</si>
  <si>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</si>
  <si>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</si>
  <si>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</si>
  <si>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</si>
  <si>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</si>
  <si>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</si>
  <si>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</si>
  <si>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</si>
  <si>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</si>
  <si>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</si>
  <si>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</si>
  <si>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</si>
  <si>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</si>
  <si>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</si>
  <si>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</si>
  <si>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</si>
  <si>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</si>
  <si>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</si>
  <si>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</si>
  <si>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</si>
  <si>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</si>
  <si>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</si>
  <si>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</si>
  <si>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</si>
  <si>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</si>
  <si>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</si>
  <si>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</si>
  <si>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</si>
  <si>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</si>
  <si>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</si>
  <si>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</si>
  <si>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</si>
  <si>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</si>
  <si>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</si>
  <si>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</si>
  <si>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</si>
  <si>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</si>
  <si>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</si>
  <si>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</si>
  <si>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</si>
  <si>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</si>
  <si>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</si>
  <si>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</si>
  <si>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</si>
  <si>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</si>
  <si>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</si>
  <si>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</si>
  <si>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</si>
  <si>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</si>
  <si>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</si>
  <si>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</si>
  <si>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</si>
  <si>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</si>
  <si>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</si>
  <si>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</si>
  <si>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</si>
  <si>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</si>
  <si>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</si>
  <si>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</si>
  <si>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</si>
  <si>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</si>
  <si>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</si>
  <si>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</si>
  <si>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</si>
  <si>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</si>
  <si>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</si>
  <si>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</si>
  <si>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</si>
  <si>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</si>
  <si>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</si>
  <si>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</si>
  <si>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</si>
  <si>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</si>
  <si>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</si>
  <si>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</si>
  <si>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</si>
  <si>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</si>
  <si>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</si>
  <si>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</si>
  <si>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</si>
  <si>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</si>
  <si>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</si>
  <si>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</si>
  <si>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</si>
  <si>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</si>
  <si>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</si>
  <si>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</si>
  <si>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</si>
  <si>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</si>
  <si>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</si>
  <si>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</si>
  <si>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</si>
  <si>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</si>
  <si>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</si>
  <si>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</si>
  <si>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</si>
  <si>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</si>
  <si>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</si>
  <si>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</si>
  <si>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</si>
  <si>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</si>
  <si>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</si>
  <si>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</si>
  <si>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</si>
  <si>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</si>
  <si>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</si>
  <si>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</si>
  <si>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</si>
  <si>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</si>
  <si>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</si>
  <si>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</si>
  <si>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</si>
  <si>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</si>
  <si>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</si>
  <si>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</si>
  <si>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</si>
  <si>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</si>
  <si>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</si>
  <si>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</si>
  <si>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</si>
  <si>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</si>
  <si>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</si>
  <si>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</si>
  <si>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</si>
  <si>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</si>
  <si>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</si>
  <si>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</si>
  <si>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</si>
  <si>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</si>
  <si>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</si>
  <si>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</si>
  <si>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</si>
  <si>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</si>
  <si>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</si>
  <si>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</si>
  <si>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</si>
  <si>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</si>
  <si>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</si>
  <si>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</si>
  <si>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</si>
  <si>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</si>
  <si>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</si>
  <si>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</si>
  <si>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</si>
  <si>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</si>
  <si>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</si>
  <si>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</si>
  <si>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</si>
  <si>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</si>
  <si>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</si>
  <si>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</si>
  <si>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</si>
  <si>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</si>
  <si>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</si>
  <si>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</si>
  <si>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</si>
  <si>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</si>
  <si>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</si>
  <si>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</si>
  <si>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</si>
  <si>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</si>
  <si>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</si>
  <si>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</si>
  <si>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</si>
  <si>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</si>
  <si>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</si>
  <si>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</si>
  <si>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</si>
  <si>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</si>
  <si>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</si>
  <si>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</si>
  <si>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</si>
  <si>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</si>
  <si>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</si>
  <si>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</si>
  <si>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</si>
  <si>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</si>
  <si>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</si>
  <si>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</si>
  <si>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</si>
  <si>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</si>
  <si>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</si>
  <si>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</si>
  <si>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</si>
  <si>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</si>
  <si>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</si>
  <si>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</si>
  <si>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</si>
  <si>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</si>
  <si>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</si>
  <si>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</si>
  <si>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</si>
  <si>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</si>
  <si>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</si>
  <si>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</si>
  <si>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</si>
  <si>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</si>
  <si>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</si>
  <si>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</si>
  <si>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</si>
  <si>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</si>
  <si>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</si>
  <si>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</si>
  <si>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</si>
  <si>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</si>
  <si>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</si>
  <si>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</si>
  <si>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</si>
  <si>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</si>
  <si>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</si>
  <si>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</si>
  <si>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</si>
  <si>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</si>
  <si>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</si>
  <si>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</si>
  <si>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</si>
  <si>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</si>
  <si>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</si>
  <si>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</si>
  <si>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</si>
  <si>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</si>
  <si>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</si>
  <si>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</si>
  <si>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</si>
  <si>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</si>
  <si>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</si>
  <si>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</si>
  <si>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</si>
  <si>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</si>
  <si>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</si>
  <si>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</si>
  <si>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</si>
  <si>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</si>
  <si>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</si>
  <si>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</si>
  <si>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</si>
  <si>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</si>
  <si>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</si>
  <si>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</si>
  <si>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</si>
  <si>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</si>
  <si>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</si>
  <si>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</si>
  <si>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</si>
  <si>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</si>
  <si>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</si>
  <si>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</si>
  <si>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</si>
  <si>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</si>
  <si>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</si>
  <si>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</si>
  <si>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</si>
  <si>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</si>
  <si>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</si>
  <si>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</si>
  <si>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</si>
  <si>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</si>
  <si>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</si>
  <si>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</si>
  <si>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</si>
  <si>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</si>
  <si>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</si>
  <si>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</si>
  <si>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</si>
  <si>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</si>
  <si>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</si>
  <si>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</si>
  <si>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</si>
  <si>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</si>
  <si>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</si>
  <si>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</si>
  <si>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</si>
  <si>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</si>
  <si>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</si>
  <si>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</si>
  <si>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</si>
  <si>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</si>
  <si>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</si>
  <si>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</si>
  <si>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</si>
  <si>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</si>
  <si>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</si>
  <si>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</si>
  <si>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</si>
  <si>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</si>
  <si>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</si>
  <si>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</si>
  <si>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</si>
  <si>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</si>
  <si>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</si>
  <si>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</si>
  <si>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</si>
  <si>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</si>
  <si>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</si>
  <si>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</si>
  <si>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</si>
  <si>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</si>
  <si>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</si>
  <si>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</si>
  <si>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</si>
  <si>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</si>
  <si>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</si>
  <si>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</si>
  <si>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</si>
  <si>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</si>
  <si>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</si>
  <si>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</si>
  <si>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</si>
  <si>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</si>
  <si>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</si>
  <si>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</si>
  <si>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</si>
  <si>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</si>
  <si>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</si>
  <si>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</si>
  <si>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</si>
  <si>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</si>
  <si>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</si>
  <si>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</si>
  <si>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</si>
  <si>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</si>
  <si>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</si>
  <si>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</si>
  <si>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</si>
  <si>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</si>
  <si>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</si>
  <si>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</si>
  <si>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</si>
  <si>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</si>
  <si>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</si>
  <si>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</si>
  <si>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</si>
  <si>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</si>
  <si>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</si>
  <si>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</si>
  <si>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</si>
  <si>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</si>
  <si>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</si>
  <si>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</si>
  <si>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</si>
  <si>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</si>
  <si>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</si>
  <si>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</si>
  <si>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</si>
  <si>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</si>
  <si>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</si>
  <si>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</si>
  <si>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</si>
  <si>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</si>
  <si>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</si>
  <si>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</si>
  <si>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</si>
  <si>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</si>
  <si>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</si>
  <si>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</si>
  <si>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</si>
  <si>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</si>
  <si>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</si>
  <si>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</si>
  <si>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</si>
  <si>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</si>
  <si>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</si>
  <si>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</si>
  <si>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</si>
  <si>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</si>
  <si>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</si>
  <si>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</si>
  <si>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</si>
  <si>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</si>
  <si>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</si>
  <si>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</si>
  <si>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</si>
  <si>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</si>
  <si>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</si>
  <si>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</si>
  <si>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</si>
  <si>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</si>
  <si>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</si>
  <si>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</si>
  <si>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</si>
  <si>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</si>
  <si>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</si>
  <si>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</si>
  <si>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</si>
  <si>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</si>
  <si>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</si>
  <si>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</si>
  <si>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</si>
  <si>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</si>
  <si>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</si>
  <si>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</si>
  <si>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</si>
  <si>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</si>
  <si>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</si>
  <si>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</si>
  <si>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</si>
  <si>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</si>
  <si>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</si>
  <si>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</si>
  <si>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</si>
  <si>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</si>
  <si>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</si>
  <si>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</si>
  <si>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</si>
  <si>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</si>
  <si>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</si>
  <si>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</si>
  <si>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</si>
  <si>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</si>
  <si>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</si>
  <si>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</si>
  <si>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</si>
  <si>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</si>
  <si>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</si>
  <si>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</si>
  <si>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</si>
  <si>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</si>
  <si>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</si>
  <si>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</si>
  <si>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</si>
  <si>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</si>
  <si>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</si>
  <si>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</si>
  <si>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</si>
  <si>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</si>
  <si>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</si>
  <si>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</si>
  <si>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</si>
  <si>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</si>
  <si>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</si>
  <si>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</si>
  <si>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</si>
  <si>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</si>
  <si>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</si>
  <si>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</si>
  <si>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</si>
  <si>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</si>
  <si>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</si>
  <si>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</si>
  <si>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</si>
  <si>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</si>
  <si>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</si>
  <si>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</si>
  <si>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</si>
  <si>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</si>
  <si>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</si>
  <si>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</si>
  <si>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</si>
  <si>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</si>
  <si>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</si>
  <si>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</si>
  <si>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</si>
  <si>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</si>
  <si>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</si>
  <si>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</si>
  <si>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</si>
  <si>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</si>
  <si>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</si>
  <si>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</si>
  <si>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</si>
  <si>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</si>
  <si>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</si>
  <si>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</si>
  <si>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</si>
  <si>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</si>
  <si>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</si>
  <si>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</si>
  <si>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</si>
  <si>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</si>
  <si>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</si>
  <si>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</si>
  <si>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</si>
  <si>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</si>
  <si>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</si>
  <si>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</si>
  <si>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</si>
  <si>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</si>
  <si>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</si>
  <si>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</si>
  <si>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</si>
  <si>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</si>
  <si>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</si>
  <si>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</si>
  <si>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</si>
  <si>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</si>
  <si>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</si>
  <si>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</si>
  <si>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</si>
  <si>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</si>
  <si>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</si>
  <si>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</si>
  <si>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</si>
  <si>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</si>
  <si>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</si>
  <si>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</si>
  <si>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</si>
  <si>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</si>
  <si>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</si>
  <si>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</si>
  <si>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</si>
  <si>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</si>
  <si>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</si>
  <si>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</si>
  <si>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</si>
  <si>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</si>
  <si>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</si>
  <si>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</si>
  <si>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</si>
  <si>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</si>
  <si>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</si>
  <si>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</si>
  <si>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</si>
  <si>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</si>
  <si>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</si>
  <si>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</si>
  <si>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</si>
  <si>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</si>
  <si>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</si>
  <si>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</si>
  <si>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</si>
  <si>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</si>
  <si>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</si>
  <si>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</si>
  <si>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</si>
  <si>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</si>
  <si>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</si>
  <si>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</si>
  <si>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</si>
  <si>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</si>
  <si>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</si>
  <si>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</si>
  <si>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</si>
  <si>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</si>
  <si>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</si>
  <si>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</si>
  <si>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</si>
  <si>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</si>
  <si>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</si>
  <si>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</si>
  <si>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</si>
  <si>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</si>
  <si>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</si>
  <si>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</si>
  <si>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</si>
  <si>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</si>
  <si>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</si>
  <si>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</si>
  <si>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</si>
  <si>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</si>
  <si>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</si>
  <si>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</si>
  <si>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</si>
  <si>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</si>
  <si>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</si>
  <si>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</si>
  <si>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</si>
  <si>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</si>
  <si>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</si>
  <si>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</si>
  <si>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</si>
  <si>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</si>
  <si>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</si>
  <si>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</si>
  <si>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</si>
  <si>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</si>
  <si>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</si>
  <si>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</si>
  <si>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</si>
  <si>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</si>
  <si>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</si>
  <si>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</si>
  <si>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</si>
  <si>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</si>
  <si>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</si>
  <si>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</si>
  <si>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</si>
  <si>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</si>
  <si>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</si>
  <si>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</si>
  <si>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</si>
  <si>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</si>
  <si>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</si>
  <si>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</si>
  <si>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</si>
  <si>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</si>
  <si>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</si>
  <si>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</si>
  <si>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</si>
  <si>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</si>
  <si>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</si>
  <si>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</si>
  <si>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</si>
  <si>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</si>
  <si>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</si>
  <si>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</si>
  <si>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</si>
  <si>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</si>
  <si>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</si>
  <si>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</si>
  <si>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</si>
  <si>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</si>
  <si>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</si>
  <si>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</si>
  <si>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</si>
  <si>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</si>
  <si>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</si>
  <si>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</si>
  <si>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</si>
  <si>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</si>
  <si>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</si>
  <si>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</si>
  <si>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</si>
  <si>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</si>
  <si>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</si>
  <si>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</si>
  <si>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</si>
  <si>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</si>
  <si>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</si>
  <si>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</si>
  <si>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</si>
  <si>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</si>
  <si>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</si>
  <si>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</si>
  <si>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</si>
  <si>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</si>
  <si>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</si>
  <si>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</si>
  <si>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</si>
  <si>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</si>
  <si>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</si>
  <si>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</si>
  <si>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</si>
  <si>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</si>
  <si>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</si>
  <si>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</si>
  <si>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</si>
  <si>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</si>
  <si>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</si>
  <si>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</si>
  <si>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</si>
  <si>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</si>
  <si>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</si>
  <si>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</si>
  <si>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</si>
  <si>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</si>
  <si>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</si>
  <si>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</si>
  <si>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</si>
  <si>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</si>
  <si>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</si>
  <si>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</si>
  <si>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</si>
  <si>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</si>
  <si>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</si>
  <si>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</si>
  <si>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</si>
  <si>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</si>
  <si>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</si>
  <si>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</si>
  <si>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</si>
  <si>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</si>
  <si>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</si>
  <si>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</si>
  <si>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</si>
  <si>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</si>
  <si>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</si>
  <si>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</si>
  <si>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</si>
  <si>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</si>
  <si>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</si>
  <si>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</si>
  <si>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</si>
  <si>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</si>
  <si>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</si>
  <si>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</si>
  <si>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</si>
  <si>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</si>
  <si>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</si>
  <si>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</si>
  <si>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</si>
  <si>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</si>
  <si>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</si>
  <si>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</si>
  <si>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</si>
  <si>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</si>
  <si>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</si>
  <si>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</si>
  <si>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</si>
  <si>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</si>
  <si>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</si>
  <si>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</si>
  <si>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</si>
  <si>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</si>
  <si>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</si>
  <si>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</si>
  <si>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</si>
  <si>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</si>
  <si>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</si>
  <si>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</si>
  <si>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</si>
  <si>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</si>
  <si>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</si>
  <si>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</si>
  <si>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</si>
  <si>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</si>
  <si>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</si>
  <si>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</si>
  <si>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</si>
  <si>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</si>
  <si>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</si>
  <si>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</si>
  <si>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</si>
  <si>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</si>
  <si>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</si>
  <si>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</si>
  <si>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</si>
  <si>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</si>
  <si>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</si>
  <si>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</si>
  <si>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</si>
  <si>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</si>
  <si>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</si>
  <si>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</si>
  <si>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</si>
  <si>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</si>
  <si>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</si>
  <si>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</si>
  <si>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</si>
  <si>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</si>
  <si>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</si>
  <si>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</si>
  <si>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</si>
  <si>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</si>
  <si>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</si>
  <si>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</si>
  <si>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</si>
  <si>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</si>
  <si>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</si>
  <si>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</si>
  <si>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</si>
  <si>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</si>
  <si>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</si>
  <si>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</si>
  <si>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</si>
  <si>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</si>
  <si>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</si>
  <si>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</si>
  <si>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</si>
  <si>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</si>
  <si>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</si>
  <si>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</si>
  <si>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</si>
  <si>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</si>
  <si>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</si>
  <si>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</si>
  <si>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</si>
  <si>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</si>
  <si>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</si>
  <si>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</si>
  <si>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</si>
  <si>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</si>
  <si>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</si>
  <si>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</si>
  <si>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</si>
  <si>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</si>
  <si>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</si>
  <si>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</si>
  <si>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</si>
  <si>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</si>
  <si>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</si>
  <si>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</si>
  <si>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</si>
  <si>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</si>
  <si>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</si>
  <si>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</si>
  <si>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</si>
  <si>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</si>
  <si>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</si>
  <si>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</si>
  <si>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</si>
  <si>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</si>
  <si>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</si>
  <si>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</si>
  <si>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</si>
  <si>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</si>
  <si>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</si>
  <si>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</si>
  <si>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</si>
  <si>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</si>
  <si>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</si>
  <si>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</si>
  <si>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</si>
  <si>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</si>
  <si>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</si>
  <si>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</si>
  <si>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</si>
  <si>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</si>
  <si>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</si>
  <si>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</si>
  <si>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</si>
  <si>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</si>
  <si>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</si>
  <si>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</si>
  <si>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</si>
  <si>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</si>
  <si>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</si>
  <si>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</si>
  <si>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</si>
  <si>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</si>
  <si>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</si>
  <si>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</si>
  <si>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</si>
  <si>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</si>
  <si>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</si>
  <si>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</si>
  <si>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</si>
  <si>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</si>
  <si>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</si>
  <si>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</si>
  <si>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</si>
  <si>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</si>
  <si>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</si>
  <si>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</si>
  <si>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</si>
  <si>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Version: 3.4</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</si>
  <si>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</si>
  <si>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</si>
  <si>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</si>
  <si>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</si>
  <si>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</si>
  <si>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</si>
  <si>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</si>
  <si>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</si>
  <si>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</si>
  <si>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</si>
  <si>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</si>
  <si>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</si>
  <si>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</si>
  <si>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</si>
  <si>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</si>
  <si>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</si>
  <si>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</si>
  <si>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</si>
  <si>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</si>
  <si>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</si>
  <si>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</si>
  <si>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</si>
  <si>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</si>
  <si>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</si>
  <si>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</si>
  <si>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</si>
  <si>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</si>
  <si>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</si>
  <si>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</si>
  <si>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</si>
  <si>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</si>
  <si>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</si>
  <si>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</si>
  <si>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</si>
  <si>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</si>
  <si>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</si>
  <si>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</si>
  <si>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</si>
  <si>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</si>
  <si>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</si>
  <si>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</si>
  <si>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</si>
  <si>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</si>
  <si>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</si>
  <si>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</si>
  <si>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</si>
  <si>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</si>
  <si>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</si>
  <si>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</si>
  <si>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</si>
  <si>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</si>
  <si>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</si>
  <si>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</si>
  <si>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</si>
  <si>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</si>
  <si>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</si>
  <si>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</si>
  <si>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</si>
  <si>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</si>
  <si>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</si>
  <si>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</si>
  <si>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</si>
  <si>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</si>
  <si>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</si>
  <si>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</si>
  <si>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</si>
  <si>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</si>
  <si>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</si>
  <si>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new</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</si>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</sst>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9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14" fontId="61" fillId="0" borderId="15" xfId="0" applyNumberFormat="1" applyFont="1" applyBorder="1" applyProtection="1">
      <protection hidden="1"/>
    </xf>
    <xf numFmtId="14" fontId="61" fillId="0" borderId="16" xfId="0" applyNumberFormat="1" applyFont="1" applyBorder="1" applyProtection="1">
      <protection hidden="1"/>
    </xf>
    <xf numFmtId="14" fontId="61" fillId="0" borderId="17" xfId="0" applyNumberFormat="1" applyFont="1" applyBorder="1" applyProtection="1">
      <protection hidden="1"/>
    </xf>
    <xf numFmtId="14" fontId="61" fillId="9" borderId="0" xfId="0" applyNumberFormat="1" applyFont="1" applyFill="1" applyProtection="1">
      <protection hidden="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0" fillId="0" borderId="0" xfId="0" applyAlignment="1">
      <alignment horizontal="left"/>
    </xf>
    <xf numFmtId="0" fontId="0" fillId="0" borderId="51" xfId="0" applyBorder="1" applyAlignment="1">
      <alignment horizontal="left"/>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9" fillId="7" borderId="0" xfId="0" applyFont="1" applyFill="1" applyAlignment="1">
      <alignment horizontal="left"/>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3" fontId="0" fillId="9" borderId="70" xfId="0" applyNumberFormat="1" applyFill="1" applyBorder="1" applyAlignment="1" applyProtection="1">
      <alignment horizontal="center"/>
      <protection hidden="1"/>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1164</c:v>
                </c:pt>
                <c:pt idx="28">
                  <c:v>1164</c:v>
                </c:pt>
                <c:pt idx="29">
                  <c:v>1164</c:v>
                </c:pt>
                <c:pt idx="30">
                  <c:v>1164</c:v>
                </c:pt>
                <c:pt idx="31">
                  <c:v>1164</c:v>
                </c:pt>
                <c:pt idx="32">
                  <c:v>1164</c:v>
                </c:pt>
                <c:pt idx="33">
                  <c:v>1164</c:v>
                </c:pt>
                <c:pt idx="34">
                  <c:v>1164</c:v>
                </c:pt>
                <c:pt idx="35">
                  <c:v>1164</c:v>
                </c:pt>
                <c:pt idx="36">
                  <c:v>1164</c:v>
                </c:pt>
                <c:pt idx="37">
                  <c:v>664</c:v>
                </c:pt>
                <c:pt idx="38">
                  <c:v>664</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151"/>
                <c:lvl>
                  <c:pt idx="0">
                    <c:v>Mar</c:v>
                  </c:pt>
                  <c:pt idx="1">
                    <c:v>Apr</c:v>
                  </c:pt>
                  <c:pt idx="5">
                    <c:v>May</c:v>
                  </c:pt>
                  <c:pt idx="10">
                    <c:v>Jun</c:v>
                  </c:pt>
                  <c:pt idx="14">
                    <c:v>Jul</c:v>
                  </c:pt>
                  <c:pt idx="18">
                    <c:v>Aug</c:v>
                  </c:pt>
                  <c:pt idx="23">
                    <c:v>Sep</c:v>
                  </c:pt>
                  <c:pt idx="27">
                    <c:v>Oct</c:v>
                  </c:pt>
                  <c:pt idx="32">
                    <c:v>Nov</c:v>
                  </c:pt>
                  <c:pt idx="36">
                    <c:v>Dec</c:v>
                  </c:pt>
                  <c:pt idx="40">
                    <c:v>Jan</c:v>
                  </c:pt>
                  <c:pt idx="45">
                    <c:v>Feb</c:v>
                  </c:pt>
                  <c:pt idx="49">
                    <c:v>Mar</c:v>
                  </c:pt>
                  <c:pt idx="53">
                    <c:v>Apr</c:v>
                  </c:pt>
                  <c:pt idx="57">
                    <c:v>May</c:v>
                  </c:pt>
                  <c:pt idx="62">
                    <c:v>Jun</c:v>
                  </c:pt>
                  <c:pt idx="66">
                    <c:v>Jul</c:v>
                  </c:pt>
                  <c:pt idx="71">
                    <c:v>Aug</c:v>
                  </c:pt>
                  <c:pt idx="75">
                    <c:v>Sep</c:v>
                  </c:pt>
                  <c:pt idx="79">
                    <c:v>Oct</c:v>
                  </c:pt>
                  <c:pt idx="84">
                    <c:v>Nov</c:v>
                  </c:pt>
                  <c:pt idx="88">
                    <c:v>Dec</c:v>
                  </c:pt>
                  <c:pt idx="92">
                    <c:v>Jan</c:v>
                  </c:pt>
                  <c:pt idx="97">
                    <c:v>Feb</c:v>
                  </c:pt>
                  <c:pt idx="101">
                    <c:v>Mar</c:v>
                  </c:pt>
                  <c:pt idx="105">
                    <c:v>Apr</c:v>
                  </c:pt>
                  <c:pt idx="110">
                    <c:v>May</c:v>
                  </c:pt>
                  <c:pt idx="114">
                    <c:v>Jun</c:v>
                  </c:pt>
                  <c:pt idx="118">
                    <c:v>Jul</c:v>
                  </c:pt>
                  <c:pt idx="123">
                    <c:v>Aug</c:v>
                  </c:pt>
                  <c:pt idx="127">
                    <c:v>Sep</c:v>
                  </c:pt>
                  <c:pt idx="131">
                    <c:v>Oct</c:v>
                  </c:pt>
                  <c:pt idx="136">
                    <c:v>Nov</c:v>
                  </c:pt>
                  <c:pt idx="140">
                    <c:v>Dec</c:v>
                  </c:pt>
                  <c:pt idx="145">
                    <c:v>Jan</c:v>
                  </c:pt>
                  <c:pt idx="149">
                    <c:v>Feb</c:v>
                  </c:pt>
                </c:lvl>
                <c:lvl>
                  <c:pt idx="0">
                    <c:v>2016</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2017</c:v>
                  </c:pt>
                  <c:pt idx="41">
                    <c:v> </c:v>
                  </c:pt>
                  <c:pt idx="42">
                    <c:v> </c:v>
                  </c:pt>
                  <c:pt idx="43">
                    <c:v> </c:v>
                  </c:pt>
                  <c:pt idx="44">
                    <c:v> </c:v>
                  </c:pt>
                  <c:pt idx="45">
                    <c:v> </c:v>
                  </c:pt>
                  <c:pt idx="46">
                    <c:v> </c:v>
                  </c:pt>
                  <c:pt idx="47">
                    <c:v> </c:v>
                  </c:pt>
                  <c:pt idx="48">
                    <c:v> </c:v>
                  </c:pt>
                  <c:pt idx="49">
                    <c:v> </c:v>
                  </c:pt>
                  <c:pt idx="50">
                    <c:v> </c:v>
                  </c:pt>
                  <c:pt idx="51">
                    <c:v> </c:v>
                  </c:pt>
                  <c:pt idx="52">
                    <c:v> </c:v>
                  </c:pt>
                  <c:pt idx="53">
                    <c:v> </c:v>
                  </c:pt>
                  <c:pt idx="54">
                    <c:v> </c:v>
                  </c:pt>
                  <c:pt idx="55">
                    <c:v> </c:v>
                  </c:pt>
                  <c:pt idx="56">
                    <c:v> </c:v>
                  </c:pt>
                  <c:pt idx="57">
                    <c:v> </c:v>
                  </c:pt>
                  <c:pt idx="58">
                    <c:v> </c:v>
                  </c:pt>
                  <c:pt idx="59">
                    <c:v> </c:v>
                  </c:pt>
                  <c:pt idx="60">
                    <c:v> </c:v>
                  </c:pt>
                  <c:pt idx="61">
                    <c:v> </c:v>
                  </c:pt>
                  <c:pt idx="62">
                    <c:v> </c:v>
                  </c:pt>
                  <c:pt idx="63">
                    <c:v> </c:v>
                  </c:pt>
                  <c:pt idx="64">
                    <c:v> </c:v>
                  </c:pt>
                  <c:pt idx="65">
                    <c:v> </c:v>
                  </c:pt>
                  <c:pt idx="66">
                    <c:v> </c:v>
                  </c:pt>
                  <c:pt idx="67">
                    <c:v> </c:v>
                  </c:pt>
                  <c:pt idx="68">
                    <c:v> </c:v>
                  </c:pt>
                  <c:pt idx="69">
                    <c:v> </c:v>
                  </c:pt>
                  <c:pt idx="70">
                    <c:v> </c:v>
                  </c:pt>
                  <c:pt idx="71">
                    <c:v> </c:v>
                  </c:pt>
                  <c:pt idx="72">
                    <c:v> </c:v>
                  </c:pt>
                  <c:pt idx="73">
                    <c:v> </c:v>
                  </c:pt>
                  <c:pt idx="74">
                    <c:v> </c:v>
                  </c:pt>
                  <c:pt idx="75">
                    <c:v> </c:v>
                  </c:pt>
                  <c:pt idx="76">
                    <c:v> </c:v>
                  </c:pt>
                  <c:pt idx="77">
                    <c:v> </c:v>
                  </c:pt>
                  <c:pt idx="78">
                    <c:v> </c:v>
                  </c:pt>
                  <c:pt idx="79">
                    <c:v> </c:v>
                  </c:pt>
                  <c:pt idx="80">
                    <c:v> </c:v>
                  </c:pt>
                  <c:pt idx="81">
                    <c:v> </c:v>
                  </c:pt>
                  <c:pt idx="82">
                    <c:v> </c:v>
                  </c:pt>
                  <c:pt idx="83">
                    <c:v> </c:v>
                  </c:pt>
                  <c:pt idx="84">
                    <c:v> </c:v>
                  </c:pt>
                  <c:pt idx="85">
                    <c:v> </c:v>
                  </c:pt>
                  <c:pt idx="86">
                    <c:v> </c:v>
                  </c:pt>
                  <c:pt idx="87">
                    <c:v> </c:v>
                  </c:pt>
                  <c:pt idx="88">
                    <c:v> </c:v>
                  </c:pt>
                  <c:pt idx="89">
                    <c:v> </c:v>
                  </c:pt>
                  <c:pt idx="90">
                    <c:v> </c:v>
                  </c:pt>
                  <c:pt idx="91">
                    <c:v> </c:v>
                  </c:pt>
                  <c:pt idx="92">
                    <c:v>2018</c:v>
                  </c:pt>
                  <c:pt idx="93">
                    <c:v> </c:v>
                  </c:pt>
                  <c:pt idx="94">
                    <c:v> </c:v>
                  </c:pt>
                  <c:pt idx="95">
                    <c:v> </c:v>
                  </c:pt>
                  <c:pt idx="96">
                    <c:v> </c:v>
                  </c:pt>
                  <c:pt idx="97">
                    <c:v> </c:v>
                  </c:pt>
                  <c:pt idx="98">
                    <c:v> </c:v>
                  </c:pt>
                  <c:pt idx="99">
                    <c:v> </c:v>
                  </c:pt>
                  <c:pt idx="100">
                    <c:v> </c:v>
                  </c:pt>
                  <c:pt idx="101">
                    <c:v> </c:v>
                  </c:pt>
                  <c:pt idx="102">
                    <c:v> </c:v>
                  </c:pt>
                  <c:pt idx="103">
                    <c:v> </c:v>
                  </c:pt>
                  <c:pt idx="104">
                    <c:v> </c:v>
                  </c:pt>
                  <c:pt idx="105">
                    <c:v> </c:v>
                  </c:pt>
                  <c:pt idx="106">
                    <c:v> </c:v>
                  </c:pt>
                  <c:pt idx="107">
                    <c:v> </c:v>
                  </c:pt>
                  <c:pt idx="108">
                    <c:v> </c:v>
                  </c:pt>
                  <c:pt idx="109">
                    <c:v> </c:v>
                  </c:pt>
                  <c:pt idx="110">
                    <c:v> </c:v>
                  </c:pt>
                  <c:pt idx="111">
                    <c:v> </c:v>
                  </c:pt>
                  <c:pt idx="112">
                    <c:v> </c:v>
                  </c:pt>
                  <c:pt idx="113">
                    <c:v> </c:v>
                  </c:pt>
                  <c:pt idx="114">
                    <c:v> </c:v>
                  </c:pt>
                  <c:pt idx="115">
                    <c:v> </c:v>
                  </c:pt>
                  <c:pt idx="116">
                    <c:v> </c:v>
                  </c:pt>
                  <c:pt idx="117">
                    <c:v> </c:v>
                  </c:pt>
                  <c:pt idx="118">
                    <c:v> </c:v>
                  </c:pt>
                  <c:pt idx="119">
                    <c:v> </c:v>
                  </c:pt>
                  <c:pt idx="120">
                    <c:v> </c:v>
                  </c:pt>
                  <c:pt idx="121">
                    <c:v> </c:v>
                  </c:pt>
                  <c:pt idx="122">
                    <c:v> </c:v>
                  </c:pt>
                  <c:pt idx="123">
                    <c:v> </c:v>
                  </c:pt>
                  <c:pt idx="124">
                    <c:v> </c:v>
                  </c:pt>
                  <c:pt idx="125">
                    <c:v> </c:v>
                  </c:pt>
                  <c:pt idx="126">
                    <c:v> </c:v>
                  </c:pt>
                  <c:pt idx="127">
                    <c:v> </c:v>
                  </c:pt>
                  <c:pt idx="128">
                    <c:v> </c:v>
                  </c:pt>
                  <c:pt idx="129">
                    <c:v> </c:v>
                  </c:pt>
                  <c:pt idx="130">
                    <c:v> </c:v>
                  </c:pt>
                  <c:pt idx="131">
                    <c:v> </c:v>
                  </c:pt>
                  <c:pt idx="132">
                    <c:v> </c:v>
                  </c:pt>
                  <c:pt idx="133">
                    <c:v> </c:v>
                  </c:pt>
                  <c:pt idx="134">
                    <c:v> </c:v>
                  </c:pt>
                  <c:pt idx="135">
                    <c:v> </c:v>
                  </c:pt>
                  <c:pt idx="136">
                    <c:v> </c:v>
                  </c:pt>
                  <c:pt idx="137">
                    <c:v> </c:v>
                  </c:pt>
                  <c:pt idx="138">
                    <c:v> </c:v>
                  </c:pt>
                  <c:pt idx="139">
                    <c:v> </c:v>
                  </c:pt>
                  <c:pt idx="140">
                    <c:v> </c:v>
                  </c:pt>
                  <c:pt idx="141">
                    <c:v> </c:v>
                  </c:pt>
                  <c:pt idx="142">
                    <c:v> </c:v>
                  </c:pt>
                  <c:pt idx="143">
                    <c:v> </c:v>
                  </c:pt>
                  <c:pt idx="144">
                    <c:v> </c:v>
                  </c:pt>
                  <c:pt idx="145">
                    <c:v>2019</c:v>
                  </c:pt>
                  <c:pt idx="146">
                    <c:v> </c:v>
                  </c:pt>
                  <c:pt idx="147">
                    <c:v> </c:v>
                  </c:pt>
                  <c:pt idx="148">
                    <c:v> </c:v>
                  </c:pt>
                  <c:pt idx="149">
                    <c:v> </c:v>
                  </c:pt>
                  <c:pt idx="150">
                    <c:v> </c:v>
                  </c:pt>
                </c:lvl>
              </c:multiLvlStrCache>
            </c:multiLvlStrRef>
          </c:cat>
          <c:val>
            <c:numRef>
              <c:f>[0]!ChartRange_Data</c:f>
              <c:numCache>
                <c:formatCode>#,##0</c:formatCode>
                <c:ptCount val="151"/>
                <c:pt idx="0">
                  <c:v>390</c:v>
                </c:pt>
                <c:pt idx="1">
                  <c:v>610</c:v>
                </c:pt>
                <c:pt idx="2">
                  <c:v>380</c:v>
                </c:pt>
                <c:pt idx="3">
                  <c:v>750</c:v>
                </c:pt>
                <c:pt idx="4">
                  <c:v>490</c:v>
                </c:pt>
                <c:pt idx="5">
                  <c:v>400</c:v>
                </c:pt>
                <c:pt idx="6">
                  <c:v>590</c:v>
                </c:pt>
                <c:pt idx="7">
                  <c:v>450</c:v>
                </c:pt>
                <c:pt idx="8">
                  <c:v>260</c:v>
                </c:pt>
                <c:pt idx="9">
                  <c:v>600</c:v>
                </c:pt>
                <c:pt idx="10">
                  <c:v>680</c:v>
                </c:pt>
                <c:pt idx="11">
                  <c:v>350</c:v>
                </c:pt>
                <c:pt idx="12">
                  <c:v>400</c:v>
                </c:pt>
                <c:pt idx="13">
                  <c:v>670</c:v>
                </c:pt>
                <c:pt idx="14">
                  <c:v>530</c:v>
                </c:pt>
                <c:pt idx="15">
                  <c:v>510</c:v>
                </c:pt>
                <c:pt idx="16">
                  <c:v>600</c:v>
                </c:pt>
                <c:pt idx="17">
                  <c:v>520</c:v>
                </c:pt>
                <c:pt idx="18">
                  <c:v>600</c:v>
                </c:pt>
                <c:pt idx="19">
                  <c:v>710</c:v>
                </c:pt>
                <c:pt idx="20">
                  <c:v>670</c:v>
                </c:pt>
                <c:pt idx="21">
                  <c:v>600</c:v>
                </c:pt>
                <c:pt idx="22">
                  <c:v>660</c:v>
                </c:pt>
                <c:pt idx="23">
                  <c:v>420</c:v>
                </c:pt>
                <c:pt idx="24">
                  <c:v>730</c:v>
                </c:pt>
                <c:pt idx="25">
                  <c:v>670</c:v>
                </c:pt>
                <c:pt idx="26">
                  <c:v>580</c:v>
                </c:pt>
                <c:pt idx="27">
                  <c:v>290</c:v>
                </c:pt>
                <c:pt idx="28">
                  <c:v>530</c:v>
                </c:pt>
                <c:pt idx="29">
                  <c:v>320</c:v>
                </c:pt>
                <c:pt idx="30">
                  <c:v>730</c:v>
                </c:pt>
                <c:pt idx="31">
                  <c:v>580</c:v>
                </c:pt>
                <c:pt idx="32">
                  <c:v>450</c:v>
                </c:pt>
                <c:pt idx="33">
                  <c:v>460</c:v>
                </c:pt>
                <c:pt idx="34">
                  <c:v>700</c:v>
                </c:pt>
                <c:pt idx="35">
                  <c:v>570</c:v>
                </c:pt>
                <c:pt idx="36">
                  <c:v>600</c:v>
                </c:pt>
                <c:pt idx="37">
                  <c:v>510</c:v>
                </c:pt>
                <c:pt idx="38">
                  <c:v>300</c:v>
                </c:pt>
                <c:pt idx="39">
                  <c:v>770</c:v>
                </c:pt>
                <c:pt idx="40">
                  <c:v>510</c:v>
                </c:pt>
                <c:pt idx="41">
                  <c:v>440</c:v>
                </c:pt>
                <c:pt idx="42">
                  <c:v>650</c:v>
                </c:pt>
                <c:pt idx="43">
                  <c:v>620</c:v>
                </c:pt>
                <c:pt idx="44">
                  <c:v>320</c:v>
                </c:pt>
                <c:pt idx="45">
                  <c:v>450</c:v>
                </c:pt>
                <c:pt idx="46">
                  <c:v>480</c:v>
                </c:pt>
                <c:pt idx="47">
                  <c:v>790</c:v>
                </c:pt>
                <c:pt idx="48">
                  <c:v>330</c:v>
                </c:pt>
                <c:pt idx="49">
                  <c:v>590</c:v>
                </c:pt>
                <c:pt idx="50">
                  <c:v>420</c:v>
                </c:pt>
                <c:pt idx="51">
                  <c:v>780</c:v>
                </c:pt>
                <c:pt idx="52">
                  <c:v>370</c:v>
                </c:pt>
                <c:pt idx="53">
                  <c:v>450</c:v>
                </c:pt>
                <c:pt idx="54">
                  <c:v>430</c:v>
                </c:pt>
                <c:pt idx="55">
                  <c:v>620</c:v>
                </c:pt>
                <c:pt idx="56">
                  <c:v>430</c:v>
                </c:pt>
                <c:pt idx="57">
                  <c:v>620</c:v>
                </c:pt>
                <c:pt idx="58">
                  <c:v>270</c:v>
                </c:pt>
                <c:pt idx="59">
                  <c:v>510</c:v>
                </c:pt>
                <c:pt idx="60">
                  <c:v>280</c:v>
                </c:pt>
                <c:pt idx="61">
                  <c:v>720</c:v>
                </c:pt>
                <c:pt idx="62">
                  <c:v>270</c:v>
                </c:pt>
                <c:pt idx="63">
                  <c:v>390</c:v>
                </c:pt>
                <c:pt idx="64">
                  <c:v>500</c:v>
                </c:pt>
                <c:pt idx="65">
                  <c:v>310</c:v>
                </c:pt>
                <c:pt idx="66">
                  <c:v>820</c:v>
                </c:pt>
                <c:pt idx="67">
                  <c:v>640</c:v>
                </c:pt>
                <c:pt idx="68">
                  <c:v>460</c:v>
                </c:pt>
                <c:pt idx="69">
                  <c:v>770</c:v>
                </c:pt>
                <c:pt idx="70">
                  <c:v>430</c:v>
                </c:pt>
                <c:pt idx="71">
                  <c:v>490</c:v>
                </c:pt>
                <c:pt idx="72">
                  <c:v>600</c:v>
                </c:pt>
                <c:pt idx="73">
                  <c:v>590</c:v>
                </c:pt>
                <c:pt idx="74">
                  <c:v>730</c:v>
                </c:pt>
                <c:pt idx="75">
                  <c:v>500</c:v>
                </c:pt>
                <c:pt idx="76">
                  <c:v>700</c:v>
                </c:pt>
                <c:pt idx="77">
                  <c:v>520</c:v>
                </c:pt>
                <c:pt idx="78">
                  <c:v>560</c:v>
                </c:pt>
                <c:pt idx="79">
                  <c:v>490</c:v>
                </c:pt>
                <c:pt idx="80">
                  <c:v>320</c:v>
                </c:pt>
                <c:pt idx="81">
                  <c:v>470</c:v>
                </c:pt>
                <c:pt idx="82">
                  <c:v>540</c:v>
                </c:pt>
                <c:pt idx="83">
                  <c:v>340</c:v>
                </c:pt>
                <c:pt idx="84">
                  <c:v>530</c:v>
                </c:pt>
                <c:pt idx="85">
                  <c:v>580</c:v>
                </c:pt>
                <c:pt idx="86">
                  <c:v>460</c:v>
                </c:pt>
                <c:pt idx="87">
                  <c:v>500</c:v>
                </c:pt>
                <c:pt idx="88">
                  <c:v>510</c:v>
                </c:pt>
                <c:pt idx="89">
                  <c:v>510</c:v>
                </c:pt>
                <c:pt idx="90">
                  <c:v>390</c:v>
                </c:pt>
                <c:pt idx="91">
                  <c:v>440</c:v>
                </c:pt>
                <c:pt idx="92">
                  <c:v>700</c:v>
                </c:pt>
                <c:pt idx="93">
                  <c:v>570</c:v>
                </c:pt>
                <c:pt idx="94">
                  <c:v>520</c:v>
                </c:pt>
                <c:pt idx="95">
                  <c:v>630</c:v>
                </c:pt>
                <c:pt idx="96">
                  <c:v>550</c:v>
                </c:pt>
                <c:pt idx="97">
                  <c:v>350</c:v>
                </c:pt>
                <c:pt idx="98">
                  <c:v>410</c:v>
                </c:pt>
                <c:pt idx="99">
                  <c:v>450</c:v>
                </c:pt>
                <c:pt idx="100">
                  <c:v>270</c:v>
                </c:pt>
                <c:pt idx="101">
                  <c:v>780</c:v>
                </c:pt>
                <c:pt idx="102">
                  <c:v>740</c:v>
                </c:pt>
                <c:pt idx="103">
                  <c:v>510</c:v>
                </c:pt>
                <c:pt idx="104">
                  <c:v>390</c:v>
                </c:pt>
                <c:pt idx="105">
                  <c:v>270</c:v>
                </c:pt>
                <c:pt idx="106">
                  <c:v>570</c:v>
                </c:pt>
                <c:pt idx="107">
                  <c:v>690</c:v>
                </c:pt>
                <c:pt idx="108">
                  <c:v>410</c:v>
                </c:pt>
                <c:pt idx="109">
                  <c:v>400</c:v>
                </c:pt>
                <c:pt idx="110">
                  <c:v>650</c:v>
                </c:pt>
                <c:pt idx="111">
                  <c:v>470</c:v>
                </c:pt>
                <c:pt idx="112">
                  <c:v>410</c:v>
                </c:pt>
                <c:pt idx="113">
                  <c:v>370</c:v>
                </c:pt>
                <c:pt idx="114">
                  <c:v>430</c:v>
                </c:pt>
                <c:pt idx="115">
                  <c:v>630</c:v>
                </c:pt>
                <c:pt idx="116">
                  <c:v>540</c:v>
                </c:pt>
                <c:pt idx="117">
                  <c:v>410</c:v>
                </c:pt>
                <c:pt idx="118">
                  <c:v>460</c:v>
                </c:pt>
                <c:pt idx="119">
                  <c:v>620</c:v>
                </c:pt>
                <c:pt idx="120">
                  <c:v>410</c:v>
                </c:pt>
                <c:pt idx="121">
                  <c:v>420</c:v>
                </c:pt>
                <c:pt idx="122">
                  <c:v>270</c:v>
                </c:pt>
                <c:pt idx="123">
                  <c:v>510</c:v>
                </c:pt>
                <c:pt idx="124">
                  <c:v>710</c:v>
                </c:pt>
                <c:pt idx="125">
                  <c:v>690</c:v>
                </c:pt>
                <c:pt idx="126">
                  <c:v>580</c:v>
                </c:pt>
                <c:pt idx="127">
                  <c:v>410</c:v>
                </c:pt>
                <c:pt idx="128">
                  <c:v>370</c:v>
                </c:pt>
                <c:pt idx="129">
                  <c:v>590</c:v>
                </c:pt>
                <c:pt idx="130">
                  <c:v>570</c:v>
                </c:pt>
                <c:pt idx="131">
                  <c:v>490</c:v>
                </c:pt>
                <c:pt idx="132">
                  <c:v>570</c:v>
                </c:pt>
                <c:pt idx="133">
                  <c:v>330</c:v>
                </c:pt>
                <c:pt idx="134">
                  <c:v>460</c:v>
                </c:pt>
                <c:pt idx="135">
                  <c:v>470</c:v>
                </c:pt>
                <c:pt idx="136">
                  <c:v>490</c:v>
                </c:pt>
                <c:pt idx="137">
                  <c:v>430</c:v>
                </c:pt>
                <c:pt idx="138">
                  <c:v>470</c:v>
                </c:pt>
                <c:pt idx="139">
                  <c:v>720</c:v>
                </c:pt>
                <c:pt idx="140">
                  <c:v>250</c:v>
                </c:pt>
                <c:pt idx="141">
                  <c:v>550</c:v>
                </c:pt>
                <c:pt idx="142">
                  <c:v>690</c:v>
                </c:pt>
                <c:pt idx="143">
                  <c:v>370</c:v>
                </c:pt>
                <c:pt idx="144">
                  <c:v>560</c:v>
                </c:pt>
                <c:pt idx="145">
                  <c:v>270</c:v>
                </c:pt>
                <c:pt idx="146">
                  <c:v>450</c:v>
                </c:pt>
                <c:pt idx="147">
                  <c:v>750</c:v>
                </c:pt>
                <c:pt idx="148">
                  <c:v>390</c:v>
                </c:pt>
                <c:pt idx="149">
                  <c:v>620</c:v>
                </c:pt>
                <c:pt idx="150">
                  <c:v>340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51"/>
                <c:pt idx="0">
                  <c:v>69.979541734860845</c:v>
                </c:pt>
                <c:pt idx="1">
                  <c:v>69.979541734860845</c:v>
                </c:pt>
                <c:pt idx="2">
                  <c:v>69.979541734860845</c:v>
                </c:pt>
                <c:pt idx="3">
                  <c:v>69.979541734860845</c:v>
                </c:pt>
                <c:pt idx="4">
                  <c:v>69.979541734860845</c:v>
                </c:pt>
                <c:pt idx="5">
                  <c:v>69.979541734860845</c:v>
                </c:pt>
                <c:pt idx="6">
                  <c:v>69.979541734860845</c:v>
                </c:pt>
                <c:pt idx="7">
                  <c:v>69.979541734860845</c:v>
                </c:pt>
                <c:pt idx="8">
                  <c:v>69.979541734860845</c:v>
                </c:pt>
                <c:pt idx="9">
                  <c:v>69.979541734860845</c:v>
                </c:pt>
                <c:pt idx="10">
                  <c:v>69.979541734860845</c:v>
                </c:pt>
                <c:pt idx="11">
                  <c:v>69.979541734860845</c:v>
                </c:pt>
                <c:pt idx="12">
                  <c:v>69.979541734860845</c:v>
                </c:pt>
                <c:pt idx="13">
                  <c:v>69.979541734860845</c:v>
                </c:pt>
                <c:pt idx="14">
                  <c:v>69.979541734860845</c:v>
                </c:pt>
                <c:pt idx="15">
                  <c:v>69.979541734860845</c:v>
                </c:pt>
                <c:pt idx="16">
                  <c:v>69.979541734860845</c:v>
                </c:pt>
                <c:pt idx="17">
                  <c:v>69.979541734860845</c:v>
                </c:pt>
                <c:pt idx="18">
                  <c:v>69.979541734860845</c:v>
                </c:pt>
                <c:pt idx="19">
                  <c:v>69.979541734860845</c:v>
                </c:pt>
                <c:pt idx="20">
                  <c:v>69.979541734860845</c:v>
                </c:pt>
                <c:pt idx="21">
                  <c:v>69.979541734860845</c:v>
                </c:pt>
                <c:pt idx="22">
                  <c:v>69.979541734860845</c:v>
                </c:pt>
                <c:pt idx="23">
                  <c:v>69.979541734860845</c:v>
                </c:pt>
                <c:pt idx="24">
                  <c:v>69.979541734860845</c:v>
                </c:pt>
                <c:pt idx="25">
                  <c:v>69.979541734860845</c:v>
                </c:pt>
                <c:pt idx="26">
                  <c:v>69.979541734860845</c:v>
                </c:pt>
                <c:pt idx="27">
                  <c:v>69.979541734860845</c:v>
                </c:pt>
                <c:pt idx="28">
                  <c:v>69.979541734860845</c:v>
                </c:pt>
                <c:pt idx="29">
                  <c:v>69.979541734860845</c:v>
                </c:pt>
                <c:pt idx="30">
                  <c:v>69.979541734860845</c:v>
                </c:pt>
                <c:pt idx="31">
                  <c:v>69.979541734860845</c:v>
                </c:pt>
                <c:pt idx="32">
                  <c:v>69.979541734860845</c:v>
                </c:pt>
                <c:pt idx="33">
                  <c:v>69.979541734860845</c:v>
                </c:pt>
                <c:pt idx="34">
                  <c:v>69.979541734860845</c:v>
                </c:pt>
                <c:pt idx="35">
                  <c:v>69.979541734860845</c:v>
                </c:pt>
                <c:pt idx="36">
                  <c:v>69.979541734860845</c:v>
                </c:pt>
                <c:pt idx="37">
                  <c:v>69.979541734860845</c:v>
                </c:pt>
                <c:pt idx="38">
                  <c:v>69.979541734860845</c:v>
                </c:pt>
                <c:pt idx="39">
                  <c:v>69.979541734860845</c:v>
                </c:pt>
                <c:pt idx="40">
                  <c:v>69.979541734860845</c:v>
                </c:pt>
                <c:pt idx="41">
                  <c:v>69.979541734860845</c:v>
                </c:pt>
                <c:pt idx="42">
                  <c:v>69.979541734860845</c:v>
                </c:pt>
                <c:pt idx="43">
                  <c:v>69.979541734860845</c:v>
                </c:pt>
                <c:pt idx="44">
                  <c:v>69.979541734860845</c:v>
                </c:pt>
                <c:pt idx="45">
                  <c:v>69.979541734860845</c:v>
                </c:pt>
                <c:pt idx="46">
                  <c:v>69.979541734860845</c:v>
                </c:pt>
                <c:pt idx="47">
                  <c:v>69.979541734860845</c:v>
                </c:pt>
                <c:pt idx="48">
                  <c:v>69.979541734860845</c:v>
                </c:pt>
                <c:pt idx="49">
                  <c:v>69.979541734860845</c:v>
                </c:pt>
                <c:pt idx="50">
                  <c:v>69.979541734860845</c:v>
                </c:pt>
                <c:pt idx="51">
                  <c:v>69.979541734860845</c:v>
                </c:pt>
                <c:pt idx="52">
                  <c:v>69.979541734860845</c:v>
                </c:pt>
                <c:pt idx="53">
                  <c:v>69.979541734860845</c:v>
                </c:pt>
                <c:pt idx="54">
                  <c:v>69.979541734860845</c:v>
                </c:pt>
                <c:pt idx="55">
                  <c:v>69.979541734860845</c:v>
                </c:pt>
                <c:pt idx="56">
                  <c:v>69.979541734860845</c:v>
                </c:pt>
                <c:pt idx="57">
                  <c:v>69.979541734860845</c:v>
                </c:pt>
                <c:pt idx="58">
                  <c:v>69.979541734860845</c:v>
                </c:pt>
                <c:pt idx="59">
                  <c:v>69.979541734860845</c:v>
                </c:pt>
                <c:pt idx="60">
                  <c:v>69.979541734860845</c:v>
                </c:pt>
                <c:pt idx="61">
                  <c:v>69.979541734860845</c:v>
                </c:pt>
                <c:pt idx="62">
                  <c:v>69.979541734860845</c:v>
                </c:pt>
                <c:pt idx="63">
                  <c:v>69.979541734860845</c:v>
                </c:pt>
                <c:pt idx="64">
                  <c:v>69.979541734860845</c:v>
                </c:pt>
                <c:pt idx="65">
                  <c:v>69.979541734860845</c:v>
                </c:pt>
                <c:pt idx="66">
                  <c:v>69.979541734860845</c:v>
                </c:pt>
                <c:pt idx="67">
                  <c:v>69.979541734860845</c:v>
                </c:pt>
                <c:pt idx="68">
                  <c:v>69.979541734860845</c:v>
                </c:pt>
                <c:pt idx="69">
                  <c:v>69.979541734860845</c:v>
                </c:pt>
                <c:pt idx="70">
                  <c:v>69.979541734860845</c:v>
                </c:pt>
                <c:pt idx="71">
                  <c:v>69.979541734860845</c:v>
                </c:pt>
                <c:pt idx="72">
                  <c:v>69.979541734860845</c:v>
                </c:pt>
                <c:pt idx="73">
                  <c:v>69.979541734860845</c:v>
                </c:pt>
                <c:pt idx="74">
                  <c:v>69.979541734860845</c:v>
                </c:pt>
                <c:pt idx="75">
                  <c:v>69.979541734860845</c:v>
                </c:pt>
                <c:pt idx="76">
                  <c:v>69.979541734860845</c:v>
                </c:pt>
                <c:pt idx="77">
                  <c:v>69.979541734860845</c:v>
                </c:pt>
                <c:pt idx="78">
                  <c:v>69.979541734860845</c:v>
                </c:pt>
                <c:pt idx="79">
                  <c:v>69.979541734860845</c:v>
                </c:pt>
                <c:pt idx="80">
                  <c:v>69.979541734860845</c:v>
                </c:pt>
                <c:pt idx="81">
                  <c:v>69.979541734860845</c:v>
                </c:pt>
                <c:pt idx="82">
                  <c:v>69.979541734860845</c:v>
                </c:pt>
                <c:pt idx="83">
                  <c:v>69.979541734860845</c:v>
                </c:pt>
                <c:pt idx="84">
                  <c:v>69.979541734860845</c:v>
                </c:pt>
                <c:pt idx="85">
                  <c:v>69.979541734860845</c:v>
                </c:pt>
                <c:pt idx="86">
                  <c:v>69.979541734860845</c:v>
                </c:pt>
                <c:pt idx="87">
                  <c:v>69.979541734860845</c:v>
                </c:pt>
                <c:pt idx="88">
                  <c:v>69.979541734860845</c:v>
                </c:pt>
                <c:pt idx="89">
                  <c:v>69.979541734860845</c:v>
                </c:pt>
                <c:pt idx="90">
                  <c:v>69.979541734860845</c:v>
                </c:pt>
                <c:pt idx="91">
                  <c:v>69.979541734860845</c:v>
                </c:pt>
                <c:pt idx="92">
                  <c:v>69.979541734860845</c:v>
                </c:pt>
                <c:pt idx="93">
                  <c:v>69.979541734860845</c:v>
                </c:pt>
                <c:pt idx="94">
                  <c:v>69.979541734860845</c:v>
                </c:pt>
                <c:pt idx="95">
                  <c:v>69.979541734860845</c:v>
                </c:pt>
                <c:pt idx="96">
                  <c:v>69.979541734860845</c:v>
                </c:pt>
                <c:pt idx="97">
                  <c:v>69.979541734860845</c:v>
                </c:pt>
                <c:pt idx="98">
                  <c:v>69.979541734860845</c:v>
                </c:pt>
                <c:pt idx="99">
                  <c:v>69.979541734860845</c:v>
                </c:pt>
                <c:pt idx="100">
                  <c:v>69.979541734860845</c:v>
                </c:pt>
                <c:pt idx="101">
                  <c:v>69.979541734860845</c:v>
                </c:pt>
                <c:pt idx="102">
                  <c:v>69.979541734860845</c:v>
                </c:pt>
                <c:pt idx="103">
                  <c:v>69.979541734860845</c:v>
                </c:pt>
                <c:pt idx="104">
                  <c:v>69.979541734860845</c:v>
                </c:pt>
                <c:pt idx="105">
                  <c:v>69.979541734860845</c:v>
                </c:pt>
                <c:pt idx="106">
                  <c:v>69.979541734860845</c:v>
                </c:pt>
                <c:pt idx="107">
                  <c:v>69.979541734860845</c:v>
                </c:pt>
                <c:pt idx="108">
                  <c:v>69.979541734860845</c:v>
                </c:pt>
                <c:pt idx="109">
                  <c:v>69.979541734860845</c:v>
                </c:pt>
                <c:pt idx="110">
                  <c:v>69.979541734860845</c:v>
                </c:pt>
                <c:pt idx="111">
                  <c:v>69.979541734860845</c:v>
                </c:pt>
                <c:pt idx="112">
                  <c:v>69.979541734860845</c:v>
                </c:pt>
                <c:pt idx="113">
                  <c:v>69.979541734860845</c:v>
                </c:pt>
                <c:pt idx="114">
                  <c:v>69.979541734860845</c:v>
                </c:pt>
                <c:pt idx="115">
                  <c:v>69.979541734860845</c:v>
                </c:pt>
                <c:pt idx="116">
                  <c:v>69.979541734860845</c:v>
                </c:pt>
                <c:pt idx="117">
                  <c:v>69.979541734860845</c:v>
                </c:pt>
                <c:pt idx="118">
                  <c:v>69.979541734860845</c:v>
                </c:pt>
                <c:pt idx="119">
                  <c:v>69.979541734860845</c:v>
                </c:pt>
                <c:pt idx="120">
                  <c:v>69.979541734860845</c:v>
                </c:pt>
                <c:pt idx="121">
                  <c:v>69.979541734860845</c:v>
                </c:pt>
                <c:pt idx="122">
                  <c:v>69.979541734860845</c:v>
                </c:pt>
                <c:pt idx="123">
                  <c:v>69.979541734860845</c:v>
                </c:pt>
                <c:pt idx="124">
                  <c:v>69.979541734860845</c:v>
                </c:pt>
                <c:pt idx="125">
                  <c:v>69.979541734860845</c:v>
                </c:pt>
                <c:pt idx="126">
                  <c:v>69.979541734860845</c:v>
                </c:pt>
                <c:pt idx="127">
                  <c:v>69.979541734860845</c:v>
                </c:pt>
                <c:pt idx="128">
                  <c:v>69.979541734860845</c:v>
                </c:pt>
                <c:pt idx="129">
                  <c:v>69.979541734860845</c:v>
                </c:pt>
                <c:pt idx="130">
                  <c:v>69.979541734860845</c:v>
                </c:pt>
                <c:pt idx="131">
                  <c:v>69.979541734860845</c:v>
                </c:pt>
                <c:pt idx="132">
                  <c:v>69.979541734860845</c:v>
                </c:pt>
                <c:pt idx="133">
                  <c:v>69.979541734860845</c:v>
                </c:pt>
                <c:pt idx="134">
                  <c:v>69.979541734860845</c:v>
                </c:pt>
                <c:pt idx="135">
                  <c:v>69.979541734860845</c:v>
                </c:pt>
                <c:pt idx="136">
                  <c:v>69.979541734860845</c:v>
                </c:pt>
                <c:pt idx="137">
                  <c:v>69.979541734860845</c:v>
                </c:pt>
                <c:pt idx="138">
                  <c:v>69.979541734860845</c:v>
                </c:pt>
                <c:pt idx="139">
                  <c:v>69.979541734860845</c:v>
                </c:pt>
                <c:pt idx="140">
                  <c:v>69.979541734860845</c:v>
                </c:pt>
                <c:pt idx="141">
                  <c:v>69.979541734860845</c:v>
                </c:pt>
                <c:pt idx="142">
                  <c:v>69.979541734860845</c:v>
                </c:pt>
                <c:pt idx="143">
                  <c:v>69.979541734860845</c:v>
                </c:pt>
                <c:pt idx="144">
                  <c:v>69.979541734860845</c:v>
                </c:pt>
                <c:pt idx="145">
                  <c:v>69.979541734860845</c:v>
                </c:pt>
                <c:pt idx="146">
                  <c:v>69.979541734860845</c:v>
                </c:pt>
                <c:pt idx="147">
                  <c:v>69.979541734860845</c:v>
                </c:pt>
                <c:pt idx="148">
                  <c:v>69.979541734860845</c:v>
                </c:pt>
                <c:pt idx="149">
                  <c:v>69.979541734860845</c:v>
                </c:pt>
                <c:pt idx="150">
                  <c:v>69.979541734860845</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51"/>
                <c:pt idx="0">
                  <c:v>920.02045826513915</c:v>
                </c:pt>
                <c:pt idx="1">
                  <c:v>920.02045826513915</c:v>
                </c:pt>
                <c:pt idx="2">
                  <c:v>920.02045826513915</c:v>
                </c:pt>
                <c:pt idx="3">
                  <c:v>920.02045826513915</c:v>
                </c:pt>
                <c:pt idx="4">
                  <c:v>920.02045826513915</c:v>
                </c:pt>
                <c:pt idx="5">
                  <c:v>920.02045826513915</c:v>
                </c:pt>
                <c:pt idx="6">
                  <c:v>920.02045826513915</c:v>
                </c:pt>
                <c:pt idx="7">
                  <c:v>920.02045826513915</c:v>
                </c:pt>
                <c:pt idx="8">
                  <c:v>920.02045826513915</c:v>
                </c:pt>
                <c:pt idx="9">
                  <c:v>920.02045826513915</c:v>
                </c:pt>
                <c:pt idx="10">
                  <c:v>920.02045826513915</c:v>
                </c:pt>
                <c:pt idx="11">
                  <c:v>920.02045826513915</c:v>
                </c:pt>
                <c:pt idx="12">
                  <c:v>920.02045826513915</c:v>
                </c:pt>
                <c:pt idx="13">
                  <c:v>920.02045826513915</c:v>
                </c:pt>
                <c:pt idx="14">
                  <c:v>920.02045826513915</c:v>
                </c:pt>
                <c:pt idx="15">
                  <c:v>920.02045826513915</c:v>
                </c:pt>
                <c:pt idx="16">
                  <c:v>920.02045826513915</c:v>
                </c:pt>
                <c:pt idx="17">
                  <c:v>920.02045826513915</c:v>
                </c:pt>
                <c:pt idx="18">
                  <c:v>920.02045826513915</c:v>
                </c:pt>
                <c:pt idx="19">
                  <c:v>920.02045826513915</c:v>
                </c:pt>
                <c:pt idx="20">
                  <c:v>920.02045826513915</c:v>
                </c:pt>
                <c:pt idx="21">
                  <c:v>920.02045826513915</c:v>
                </c:pt>
                <c:pt idx="22">
                  <c:v>920.02045826513915</c:v>
                </c:pt>
                <c:pt idx="23">
                  <c:v>920.02045826513915</c:v>
                </c:pt>
                <c:pt idx="24">
                  <c:v>920.02045826513915</c:v>
                </c:pt>
                <c:pt idx="25">
                  <c:v>920.02045826513915</c:v>
                </c:pt>
                <c:pt idx="26">
                  <c:v>920.02045826513915</c:v>
                </c:pt>
                <c:pt idx="27">
                  <c:v>920.02045826513915</c:v>
                </c:pt>
                <c:pt idx="28">
                  <c:v>920.02045826513915</c:v>
                </c:pt>
                <c:pt idx="29">
                  <c:v>920.02045826513915</c:v>
                </c:pt>
                <c:pt idx="30">
                  <c:v>920.02045826513915</c:v>
                </c:pt>
                <c:pt idx="31">
                  <c:v>920.02045826513915</c:v>
                </c:pt>
                <c:pt idx="32">
                  <c:v>920.02045826513915</c:v>
                </c:pt>
                <c:pt idx="33">
                  <c:v>920.02045826513915</c:v>
                </c:pt>
                <c:pt idx="34">
                  <c:v>920.02045826513915</c:v>
                </c:pt>
                <c:pt idx="35">
                  <c:v>920.02045826513915</c:v>
                </c:pt>
                <c:pt idx="36">
                  <c:v>920.02045826513915</c:v>
                </c:pt>
                <c:pt idx="37">
                  <c:v>920.02045826513915</c:v>
                </c:pt>
                <c:pt idx="38">
                  <c:v>920.02045826513915</c:v>
                </c:pt>
                <c:pt idx="39">
                  <c:v>920.02045826513915</c:v>
                </c:pt>
                <c:pt idx="40">
                  <c:v>920.02045826513915</c:v>
                </c:pt>
                <c:pt idx="41">
                  <c:v>920.02045826513915</c:v>
                </c:pt>
                <c:pt idx="42">
                  <c:v>920.02045826513915</c:v>
                </c:pt>
                <c:pt idx="43">
                  <c:v>920.02045826513915</c:v>
                </c:pt>
                <c:pt idx="44">
                  <c:v>920.02045826513915</c:v>
                </c:pt>
                <c:pt idx="45">
                  <c:v>920.02045826513915</c:v>
                </c:pt>
                <c:pt idx="46">
                  <c:v>920.02045826513915</c:v>
                </c:pt>
                <c:pt idx="47">
                  <c:v>920.02045826513915</c:v>
                </c:pt>
                <c:pt idx="48">
                  <c:v>920.02045826513915</c:v>
                </c:pt>
                <c:pt idx="49">
                  <c:v>920.02045826513915</c:v>
                </c:pt>
                <c:pt idx="50">
                  <c:v>920.02045826513915</c:v>
                </c:pt>
                <c:pt idx="51">
                  <c:v>920.02045826513915</c:v>
                </c:pt>
                <c:pt idx="52">
                  <c:v>920.02045826513915</c:v>
                </c:pt>
                <c:pt idx="53">
                  <c:v>920.02045826513915</c:v>
                </c:pt>
                <c:pt idx="54">
                  <c:v>920.02045826513915</c:v>
                </c:pt>
                <c:pt idx="55">
                  <c:v>920.02045826513915</c:v>
                </c:pt>
                <c:pt idx="56">
                  <c:v>920.02045826513915</c:v>
                </c:pt>
                <c:pt idx="57">
                  <c:v>920.02045826513915</c:v>
                </c:pt>
                <c:pt idx="58">
                  <c:v>920.02045826513915</c:v>
                </c:pt>
                <c:pt idx="59">
                  <c:v>920.02045826513915</c:v>
                </c:pt>
                <c:pt idx="60">
                  <c:v>920.02045826513915</c:v>
                </c:pt>
                <c:pt idx="61">
                  <c:v>920.02045826513915</c:v>
                </c:pt>
                <c:pt idx="62">
                  <c:v>920.02045826513915</c:v>
                </c:pt>
                <c:pt idx="63">
                  <c:v>920.02045826513915</c:v>
                </c:pt>
                <c:pt idx="64">
                  <c:v>920.02045826513915</c:v>
                </c:pt>
                <c:pt idx="65">
                  <c:v>920.02045826513915</c:v>
                </c:pt>
                <c:pt idx="66">
                  <c:v>920.02045826513915</c:v>
                </c:pt>
                <c:pt idx="67">
                  <c:v>920.02045826513915</c:v>
                </c:pt>
                <c:pt idx="68">
                  <c:v>920.02045826513915</c:v>
                </c:pt>
                <c:pt idx="69">
                  <c:v>920.02045826513915</c:v>
                </c:pt>
                <c:pt idx="70">
                  <c:v>920.02045826513915</c:v>
                </c:pt>
                <c:pt idx="71">
                  <c:v>920.02045826513915</c:v>
                </c:pt>
                <c:pt idx="72">
                  <c:v>920.02045826513915</c:v>
                </c:pt>
                <c:pt idx="73">
                  <c:v>920.02045826513915</c:v>
                </c:pt>
                <c:pt idx="74">
                  <c:v>920.02045826513915</c:v>
                </c:pt>
                <c:pt idx="75">
                  <c:v>920.02045826513915</c:v>
                </c:pt>
                <c:pt idx="76">
                  <c:v>920.02045826513915</c:v>
                </c:pt>
                <c:pt idx="77">
                  <c:v>920.02045826513915</c:v>
                </c:pt>
                <c:pt idx="78">
                  <c:v>920.02045826513915</c:v>
                </c:pt>
                <c:pt idx="79">
                  <c:v>920.02045826513915</c:v>
                </c:pt>
                <c:pt idx="80">
                  <c:v>920.02045826513915</c:v>
                </c:pt>
                <c:pt idx="81">
                  <c:v>920.02045826513915</c:v>
                </c:pt>
                <c:pt idx="82">
                  <c:v>920.02045826513915</c:v>
                </c:pt>
                <c:pt idx="83">
                  <c:v>920.02045826513915</c:v>
                </c:pt>
                <c:pt idx="84">
                  <c:v>920.02045826513915</c:v>
                </c:pt>
                <c:pt idx="85">
                  <c:v>920.02045826513915</c:v>
                </c:pt>
                <c:pt idx="86">
                  <c:v>920.02045826513915</c:v>
                </c:pt>
                <c:pt idx="87">
                  <c:v>920.02045826513915</c:v>
                </c:pt>
                <c:pt idx="88">
                  <c:v>920.02045826513915</c:v>
                </c:pt>
                <c:pt idx="89">
                  <c:v>920.02045826513915</c:v>
                </c:pt>
                <c:pt idx="90">
                  <c:v>920.02045826513915</c:v>
                </c:pt>
                <c:pt idx="91">
                  <c:v>920.02045826513915</c:v>
                </c:pt>
                <c:pt idx="92">
                  <c:v>920.02045826513915</c:v>
                </c:pt>
                <c:pt idx="93">
                  <c:v>920.02045826513915</c:v>
                </c:pt>
                <c:pt idx="94">
                  <c:v>920.02045826513915</c:v>
                </c:pt>
                <c:pt idx="95">
                  <c:v>920.02045826513915</c:v>
                </c:pt>
                <c:pt idx="96">
                  <c:v>920.02045826513915</c:v>
                </c:pt>
                <c:pt idx="97">
                  <c:v>920.02045826513915</c:v>
                </c:pt>
                <c:pt idx="98">
                  <c:v>920.02045826513915</c:v>
                </c:pt>
                <c:pt idx="99">
                  <c:v>920.02045826513915</c:v>
                </c:pt>
                <c:pt idx="100">
                  <c:v>920.02045826513915</c:v>
                </c:pt>
                <c:pt idx="101">
                  <c:v>920.02045826513915</c:v>
                </c:pt>
                <c:pt idx="102">
                  <c:v>920.02045826513915</c:v>
                </c:pt>
                <c:pt idx="103">
                  <c:v>920.02045826513915</c:v>
                </c:pt>
                <c:pt idx="104">
                  <c:v>920.02045826513915</c:v>
                </c:pt>
                <c:pt idx="105">
                  <c:v>920.02045826513915</c:v>
                </c:pt>
                <c:pt idx="106">
                  <c:v>920.02045826513915</c:v>
                </c:pt>
                <c:pt idx="107">
                  <c:v>920.02045826513915</c:v>
                </c:pt>
                <c:pt idx="108">
                  <c:v>920.02045826513915</c:v>
                </c:pt>
                <c:pt idx="109">
                  <c:v>920.02045826513915</c:v>
                </c:pt>
                <c:pt idx="110">
                  <c:v>920.02045826513915</c:v>
                </c:pt>
                <c:pt idx="111">
                  <c:v>920.02045826513915</c:v>
                </c:pt>
                <c:pt idx="112">
                  <c:v>920.02045826513915</c:v>
                </c:pt>
                <c:pt idx="113">
                  <c:v>920.02045826513915</c:v>
                </c:pt>
                <c:pt idx="114">
                  <c:v>920.02045826513915</c:v>
                </c:pt>
                <c:pt idx="115">
                  <c:v>920.02045826513915</c:v>
                </c:pt>
                <c:pt idx="116">
                  <c:v>920.02045826513915</c:v>
                </c:pt>
                <c:pt idx="117">
                  <c:v>920.02045826513915</c:v>
                </c:pt>
                <c:pt idx="118">
                  <c:v>920.02045826513915</c:v>
                </c:pt>
                <c:pt idx="119">
                  <c:v>920.02045826513915</c:v>
                </c:pt>
                <c:pt idx="120">
                  <c:v>920.02045826513915</c:v>
                </c:pt>
                <c:pt idx="121">
                  <c:v>920.02045826513915</c:v>
                </c:pt>
                <c:pt idx="122">
                  <c:v>920.02045826513915</c:v>
                </c:pt>
                <c:pt idx="123">
                  <c:v>920.02045826513915</c:v>
                </c:pt>
                <c:pt idx="124">
                  <c:v>920.02045826513915</c:v>
                </c:pt>
                <c:pt idx="125">
                  <c:v>920.02045826513915</c:v>
                </c:pt>
                <c:pt idx="126">
                  <c:v>920.02045826513915</c:v>
                </c:pt>
                <c:pt idx="127">
                  <c:v>920.02045826513915</c:v>
                </c:pt>
                <c:pt idx="128">
                  <c:v>920.02045826513915</c:v>
                </c:pt>
                <c:pt idx="129">
                  <c:v>920.02045826513915</c:v>
                </c:pt>
                <c:pt idx="130">
                  <c:v>920.02045826513915</c:v>
                </c:pt>
                <c:pt idx="131">
                  <c:v>920.02045826513915</c:v>
                </c:pt>
                <c:pt idx="132">
                  <c:v>920.02045826513915</c:v>
                </c:pt>
                <c:pt idx="133">
                  <c:v>920.02045826513915</c:v>
                </c:pt>
                <c:pt idx="134">
                  <c:v>920.02045826513915</c:v>
                </c:pt>
                <c:pt idx="135">
                  <c:v>920.02045826513915</c:v>
                </c:pt>
                <c:pt idx="136">
                  <c:v>920.02045826513915</c:v>
                </c:pt>
                <c:pt idx="137">
                  <c:v>920.02045826513915</c:v>
                </c:pt>
                <c:pt idx="138">
                  <c:v>920.02045826513915</c:v>
                </c:pt>
                <c:pt idx="139">
                  <c:v>920.02045826513915</c:v>
                </c:pt>
                <c:pt idx="140">
                  <c:v>920.02045826513915</c:v>
                </c:pt>
                <c:pt idx="141">
                  <c:v>920.02045826513915</c:v>
                </c:pt>
                <c:pt idx="142">
                  <c:v>920.02045826513915</c:v>
                </c:pt>
                <c:pt idx="143">
                  <c:v>920.02045826513915</c:v>
                </c:pt>
                <c:pt idx="144">
                  <c:v>920.02045826513915</c:v>
                </c:pt>
                <c:pt idx="145">
                  <c:v>920.02045826513915</c:v>
                </c:pt>
                <c:pt idx="146">
                  <c:v>920.02045826513915</c:v>
                </c:pt>
                <c:pt idx="147">
                  <c:v>920.02045826513915</c:v>
                </c:pt>
                <c:pt idx="148">
                  <c:v>920.02045826513915</c:v>
                </c:pt>
                <c:pt idx="149">
                  <c:v>920.02045826513915</c:v>
                </c:pt>
                <c:pt idx="150">
                  <c:v>920.02045826513915</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51"/>
                <c:pt idx="0">
                  <c:v>495</c:v>
                </c:pt>
                <c:pt idx="1">
                  <c:v>495</c:v>
                </c:pt>
                <c:pt idx="2">
                  <c:v>495</c:v>
                </c:pt>
                <c:pt idx="3">
                  <c:v>495</c:v>
                </c:pt>
                <c:pt idx="4">
                  <c:v>495</c:v>
                </c:pt>
                <c:pt idx="5">
                  <c:v>495</c:v>
                </c:pt>
                <c:pt idx="6">
                  <c:v>495</c:v>
                </c:pt>
                <c:pt idx="7">
                  <c:v>495</c:v>
                </c:pt>
                <c:pt idx="8">
                  <c:v>495</c:v>
                </c:pt>
                <c:pt idx="9">
                  <c:v>495</c:v>
                </c:pt>
                <c:pt idx="10">
                  <c:v>495</c:v>
                </c:pt>
                <c:pt idx="11">
                  <c:v>495</c:v>
                </c:pt>
                <c:pt idx="12">
                  <c:v>495</c:v>
                </c:pt>
                <c:pt idx="13">
                  <c:v>495</c:v>
                </c:pt>
                <c:pt idx="14">
                  <c:v>495</c:v>
                </c:pt>
                <c:pt idx="15">
                  <c:v>495</c:v>
                </c:pt>
                <c:pt idx="16">
                  <c:v>495</c:v>
                </c:pt>
                <c:pt idx="17">
                  <c:v>495</c:v>
                </c:pt>
                <c:pt idx="18">
                  <c:v>495</c:v>
                </c:pt>
                <c:pt idx="19">
                  <c:v>495</c:v>
                </c:pt>
                <c:pt idx="20">
                  <c:v>495</c:v>
                </c:pt>
                <c:pt idx="21">
                  <c:v>495</c:v>
                </c:pt>
                <c:pt idx="22">
                  <c:v>495</c:v>
                </c:pt>
                <c:pt idx="23">
                  <c:v>495</c:v>
                </c:pt>
                <c:pt idx="24">
                  <c:v>495</c:v>
                </c:pt>
                <c:pt idx="25">
                  <c:v>495</c:v>
                </c:pt>
                <c:pt idx="26">
                  <c:v>495</c:v>
                </c:pt>
                <c:pt idx="27">
                  <c:v>495</c:v>
                </c:pt>
                <c:pt idx="28">
                  <c:v>495</c:v>
                </c:pt>
                <c:pt idx="29">
                  <c:v>495</c:v>
                </c:pt>
                <c:pt idx="30">
                  <c:v>495</c:v>
                </c:pt>
                <c:pt idx="31">
                  <c:v>495</c:v>
                </c:pt>
                <c:pt idx="32">
                  <c:v>495</c:v>
                </c:pt>
                <c:pt idx="33">
                  <c:v>495</c:v>
                </c:pt>
                <c:pt idx="34">
                  <c:v>495</c:v>
                </c:pt>
                <c:pt idx="35">
                  <c:v>495</c:v>
                </c:pt>
                <c:pt idx="36">
                  <c:v>495</c:v>
                </c:pt>
                <c:pt idx="37">
                  <c:v>495</c:v>
                </c:pt>
                <c:pt idx="38">
                  <c:v>495</c:v>
                </c:pt>
                <c:pt idx="39">
                  <c:v>495</c:v>
                </c:pt>
                <c:pt idx="40">
                  <c:v>495</c:v>
                </c:pt>
                <c:pt idx="41">
                  <c:v>495</c:v>
                </c:pt>
                <c:pt idx="42">
                  <c:v>495</c:v>
                </c:pt>
                <c:pt idx="43">
                  <c:v>495</c:v>
                </c:pt>
                <c:pt idx="44">
                  <c:v>495</c:v>
                </c:pt>
                <c:pt idx="45">
                  <c:v>495</c:v>
                </c:pt>
                <c:pt idx="46">
                  <c:v>495</c:v>
                </c:pt>
                <c:pt idx="47">
                  <c:v>495</c:v>
                </c:pt>
                <c:pt idx="48">
                  <c:v>495</c:v>
                </c:pt>
                <c:pt idx="49">
                  <c:v>495</c:v>
                </c:pt>
                <c:pt idx="50">
                  <c:v>495</c:v>
                </c:pt>
                <c:pt idx="51">
                  <c:v>495</c:v>
                </c:pt>
                <c:pt idx="52">
                  <c:v>495</c:v>
                </c:pt>
                <c:pt idx="53">
                  <c:v>495</c:v>
                </c:pt>
                <c:pt idx="54">
                  <c:v>495</c:v>
                </c:pt>
                <c:pt idx="55">
                  <c:v>495</c:v>
                </c:pt>
                <c:pt idx="56">
                  <c:v>495</c:v>
                </c:pt>
                <c:pt idx="57">
                  <c:v>495</c:v>
                </c:pt>
                <c:pt idx="58">
                  <c:v>495</c:v>
                </c:pt>
                <c:pt idx="59">
                  <c:v>495</c:v>
                </c:pt>
                <c:pt idx="60">
                  <c:v>495</c:v>
                </c:pt>
                <c:pt idx="61">
                  <c:v>495</c:v>
                </c:pt>
                <c:pt idx="62">
                  <c:v>495</c:v>
                </c:pt>
                <c:pt idx="63">
                  <c:v>495</c:v>
                </c:pt>
                <c:pt idx="64">
                  <c:v>495</c:v>
                </c:pt>
                <c:pt idx="65">
                  <c:v>495</c:v>
                </c:pt>
                <c:pt idx="66">
                  <c:v>495</c:v>
                </c:pt>
                <c:pt idx="67">
                  <c:v>495</c:v>
                </c:pt>
                <c:pt idx="68">
                  <c:v>495</c:v>
                </c:pt>
                <c:pt idx="69">
                  <c:v>495</c:v>
                </c:pt>
                <c:pt idx="70">
                  <c:v>495</c:v>
                </c:pt>
                <c:pt idx="71">
                  <c:v>495</c:v>
                </c:pt>
                <c:pt idx="72">
                  <c:v>495</c:v>
                </c:pt>
                <c:pt idx="73">
                  <c:v>495</c:v>
                </c:pt>
                <c:pt idx="74">
                  <c:v>495</c:v>
                </c:pt>
                <c:pt idx="75">
                  <c:v>495</c:v>
                </c:pt>
                <c:pt idx="76">
                  <c:v>495</c:v>
                </c:pt>
                <c:pt idx="77">
                  <c:v>495</c:v>
                </c:pt>
                <c:pt idx="78">
                  <c:v>495</c:v>
                </c:pt>
                <c:pt idx="79">
                  <c:v>495</c:v>
                </c:pt>
                <c:pt idx="80">
                  <c:v>495</c:v>
                </c:pt>
                <c:pt idx="81">
                  <c:v>495</c:v>
                </c:pt>
                <c:pt idx="82">
                  <c:v>495</c:v>
                </c:pt>
                <c:pt idx="83">
                  <c:v>495</c:v>
                </c:pt>
                <c:pt idx="84">
                  <c:v>495</c:v>
                </c:pt>
                <c:pt idx="85">
                  <c:v>495</c:v>
                </c:pt>
                <c:pt idx="86">
                  <c:v>495</c:v>
                </c:pt>
                <c:pt idx="87">
                  <c:v>495</c:v>
                </c:pt>
                <c:pt idx="88">
                  <c:v>495</c:v>
                </c:pt>
                <c:pt idx="89">
                  <c:v>495</c:v>
                </c:pt>
                <c:pt idx="90">
                  <c:v>495</c:v>
                </c:pt>
                <c:pt idx="91">
                  <c:v>495</c:v>
                </c:pt>
                <c:pt idx="92">
                  <c:v>495</c:v>
                </c:pt>
                <c:pt idx="93">
                  <c:v>495</c:v>
                </c:pt>
                <c:pt idx="94">
                  <c:v>495</c:v>
                </c:pt>
                <c:pt idx="95">
                  <c:v>495</c:v>
                </c:pt>
                <c:pt idx="96">
                  <c:v>495</c:v>
                </c:pt>
                <c:pt idx="97">
                  <c:v>495</c:v>
                </c:pt>
                <c:pt idx="98">
                  <c:v>495</c:v>
                </c:pt>
                <c:pt idx="99">
                  <c:v>495</c:v>
                </c:pt>
                <c:pt idx="100">
                  <c:v>495</c:v>
                </c:pt>
                <c:pt idx="101">
                  <c:v>495</c:v>
                </c:pt>
                <c:pt idx="102">
                  <c:v>495</c:v>
                </c:pt>
                <c:pt idx="103">
                  <c:v>495</c:v>
                </c:pt>
                <c:pt idx="104">
                  <c:v>495</c:v>
                </c:pt>
                <c:pt idx="105">
                  <c:v>495</c:v>
                </c:pt>
                <c:pt idx="106">
                  <c:v>495</c:v>
                </c:pt>
                <c:pt idx="107">
                  <c:v>495</c:v>
                </c:pt>
                <c:pt idx="108">
                  <c:v>495</c:v>
                </c:pt>
                <c:pt idx="109">
                  <c:v>495</c:v>
                </c:pt>
                <c:pt idx="110">
                  <c:v>495</c:v>
                </c:pt>
                <c:pt idx="111">
                  <c:v>495</c:v>
                </c:pt>
                <c:pt idx="112">
                  <c:v>495</c:v>
                </c:pt>
                <c:pt idx="113">
                  <c:v>495</c:v>
                </c:pt>
                <c:pt idx="114">
                  <c:v>495</c:v>
                </c:pt>
                <c:pt idx="115">
                  <c:v>495</c:v>
                </c:pt>
                <c:pt idx="116">
                  <c:v>495</c:v>
                </c:pt>
                <c:pt idx="117">
                  <c:v>495</c:v>
                </c:pt>
                <c:pt idx="118">
                  <c:v>495</c:v>
                </c:pt>
                <c:pt idx="119">
                  <c:v>495</c:v>
                </c:pt>
                <c:pt idx="120">
                  <c:v>495</c:v>
                </c:pt>
                <c:pt idx="121">
                  <c:v>495</c:v>
                </c:pt>
                <c:pt idx="122">
                  <c:v>495</c:v>
                </c:pt>
                <c:pt idx="123">
                  <c:v>495</c:v>
                </c:pt>
                <c:pt idx="124">
                  <c:v>495</c:v>
                </c:pt>
                <c:pt idx="125">
                  <c:v>495</c:v>
                </c:pt>
                <c:pt idx="126">
                  <c:v>495</c:v>
                </c:pt>
                <c:pt idx="127">
                  <c:v>495</c:v>
                </c:pt>
                <c:pt idx="128">
                  <c:v>495</c:v>
                </c:pt>
                <c:pt idx="129">
                  <c:v>495</c:v>
                </c:pt>
                <c:pt idx="130">
                  <c:v>495</c:v>
                </c:pt>
                <c:pt idx="131">
                  <c:v>495</c:v>
                </c:pt>
                <c:pt idx="132">
                  <c:v>495</c:v>
                </c:pt>
                <c:pt idx="133">
                  <c:v>495</c:v>
                </c:pt>
                <c:pt idx="134">
                  <c:v>495</c:v>
                </c:pt>
                <c:pt idx="135">
                  <c:v>495</c:v>
                </c:pt>
                <c:pt idx="136">
                  <c:v>495</c:v>
                </c:pt>
                <c:pt idx="137">
                  <c:v>495</c:v>
                </c:pt>
                <c:pt idx="138">
                  <c:v>495</c:v>
                </c:pt>
                <c:pt idx="139">
                  <c:v>495</c:v>
                </c:pt>
                <c:pt idx="140">
                  <c:v>495</c:v>
                </c:pt>
                <c:pt idx="141">
                  <c:v>495</c:v>
                </c:pt>
                <c:pt idx="142">
                  <c:v>495</c:v>
                </c:pt>
                <c:pt idx="143">
                  <c:v>495</c:v>
                </c:pt>
                <c:pt idx="144">
                  <c:v>495</c:v>
                </c:pt>
                <c:pt idx="145">
                  <c:v>495</c:v>
                </c:pt>
                <c:pt idx="146">
                  <c:v>495</c:v>
                </c:pt>
                <c:pt idx="147">
                  <c:v>495</c:v>
                </c:pt>
                <c:pt idx="148">
                  <c:v>495</c:v>
                </c:pt>
                <c:pt idx="149">
                  <c:v>495</c:v>
                </c:pt>
                <c:pt idx="150">
                  <c:v>495</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51"/>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670</c:v>
                </c:pt>
                <c:pt idx="14">
                  <c:v>530</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51"/>
                <c:pt idx="0">
                  <c:v>551.5</c:v>
                </c:pt>
                <c:pt idx="1">
                  <c:v>551.5</c:v>
                </c:pt>
                <c:pt idx="2">
                  <c:v>551.5</c:v>
                </c:pt>
                <c:pt idx="3">
                  <c:v>551.5</c:v>
                </c:pt>
                <c:pt idx="4">
                  <c:v>551.5</c:v>
                </c:pt>
                <c:pt idx="5">
                  <c:v>551.5</c:v>
                </c:pt>
                <c:pt idx="6">
                  <c:v>551.5</c:v>
                </c:pt>
                <c:pt idx="7">
                  <c:v>551.5</c:v>
                </c:pt>
                <c:pt idx="8">
                  <c:v>551.5</c:v>
                </c:pt>
                <c:pt idx="9">
                  <c:v>551.5</c:v>
                </c:pt>
                <c:pt idx="10">
                  <c:v>551.5</c:v>
                </c:pt>
                <c:pt idx="11">
                  <c:v>551.5</c:v>
                </c:pt>
                <c:pt idx="12">
                  <c:v>551.5</c:v>
                </c:pt>
                <c:pt idx="13">
                  <c:v>551.5</c:v>
                </c:pt>
                <c:pt idx="14">
                  <c:v>551.5</c:v>
                </c:pt>
                <c:pt idx="15">
                  <c:v>551.5</c:v>
                </c:pt>
                <c:pt idx="16">
                  <c:v>551.5</c:v>
                </c:pt>
                <c:pt idx="17">
                  <c:v>551.5</c:v>
                </c:pt>
                <c:pt idx="18">
                  <c:v>551.5</c:v>
                </c:pt>
                <c:pt idx="19">
                  <c:v>551.5</c:v>
                </c:pt>
                <c:pt idx="20">
                  <c:v>551.5</c:v>
                </c:pt>
                <c:pt idx="21">
                  <c:v>551.5</c:v>
                </c:pt>
                <c:pt idx="22">
                  <c:v>551.5</c:v>
                </c:pt>
                <c:pt idx="23">
                  <c:v>551.5</c:v>
                </c:pt>
                <c:pt idx="24">
                  <c:v>551.5</c:v>
                </c:pt>
                <c:pt idx="25">
                  <c:v>551.5</c:v>
                </c:pt>
                <c:pt idx="26">
                  <c:v>551.5</c:v>
                </c:pt>
                <c:pt idx="27">
                  <c:v>551.5</c:v>
                </c:pt>
                <c:pt idx="28">
                  <c:v>551.5</c:v>
                </c:pt>
                <c:pt idx="29">
                  <c:v>551.5</c:v>
                </c:pt>
                <c:pt idx="30">
                  <c:v>551.5</c:v>
                </c:pt>
                <c:pt idx="31">
                  <c:v>551.5</c:v>
                </c:pt>
                <c:pt idx="32">
                  <c:v>551.5</c:v>
                </c:pt>
                <c:pt idx="33">
                  <c:v>551.5</c:v>
                </c:pt>
                <c:pt idx="34">
                  <c:v>551.5</c:v>
                </c:pt>
                <c:pt idx="35">
                  <c:v>551.5</c:v>
                </c:pt>
                <c:pt idx="36">
                  <c:v>551.5</c:v>
                </c:pt>
                <c:pt idx="37">
                  <c:v>551.5</c:v>
                </c:pt>
                <c:pt idx="38">
                  <c:v>551.5</c:v>
                </c:pt>
                <c:pt idx="39">
                  <c:v>551.5</c:v>
                </c:pt>
                <c:pt idx="40">
                  <c:v>551.5</c:v>
                </c:pt>
                <c:pt idx="41">
                  <c:v>551.5</c:v>
                </c:pt>
                <c:pt idx="42">
                  <c:v>551.5</c:v>
                </c:pt>
                <c:pt idx="43">
                  <c:v>551.5</c:v>
                </c:pt>
                <c:pt idx="44">
                  <c:v>551.5</c:v>
                </c:pt>
                <c:pt idx="45">
                  <c:v>551.5</c:v>
                </c:pt>
                <c:pt idx="46">
                  <c:v>551.5</c:v>
                </c:pt>
                <c:pt idx="47">
                  <c:v>551.5</c:v>
                </c:pt>
                <c:pt idx="48">
                  <c:v>551.5</c:v>
                </c:pt>
                <c:pt idx="49">
                  <c:v>551.5</c:v>
                </c:pt>
                <c:pt idx="50">
                  <c:v>551.5</c:v>
                </c:pt>
                <c:pt idx="51">
                  <c:v>551.5</c:v>
                </c:pt>
                <c:pt idx="52">
                  <c:v>551.5</c:v>
                </c:pt>
                <c:pt idx="53">
                  <c:v>551.5</c:v>
                </c:pt>
                <c:pt idx="54">
                  <c:v>551.5</c:v>
                </c:pt>
                <c:pt idx="55">
                  <c:v>551.5</c:v>
                </c:pt>
                <c:pt idx="56">
                  <c:v>551.5</c:v>
                </c:pt>
                <c:pt idx="57">
                  <c:v>551.5</c:v>
                </c:pt>
                <c:pt idx="58">
                  <c:v>551.5</c:v>
                </c:pt>
                <c:pt idx="59">
                  <c:v>551.5</c:v>
                </c:pt>
                <c:pt idx="60">
                  <c:v>551.5</c:v>
                </c:pt>
                <c:pt idx="61">
                  <c:v>551.5</c:v>
                </c:pt>
                <c:pt idx="62">
                  <c:v>551.5</c:v>
                </c:pt>
                <c:pt idx="63">
                  <c:v>551.5</c:v>
                </c:pt>
                <c:pt idx="64">
                  <c:v>551.5</c:v>
                </c:pt>
                <c:pt idx="65">
                  <c:v>551.5</c:v>
                </c:pt>
                <c:pt idx="66">
                  <c:v>551.5</c:v>
                </c:pt>
                <c:pt idx="67">
                  <c:v>551.5</c:v>
                </c:pt>
                <c:pt idx="68">
                  <c:v>551.5</c:v>
                </c:pt>
                <c:pt idx="69">
                  <c:v>551.5</c:v>
                </c:pt>
                <c:pt idx="70">
                  <c:v>551.5</c:v>
                </c:pt>
                <c:pt idx="71">
                  <c:v>551.5</c:v>
                </c:pt>
                <c:pt idx="72">
                  <c:v>551.5</c:v>
                </c:pt>
                <c:pt idx="73">
                  <c:v>551.5</c:v>
                </c:pt>
                <c:pt idx="74">
                  <c:v>551.5</c:v>
                </c:pt>
                <c:pt idx="75">
                  <c:v>551.5</c:v>
                </c:pt>
                <c:pt idx="76">
                  <c:v>551.5</c:v>
                </c:pt>
                <c:pt idx="77">
                  <c:v>551.5</c:v>
                </c:pt>
                <c:pt idx="78">
                  <c:v>551.5</c:v>
                </c:pt>
                <c:pt idx="79">
                  <c:v>551.5</c:v>
                </c:pt>
                <c:pt idx="80">
                  <c:v>551.5</c:v>
                </c:pt>
                <c:pt idx="81">
                  <c:v>551.5</c:v>
                </c:pt>
                <c:pt idx="82">
                  <c:v>551.5</c:v>
                </c:pt>
                <c:pt idx="83">
                  <c:v>551.5</c:v>
                </c:pt>
                <c:pt idx="84">
                  <c:v>551.5</c:v>
                </c:pt>
                <c:pt idx="85">
                  <c:v>551.5</c:v>
                </c:pt>
                <c:pt idx="86">
                  <c:v>551.5</c:v>
                </c:pt>
                <c:pt idx="87">
                  <c:v>551.5</c:v>
                </c:pt>
                <c:pt idx="88">
                  <c:v>551.5</c:v>
                </c:pt>
                <c:pt idx="89">
                  <c:v>551.5</c:v>
                </c:pt>
                <c:pt idx="90">
                  <c:v>551.5</c:v>
                </c:pt>
                <c:pt idx="91">
                  <c:v>551.5</c:v>
                </c:pt>
                <c:pt idx="92">
                  <c:v>551.5</c:v>
                </c:pt>
                <c:pt idx="93">
                  <c:v>551.5</c:v>
                </c:pt>
                <c:pt idx="94">
                  <c:v>551.5</c:v>
                </c:pt>
                <c:pt idx="95">
                  <c:v>551.5</c:v>
                </c:pt>
                <c:pt idx="96">
                  <c:v>551.5</c:v>
                </c:pt>
                <c:pt idx="97">
                  <c:v>551.5</c:v>
                </c:pt>
                <c:pt idx="98">
                  <c:v>551.5</c:v>
                </c:pt>
                <c:pt idx="99">
                  <c:v>551.5</c:v>
                </c:pt>
                <c:pt idx="100">
                  <c:v>551.5</c:v>
                </c:pt>
                <c:pt idx="101">
                  <c:v>551.5</c:v>
                </c:pt>
                <c:pt idx="102">
                  <c:v>551.5</c:v>
                </c:pt>
                <c:pt idx="103">
                  <c:v>551.5</c:v>
                </c:pt>
                <c:pt idx="104">
                  <c:v>551.5</c:v>
                </c:pt>
                <c:pt idx="105">
                  <c:v>551.5</c:v>
                </c:pt>
                <c:pt idx="106">
                  <c:v>551.5</c:v>
                </c:pt>
                <c:pt idx="107">
                  <c:v>551.5</c:v>
                </c:pt>
                <c:pt idx="108">
                  <c:v>551.5</c:v>
                </c:pt>
                <c:pt idx="109">
                  <c:v>551.5</c:v>
                </c:pt>
                <c:pt idx="110">
                  <c:v>551.5</c:v>
                </c:pt>
                <c:pt idx="111">
                  <c:v>551.5</c:v>
                </c:pt>
                <c:pt idx="112">
                  <c:v>551.5</c:v>
                </c:pt>
                <c:pt idx="113">
                  <c:v>551.5</c:v>
                </c:pt>
                <c:pt idx="114">
                  <c:v>551.5</c:v>
                </c:pt>
                <c:pt idx="115">
                  <c:v>551.5</c:v>
                </c:pt>
                <c:pt idx="116">
                  <c:v>551.5</c:v>
                </c:pt>
                <c:pt idx="117">
                  <c:v>551.5</c:v>
                </c:pt>
                <c:pt idx="118">
                  <c:v>551.5</c:v>
                </c:pt>
                <c:pt idx="119">
                  <c:v>551.5</c:v>
                </c:pt>
                <c:pt idx="120">
                  <c:v>551.5</c:v>
                </c:pt>
                <c:pt idx="121">
                  <c:v>551.5</c:v>
                </c:pt>
                <c:pt idx="122">
                  <c:v>551.5</c:v>
                </c:pt>
                <c:pt idx="123">
                  <c:v>551.5</c:v>
                </c:pt>
                <c:pt idx="124">
                  <c:v>551.5</c:v>
                </c:pt>
                <c:pt idx="125">
                  <c:v>551.5</c:v>
                </c:pt>
                <c:pt idx="126">
                  <c:v>551.5</c:v>
                </c:pt>
                <c:pt idx="127">
                  <c:v>551.5</c:v>
                </c:pt>
                <c:pt idx="128">
                  <c:v>551.5</c:v>
                </c:pt>
                <c:pt idx="129">
                  <c:v>551.5</c:v>
                </c:pt>
                <c:pt idx="130">
                  <c:v>551.5</c:v>
                </c:pt>
                <c:pt idx="131">
                  <c:v>551.5</c:v>
                </c:pt>
                <c:pt idx="132">
                  <c:v>551.5</c:v>
                </c:pt>
                <c:pt idx="133">
                  <c:v>551.5</c:v>
                </c:pt>
                <c:pt idx="134">
                  <c:v>551.5</c:v>
                </c:pt>
                <c:pt idx="135">
                  <c:v>551.5</c:v>
                </c:pt>
                <c:pt idx="136">
                  <c:v>551.5</c:v>
                </c:pt>
                <c:pt idx="137">
                  <c:v>551.5</c:v>
                </c:pt>
                <c:pt idx="138">
                  <c:v>551.5</c:v>
                </c:pt>
                <c:pt idx="139">
                  <c:v>551.5</c:v>
                </c:pt>
                <c:pt idx="140">
                  <c:v>551.5</c:v>
                </c:pt>
                <c:pt idx="141">
                  <c:v>551.5</c:v>
                </c:pt>
                <c:pt idx="142">
                  <c:v>551.5</c:v>
                </c:pt>
                <c:pt idx="143">
                  <c:v>551.5</c:v>
                </c:pt>
                <c:pt idx="144">
                  <c:v>551.5</c:v>
                </c:pt>
                <c:pt idx="145">
                  <c:v>551.5</c:v>
                </c:pt>
                <c:pt idx="146">
                  <c:v>551.5</c:v>
                </c:pt>
                <c:pt idx="147">
                  <c:v>551.5</c:v>
                </c:pt>
                <c:pt idx="148">
                  <c:v>551.5</c:v>
                </c:pt>
                <c:pt idx="149">
                  <c:v>551.5</c:v>
                </c:pt>
                <c:pt idx="150">
                  <c:v>551.5</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51"/>
                <c:pt idx="0">
                  <c:v>664</c:v>
                </c:pt>
                <c:pt idx="1">
                  <c:v>664</c:v>
                </c:pt>
                <c:pt idx="2">
                  <c:v>664</c:v>
                </c:pt>
                <c:pt idx="3">
                  <c:v>664</c:v>
                </c:pt>
                <c:pt idx="4">
                  <c:v>664</c:v>
                </c:pt>
                <c:pt idx="5">
                  <c:v>664</c:v>
                </c:pt>
                <c:pt idx="6">
                  <c:v>664</c:v>
                </c:pt>
                <c:pt idx="7">
                  <c:v>664</c:v>
                </c:pt>
                <c:pt idx="8">
                  <c:v>664</c:v>
                </c:pt>
                <c:pt idx="9">
                  <c:v>664</c:v>
                </c:pt>
                <c:pt idx="10">
                  <c:v>664</c:v>
                </c:pt>
                <c:pt idx="11">
                  <c:v>664</c:v>
                </c:pt>
                <c:pt idx="12">
                  <c:v>664</c:v>
                </c:pt>
                <c:pt idx="13">
                  <c:v>664</c:v>
                </c:pt>
                <c:pt idx="14">
                  <c:v>664</c:v>
                </c:pt>
                <c:pt idx="15">
                  <c:v>664</c:v>
                </c:pt>
                <c:pt idx="16">
                  <c:v>664</c:v>
                </c:pt>
                <c:pt idx="17">
                  <c:v>664</c:v>
                </c:pt>
                <c:pt idx="18">
                  <c:v>664</c:v>
                </c:pt>
                <c:pt idx="19">
                  <c:v>664</c:v>
                </c:pt>
                <c:pt idx="20">
                  <c:v>664</c:v>
                </c:pt>
                <c:pt idx="21">
                  <c:v>664</c:v>
                </c:pt>
                <c:pt idx="22">
                  <c:v>664</c:v>
                </c:pt>
                <c:pt idx="23">
                  <c:v>664</c:v>
                </c:pt>
                <c:pt idx="24">
                  <c:v>664</c:v>
                </c:pt>
                <c:pt idx="25">
                  <c:v>664</c:v>
                </c:pt>
                <c:pt idx="26">
                  <c:v>664</c:v>
                </c:pt>
                <c:pt idx="27">
                  <c:v>664</c:v>
                </c:pt>
                <c:pt idx="28">
                  <c:v>664</c:v>
                </c:pt>
                <c:pt idx="29">
                  <c:v>664</c:v>
                </c:pt>
                <c:pt idx="30">
                  <c:v>664</c:v>
                </c:pt>
                <c:pt idx="31">
                  <c:v>664</c:v>
                </c:pt>
                <c:pt idx="32">
                  <c:v>664</c:v>
                </c:pt>
                <c:pt idx="33">
                  <c:v>664</c:v>
                </c:pt>
                <c:pt idx="34">
                  <c:v>664</c:v>
                </c:pt>
                <c:pt idx="35">
                  <c:v>664</c:v>
                </c:pt>
                <c:pt idx="36">
                  <c:v>664</c:v>
                </c:pt>
                <c:pt idx="37">
                  <c:v>664</c:v>
                </c:pt>
                <c:pt idx="38">
                  <c:v>664</c:v>
                </c:pt>
                <c:pt idx="39">
                  <c:v>664</c:v>
                </c:pt>
                <c:pt idx="40">
                  <c:v>664</c:v>
                </c:pt>
                <c:pt idx="41">
                  <c:v>664</c:v>
                </c:pt>
                <c:pt idx="42">
                  <c:v>664</c:v>
                </c:pt>
                <c:pt idx="43">
                  <c:v>664</c:v>
                </c:pt>
                <c:pt idx="44">
                  <c:v>664</c:v>
                </c:pt>
                <c:pt idx="45">
                  <c:v>664</c:v>
                </c:pt>
                <c:pt idx="46">
                  <c:v>664</c:v>
                </c:pt>
                <c:pt idx="47">
                  <c:v>664</c:v>
                </c:pt>
                <c:pt idx="48">
                  <c:v>664</c:v>
                </c:pt>
                <c:pt idx="49">
                  <c:v>664</c:v>
                </c:pt>
                <c:pt idx="50">
                  <c:v>664</c:v>
                </c:pt>
                <c:pt idx="51">
                  <c:v>664</c:v>
                </c:pt>
                <c:pt idx="52">
                  <c:v>664</c:v>
                </c:pt>
                <c:pt idx="53">
                  <c:v>664</c:v>
                </c:pt>
                <c:pt idx="54">
                  <c:v>664</c:v>
                </c:pt>
                <c:pt idx="55">
                  <c:v>664</c:v>
                </c:pt>
                <c:pt idx="56">
                  <c:v>664</c:v>
                </c:pt>
                <c:pt idx="57">
                  <c:v>664</c:v>
                </c:pt>
                <c:pt idx="58">
                  <c:v>664</c:v>
                </c:pt>
                <c:pt idx="59">
                  <c:v>664</c:v>
                </c:pt>
                <c:pt idx="60">
                  <c:v>664</c:v>
                </c:pt>
                <c:pt idx="61">
                  <c:v>664</c:v>
                </c:pt>
                <c:pt idx="62">
                  <c:v>664</c:v>
                </c:pt>
                <c:pt idx="63">
                  <c:v>664</c:v>
                </c:pt>
                <c:pt idx="64">
                  <c:v>664</c:v>
                </c:pt>
                <c:pt idx="65">
                  <c:v>664</c:v>
                </c:pt>
                <c:pt idx="66">
                  <c:v>664</c:v>
                </c:pt>
                <c:pt idx="67">
                  <c:v>664</c:v>
                </c:pt>
                <c:pt idx="68">
                  <c:v>664</c:v>
                </c:pt>
                <c:pt idx="69">
                  <c:v>664</c:v>
                </c:pt>
                <c:pt idx="70">
                  <c:v>664</c:v>
                </c:pt>
                <c:pt idx="71">
                  <c:v>664</c:v>
                </c:pt>
                <c:pt idx="72">
                  <c:v>664</c:v>
                </c:pt>
                <c:pt idx="73">
                  <c:v>664</c:v>
                </c:pt>
                <c:pt idx="74">
                  <c:v>664</c:v>
                </c:pt>
                <c:pt idx="75">
                  <c:v>664</c:v>
                </c:pt>
                <c:pt idx="76">
                  <c:v>664</c:v>
                </c:pt>
                <c:pt idx="77">
                  <c:v>664</c:v>
                </c:pt>
                <c:pt idx="78">
                  <c:v>664</c:v>
                </c:pt>
                <c:pt idx="79">
                  <c:v>664</c:v>
                </c:pt>
                <c:pt idx="80">
                  <c:v>664</c:v>
                </c:pt>
                <c:pt idx="81">
                  <c:v>664</c:v>
                </c:pt>
                <c:pt idx="82">
                  <c:v>664</c:v>
                </c:pt>
                <c:pt idx="83">
                  <c:v>664</c:v>
                </c:pt>
                <c:pt idx="84">
                  <c:v>664</c:v>
                </c:pt>
                <c:pt idx="85">
                  <c:v>664</c:v>
                </c:pt>
                <c:pt idx="86">
                  <c:v>664</c:v>
                </c:pt>
                <c:pt idx="87">
                  <c:v>664</c:v>
                </c:pt>
                <c:pt idx="88">
                  <c:v>664</c:v>
                </c:pt>
                <c:pt idx="89">
                  <c:v>664</c:v>
                </c:pt>
                <c:pt idx="90">
                  <c:v>664</c:v>
                </c:pt>
                <c:pt idx="91">
                  <c:v>664</c:v>
                </c:pt>
                <c:pt idx="92">
                  <c:v>664</c:v>
                </c:pt>
                <c:pt idx="93">
                  <c:v>664</c:v>
                </c:pt>
                <c:pt idx="94">
                  <c:v>664</c:v>
                </c:pt>
                <c:pt idx="95">
                  <c:v>664</c:v>
                </c:pt>
                <c:pt idx="96">
                  <c:v>664</c:v>
                </c:pt>
                <c:pt idx="97">
                  <c:v>664</c:v>
                </c:pt>
                <c:pt idx="98">
                  <c:v>664</c:v>
                </c:pt>
                <c:pt idx="99">
                  <c:v>664</c:v>
                </c:pt>
                <c:pt idx="100">
                  <c:v>664</c:v>
                </c:pt>
                <c:pt idx="101">
                  <c:v>664</c:v>
                </c:pt>
                <c:pt idx="102">
                  <c:v>664</c:v>
                </c:pt>
                <c:pt idx="103">
                  <c:v>664</c:v>
                </c:pt>
                <c:pt idx="104">
                  <c:v>664</c:v>
                </c:pt>
                <c:pt idx="105">
                  <c:v>664</c:v>
                </c:pt>
                <c:pt idx="106">
                  <c:v>664</c:v>
                </c:pt>
                <c:pt idx="107">
                  <c:v>664</c:v>
                </c:pt>
                <c:pt idx="108">
                  <c:v>664</c:v>
                </c:pt>
                <c:pt idx="109">
                  <c:v>664</c:v>
                </c:pt>
                <c:pt idx="110">
                  <c:v>664</c:v>
                </c:pt>
                <c:pt idx="111">
                  <c:v>664</c:v>
                </c:pt>
                <c:pt idx="112">
                  <c:v>664</c:v>
                </c:pt>
                <c:pt idx="113">
                  <c:v>664</c:v>
                </c:pt>
                <c:pt idx="114">
                  <c:v>664</c:v>
                </c:pt>
                <c:pt idx="115">
                  <c:v>664</c:v>
                </c:pt>
                <c:pt idx="116">
                  <c:v>664</c:v>
                </c:pt>
                <c:pt idx="117">
                  <c:v>664</c:v>
                </c:pt>
                <c:pt idx="118">
                  <c:v>664</c:v>
                </c:pt>
                <c:pt idx="119">
                  <c:v>664</c:v>
                </c:pt>
                <c:pt idx="120">
                  <c:v>664</c:v>
                </c:pt>
                <c:pt idx="121">
                  <c:v>664</c:v>
                </c:pt>
                <c:pt idx="122">
                  <c:v>664</c:v>
                </c:pt>
                <c:pt idx="123">
                  <c:v>664</c:v>
                </c:pt>
                <c:pt idx="124">
                  <c:v>664</c:v>
                </c:pt>
                <c:pt idx="125">
                  <c:v>664</c:v>
                </c:pt>
                <c:pt idx="126">
                  <c:v>664</c:v>
                </c:pt>
                <c:pt idx="127">
                  <c:v>664</c:v>
                </c:pt>
                <c:pt idx="128">
                  <c:v>664</c:v>
                </c:pt>
                <c:pt idx="129">
                  <c:v>664</c:v>
                </c:pt>
                <c:pt idx="130">
                  <c:v>664</c:v>
                </c:pt>
                <c:pt idx="131">
                  <c:v>664</c:v>
                </c:pt>
                <c:pt idx="132">
                  <c:v>664</c:v>
                </c:pt>
                <c:pt idx="133">
                  <c:v>664</c:v>
                </c:pt>
                <c:pt idx="134">
                  <c:v>664</c:v>
                </c:pt>
                <c:pt idx="135">
                  <c:v>664</c:v>
                </c:pt>
                <c:pt idx="136">
                  <c:v>664</c:v>
                </c:pt>
                <c:pt idx="137">
                  <c:v>664</c:v>
                </c:pt>
                <c:pt idx="138">
                  <c:v>664</c:v>
                </c:pt>
                <c:pt idx="139">
                  <c:v>664</c:v>
                </c:pt>
                <c:pt idx="140">
                  <c:v>664</c:v>
                </c:pt>
                <c:pt idx="141">
                  <c:v>664</c:v>
                </c:pt>
                <c:pt idx="142">
                  <c:v>664</c:v>
                </c:pt>
                <c:pt idx="143">
                  <c:v>664</c:v>
                </c:pt>
                <c:pt idx="144">
                  <c:v>664</c:v>
                </c:pt>
                <c:pt idx="145">
                  <c:v>664</c:v>
                </c:pt>
                <c:pt idx="146">
                  <c:v>664</c:v>
                </c:pt>
                <c:pt idx="147">
                  <c:v>664</c:v>
                </c:pt>
                <c:pt idx="148">
                  <c:v>664</c:v>
                </c:pt>
                <c:pt idx="149">
                  <c:v>664</c:v>
                </c:pt>
                <c:pt idx="150">
                  <c:v>664</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147.93103448275863</c:v>
                </c:pt>
                <c:pt idx="1">
                  <c:v>184.91379310344828</c:v>
                </c:pt>
                <c:pt idx="2">
                  <c:v>73.965517241379317</c:v>
                </c:pt>
                <c:pt idx="3">
                  <c:v>110.94827586206898</c:v>
                </c:pt>
                <c:pt idx="4">
                  <c:v>184.91379310344828</c:v>
                </c:pt>
                <c:pt idx="5">
                  <c:v>110.94827586206898</c:v>
                </c:pt>
                <c:pt idx="6">
                  <c:v>147.93103448275863</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312.66168378576668</c:v>
                </c:pt>
                <c:pt idx="1">
                  <c:v>312.66168378576668</c:v>
                </c:pt>
                <c:pt idx="2">
                  <c:v>312.66168378576668</c:v>
                </c:pt>
                <c:pt idx="3">
                  <c:v>312.66168378576668</c:v>
                </c:pt>
                <c:pt idx="4">
                  <c:v>312.66168378576668</c:v>
                </c:pt>
                <c:pt idx="5">
                  <c:v>312.66168378576668</c:v>
                </c:pt>
                <c:pt idx="6">
                  <c:v>312.66168378576668</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140.5344827586207</c:v>
                </c:pt>
                <c:pt idx="1">
                  <c:v>140.5344827586207</c:v>
                </c:pt>
                <c:pt idx="2">
                  <c:v>140.5344827586207</c:v>
                </c:pt>
                <c:pt idx="3">
                  <c:v>140.5344827586207</c:v>
                </c:pt>
                <c:pt idx="4">
                  <c:v>140.5344827586207</c:v>
                </c:pt>
                <c:pt idx="5">
                  <c:v>140.5344827586207</c:v>
                </c:pt>
                <c:pt idx="6">
                  <c:v>140.5344827586207</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2.1153846153846154</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13.42111888111887</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2.7377622377622313</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13.038461538461545</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42.562452931683694</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4.4802582033351257</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60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[0]!Summary_Blank</c:f>
              <c:numCache>
                <c:formatCode>#,##0</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[0]!Summary_Req</c:f>
              <c:numCache>
                <c:formatCode>#,##0</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13.038461538461538</c:v>
                </c:pt>
                <c:pt idx="1">
                  <c:v>13.038461538461538</c:v>
                </c:pt>
                <c:pt idx="2">
                  <c:v>13.038461538461538</c:v>
                </c:pt>
                <c:pt idx="3">
                  <c:v>13.038461538461538</c:v>
                </c:pt>
                <c:pt idx="4">
                  <c:v>13.038461538461538</c:v>
                </c:pt>
                <c:pt idx="5">
                  <c:v>13.038461538461538</c:v>
                </c:pt>
                <c:pt idx="6">
                  <c:v>13.038461538461538</c:v>
                </c:pt>
                <c:pt idx="7">
                  <c:v>13.038461538461538</c:v>
                </c:pt>
                <c:pt idx="8">
                  <c:v>13.038461538461538</c:v>
                </c:pt>
                <c:pt idx="9">
                  <c:v>13.038461538461538</c:v>
                </c:pt>
                <c:pt idx="10">
                  <c:v>13.038461538461538</c:v>
                </c:pt>
                <c:pt idx="11">
                  <c:v>13.038461538461538</c:v>
                </c:pt>
                <c:pt idx="12">
                  <c:v>13.038461538461538</c:v>
                </c:pt>
                <c:pt idx="13">
                  <c:v>13.038461538461538</c:v>
                </c:pt>
                <c:pt idx="14">
                  <c:v>13.038461538461538</c:v>
                </c:pt>
                <c:pt idx="15">
                  <c:v>13.038461538461538</c:v>
                </c:pt>
                <c:pt idx="16">
                  <c:v>13.038461538461538</c:v>
                </c:pt>
                <c:pt idx="17">
                  <c:v>13.038461538461538</c:v>
                </c:pt>
                <c:pt idx="18">
                  <c:v>13.038461538461538</c:v>
                </c:pt>
                <c:pt idx="19">
                  <c:v>13.038461538461538</c:v>
                </c:pt>
                <c:pt idx="20">
                  <c:v>13.038461538461538</c:v>
                </c:pt>
                <c:pt idx="21">
                  <c:v>13.038461538461538</c:v>
                </c:pt>
                <c:pt idx="22">
                  <c:v>13.038461538461538</c:v>
                </c:pt>
                <c:pt idx="23">
                  <c:v>13.038461538461538</c:v>
                </c:pt>
                <c:pt idx="24">
                  <c:v>13.038461538461538</c:v>
                </c:pt>
                <c:pt idx="25">
                  <c:v>13.038461538461538</c:v>
                </c:pt>
                <c:pt idx="26">
                  <c:v>13.038461538461538</c:v>
                </c:pt>
                <c:pt idx="27">
                  <c:v>13.038461538461538</c:v>
                </c:pt>
                <c:pt idx="28">
                  <c:v>13.038461538461538</c:v>
                </c:pt>
                <c:pt idx="29">
                  <c:v>13.038461538461538</c:v>
                </c:pt>
                <c:pt idx="30">
                  <c:v>13.038461538461538</c:v>
                </c:pt>
                <c:pt idx="31">
                  <c:v>13.038461538461538</c:v>
                </c:pt>
                <c:pt idx="32">
                  <c:v>13.038461538461538</c:v>
                </c:pt>
                <c:pt idx="33">
                  <c:v>13.038461538461538</c:v>
                </c:pt>
                <c:pt idx="34">
                  <c:v>13.038461538461538</c:v>
                </c:pt>
                <c:pt idx="35">
                  <c:v>13.038461538461538</c:v>
                </c:pt>
                <c:pt idx="36">
                  <c:v>13.038461538461538</c:v>
                </c:pt>
                <c:pt idx="37">
                  <c:v>13.038461538461538</c:v>
                </c:pt>
                <c:pt idx="38">
                  <c:v>13.038461538461538</c:v>
                </c:pt>
                <c:pt idx="39">
                  <c:v>13.038461538461538</c:v>
                </c:pt>
                <c:pt idx="40">
                  <c:v>13.038461538461538</c:v>
                </c:pt>
                <c:pt idx="41">
                  <c:v>13.038461538461538</c:v>
                </c:pt>
                <c:pt idx="42">
                  <c:v>13.038461538461538</c:v>
                </c:pt>
                <c:pt idx="43">
                  <c:v>13.038461538461538</c:v>
                </c:pt>
                <c:pt idx="44">
                  <c:v>13.038461538461538</c:v>
                </c:pt>
                <c:pt idx="45">
                  <c:v>13.038461538461538</c:v>
                </c:pt>
                <c:pt idx="46">
                  <c:v>13.038461538461538</c:v>
                </c:pt>
                <c:pt idx="47">
                  <c:v>13.038461538461538</c:v>
                </c:pt>
                <c:pt idx="48">
                  <c:v>13.038461538461538</c:v>
                </c:pt>
                <c:pt idx="49">
                  <c:v>13.038461538461538</c:v>
                </c:pt>
                <c:pt idx="50">
                  <c:v>13.038461538461538</c:v>
                </c:pt>
                <c:pt idx="51">
                  <c:v>13.038461538461538</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#N/A</c:v>
                </c:pt>
                <c:pt idx="1">
                  <c:v>2.1153846153846154</c:v>
                </c:pt>
                <c:pt idx="2">
                  <c:v>2.1153846153846154</c:v>
                </c:pt>
                <c:pt idx="3">
                  <c:v>2.1153846153846154</c:v>
                </c:pt>
                <c:pt idx="4">
                  <c:v>2.1153846153846154</c:v>
                </c:pt>
                <c:pt idx="5">
                  <c:v>2.1153846153846154</c:v>
                </c:pt>
                <c:pt idx="6">
                  <c:v>2.1153846153846154</c:v>
                </c:pt>
                <c:pt idx="7">
                  <c:v>2.1153846153846154</c:v>
                </c:pt>
                <c:pt idx="8">
                  <c:v>2.1153846153846154</c:v>
                </c:pt>
                <c:pt idx="9">
                  <c:v>2.1153846153846154</c:v>
                </c:pt>
                <c:pt idx="10">
                  <c:v>2.1153846153846154</c:v>
                </c:pt>
                <c:pt idx="11">
                  <c:v>2.1153846153846154</c:v>
                </c:pt>
                <c:pt idx="12">
                  <c:v>2.1153846153846154</c:v>
                </c:pt>
                <c:pt idx="13">
                  <c:v>2.1153846153846154</c:v>
                </c:pt>
                <c:pt idx="14">
                  <c:v>2.1153846153846154</c:v>
                </c:pt>
                <c:pt idx="15">
                  <c:v>2.1153846153846154</c:v>
                </c:pt>
                <c:pt idx="16">
                  <c:v>2.1153846153846154</c:v>
                </c:pt>
                <c:pt idx="17">
                  <c:v>2.1153846153846154</c:v>
                </c:pt>
                <c:pt idx="18">
                  <c:v>2.1153846153846154</c:v>
                </c:pt>
                <c:pt idx="19">
                  <c:v>2.1153846153846154</c:v>
                </c:pt>
                <c:pt idx="20">
                  <c:v>2.1153846153846154</c:v>
                </c:pt>
                <c:pt idx="21">
                  <c:v>2.1153846153846154</c:v>
                </c:pt>
                <c:pt idx="22">
                  <c:v>2.1153846153846154</c:v>
                </c:pt>
                <c:pt idx="23">
                  <c:v>2.1153846153846154</c:v>
                </c:pt>
                <c:pt idx="24">
                  <c:v>2.1153846153846154</c:v>
                </c:pt>
                <c:pt idx="25">
                  <c:v>2.1153846153846154</c:v>
                </c:pt>
                <c:pt idx="26">
                  <c:v>2.1153846153846154</c:v>
                </c:pt>
                <c:pt idx="27">
                  <c:v>2.1153846153846154</c:v>
                </c:pt>
                <c:pt idx="28">
                  <c:v>2.1153846153846154</c:v>
                </c:pt>
                <c:pt idx="29">
                  <c:v>2.1153846153846154</c:v>
                </c:pt>
                <c:pt idx="30">
                  <c:v>2.1153846153846154</c:v>
                </c:pt>
                <c:pt idx="31">
                  <c:v>2.1153846153846154</c:v>
                </c:pt>
                <c:pt idx="32">
                  <c:v>2.1153846153846154</c:v>
                </c:pt>
                <c:pt idx="33">
                  <c:v>2.1153846153846154</c:v>
                </c:pt>
                <c:pt idx="34">
                  <c:v>2.1153846153846154</c:v>
                </c:pt>
                <c:pt idx="35">
                  <c:v>2.1153846153846154</c:v>
                </c:pt>
                <c:pt idx="36">
                  <c:v>2.1153846153846154</c:v>
                </c:pt>
                <c:pt idx="37">
                  <c:v>2.1153846153846154</c:v>
                </c:pt>
                <c:pt idx="38">
                  <c:v>2.1153846153846154</c:v>
                </c:pt>
                <c:pt idx="39">
                  <c:v>2.1153846153846154</c:v>
                </c:pt>
                <c:pt idx="40">
                  <c:v>2.1153846153846154</c:v>
                </c:pt>
                <c:pt idx="41">
                  <c:v>2.1153846153846154</c:v>
                </c:pt>
                <c:pt idx="42">
                  <c:v>2.1153846153846154</c:v>
                </c:pt>
                <c:pt idx="43">
                  <c:v>2.1153846153846154</c:v>
                </c:pt>
                <c:pt idx="44">
                  <c:v>2.1153846153846154</c:v>
                </c:pt>
                <c:pt idx="45">
                  <c:v>2.1153846153846154</c:v>
                </c:pt>
                <c:pt idx="46">
                  <c:v>2.1153846153846154</c:v>
                </c:pt>
                <c:pt idx="47">
                  <c:v>2.1153846153846154</c:v>
                </c:pt>
                <c:pt idx="48">
                  <c:v>2.1153846153846154</c:v>
                </c:pt>
                <c:pt idx="49">
                  <c:v>2.1153846153846154</c:v>
                </c:pt>
                <c:pt idx="50">
                  <c:v>2.1153846153846154</c:v>
                </c:pt>
                <c:pt idx="51">
                  <c:v>2.1153846153846154</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(hide)'!$AA$13:$AA$64</c:f>
              <c:numCache>
                <c:formatCode>General</c:formatCode>
                <c:ptCount val="52"/>
                <c:pt idx="0">
                  <c:v>42.562452931683694</c:v>
                </c:pt>
                <c:pt idx="1">
                  <c:v>42.562452931683694</c:v>
                </c:pt>
                <c:pt idx="2">
                  <c:v>42.562452931683694</c:v>
                </c:pt>
                <c:pt idx="3">
                  <c:v>42.562452931683694</c:v>
                </c:pt>
                <c:pt idx="4">
                  <c:v>42.562452931683694</c:v>
                </c:pt>
                <c:pt idx="5">
                  <c:v>42.562452931683694</c:v>
                </c:pt>
                <c:pt idx="6">
                  <c:v>42.562452931683694</c:v>
                </c:pt>
                <c:pt idx="7">
                  <c:v>42.562452931683694</c:v>
                </c:pt>
                <c:pt idx="8">
                  <c:v>42.562452931683694</c:v>
                </c:pt>
                <c:pt idx="9">
                  <c:v>42.562452931683694</c:v>
                </c:pt>
                <c:pt idx="10">
                  <c:v>42.562452931683694</c:v>
                </c:pt>
                <c:pt idx="11">
                  <c:v>42.562452931683694</c:v>
                </c:pt>
                <c:pt idx="12">
                  <c:v>42.562452931683694</c:v>
                </c:pt>
                <c:pt idx="13">
                  <c:v>42.562452931683694</c:v>
                </c:pt>
                <c:pt idx="14">
                  <c:v>42.562452931683694</c:v>
                </c:pt>
                <c:pt idx="15">
                  <c:v>42.562452931683694</c:v>
                </c:pt>
                <c:pt idx="16">
                  <c:v>42.562452931683694</c:v>
                </c:pt>
                <c:pt idx="17">
                  <c:v>42.562452931683694</c:v>
                </c:pt>
                <c:pt idx="18">
                  <c:v>42.562452931683694</c:v>
                </c:pt>
                <c:pt idx="19">
                  <c:v>42.562452931683694</c:v>
                </c:pt>
                <c:pt idx="20">
                  <c:v>42.562452931683694</c:v>
                </c:pt>
                <c:pt idx="21">
                  <c:v>42.562452931683694</c:v>
                </c:pt>
                <c:pt idx="22">
                  <c:v>42.562452931683694</c:v>
                </c:pt>
                <c:pt idx="23">
                  <c:v>42.562452931683694</c:v>
                </c:pt>
                <c:pt idx="24">
                  <c:v>42.562452931683694</c:v>
                </c:pt>
                <c:pt idx="25">
                  <c:v>42.562452931683694</c:v>
                </c:pt>
                <c:pt idx="26">
                  <c:v>42.562452931683694</c:v>
                </c:pt>
                <c:pt idx="27">
                  <c:v>42.562452931683694</c:v>
                </c:pt>
                <c:pt idx="28">
                  <c:v>42.562452931683694</c:v>
                </c:pt>
                <c:pt idx="29">
                  <c:v>42.562452931683694</c:v>
                </c:pt>
                <c:pt idx="30">
                  <c:v>42.562452931683694</c:v>
                </c:pt>
                <c:pt idx="31">
                  <c:v>42.562452931683694</c:v>
                </c:pt>
                <c:pt idx="32">
                  <c:v>42.562452931683694</c:v>
                </c:pt>
                <c:pt idx="33">
                  <c:v>42.562452931683694</c:v>
                </c:pt>
                <c:pt idx="34">
                  <c:v>42.562452931683694</c:v>
                </c:pt>
                <c:pt idx="35">
                  <c:v>42.562452931683694</c:v>
                </c:pt>
                <c:pt idx="36">
                  <c:v>42.562452931683694</c:v>
                </c:pt>
                <c:pt idx="37">
                  <c:v>42.562452931683694</c:v>
                </c:pt>
                <c:pt idx="38">
                  <c:v>42.562452931683694</c:v>
                </c:pt>
                <c:pt idx="39">
                  <c:v>42.562452931683694</c:v>
                </c:pt>
                <c:pt idx="40">
                  <c:v>42.562452931683694</c:v>
                </c:pt>
                <c:pt idx="41">
                  <c:v>42.562452931683694</c:v>
                </c:pt>
                <c:pt idx="42">
                  <c:v>42.562452931683694</c:v>
                </c:pt>
                <c:pt idx="43">
                  <c:v>42.562452931683694</c:v>
                </c:pt>
                <c:pt idx="44">
                  <c:v>42.562452931683694</c:v>
                </c:pt>
                <c:pt idx="45">
                  <c:v>42.562452931683694</c:v>
                </c:pt>
                <c:pt idx="46">
                  <c:v>42.562452931683694</c:v>
                </c:pt>
                <c:pt idx="47">
                  <c:v>42.562452931683694</c:v>
                </c:pt>
                <c:pt idx="48">
                  <c:v>42.562452931683694</c:v>
                </c:pt>
                <c:pt idx="49">
                  <c:v>42.562452931683694</c:v>
                </c:pt>
                <c:pt idx="50">
                  <c:v>42.562452931683694</c:v>
                </c:pt>
                <c:pt idx="51">
                  <c:v>42.562452931683694</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Dec</c:v>
                  </c:pt>
                  <c:pt idx="1">
                    <c:v>Jan</c:v>
                  </c:pt>
                  <c:pt idx="5">
                    <c:v>Feb</c:v>
                  </c:pt>
                  <c:pt idx="9">
                    <c:v>Mar</c:v>
                  </c:pt>
                  <c:pt idx="14">
                    <c:v>Apr</c:v>
                  </c:pt>
                  <c:pt idx="18">
                    <c:v>May</c:v>
                  </c:pt>
                  <c:pt idx="23">
                    <c:v>Jun</c:v>
                  </c:pt>
                  <c:pt idx="27">
                    <c:v>Jul</c:v>
                  </c:pt>
                  <c:pt idx="31">
                    <c:v>Aug</c:v>
                  </c:pt>
                  <c:pt idx="36">
                    <c:v>Sep</c:v>
                  </c:pt>
                  <c:pt idx="40">
                    <c:v>Oct</c:v>
                  </c:pt>
                  <c:pt idx="44">
                    <c:v>Nov</c:v>
                  </c:pt>
                  <c:pt idx="49">
                    <c:v>Dec</c:v>
                  </c:pt>
                </c:lvl>
                <c:lvl>
                  <c:pt idx="0">
                    <c:v>2020</c:v>
                  </c:pt>
                  <c:pt idx="1">
                    <c:v>2021</c:v>
                  </c:pt>
                </c:lvl>
              </c:multiLvlStrCache>
            </c:multiLvlStrRef>
          </c:cat>
          <c:val>
            <c:numRef>
              <c:f>'WL PI Backing (hide)'!$AC$13:$AC$64</c:f>
              <c:numCache>
                <c:formatCode>General</c:formatCode>
                <c:ptCount val="52"/>
                <c:pt idx="0">
                  <c:v>4.4802582033351257</c:v>
                </c:pt>
                <c:pt idx="1">
                  <c:v>4.4802582033351257</c:v>
                </c:pt>
                <c:pt idx="2">
                  <c:v>4.4802582033351257</c:v>
                </c:pt>
                <c:pt idx="3">
                  <c:v>4.4802582033351257</c:v>
                </c:pt>
                <c:pt idx="4">
                  <c:v>4.4802582033351257</c:v>
                </c:pt>
                <c:pt idx="5">
                  <c:v>4.4802582033351257</c:v>
                </c:pt>
                <c:pt idx="6">
                  <c:v>4.4802582033351257</c:v>
                </c:pt>
                <c:pt idx="7">
                  <c:v>4.4802582033351257</c:v>
                </c:pt>
                <c:pt idx="8">
                  <c:v>4.4802582033351257</c:v>
                </c:pt>
                <c:pt idx="9">
                  <c:v>4.4802582033351257</c:v>
                </c:pt>
                <c:pt idx="10">
                  <c:v>4.4802582033351257</c:v>
                </c:pt>
                <c:pt idx="11">
                  <c:v>4.4802582033351257</c:v>
                </c:pt>
                <c:pt idx="12">
                  <c:v>4.4802582033351257</c:v>
                </c:pt>
                <c:pt idx="13">
                  <c:v>4.4802582033351257</c:v>
                </c:pt>
                <c:pt idx="14">
                  <c:v>4.4802582033351257</c:v>
                </c:pt>
                <c:pt idx="15">
                  <c:v>4.4802582033351257</c:v>
                </c:pt>
                <c:pt idx="16">
                  <c:v>4.4802582033351257</c:v>
                </c:pt>
                <c:pt idx="17">
                  <c:v>4.4802582033351257</c:v>
                </c:pt>
                <c:pt idx="18">
                  <c:v>4.4802582033351257</c:v>
                </c:pt>
                <c:pt idx="19">
                  <c:v>4.4802582033351257</c:v>
                </c:pt>
                <c:pt idx="20">
                  <c:v>4.4802582033351257</c:v>
                </c:pt>
                <c:pt idx="21">
                  <c:v>4.4802582033351257</c:v>
                </c:pt>
                <c:pt idx="22">
                  <c:v>4.4802582033351257</c:v>
                </c:pt>
                <c:pt idx="23">
                  <c:v>4.4802582033351257</c:v>
                </c:pt>
                <c:pt idx="24">
                  <c:v>4.4802582033351257</c:v>
                </c:pt>
                <c:pt idx="25">
                  <c:v>4.4802582033351257</c:v>
                </c:pt>
                <c:pt idx="26">
                  <c:v>4.4802582033351257</c:v>
                </c:pt>
                <c:pt idx="27">
                  <c:v>4.4802582033351257</c:v>
                </c:pt>
                <c:pt idx="28">
                  <c:v>4.4802582033351257</c:v>
                </c:pt>
                <c:pt idx="29">
                  <c:v>4.4802582033351257</c:v>
                </c:pt>
                <c:pt idx="30">
                  <c:v>4.4802582033351257</c:v>
                </c:pt>
                <c:pt idx="31">
                  <c:v>4.4802582033351257</c:v>
                </c:pt>
                <c:pt idx="32">
                  <c:v>4.4802582033351257</c:v>
                </c:pt>
                <c:pt idx="33">
                  <c:v>4.4802582033351257</c:v>
                </c:pt>
                <c:pt idx="34">
                  <c:v>4.4802582033351257</c:v>
                </c:pt>
                <c:pt idx="35">
                  <c:v>4.4802582033351257</c:v>
                </c:pt>
                <c:pt idx="36">
                  <c:v>4.4802582033351257</c:v>
                </c:pt>
                <c:pt idx="37">
                  <c:v>4.4802582033351257</c:v>
                </c:pt>
                <c:pt idx="38">
                  <c:v>4.4802582033351257</c:v>
                </c:pt>
                <c:pt idx="39">
                  <c:v>4.4802582033351257</c:v>
                </c:pt>
                <c:pt idx="40">
                  <c:v>4.4802582033351257</c:v>
                </c:pt>
                <c:pt idx="41">
                  <c:v>4.4802582033351257</c:v>
                </c:pt>
                <c:pt idx="42">
                  <c:v>4.4802582033351257</c:v>
                </c:pt>
                <c:pt idx="43">
                  <c:v>4.4802582033351257</c:v>
                </c:pt>
                <c:pt idx="44">
                  <c:v>4.4802582033351257</c:v>
                </c:pt>
                <c:pt idx="45">
                  <c:v>4.4802582033351257</c:v>
                </c:pt>
                <c:pt idx="46">
                  <c:v>4.4802582033351257</c:v>
                </c:pt>
                <c:pt idx="47">
                  <c:v>4.4802582033351257</c:v>
                </c:pt>
                <c:pt idx="48">
                  <c:v>4.4802582033351257</c:v>
                </c:pt>
                <c:pt idx="49">
                  <c:v>4.4802582033351257</c:v>
                </c:pt>
                <c:pt idx="50">
                  <c:v>4.4802582033351257</c:v>
                </c:pt>
                <c:pt idx="51">
                  <c:v>4.4802582033351257</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13.421118881118881</c:v>
                </c:pt>
                <c:pt idx="1">
                  <c:v>13.421118881118881</c:v>
                </c:pt>
                <c:pt idx="2">
                  <c:v>13.421118881118881</c:v>
                </c:pt>
                <c:pt idx="3">
                  <c:v>13.421118881118881</c:v>
                </c:pt>
                <c:pt idx="4">
                  <c:v>13.421118881118881</c:v>
                </c:pt>
                <c:pt idx="5">
                  <c:v>13.421118881118881</c:v>
                </c:pt>
                <c:pt idx="6">
                  <c:v>13.421118881118881</c:v>
                </c:pt>
                <c:pt idx="7">
                  <c:v>13.421118881118881</c:v>
                </c:pt>
                <c:pt idx="8">
                  <c:v>13.421118881118881</c:v>
                </c:pt>
                <c:pt idx="9">
                  <c:v>13.421118881118881</c:v>
                </c:pt>
                <c:pt idx="10">
                  <c:v>13.421118881118881</c:v>
                </c:pt>
                <c:pt idx="11">
                  <c:v>13.421118881118881</c:v>
                </c:pt>
                <c:pt idx="12">
                  <c:v>13.421118881118881</c:v>
                </c:pt>
                <c:pt idx="13">
                  <c:v>13.421118881118881</c:v>
                </c:pt>
                <c:pt idx="14">
                  <c:v>13.421118881118881</c:v>
                </c:pt>
                <c:pt idx="15">
                  <c:v>13.421118881118881</c:v>
                </c:pt>
                <c:pt idx="16">
                  <c:v>13.421118881118881</c:v>
                </c:pt>
                <c:pt idx="17">
                  <c:v>13.421118881118881</c:v>
                </c:pt>
                <c:pt idx="18">
                  <c:v>13.421118881118881</c:v>
                </c:pt>
                <c:pt idx="19">
                  <c:v>13.421118881118881</c:v>
                </c:pt>
                <c:pt idx="20">
                  <c:v>13.421118881118881</c:v>
                </c:pt>
                <c:pt idx="21">
                  <c:v>13.421118881118881</c:v>
                </c:pt>
                <c:pt idx="22">
                  <c:v>13.421118881118881</c:v>
                </c:pt>
                <c:pt idx="23">
                  <c:v>13.421118881118881</c:v>
                </c:pt>
                <c:pt idx="24">
                  <c:v>13.421118881118881</c:v>
                </c:pt>
                <c:pt idx="25">
                  <c:v>13.421118881118881</c:v>
                </c:pt>
                <c:pt idx="26">
                  <c:v>13.421118881118881</c:v>
                </c:pt>
                <c:pt idx="27">
                  <c:v>13.421118881118881</c:v>
                </c:pt>
                <c:pt idx="28">
                  <c:v>13.421118881118881</c:v>
                </c:pt>
                <c:pt idx="29">
                  <c:v>13.421118881118881</c:v>
                </c:pt>
                <c:pt idx="30">
                  <c:v>13.421118881118881</c:v>
                </c:pt>
                <c:pt idx="31">
                  <c:v>13.421118881118881</c:v>
                </c:pt>
                <c:pt idx="32">
                  <c:v>13.421118881118881</c:v>
                </c:pt>
                <c:pt idx="33">
                  <c:v>13.421118881118881</c:v>
                </c:pt>
                <c:pt idx="34">
                  <c:v>13.421118881118881</c:v>
                </c:pt>
                <c:pt idx="35">
                  <c:v>13.421118881118881</c:v>
                </c:pt>
                <c:pt idx="36">
                  <c:v>13.421118881118881</c:v>
                </c:pt>
                <c:pt idx="37">
                  <c:v>13.421118881118881</c:v>
                </c:pt>
                <c:pt idx="38">
                  <c:v>13.421118881118881</c:v>
                </c:pt>
                <c:pt idx="39">
                  <c:v>13.421118881118881</c:v>
                </c:pt>
                <c:pt idx="40">
                  <c:v>13.421118881118881</c:v>
                </c:pt>
                <c:pt idx="41">
                  <c:v>13.421118881118881</c:v>
                </c:pt>
                <c:pt idx="42">
                  <c:v>13.421118881118881</c:v>
                </c:pt>
                <c:pt idx="43">
                  <c:v>13.421118881118881</c:v>
                </c:pt>
                <c:pt idx="44">
                  <c:v>13.421118881118881</c:v>
                </c:pt>
                <c:pt idx="45">
                  <c:v>13.421118881118881</c:v>
                </c:pt>
                <c:pt idx="46">
                  <c:v>13.421118881118881</c:v>
                </c:pt>
                <c:pt idx="47">
                  <c:v>13.421118881118881</c:v>
                </c:pt>
                <c:pt idx="48">
                  <c:v>13.421118881118881</c:v>
                </c:pt>
                <c:pt idx="49">
                  <c:v>13.421118881118881</c:v>
                </c:pt>
                <c:pt idx="50">
                  <c:v>13.421118881118881</c:v>
                </c:pt>
                <c:pt idx="51">
                  <c:v>13.421118881118881</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2.7377622377622375</c:v>
                </c:pt>
                <c:pt idx="1">
                  <c:v>2.7377622377622375</c:v>
                </c:pt>
                <c:pt idx="2">
                  <c:v>2.7377622377622375</c:v>
                </c:pt>
                <c:pt idx="3">
                  <c:v>2.7377622377622375</c:v>
                </c:pt>
                <c:pt idx="4">
                  <c:v>2.7377622377622375</c:v>
                </c:pt>
                <c:pt idx="5">
                  <c:v>2.7377622377622375</c:v>
                </c:pt>
                <c:pt idx="6">
                  <c:v>2.7377622377622375</c:v>
                </c:pt>
                <c:pt idx="7">
                  <c:v>2.7377622377622375</c:v>
                </c:pt>
                <c:pt idx="8">
                  <c:v>2.7377622377622375</c:v>
                </c:pt>
                <c:pt idx="9">
                  <c:v>2.7377622377622375</c:v>
                </c:pt>
                <c:pt idx="10">
                  <c:v>2.7377622377622375</c:v>
                </c:pt>
                <c:pt idx="11">
                  <c:v>2.7377622377622375</c:v>
                </c:pt>
                <c:pt idx="12">
                  <c:v>2.7377622377622375</c:v>
                </c:pt>
                <c:pt idx="13">
                  <c:v>2.7377622377622375</c:v>
                </c:pt>
                <c:pt idx="14">
                  <c:v>2.7377622377622375</c:v>
                </c:pt>
                <c:pt idx="15">
                  <c:v>2.7377622377622375</c:v>
                </c:pt>
                <c:pt idx="16">
                  <c:v>2.7377622377622375</c:v>
                </c:pt>
                <c:pt idx="17">
                  <c:v>2.7377622377622375</c:v>
                </c:pt>
                <c:pt idx="18">
                  <c:v>2.7377622377622375</c:v>
                </c:pt>
                <c:pt idx="19">
                  <c:v>2.7377622377622375</c:v>
                </c:pt>
                <c:pt idx="20">
                  <c:v>2.7377622377622375</c:v>
                </c:pt>
                <c:pt idx="21">
                  <c:v>2.7377622377622375</c:v>
                </c:pt>
                <c:pt idx="22">
                  <c:v>2.7377622377622375</c:v>
                </c:pt>
                <c:pt idx="23">
                  <c:v>2.7377622377622375</c:v>
                </c:pt>
                <c:pt idx="24">
                  <c:v>2.7377622377622375</c:v>
                </c:pt>
                <c:pt idx="25">
                  <c:v>2.7377622377622375</c:v>
                </c:pt>
                <c:pt idx="26">
                  <c:v>2.7377622377622375</c:v>
                </c:pt>
                <c:pt idx="27">
                  <c:v>2.7377622377622375</c:v>
                </c:pt>
                <c:pt idx="28">
                  <c:v>2.7377622377622375</c:v>
                </c:pt>
                <c:pt idx="29">
                  <c:v>2.7377622377622375</c:v>
                </c:pt>
                <c:pt idx="30">
                  <c:v>2.7377622377622375</c:v>
                </c:pt>
                <c:pt idx="31">
                  <c:v>2.7377622377622375</c:v>
                </c:pt>
                <c:pt idx="32">
                  <c:v>2.7377622377622375</c:v>
                </c:pt>
                <c:pt idx="33">
                  <c:v>2.7377622377622375</c:v>
                </c:pt>
                <c:pt idx="34">
                  <c:v>2.7377622377622375</c:v>
                </c:pt>
                <c:pt idx="35">
                  <c:v>2.7377622377622375</c:v>
                </c:pt>
                <c:pt idx="36">
                  <c:v>2.7377622377622375</c:v>
                </c:pt>
                <c:pt idx="37">
                  <c:v>2.7377622377622375</c:v>
                </c:pt>
                <c:pt idx="38">
                  <c:v>2.7377622377622375</c:v>
                </c:pt>
                <c:pt idx="39">
                  <c:v>2.7377622377622375</c:v>
                </c:pt>
                <c:pt idx="40">
                  <c:v>2.7377622377622375</c:v>
                </c:pt>
                <c:pt idx="41">
                  <c:v>2.7377622377622375</c:v>
                </c:pt>
                <c:pt idx="42">
                  <c:v>2.7377622377622375</c:v>
                </c:pt>
                <c:pt idx="43">
                  <c:v>2.7377622377622375</c:v>
                </c:pt>
                <c:pt idx="44">
                  <c:v>2.7377622377622375</c:v>
                </c:pt>
                <c:pt idx="45">
                  <c:v>2.7377622377622375</c:v>
                </c:pt>
                <c:pt idx="46">
                  <c:v>2.7377622377622375</c:v>
                </c:pt>
                <c:pt idx="47">
                  <c:v>2.7377622377622375</c:v>
                </c:pt>
                <c:pt idx="48">
                  <c:v>2.7377622377622375</c:v>
                </c:pt>
                <c:pt idx="49">
                  <c:v>2.7377622377622375</c:v>
                </c:pt>
                <c:pt idx="50">
                  <c:v>2.7377622377622375</c:v>
                </c:pt>
                <c:pt idx="51">
                  <c:v>2.7377622377622375</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15.153846153846153</c:v>
                </c:pt>
                <c:pt idx="1">
                  <c:v>15.153846153846153</c:v>
                </c:pt>
                <c:pt idx="2">
                  <c:v>15.153846153846153</c:v>
                </c:pt>
                <c:pt idx="3">
                  <c:v>15.153846153846153</c:v>
                </c:pt>
                <c:pt idx="4">
                  <c:v>15.153846153846153</c:v>
                </c:pt>
                <c:pt idx="5">
                  <c:v>15.153846153846153</c:v>
                </c:pt>
                <c:pt idx="6">
                  <c:v>15.153846153846153</c:v>
                </c:pt>
                <c:pt idx="7">
                  <c:v>15.153846153846153</c:v>
                </c:pt>
                <c:pt idx="8">
                  <c:v>15.153846153846153</c:v>
                </c:pt>
                <c:pt idx="9">
                  <c:v>15.153846153846153</c:v>
                </c:pt>
                <c:pt idx="10">
                  <c:v>15.153846153846153</c:v>
                </c:pt>
                <c:pt idx="11">
                  <c:v>15.153846153846153</c:v>
                </c:pt>
                <c:pt idx="12">
                  <c:v>15.153846153846153</c:v>
                </c:pt>
                <c:pt idx="13">
                  <c:v>15.153846153846153</c:v>
                </c:pt>
                <c:pt idx="14">
                  <c:v>15.153846153846153</c:v>
                </c:pt>
                <c:pt idx="15">
                  <c:v>15.153846153846153</c:v>
                </c:pt>
                <c:pt idx="16">
                  <c:v>15.153846153846153</c:v>
                </c:pt>
                <c:pt idx="17">
                  <c:v>15.153846153846153</c:v>
                </c:pt>
                <c:pt idx="18">
                  <c:v>15.153846153846153</c:v>
                </c:pt>
                <c:pt idx="19">
                  <c:v>15.153846153846153</c:v>
                </c:pt>
                <c:pt idx="20">
                  <c:v>15.153846153846153</c:v>
                </c:pt>
                <c:pt idx="21">
                  <c:v>15.153846153846153</c:v>
                </c:pt>
                <c:pt idx="22">
                  <c:v>15.153846153846153</c:v>
                </c:pt>
                <c:pt idx="23">
                  <c:v>15.153846153846153</c:v>
                </c:pt>
                <c:pt idx="24">
                  <c:v>15.153846153846153</c:v>
                </c:pt>
                <c:pt idx="25">
                  <c:v>15.153846153846153</c:v>
                </c:pt>
                <c:pt idx="26">
                  <c:v>15.153846153846153</c:v>
                </c:pt>
                <c:pt idx="27">
                  <c:v>15.153846153846153</c:v>
                </c:pt>
                <c:pt idx="28">
                  <c:v>15.153846153846153</c:v>
                </c:pt>
                <c:pt idx="29">
                  <c:v>15.153846153846153</c:v>
                </c:pt>
                <c:pt idx="30">
                  <c:v>15.153846153846153</c:v>
                </c:pt>
                <c:pt idx="31">
                  <c:v>15.153846153846153</c:v>
                </c:pt>
                <c:pt idx="32">
                  <c:v>15.153846153846153</c:v>
                </c:pt>
                <c:pt idx="33">
                  <c:v>15.153846153846153</c:v>
                </c:pt>
                <c:pt idx="34">
                  <c:v>15.153846153846153</c:v>
                </c:pt>
                <c:pt idx="35">
                  <c:v>15.153846153846153</c:v>
                </c:pt>
                <c:pt idx="36">
                  <c:v>15.153846153846153</c:v>
                </c:pt>
                <c:pt idx="37">
                  <c:v>15.153846153846153</c:v>
                </c:pt>
                <c:pt idx="38">
                  <c:v>15.153846153846153</c:v>
                </c:pt>
                <c:pt idx="39">
                  <c:v>15.153846153846153</c:v>
                </c:pt>
                <c:pt idx="40">
                  <c:v>15.153846153846153</c:v>
                </c:pt>
                <c:pt idx="41">
                  <c:v>15.153846153846153</c:v>
                </c:pt>
                <c:pt idx="42">
                  <c:v>15.153846153846153</c:v>
                </c:pt>
                <c:pt idx="43">
                  <c:v>15.153846153846153</c:v>
                </c:pt>
                <c:pt idx="44">
                  <c:v>15.153846153846153</c:v>
                </c:pt>
                <c:pt idx="45">
                  <c:v>15.153846153846153</c:v>
                </c:pt>
                <c:pt idx="46">
                  <c:v>15.153846153846153</c:v>
                </c:pt>
                <c:pt idx="47">
                  <c:v>15.153846153846153</c:v>
                </c:pt>
                <c:pt idx="48">
                  <c:v>15.153846153846153</c:v>
                </c:pt>
                <c:pt idx="49">
                  <c:v>15.153846153846153</c:v>
                </c:pt>
                <c:pt idx="50">
                  <c:v>15.153846153846153</c:v>
                </c:pt>
                <c:pt idx="51">
                  <c:v>15.153846153846153</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99"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9"/>
  <sheetViews>
    <sheetView showGridLines="0" workbookViewId="0">
      <selection activeCell="D5" sqref="D5"/>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171.75" x14ac:dyDescent="0.25">
      <c r="A3" s="289" t="s">
        <v>1292</v>
      </c>
      <c r="B3" s="290">
        <v>44145</v>
      </c>
      <c r="C3" s="289" t="s">
        <v>276</v>
      </c>
      <c r="D3" s="288" t="s">
        <v>1304</v>
      </c>
      <c r="E3" s="285"/>
    </row>
    <row r="4" spans="1:5" s="67" customFormat="1" ht="42.75" x14ac:dyDescent="0.2">
      <c r="A4" s="292" t="s">
        <v>1276</v>
      </c>
      <c r="B4" s="380">
        <v>44061</v>
      </c>
      <c r="C4" s="292" t="s">
        <v>1271</v>
      </c>
      <c r="D4" s="292" t="s">
        <v>1275</v>
      </c>
      <c r="E4" s="292"/>
    </row>
    <row r="5" spans="1:5" s="67" customFormat="1" ht="57" x14ac:dyDescent="0.2">
      <c r="A5" s="289" t="s">
        <v>1274</v>
      </c>
      <c r="B5" s="290">
        <v>44057</v>
      </c>
      <c r="C5" s="292" t="s">
        <v>1271</v>
      </c>
      <c r="D5" s="292" t="s">
        <v>1272</v>
      </c>
      <c r="E5" s="289"/>
    </row>
    <row r="6" spans="1:5" s="67" customFormat="1" ht="57" x14ac:dyDescent="0.2">
      <c r="A6" s="289" t="s">
        <v>1241</v>
      </c>
      <c r="B6" s="290">
        <v>44027</v>
      </c>
      <c r="C6" s="289" t="s">
        <v>5</v>
      </c>
      <c r="D6" s="292" t="s">
        <v>1242</v>
      </c>
      <c r="E6" s="289"/>
    </row>
    <row r="7" spans="1:5" s="67" customFormat="1" ht="156.75" x14ac:dyDescent="0.2">
      <c r="A7" s="289" t="s">
        <v>1234</v>
      </c>
      <c r="B7" s="290">
        <v>44025</v>
      </c>
      <c r="C7" s="289" t="s">
        <v>5</v>
      </c>
      <c r="D7" s="292" t="s">
        <v>1240</v>
      </c>
      <c r="E7" s="292"/>
    </row>
    <row r="8" spans="1:5" s="67" customFormat="1" ht="71.25" x14ac:dyDescent="0.2">
      <c r="A8" s="289" t="s">
        <v>1232</v>
      </c>
      <c r="B8" s="290">
        <v>43997</v>
      </c>
      <c r="C8" s="289" t="s">
        <v>5</v>
      </c>
      <c r="D8" s="292" t="s">
        <v>1235</v>
      </c>
      <c r="E8" s="289"/>
    </row>
    <row r="9" spans="1:5" s="67" customFormat="1" ht="156.75" x14ac:dyDescent="0.2">
      <c r="A9" s="289">
        <v>3.4</v>
      </c>
      <c r="B9" s="290">
        <v>43993</v>
      </c>
      <c r="C9" s="289" t="s">
        <v>5</v>
      </c>
      <c r="D9" s="292" t="s">
        <v>1230</v>
      </c>
      <c r="E9" s="292"/>
    </row>
    <row r="10" spans="1:5" s="67" customFormat="1" ht="142.5" x14ac:dyDescent="0.2">
      <c r="A10" s="289">
        <v>3.3</v>
      </c>
      <c r="B10" s="290">
        <v>43980</v>
      </c>
      <c r="C10" s="289" t="s">
        <v>5</v>
      </c>
      <c r="D10" s="292" t="s">
        <v>1228</v>
      </c>
      <c r="E10" s="289"/>
    </row>
    <row r="11" spans="1:5" s="67" customFormat="1" ht="42.75" x14ac:dyDescent="0.2">
      <c r="A11" s="334">
        <v>3.2</v>
      </c>
      <c r="B11" s="290">
        <v>43965</v>
      </c>
      <c r="C11" s="289" t="s">
        <v>5</v>
      </c>
      <c r="D11" s="292" t="s">
        <v>1211</v>
      </c>
      <c r="E11" s="292"/>
    </row>
    <row r="12" spans="1:5" s="67" customFormat="1" ht="42.75" x14ac:dyDescent="0.2">
      <c r="A12" s="334">
        <v>3.1</v>
      </c>
      <c r="B12" s="290">
        <v>43964</v>
      </c>
      <c r="C12" s="289" t="s">
        <v>5</v>
      </c>
      <c r="D12" s="292" t="s">
        <v>1206</v>
      </c>
      <c r="E12" s="292"/>
    </row>
    <row r="13" spans="1:5" s="67" customFormat="1" ht="99.75" x14ac:dyDescent="0.2">
      <c r="A13" s="334">
        <v>3</v>
      </c>
      <c r="B13" s="290">
        <v>43963</v>
      </c>
      <c r="C13" s="289" t="s">
        <v>5</v>
      </c>
      <c r="D13" s="292" t="s">
        <v>1202</v>
      </c>
      <c r="E13" s="292" t="s">
        <v>1203</v>
      </c>
    </row>
    <row r="14" spans="1:5" s="67" customFormat="1" ht="72" x14ac:dyDescent="0.25">
      <c r="A14" s="289">
        <v>2.13</v>
      </c>
      <c r="B14" s="290">
        <v>43903</v>
      </c>
      <c r="C14" s="289" t="s">
        <v>5</v>
      </c>
      <c r="D14" s="292" t="s">
        <v>1174</v>
      </c>
      <c r="E14" s="285"/>
    </row>
    <row r="15" spans="1:5" s="67" customFormat="1" ht="29.25" x14ac:dyDescent="0.25">
      <c r="A15" s="289">
        <v>2.12</v>
      </c>
      <c r="B15" s="290">
        <v>43887</v>
      </c>
      <c r="C15" s="289" t="s">
        <v>276</v>
      </c>
      <c r="D15" s="292" t="s">
        <v>1175</v>
      </c>
      <c r="E15" s="285"/>
    </row>
    <row r="16" spans="1:5" s="67" customFormat="1" ht="57" x14ac:dyDescent="0.2">
      <c r="A16" s="289">
        <v>2.11</v>
      </c>
      <c r="B16" s="290">
        <v>43846</v>
      </c>
      <c r="C16" s="292" t="s">
        <v>1166</v>
      </c>
      <c r="D16" s="292" t="s">
        <v>1173</v>
      </c>
      <c r="E16" s="292" t="s">
        <v>1171</v>
      </c>
    </row>
    <row r="17" spans="1:5" s="67" customFormat="1" ht="43.5" x14ac:dyDescent="0.25">
      <c r="A17" s="327">
        <v>2.1</v>
      </c>
      <c r="B17" s="290">
        <v>43756</v>
      </c>
      <c r="C17" s="289" t="s">
        <v>276</v>
      </c>
      <c r="D17" s="292" t="s">
        <v>1170</v>
      </c>
      <c r="E17" s="285"/>
    </row>
    <row r="18" spans="1:5" s="67" customFormat="1" ht="57.75" x14ac:dyDescent="0.25">
      <c r="A18" s="289">
        <v>2.02</v>
      </c>
      <c r="B18" s="290">
        <v>43718</v>
      </c>
      <c r="C18" s="289" t="s">
        <v>5</v>
      </c>
      <c r="D18" s="292" t="s">
        <v>1169</v>
      </c>
      <c r="E18" s="285"/>
    </row>
    <row r="19" spans="1:5" s="67" customFormat="1" ht="57.75" x14ac:dyDescent="0.25">
      <c r="A19" s="289">
        <v>2.0099999999999998</v>
      </c>
      <c r="B19" s="290">
        <v>43693</v>
      </c>
      <c r="C19" s="289" t="s">
        <v>1108</v>
      </c>
      <c r="D19" s="292" t="s">
        <v>1168</v>
      </c>
      <c r="E19" s="285"/>
    </row>
    <row r="20" spans="1:5" s="67" customFormat="1" ht="100.5" x14ac:dyDescent="0.25">
      <c r="A20" s="323">
        <v>2</v>
      </c>
      <c r="B20" s="313">
        <v>43665</v>
      </c>
      <c r="C20" s="292" t="s">
        <v>1166</v>
      </c>
      <c r="D20" s="292" t="s">
        <v>1167</v>
      </c>
      <c r="E20" s="285"/>
    </row>
    <row r="21" spans="1:5" s="67" customFormat="1" ht="257.25" x14ac:dyDescent="0.25">
      <c r="A21" s="285">
        <v>1.05</v>
      </c>
      <c r="B21" s="313">
        <v>43570</v>
      </c>
      <c r="C21" s="292" t="s">
        <v>1165</v>
      </c>
      <c r="D21" s="292" t="s">
        <v>1160</v>
      </c>
      <c r="E21" s="315" t="s">
        <v>1159</v>
      </c>
    </row>
    <row r="22" spans="1:5" s="67" customFormat="1" ht="85.5" x14ac:dyDescent="0.2">
      <c r="A22" s="289">
        <v>1.04</v>
      </c>
      <c r="B22" s="290">
        <v>43516</v>
      </c>
      <c r="C22" s="289" t="s">
        <v>1108</v>
      </c>
      <c r="D22" s="292" t="s">
        <v>1111</v>
      </c>
      <c r="E22" s="292"/>
    </row>
    <row r="23" spans="1:5" s="67" customFormat="1" ht="128.25" x14ac:dyDescent="0.2">
      <c r="A23" s="289" t="s">
        <v>1107</v>
      </c>
      <c r="B23" s="290">
        <v>43486</v>
      </c>
      <c r="C23" s="289" t="s">
        <v>1108</v>
      </c>
      <c r="D23" s="292" t="s">
        <v>1109</v>
      </c>
      <c r="E23" s="292" t="s">
        <v>1110</v>
      </c>
    </row>
    <row r="24" spans="1:5" s="291" customFormat="1" ht="171" x14ac:dyDescent="0.2">
      <c r="A24" s="289" t="s">
        <v>1107</v>
      </c>
      <c r="B24" s="290">
        <v>43395</v>
      </c>
      <c r="C24" s="289" t="s">
        <v>5</v>
      </c>
      <c r="D24" s="292" t="s">
        <v>1106</v>
      </c>
      <c r="E24" s="292" t="s">
        <v>1105</v>
      </c>
    </row>
    <row r="25" spans="1:5" s="291" customFormat="1" ht="171" x14ac:dyDescent="0.2">
      <c r="A25" s="289">
        <v>1.03</v>
      </c>
      <c r="B25" s="290">
        <v>43319</v>
      </c>
      <c r="C25" s="289" t="s">
        <v>5</v>
      </c>
      <c r="D25" s="292" t="s">
        <v>1104</v>
      </c>
      <c r="E25" s="289"/>
    </row>
    <row r="26" spans="1:5" ht="409.5" x14ac:dyDescent="0.2">
      <c r="A26" s="286">
        <v>1.02</v>
      </c>
      <c r="B26" s="287">
        <v>43292</v>
      </c>
      <c r="C26" s="286" t="s">
        <v>5</v>
      </c>
      <c r="D26" s="288" t="s">
        <v>1103</v>
      </c>
      <c r="E26" s="288" t="s">
        <v>944</v>
      </c>
    </row>
    <row r="27" spans="1:5" ht="42.75" x14ac:dyDescent="0.2">
      <c r="A27" s="286" t="s">
        <v>932</v>
      </c>
      <c r="B27" s="287">
        <v>43291</v>
      </c>
      <c r="C27" s="286" t="s">
        <v>5</v>
      </c>
      <c r="D27" s="288" t="s">
        <v>933</v>
      </c>
      <c r="E27" s="286"/>
    </row>
    <row r="28" spans="1:5" ht="156.75" x14ac:dyDescent="0.2">
      <c r="A28" s="286" t="s">
        <v>880</v>
      </c>
      <c r="B28" s="287">
        <v>43255</v>
      </c>
      <c r="C28" s="286" t="s">
        <v>5</v>
      </c>
      <c r="D28" s="288" t="s">
        <v>881</v>
      </c>
      <c r="E28" s="286"/>
    </row>
    <row r="29" spans="1:5" ht="42.75" x14ac:dyDescent="0.2">
      <c r="A29" s="286" t="s">
        <v>873</v>
      </c>
      <c r="B29" s="287">
        <v>43247</v>
      </c>
      <c r="C29" s="286" t="s">
        <v>5</v>
      </c>
      <c r="D29" s="288" t="s">
        <v>874</v>
      </c>
      <c r="E29" s="286"/>
    </row>
    <row r="30" spans="1:5" ht="142.5" x14ac:dyDescent="0.2">
      <c r="A30" s="286">
        <v>0.4</v>
      </c>
      <c r="B30" s="287">
        <v>43229</v>
      </c>
      <c r="C30" s="286" t="s">
        <v>5</v>
      </c>
      <c r="D30" s="288" t="s">
        <v>491</v>
      </c>
      <c r="E30" s="288" t="s">
        <v>492</v>
      </c>
    </row>
    <row r="31" spans="1:5" ht="114" x14ac:dyDescent="0.2">
      <c r="A31" s="286" t="s">
        <v>324</v>
      </c>
      <c r="B31" s="287">
        <v>43206</v>
      </c>
      <c r="C31" s="286" t="s">
        <v>5</v>
      </c>
      <c r="D31" s="288" t="s">
        <v>325</v>
      </c>
      <c r="E31" s="288" t="s">
        <v>339</v>
      </c>
    </row>
    <row r="32" spans="1:5" ht="57" x14ac:dyDescent="0.2">
      <c r="A32" s="286" t="s">
        <v>300</v>
      </c>
      <c r="B32" s="287">
        <v>43185</v>
      </c>
      <c r="C32" s="286" t="s">
        <v>5</v>
      </c>
      <c r="D32" s="286"/>
      <c r="E32" s="288" t="s">
        <v>301</v>
      </c>
    </row>
    <row r="33" spans="1:5" ht="71.25" x14ac:dyDescent="0.2">
      <c r="A33" s="286" t="s">
        <v>298</v>
      </c>
      <c r="B33" s="287">
        <v>43178</v>
      </c>
      <c r="C33" s="286" t="s">
        <v>276</v>
      </c>
      <c r="D33" s="288" t="s">
        <v>299</v>
      </c>
      <c r="E33" s="286"/>
    </row>
    <row r="34" spans="1:5" ht="128.25" x14ac:dyDescent="0.2">
      <c r="A34" s="286" t="s">
        <v>288</v>
      </c>
      <c r="B34" s="287">
        <v>43172</v>
      </c>
      <c r="C34" s="286" t="s">
        <v>5</v>
      </c>
      <c r="D34" s="288" t="s">
        <v>289</v>
      </c>
      <c r="E34" s="288" t="s">
        <v>291</v>
      </c>
    </row>
    <row r="35" spans="1:5" ht="57" x14ac:dyDescent="0.2">
      <c r="A35" s="286" t="s">
        <v>275</v>
      </c>
      <c r="B35" s="287">
        <v>43167</v>
      </c>
      <c r="C35" s="286" t="s">
        <v>276</v>
      </c>
      <c r="D35" s="286" t="s">
        <v>277</v>
      </c>
      <c r="E35" s="288" t="s">
        <v>282</v>
      </c>
    </row>
    <row r="36" spans="1:5" x14ac:dyDescent="0.2">
      <c r="A36" s="286"/>
      <c r="B36" s="287">
        <v>43147</v>
      </c>
      <c r="C36" s="286" t="s">
        <v>5</v>
      </c>
      <c r="D36" s="286" t="s">
        <v>127</v>
      </c>
      <c r="E36" s="286"/>
    </row>
    <row r="37" spans="1:5" ht="99.75" x14ac:dyDescent="0.2">
      <c r="A37" s="286" t="s">
        <v>9</v>
      </c>
      <c r="B37" s="287">
        <v>43130</v>
      </c>
      <c r="C37" s="286" t="s">
        <v>5</v>
      </c>
      <c r="D37" s="288" t="s">
        <v>10</v>
      </c>
      <c r="E37" s="288" t="s">
        <v>12</v>
      </c>
    </row>
    <row r="38" spans="1:5" x14ac:dyDescent="0.2">
      <c r="A38" s="286" t="s">
        <v>7</v>
      </c>
      <c r="B38" s="287">
        <v>43068</v>
      </c>
      <c r="C38" s="286" t="s">
        <v>5</v>
      </c>
      <c r="D38" s="286" t="s">
        <v>8</v>
      </c>
      <c r="E38" s="286"/>
    </row>
    <row r="39" spans="1:5" x14ac:dyDescent="0.2">
      <c r="A39" s="286" t="s">
        <v>4</v>
      </c>
      <c r="B39" s="287">
        <v>42852</v>
      </c>
      <c r="C39" s="286" t="s">
        <v>5</v>
      </c>
      <c r="D39" s="286" t="s">
        <v>6</v>
      </c>
      <c r="E39" s="286"/>
    </row>
  </sheetData>
  <sortState xmlns:xlrd2="http://schemas.microsoft.com/office/spreadsheetml/2017/richdata2" ref="A22:E35">
    <sortCondition descending="1" ref="B22:B35"/>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f>IF(Demand!$C$6="","",Demand!$C$6)</f>
        <v>42461</v>
      </c>
      <c r="V2">
        <v>1</v>
      </c>
      <c r="Y2" t="s">
        <v>210</v>
      </c>
      <c r="Z2" t="s">
        <v>208</v>
      </c>
      <c r="AA2" t="s">
        <v>209</v>
      </c>
      <c r="AE2" t="s">
        <v>57</v>
      </c>
      <c r="AI2" t="str">
        <f ca="1">"Baseline: "&amp;TEXT(MAX('SPC background (hide)'!$I$5:$I$11),"#")&amp;" wks"</f>
        <v>Baseline: 52 wks</v>
      </c>
    </row>
    <row r="3" spans="1:35" x14ac:dyDescent="0.2">
      <c r="A3">
        <v>1</v>
      </c>
      <c r="C3" t="s">
        <v>20</v>
      </c>
      <c r="E3" t="s">
        <v>21</v>
      </c>
      <c r="F3">
        <v>2</v>
      </c>
      <c r="H3">
        <v>70</v>
      </c>
      <c r="I3">
        <v>0.7</v>
      </c>
      <c r="K3" s="317">
        <f>K2+7</f>
        <v>43899</v>
      </c>
      <c r="S3" s="7">
        <f>IF($S$2="","",S2+7)</f>
        <v>42468</v>
      </c>
      <c r="V3">
        <v>1.5</v>
      </c>
      <c r="Y3" t="s">
        <v>32</v>
      </c>
      <c r="Z3" t="str">
        <f>Setup!C27</f>
        <v>Test name 1</v>
      </c>
      <c r="AA3" t="str">
        <f>IF(Z3="",Y3,Z3)</f>
        <v>Test name 1</v>
      </c>
      <c r="AE3" t="str">
        <f>IF(Capacity!B17="","",ROW(A1)&amp;". "&amp;Capacity!B17)</f>
        <v>1. Core Clinic 1</v>
      </c>
      <c r="AF3" s="67"/>
      <c r="AI3">
        <v>20</v>
      </c>
    </row>
    <row r="4" spans="1:35" x14ac:dyDescent="0.2">
      <c r="A4">
        <v>2</v>
      </c>
      <c r="C4" t="s">
        <v>22</v>
      </c>
      <c r="E4" t="s">
        <v>23</v>
      </c>
      <c r="F4">
        <v>3</v>
      </c>
      <c r="H4">
        <v>75</v>
      </c>
      <c r="I4">
        <v>0.75</v>
      </c>
      <c r="K4" s="317">
        <f t="shared" ref="K4:K54" si="0">K3+7</f>
        <v>43906</v>
      </c>
      <c r="S4" s="7">
        <f t="shared" ref="S4:S53" si="1">IF($S$2="","",S3+7)</f>
        <v>42475</v>
      </c>
      <c r="V4">
        <v>2</v>
      </c>
      <c r="Y4" t="s">
        <v>34</v>
      </c>
      <c r="Z4" t="str">
        <f>Setup!C28</f>
        <v>Test name 2</v>
      </c>
      <c r="AA4" t="str">
        <f t="shared" ref="AA4:AA12" si="2">IF(Z4="",Y4,Z4)</f>
        <v>Test name 2</v>
      </c>
      <c r="AE4" s="67" t="str">
        <f>IF(Capacity!B18="","",ROW(A2)&amp;". "&amp;Capacity!B18)</f>
        <v>2. Core Clinic 2</v>
      </c>
      <c r="AF4" s="67"/>
      <c r="AI4">
        <v>21</v>
      </c>
    </row>
    <row r="5" spans="1:35" x14ac:dyDescent="0.2">
      <c r="A5">
        <v>3</v>
      </c>
      <c r="H5">
        <v>80</v>
      </c>
      <c r="I5">
        <v>0.8</v>
      </c>
      <c r="K5" s="317">
        <f t="shared" si="0"/>
        <v>43913</v>
      </c>
      <c r="S5" s="7">
        <f t="shared" si="1"/>
        <v>42482</v>
      </c>
      <c r="V5">
        <v>2.5</v>
      </c>
      <c r="Y5" t="s">
        <v>36</v>
      </c>
      <c r="Z5" t="str">
        <f>Setup!C29</f>
        <v>Another modality</v>
      </c>
      <c r="AA5" t="str">
        <f t="shared" si="2"/>
        <v>Another modality</v>
      </c>
      <c r="AE5" s="67" t="str">
        <f>IF(Capacity!B19="","",ROW(A3)&amp;". "&amp;Capacity!B19)</f>
        <v>3. Core Clinic 3</v>
      </c>
      <c r="AF5" s="67"/>
      <c r="AI5" s="67">
        <v>22</v>
      </c>
    </row>
    <row r="6" spans="1:35" x14ac:dyDescent="0.2">
      <c r="A6">
        <v>4</v>
      </c>
      <c r="C6" t="s">
        <v>22</v>
      </c>
      <c r="E6" t="s">
        <v>19</v>
      </c>
      <c r="I6">
        <v>0.85</v>
      </c>
      <c r="K6" s="317">
        <f t="shared" si="0"/>
        <v>43920</v>
      </c>
      <c r="S6" s="7">
        <f t="shared" si="1"/>
        <v>42489</v>
      </c>
      <c r="V6">
        <v>3</v>
      </c>
      <c r="Y6" t="s">
        <v>38</v>
      </c>
      <c r="Z6" t="str">
        <f>Setup!C30</f>
        <v>Modality 4</v>
      </c>
      <c r="AA6" t="str">
        <f t="shared" si="2"/>
        <v>Modality 4</v>
      </c>
      <c r="AE6" s="67" t="str">
        <f>IF(Capacity!B20="","",ROW(A4)&amp;". "&amp;Capacity!B20)</f>
        <v>4. Core Clinic 4</v>
      </c>
      <c r="AF6" s="67"/>
      <c r="AI6" s="67">
        <v>23</v>
      </c>
    </row>
    <row r="7" spans="1:35" x14ac:dyDescent="0.2">
      <c r="A7">
        <v>5</v>
      </c>
      <c r="C7" t="s">
        <v>20</v>
      </c>
      <c r="E7" t="s">
        <v>23</v>
      </c>
      <c r="K7" s="317">
        <f t="shared" si="0"/>
        <v>43927</v>
      </c>
      <c r="S7" s="7">
        <f t="shared" si="1"/>
        <v>42496</v>
      </c>
      <c r="V7">
        <v>3.5</v>
      </c>
      <c r="Y7" t="s">
        <v>40</v>
      </c>
      <c r="Z7" t="str">
        <f>Setup!C31</f>
        <v>Modality 5</v>
      </c>
      <c r="AA7" t="str">
        <f t="shared" si="2"/>
        <v>Modality 5</v>
      </c>
      <c r="AE7" s="67" t="str">
        <f>IF(Capacity!B21="","",ROW(A5)&amp;". "&amp;Capacity!B21)</f>
        <v>5. Covid restoration clinic</v>
      </c>
      <c r="AF7" s="67"/>
      <c r="AI7" s="67">
        <v>24</v>
      </c>
    </row>
    <row r="8" spans="1:35" x14ac:dyDescent="0.2">
      <c r="A8">
        <v>6</v>
      </c>
      <c r="K8" s="317">
        <f t="shared" si="0"/>
        <v>43934</v>
      </c>
      <c r="S8" s="7">
        <f t="shared" si="1"/>
        <v>42503</v>
      </c>
      <c r="V8">
        <v>4</v>
      </c>
      <c r="Y8" t="s">
        <v>42</v>
      </c>
      <c r="Z8" t="str">
        <f>Setup!C32</f>
        <v>Modality 6</v>
      </c>
      <c r="AA8" t="str">
        <f t="shared" si="2"/>
        <v>Modality 6</v>
      </c>
      <c r="AE8" s="67" t="str">
        <f>IF(Capacity!B22="","",ROW(A6)&amp;". "&amp;Capacity!B22)</f>
        <v>6. new</v>
      </c>
      <c r="AF8" s="67"/>
      <c r="AI8" s="67">
        <v>25</v>
      </c>
    </row>
    <row r="9" spans="1:35" x14ac:dyDescent="0.2">
      <c r="A9">
        <v>7</v>
      </c>
      <c r="E9" t="s">
        <v>19</v>
      </c>
      <c r="H9" t="s">
        <v>137</v>
      </c>
      <c r="I9">
        <f>VLOOKUP(Setup!I19,'Control sheet (hide)'!H2:I5,2,0)</f>
        <v>0.65</v>
      </c>
      <c r="K9" s="317">
        <f t="shared" si="0"/>
        <v>43941</v>
      </c>
      <c r="S9" s="7">
        <f t="shared" si="1"/>
        <v>42510</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f t="shared" si="1"/>
        <v>42517</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f t="shared" si="1"/>
        <v>42524</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f t="shared" si="1"/>
        <v>42531</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f t="shared" si="1"/>
        <v>42538</v>
      </c>
      <c r="V13">
        <v>6.5</v>
      </c>
      <c r="AA13" t="s">
        <v>211</v>
      </c>
      <c r="AE13" s="67" t="str">
        <f>IF(Capacity!B27="","",ROW(A11)&amp;". "&amp;Capacity!B27)</f>
        <v/>
      </c>
      <c r="AF13" s="67"/>
      <c r="AI13" s="67">
        <v>30</v>
      </c>
    </row>
    <row r="14" spans="1:35" x14ac:dyDescent="0.2">
      <c r="A14">
        <v>12</v>
      </c>
      <c r="E14" t="s">
        <v>25</v>
      </c>
      <c r="H14" t="s">
        <v>876</v>
      </c>
      <c r="K14" s="317">
        <f t="shared" si="0"/>
        <v>43976</v>
      </c>
      <c r="S14" s="7">
        <f t="shared" si="1"/>
        <v>42545</v>
      </c>
      <c r="V14">
        <v>7</v>
      </c>
      <c r="AE14" s="67" t="str">
        <f>IF(Capacity!B28="","",ROW(A12)&amp;". "&amp;Capacity!B28)</f>
        <v/>
      </c>
      <c r="AF14" s="67"/>
      <c r="AI14" s="67">
        <v>31</v>
      </c>
    </row>
    <row r="15" spans="1:35" x14ac:dyDescent="0.2">
      <c r="A15">
        <v>13</v>
      </c>
      <c r="K15" s="317">
        <f t="shared" si="0"/>
        <v>43983</v>
      </c>
      <c r="S15" s="7">
        <f t="shared" si="1"/>
        <v>42552</v>
      </c>
      <c r="V15">
        <v>7.5</v>
      </c>
      <c r="AE15" s="67" t="str">
        <f>IF(Capacity!B29="","",ROW(A13)&amp;". "&amp;Capacity!B29)</f>
        <v/>
      </c>
      <c r="AF15" s="67"/>
      <c r="AI15" s="67">
        <v>32</v>
      </c>
    </row>
    <row r="16" spans="1:35" x14ac:dyDescent="0.2">
      <c r="A16">
        <v>14</v>
      </c>
      <c r="E16" t="s">
        <v>88</v>
      </c>
      <c r="K16" s="317">
        <f t="shared" si="0"/>
        <v>43990</v>
      </c>
      <c r="S16" s="7">
        <f t="shared" si="1"/>
        <v>42559</v>
      </c>
      <c r="V16">
        <v>8</v>
      </c>
      <c r="AE16" s="67" t="str">
        <f>IF(Capacity!B30="","",ROW(A14)&amp;". "&amp;Capacity!B30)</f>
        <v/>
      </c>
      <c r="AF16" s="67"/>
      <c r="AI16" s="67">
        <v>33</v>
      </c>
    </row>
    <row r="17" spans="1:35" x14ac:dyDescent="0.2">
      <c r="A17">
        <v>15</v>
      </c>
      <c r="E17" t="s">
        <v>87</v>
      </c>
      <c r="K17" s="317">
        <f t="shared" si="0"/>
        <v>43997</v>
      </c>
      <c r="S17" s="7">
        <f t="shared" si="1"/>
        <v>42566</v>
      </c>
      <c r="V17">
        <v>8.5</v>
      </c>
      <c r="AE17" s="67" t="str">
        <f>IF(Capacity!B31="","",ROW(A15)&amp;". "&amp;Capacity!B31)</f>
        <v/>
      </c>
      <c r="AF17" s="67"/>
      <c r="AI17" s="67">
        <v>34</v>
      </c>
    </row>
    <row r="18" spans="1:35" x14ac:dyDescent="0.2">
      <c r="A18">
        <v>16</v>
      </c>
      <c r="K18" s="317">
        <f t="shared" si="0"/>
        <v>44004</v>
      </c>
      <c r="S18" s="7">
        <f t="shared" si="1"/>
        <v>42573</v>
      </c>
      <c r="V18">
        <v>9</v>
      </c>
      <c r="AE18" s="67" t="str">
        <f>IF(Capacity!B32="","",ROW(A16)&amp;". "&amp;Capacity!B32)</f>
        <v/>
      </c>
      <c r="AF18" s="67"/>
      <c r="AI18" s="67">
        <v>35</v>
      </c>
    </row>
    <row r="19" spans="1:35" x14ac:dyDescent="0.2">
      <c r="A19">
        <v>17</v>
      </c>
      <c r="E19" t="s">
        <v>402</v>
      </c>
      <c r="K19" s="317">
        <f t="shared" si="0"/>
        <v>44011</v>
      </c>
      <c r="S19" s="7">
        <f t="shared" si="1"/>
        <v>42580</v>
      </c>
      <c r="V19">
        <v>9.5</v>
      </c>
      <c r="AE19" s="67" t="str">
        <f>IF(Capacity!B33="","",ROW(A17)&amp;". "&amp;Capacity!B33)</f>
        <v/>
      </c>
      <c r="AF19" s="67"/>
      <c r="AI19" s="67">
        <v>36</v>
      </c>
    </row>
    <row r="20" spans="1:35" x14ac:dyDescent="0.2">
      <c r="A20">
        <v>18</v>
      </c>
      <c r="E20" t="s">
        <v>401</v>
      </c>
      <c r="K20" s="317">
        <f t="shared" si="0"/>
        <v>44018</v>
      </c>
      <c r="S20" s="7">
        <f t="shared" si="1"/>
        <v>42587</v>
      </c>
      <c r="V20">
        <v>10</v>
      </c>
      <c r="AE20" s="67" t="str">
        <f>IF(Capacity!B34="","",ROW(A18)&amp;". "&amp;Capacity!B34)</f>
        <v/>
      </c>
      <c r="AF20" s="67"/>
      <c r="AI20" s="67">
        <v>37</v>
      </c>
    </row>
    <row r="21" spans="1:35" x14ac:dyDescent="0.2">
      <c r="A21">
        <v>19</v>
      </c>
      <c r="K21" s="317">
        <f t="shared" si="0"/>
        <v>44025</v>
      </c>
      <c r="S21" s="7">
        <f t="shared" si="1"/>
        <v>42594</v>
      </c>
      <c r="V21">
        <v>10.5</v>
      </c>
      <c r="AE21" s="67" t="str">
        <f>IF(Capacity!B35="","",ROW(A19)&amp;". "&amp;Capacity!B35)</f>
        <v/>
      </c>
      <c r="AF21" s="67"/>
      <c r="AI21" s="67">
        <v>38</v>
      </c>
    </row>
    <row r="22" spans="1:35" x14ac:dyDescent="0.2">
      <c r="A22">
        <v>20</v>
      </c>
      <c r="E22" t="s">
        <v>24</v>
      </c>
      <c r="K22" s="317">
        <f t="shared" si="0"/>
        <v>44032</v>
      </c>
      <c r="S22" s="7">
        <f t="shared" si="1"/>
        <v>42601</v>
      </c>
      <c r="V22">
        <v>11</v>
      </c>
      <c r="AE22" s="67" t="str">
        <f>IF(Capacity!B36="","",ROW(A20)&amp;". "&amp;Capacity!B36)</f>
        <v/>
      </c>
      <c r="AF22" s="67"/>
      <c r="AI22" s="67">
        <v>39</v>
      </c>
    </row>
    <row r="23" spans="1:35" x14ac:dyDescent="0.2">
      <c r="A23">
        <v>21</v>
      </c>
      <c r="E23" t="s">
        <v>421</v>
      </c>
      <c r="K23" s="317">
        <f t="shared" si="0"/>
        <v>44039</v>
      </c>
      <c r="S23" s="7">
        <f t="shared" si="1"/>
        <v>42608</v>
      </c>
      <c r="V23">
        <v>11.5</v>
      </c>
      <c r="AE23" s="67" t="str">
        <f>IF(Capacity!B37="","",ROW(A21)&amp;". "&amp;Capacity!B37)</f>
        <v/>
      </c>
      <c r="AF23" s="67"/>
      <c r="AI23" s="67">
        <v>40</v>
      </c>
    </row>
    <row r="24" spans="1:35" x14ac:dyDescent="0.2">
      <c r="A24">
        <v>22</v>
      </c>
      <c r="H24" t="s">
        <v>249</v>
      </c>
      <c r="K24" s="317">
        <f t="shared" si="0"/>
        <v>44046</v>
      </c>
      <c r="S24" s="7">
        <f t="shared" si="1"/>
        <v>42615</v>
      </c>
      <c r="V24">
        <v>12</v>
      </c>
      <c r="AE24" s="67" t="str">
        <f>IF(Capacity!B38="","",ROW(A22)&amp;". "&amp;Capacity!B38)</f>
        <v/>
      </c>
      <c r="AF24" s="67"/>
      <c r="AI24" s="67">
        <v>41</v>
      </c>
    </row>
    <row r="25" spans="1:35" x14ac:dyDescent="0.2">
      <c r="A25">
        <v>23</v>
      </c>
      <c r="E25" t="s">
        <v>480</v>
      </c>
      <c r="H25" t="s">
        <v>1229</v>
      </c>
      <c r="K25" s="317">
        <f t="shared" si="0"/>
        <v>44053</v>
      </c>
      <c r="S25" s="7">
        <f t="shared" si="1"/>
        <v>42622</v>
      </c>
      <c r="AE25" s="67" t="str">
        <f>IF(Capacity!B39="","",ROW(A23)&amp;". "&amp;Capacity!B39)</f>
        <v/>
      </c>
      <c r="AF25" s="67"/>
      <c r="AI25" s="67">
        <v>42</v>
      </c>
    </row>
    <row r="26" spans="1:35" x14ac:dyDescent="0.2">
      <c r="A26">
        <v>24</v>
      </c>
      <c r="E26" t="s">
        <v>481</v>
      </c>
      <c r="K26" s="317">
        <f t="shared" si="0"/>
        <v>44060</v>
      </c>
      <c r="S26" s="7">
        <f t="shared" si="1"/>
        <v>42629</v>
      </c>
      <c r="AE26" s="67" t="str">
        <f>IF(Capacity!B40="","",ROW(A24)&amp;". "&amp;Capacity!B40)</f>
        <v/>
      </c>
      <c r="AF26" s="67"/>
      <c r="AI26" s="67">
        <v>43</v>
      </c>
    </row>
    <row r="27" spans="1:35" x14ac:dyDescent="0.2">
      <c r="A27">
        <v>25</v>
      </c>
      <c r="K27" s="317">
        <f t="shared" si="0"/>
        <v>44067</v>
      </c>
      <c r="S27" s="7">
        <f t="shared" si="1"/>
        <v>42636</v>
      </c>
      <c r="AE27" s="67" t="str">
        <f>IF(Capacity!B41="","",ROW(A25)&amp;". "&amp;Capacity!B41)</f>
        <v/>
      </c>
      <c r="AF27" s="67"/>
      <c r="AI27" s="67">
        <v>44</v>
      </c>
    </row>
    <row r="28" spans="1:35" x14ac:dyDescent="0.2">
      <c r="A28">
        <v>26</v>
      </c>
      <c r="K28" s="317">
        <f t="shared" si="0"/>
        <v>44074</v>
      </c>
      <c r="S28" s="7">
        <f t="shared" si="1"/>
        <v>42643</v>
      </c>
      <c r="AE28" s="67" t="str">
        <f>IF(Capacity!B42="","",ROW(A26)&amp;". "&amp;Capacity!B42)</f>
        <v/>
      </c>
      <c r="AF28" s="67"/>
      <c r="AI28" s="67">
        <v>45</v>
      </c>
    </row>
    <row r="29" spans="1:35" x14ac:dyDescent="0.2">
      <c r="A29">
        <v>27</v>
      </c>
      <c r="C29" t="s">
        <v>194</v>
      </c>
      <c r="E29" t="s">
        <v>482</v>
      </c>
      <c r="K29" s="317">
        <f t="shared" si="0"/>
        <v>44081</v>
      </c>
      <c r="S29" s="7">
        <f t="shared" si="1"/>
        <v>42650</v>
      </c>
      <c r="AE29" s="67" t="str">
        <f>IF(Capacity!B43="","",ROW(A27)&amp;". "&amp;Capacity!B43)</f>
        <v/>
      </c>
      <c r="AF29" s="67"/>
      <c r="AI29" s="67">
        <v>46</v>
      </c>
    </row>
    <row r="30" spans="1:35" x14ac:dyDescent="0.2">
      <c r="A30">
        <v>28</v>
      </c>
      <c r="C30" t="s">
        <v>192</v>
      </c>
      <c r="K30" s="317">
        <f t="shared" si="0"/>
        <v>44088</v>
      </c>
      <c r="S30" s="7">
        <f t="shared" si="1"/>
        <v>42657</v>
      </c>
      <c r="AE30" s="67" t="str">
        <f>IF(Capacity!B44="","",ROW(A28)&amp;". "&amp;Capacity!B44)</f>
        <v/>
      </c>
      <c r="AF30" s="67"/>
      <c r="AI30" s="67">
        <v>47</v>
      </c>
    </row>
    <row r="31" spans="1:35" x14ac:dyDescent="0.2">
      <c r="A31">
        <v>29</v>
      </c>
      <c r="C31" t="s">
        <v>193</v>
      </c>
      <c r="K31" s="317">
        <f t="shared" si="0"/>
        <v>44095</v>
      </c>
      <c r="S31" s="7">
        <f t="shared" si="1"/>
        <v>42664</v>
      </c>
      <c r="AE31" s="67" t="str">
        <f>IF(Capacity!B45="","",ROW(A29)&amp;". "&amp;Capacity!B45)</f>
        <v/>
      </c>
      <c r="AF31" s="67"/>
      <c r="AI31" s="67">
        <v>48</v>
      </c>
    </row>
    <row r="32" spans="1:35" x14ac:dyDescent="0.2">
      <c r="A32">
        <v>30</v>
      </c>
      <c r="K32" s="317">
        <f t="shared" si="0"/>
        <v>44102</v>
      </c>
      <c r="S32" s="7">
        <f t="shared" si="1"/>
        <v>42671</v>
      </c>
      <c r="AE32" s="67" t="str">
        <f>IF(Capacity!B46="","",ROW(A30)&amp;". "&amp;Capacity!B46)</f>
        <v/>
      </c>
      <c r="AF32" s="67"/>
      <c r="AI32" s="67">
        <v>49</v>
      </c>
    </row>
    <row r="33" spans="1:35" x14ac:dyDescent="0.2">
      <c r="A33">
        <v>31</v>
      </c>
      <c r="K33" s="317">
        <f t="shared" si="0"/>
        <v>44109</v>
      </c>
      <c r="S33" s="7">
        <f t="shared" si="1"/>
        <v>42678</v>
      </c>
      <c r="AE33" s="67" t="str">
        <f>IF(Capacity!B47="","",ROW(A31)&amp;". "&amp;Capacity!B47)</f>
        <v/>
      </c>
      <c r="AF33" s="67"/>
      <c r="AI33" s="67">
        <v>50</v>
      </c>
    </row>
    <row r="34" spans="1:35" x14ac:dyDescent="0.2">
      <c r="A34">
        <v>32</v>
      </c>
      <c r="C34" t="s">
        <v>24</v>
      </c>
      <c r="K34" s="317">
        <f t="shared" si="0"/>
        <v>44116</v>
      </c>
      <c r="S34" s="7">
        <f t="shared" si="1"/>
        <v>42685</v>
      </c>
      <c r="AE34" s="67" t="str">
        <f>IF(Capacity!B48="","",ROW(A32)&amp;". "&amp;Capacity!B48)</f>
        <v/>
      </c>
      <c r="AF34" s="67"/>
      <c r="AI34" s="67">
        <v>51</v>
      </c>
    </row>
    <row r="35" spans="1:35" x14ac:dyDescent="0.2">
      <c r="A35">
        <v>33</v>
      </c>
      <c r="C35" t="s">
        <v>102</v>
      </c>
      <c r="K35" s="317">
        <f t="shared" si="0"/>
        <v>44123</v>
      </c>
      <c r="S35" s="7">
        <f t="shared" si="1"/>
        <v>42692</v>
      </c>
      <c r="AE35" s="67" t="str">
        <f>IF(Capacity!B49="","",ROW(A33)&amp;". "&amp;Capacity!B49)</f>
        <v/>
      </c>
      <c r="AF35" s="67"/>
      <c r="AI35" s="67">
        <v>52</v>
      </c>
    </row>
    <row r="36" spans="1:35" x14ac:dyDescent="0.2">
      <c r="A36">
        <v>34</v>
      </c>
      <c r="K36" s="317">
        <f t="shared" si="0"/>
        <v>44130</v>
      </c>
      <c r="S36" s="7">
        <f t="shared" si="1"/>
        <v>42699</v>
      </c>
      <c r="AE36" s="67" t="str">
        <f>IF(Capacity!B50="","",ROW(A34)&amp;". "&amp;Capacity!B50)</f>
        <v/>
      </c>
      <c r="AF36" s="67"/>
    </row>
    <row r="37" spans="1:35" x14ac:dyDescent="0.2">
      <c r="A37">
        <v>35</v>
      </c>
      <c r="K37" s="317">
        <f t="shared" si="0"/>
        <v>44137</v>
      </c>
      <c r="S37" s="7">
        <f t="shared" si="1"/>
        <v>42706</v>
      </c>
      <c r="AE37" s="67" t="str">
        <f>IF(Capacity!B51="","",ROW(A35)&amp;". "&amp;Capacity!B51)</f>
        <v/>
      </c>
      <c r="AF37" s="67"/>
    </row>
    <row r="38" spans="1:35" x14ac:dyDescent="0.2">
      <c r="A38">
        <v>36</v>
      </c>
      <c r="K38" s="317">
        <f t="shared" si="0"/>
        <v>44144</v>
      </c>
      <c r="S38" s="7">
        <f t="shared" si="1"/>
        <v>42713</v>
      </c>
      <c r="AE38" s="67" t="str">
        <f>IF(Capacity!B52="","",ROW(A36)&amp;". "&amp;Capacity!B52)</f>
        <v/>
      </c>
      <c r="AF38" s="67"/>
    </row>
    <row r="39" spans="1:35" x14ac:dyDescent="0.2">
      <c r="A39">
        <v>37</v>
      </c>
      <c r="K39" s="317">
        <f t="shared" si="0"/>
        <v>44151</v>
      </c>
      <c r="S39" s="7">
        <f t="shared" si="1"/>
        <v>42720</v>
      </c>
      <c r="AE39" s="67" t="str">
        <f>IF(Capacity!B53="","",ROW(A37)&amp;". "&amp;Capacity!B53)</f>
        <v/>
      </c>
      <c r="AF39" s="67"/>
    </row>
    <row r="40" spans="1:35" x14ac:dyDescent="0.2">
      <c r="A40">
        <v>38</v>
      </c>
      <c r="K40" s="317">
        <f t="shared" si="0"/>
        <v>44158</v>
      </c>
      <c r="S40" s="7">
        <f t="shared" si="1"/>
        <v>42727</v>
      </c>
      <c r="AE40" s="67" t="str">
        <f>IF(Capacity!B54="","",ROW(A38)&amp;". "&amp;Capacity!B54)</f>
        <v/>
      </c>
      <c r="AF40" s="67"/>
    </row>
    <row r="41" spans="1:35" x14ac:dyDescent="0.2">
      <c r="A41">
        <v>39</v>
      </c>
      <c r="K41" s="317">
        <f t="shared" si="0"/>
        <v>44165</v>
      </c>
      <c r="S41" s="7">
        <f t="shared" si="1"/>
        <v>42734</v>
      </c>
      <c r="AE41" s="67" t="str">
        <f>IF(Capacity!B55="","",ROW(A39)&amp;". "&amp;Capacity!B55)</f>
        <v/>
      </c>
      <c r="AF41" s="67"/>
    </row>
    <row r="42" spans="1:35" x14ac:dyDescent="0.2">
      <c r="A42">
        <v>40</v>
      </c>
      <c r="K42" s="317">
        <f t="shared" si="0"/>
        <v>44172</v>
      </c>
      <c r="S42" s="7">
        <f t="shared" si="1"/>
        <v>42741</v>
      </c>
      <c r="AE42" s="67" t="str">
        <f>IF(Capacity!B56="","",ROW(A40)&amp;". "&amp;Capacity!B56)</f>
        <v/>
      </c>
      <c r="AF42" s="67"/>
    </row>
    <row r="43" spans="1:35" x14ac:dyDescent="0.2">
      <c r="A43">
        <v>41</v>
      </c>
      <c r="K43" s="317">
        <f t="shared" si="0"/>
        <v>44179</v>
      </c>
      <c r="S43" s="7">
        <f t="shared" si="1"/>
        <v>42748</v>
      </c>
      <c r="AE43" s="67" t="str">
        <f>IF(Capacity!B57="","",ROW(A41)&amp;". "&amp;Capacity!B57)</f>
        <v/>
      </c>
      <c r="AF43" s="67"/>
    </row>
    <row r="44" spans="1:35" x14ac:dyDescent="0.2">
      <c r="A44">
        <v>42</v>
      </c>
      <c r="K44" s="317">
        <f t="shared" si="0"/>
        <v>44186</v>
      </c>
      <c r="S44" s="7">
        <f t="shared" si="1"/>
        <v>42755</v>
      </c>
      <c r="AE44" s="67" t="str">
        <f>IF(Capacity!B58="","",ROW(A42)&amp;". "&amp;Capacity!B58)</f>
        <v/>
      </c>
      <c r="AF44" s="67"/>
    </row>
    <row r="45" spans="1:35" x14ac:dyDescent="0.2">
      <c r="A45">
        <v>43</v>
      </c>
      <c r="K45" s="317">
        <f t="shared" si="0"/>
        <v>44193</v>
      </c>
      <c r="S45" s="7">
        <f t="shared" si="1"/>
        <v>42762</v>
      </c>
      <c r="AE45" s="67" t="str">
        <f>IF(Capacity!B59="","",ROW(A43)&amp;". "&amp;Capacity!B59)</f>
        <v/>
      </c>
      <c r="AF45" s="67"/>
    </row>
    <row r="46" spans="1:35" x14ac:dyDescent="0.2">
      <c r="A46">
        <v>44</v>
      </c>
      <c r="K46" s="317">
        <f t="shared" si="0"/>
        <v>44200</v>
      </c>
      <c r="S46" s="7">
        <f t="shared" si="1"/>
        <v>42769</v>
      </c>
      <c r="AE46" s="67" t="str">
        <f>IF(Capacity!B60="","",ROW(A44)&amp;". "&amp;Capacity!B60)</f>
        <v/>
      </c>
      <c r="AF46" s="67"/>
    </row>
    <row r="47" spans="1:35" x14ac:dyDescent="0.2">
      <c r="A47">
        <v>45</v>
      </c>
      <c r="K47" s="317">
        <f t="shared" si="0"/>
        <v>44207</v>
      </c>
      <c r="S47" s="7">
        <f t="shared" si="1"/>
        <v>42776</v>
      </c>
      <c r="AE47" s="67" t="str">
        <f>IF(Capacity!B61="","",ROW(A45)&amp;". "&amp;Capacity!B61)</f>
        <v/>
      </c>
      <c r="AF47" s="67"/>
    </row>
    <row r="48" spans="1:35" x14ac:dyDescent="0.2">
      <c r="A48">
        <v>46</v>
      </c>
      <c r="K48" s="317">
        <f t="shared" si="0"/>
        <v>44214</v>
      </c>
      <c r="S48" s="7">
        <f t="shared" si="1"/>
        <v>42783</v>
      </c>
      <c r="AE48" s="67" t="str">
        <f>IF(Capacity!B62="","",ROW(A46)&amp;". "&amp;Capacity!B62)</f>
        <v/>
      </c>
      <c r="AF48" s="67"/>
    </row>
    <row r="49" spans="1:32" x14ac:dyDescent="0.2">
      <c r="A49">
        <v>47</v>
      </c>
      <c r="K49" s="317">
        <f t="shared" si="0"/>
        <v>44221</v>
      </c>
      <c r="S49" s="7">
        <f t="shared" si="1"/>
        <v>42790</v>
      </c>
      <c r="AE49" s="67" t="str">
        <f>IF(Capacity!B63="","",ROW(A47)&amp;". "&amp;Capacity!B63)</f>
        <v/>
      </c>
      <c r="AF49" s="67"/>
    </row>
    <row r="50" spans="1:32" x14ac:dyDescent="0.2">
      <c r="A50">
        <v>48</v>
      </c>
      <c r="K50" s="317">
        <f t="shared" si="0"/>
        <v>44228</v>
      </c>
      <c r="S50" s="7">
        <f t="shared" si="1"/>
        <v>42797</v>
      </c>
      <c r="AE50" s="67" t="str">
        <f>IF(Capacity!B64="","",ROW(A48)&amp;". "&amp;Capacity!B64)</f>
        <v/>
      </c>
      <c r="AF50" s="67"/>
    </row>
    <row r="51" spans="1:32" x14ac:dyDescent="0.2">
      <c r="A51">
        <v>49</v>
      </c>
      <c r="K51" s="317">
        <f t="shared" si="0"/>
        <v>44235</v>
      </c>
      <c r="S51" s="7">
        <f t="shared" si="1"/>
        <v>42804</v>
      </c>
      <c r="AE51" s="67" t="str">
        <f>IF(Capacity!B65="","",ROW(A49)&amp;". "&amp;Capacity!B65)</f>
        <v/>
      </c>
      <c r="AF51" s="67"/>
    </row>
    <row r="52" spans="1:32" x14ac:dyDescent="0.2">
      <c r="A52">
        <v>50</v>
      </c>
      <c r="K52" s="317">
        <f t="shared" si="0"/>
        <v>44242</v>
      </c>
      <c r="S52" s="7">
        <f t="shared" si="1"/>
        <v>42811</v>
      </c>
      <c r="AE52" s="67" t="str">
        <f>IF(Capacity!B66="","",ROW(A50)&amp;". "&amp;Capacity!B66)</f>
        <v/>
      </c>
      <c r="AF52" s="67"/>
    </row>
    <row r="53" spans="1:32" x14ac:dyDescent="0.2">
      <c r="A53">
        <v>51</v>
      </c>
      <c r="K53" s="317">
        <f t="shared" si="0"/>
        <v>44249</v>
      </c>
      <c r="S53" s="7">
        <f t="shared" si="1"/>
        <v>42818</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F44" sqref="F44"/>
    </sheetView>
  </sheetViews>
  <sheetFormatPr defaultRowHeight="14.25" x14ac:dyDescent="0.2"/>
  <cols>
    <col min="57" max="57" width="0" hidden="1" customWidth="1"/>
  </cols>
  <sheetData>
    <row r="2" spans="1:9" ht="15" x14ac:dyDescent="0.25">
      <c r="A2" s="2" t="s">
        <v>879</v>
      </c>
    </row>
    <row r="3" spans="1:9" x14ac:dyDescent="0.2">
      <c r="A3" s="273" t="s">
        <v>1233</v>
      </c>
    </row>
    <row r="4" spans="1:9" x14ac:dyDescent="0.2">
      <c r="A4" s="8"/>
      <c r="B4" s="8"/>
      <c r="C4" s="8"/>
      <c r="D4" s="8"/>
      <c r="E4" s="8"/>
      <c r="F4" s="8"/>
      <c r="G4" s="8"/>
      <c r="H4" s="8"/>
      <c r="I4" s="8"/>
    </row>
    <row r="5" spans="1:9" ht="15" x14ac:dyDescent="0.25">
      <c r="A5" s="2" t="s">
        <v>27</v>
      </c>
      <c r="C5" s="401" t="s">
        <v>872</v>
      </c>
      <c r="D5" s="402"/>
      <c r="E5" s="402"/>
      <c r="F5" s="402"/>
      <c r="G5" s="403"/>
    </row>
    <row r="7" spans="1:9" ht="15" x14ac:dyDescent="0.25">
      <c r="A7" s="2" t="s">
        <v>28</v>
      </c>
      <c r="C7" s="401" t="s">
        <v>898</v>
      </c>
      <c r="D7" s="402"/>
      <c r="E7" s="402"/>
      <c r="F7" s="402"/>
      <c r="G7" s="403"/>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404" t="s">
        <v>925</v>
      </c>
      <c r="B11" s="404"/>
      <c r="C11" s="404"/>
      <c r="D11" s="404"/>
      <c r="E11" s="404"/>
      <c r="F11" s="404"/>
      <c r="G11" s="404"/>
      <c r="H11" s="405"/>
      <c r="I11" s="209">
        <v>2</v>
      </c>
    </row>
    <row r="12" spans="1:9" x14ac:dyDescent="0.2">
      <c r="I12" s="4"/>
    </row>
    <row r="13" spans="1:9" ht="15" x14ac:dyDescent="0.25">
      <c r="A13" s="404" t="s">
        <v>424</v>
      </c>
      <c r="B13" s="404"/>
      <c r="C13" s="404"/>
      <c r="D13" s="404"/>
      <c r="E13" s="404"/>
      <c r="F13" s="404"/>
      <c r="G13" s="404"/>
      <c r="H13" s="405"/>
      <c r="I13" s="209" t="s">
        <v>22</v>
      </c>
    </row>
    <row r="14" spans="1:9" x14ac:dyDescent="0.2">
      <c r="I14" s="4"/>
    </row>
    <row r="15" spans="1:9" ht="15" x14ac:dyDescent="0.25">
      <c r="A15" s="404" t="s">
        <v>425</v>
      </c>
      <c r="B15" s="404"/>
      <c r="C15" s="404"/>
      <c r="D15" s="404"/>
      <c r="E15" s="404"/>
      <c r="F15" s="404"/>
      <c r="G15" s="404"/>
      <c r="H15" s="405"/>
      <c r="I15" s="209" t="s">
        <v>22</v>
      </c>
    </row>
    <row r="16" spans="1:9" x14ac:dyDescent="0.2">
      <c r="I16" s="4"/>
    </row>
    <row r="17" spans="1:9" x14ac:dyDescent="0.2">
      <c r="A17" s="404" t="s">
        <v>29</v>
      </c>
      <c r="B17" s="404"/>
      <c r="C17" s="404"/>
      <c r="D17" s="404"/>
      <c r="E17" s="404"/>
      <c r="F17" s="404"/>
      <c r="G17" s="404"/>
      <c r="H17" s="405"/>
      <c r="I17" s="209" t="s">
        <v>21</v>
      </c>
    </row>
    <row r="18" spans="1:9" x14ac:dyDescent="0.2">
      <c r="I18" s="4"/>
    </row>
    <row r="19" spans="1:9" x14ac:dyDescent="0.2">
      <c r="A19" s="404" t="s">
        <v>30</v>
      </c>
      <c r="B19" s="404"/>
      <c r="C19" s="404"/>
      <c r="D19" s="404"/>
      <c r="E19" s="404"/>
      <c r="F19" s="404"/>
      <c r="G19" s="404"/>
      <c r="H19" s="405"/>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11" t="s">
        <v>926</v>
      </c>
      <c r="H26" s="412"/>
      <c r="I26" s="413"/>
    </row>
    <row r="27" spans="1:9" ht="19.5" customHeight="1" x14ac:dyDescent="0.2">
      <c r="A27" s="406" t="s">
        <v>31</v>
      </c>
      <c r="B27" s="407"/>
      <c r="C27" s="408" t="s">
        <v>1277</v>
      </c>
      <c r="D27" s="409"/>
      <c r="E27" s="409"/>
      <c r="F27" s="410"/>
      <c r="G27" s="398">
        <v>30</v>
      </c>
      <c r="H27" s="399"/>
      <c r="I27" s="400"/>
    </row>
    <row r="28" spans="1:9" ht="19.5" customHeight="1" x14ac:dyDescent="0.2">
      <c r="A28" s="406" t="s">
        <v>33</v>
      </c>
      <c r="B28" s="407"/>
      <c r="C28" s="408" t="s">
        <v>1278</v>
      </c>
      <c r="D28" s="409"/>
      <c r="E28" s="409"/>
      <c r="F28" s="410"/>
      <c r="G28" s="398">
        <v>30</v>
      </c>
      <c r="H28" s="399"/>
      <c r="I28" s="400"/>
    </row>
    <row r="29" spans="1:9" ht="19.5" hidden="1" customHeight="1" x14ac:dyDescent="0.2">
      <c r="A29" s="406" t="s">
        <v>35</v>
      </c>
      <c r="B29" s="407"/>
      <c r="C29" s="408" t="s">
        <v>1279</v>
      </c>
      <c r="D29" s="409"/>
      <c r="E29" s="409"/>
      <c r="F29" s="410"/>
      <c r="G29" s="398">
        <v>20</v>
      </c>
      <c r="H29" s="399"/>
      <c r="I29" s="400"/>
    </row>
    <row r="30" spans="1:9" ht="19.5" hidden="1" customHeight="1" x14ac:dyDescent="0.2">
      <c r="A30" s="406" t="s">
        <v>37</v>
      </c>
      <c r="B30" s="407"/>
      <c r="C30" s="408" t="s">
        <v>38</v>
      </c>
      <c r="D30" s="409"/>
      <c r="E30" s="409"/>
      <c r="F30" s="410"/>
      <c r="G30" s="398">
        <v>2</v>
      </c>
      <c r="H30" s="399"/>
      <c r="I30" s="400"/>
    </row>
    <row r="31" spans="1:9" ht="19.5" hidden="1" customHeight="1" x14ac:dyDescent="0.2">
      <c r="A31" s="406" t="s">
        <v>39</v>
      </c>
      <c r="B31" s="407"/>
      <c r="C31" s="408" t="s">
        <v>40</v>
      </c>
      <c r="D31" s="409"/>
      <c r="E31" s="409"/>
      <c r="F31" s="410"/>
      <c r="G31" s="398">
        <v>4</v>
      </c>
      <c r="H31" s="399"/>
      <c r="I31" s="400"/>
    </row>
    <row r="32" spans="1:9" ht="19.5" hidden="1" customHeight="1" x14ac:dyDescent="0.2">
      <c r="A32" s="406" t="s">
        <v>41</v>
      </c>
      <c r="B32" s="407"/>
      <c r="C32" s="408" t="s">
        <v>42</v>
      </c>
      <c r="D32" s="409"/>
      <c r="E32" s="409"/>
      <c r="F32" s="410"/>
      <c r="G32" s="398">
        <v>8</v>
      </c>
      <c r="H32" s="399"/>
      <c r="I32" s="400"/>
    </row>
    <row r="33" spans="1:9" ht="19.5" hidden="1" customHeight="1" x14ac:dyDescent="0.2">
      <c r="A33" s="406" t="s">
        <v>43</v>
      </c>
      <c r="B33" s="407"/>
      <c r="C33" s="408" t="s">
        <v>44</v>
      </c>
      <c r="D33" s="409"/>
      <c r="E33" s="409"/>
      <c r="F33" s="410"/>
      <c r="G33" s="398">
        <v>16</v>
      </c>
      <c r="H33" s="399"/>
      <c r="I33" s="400"/>
    </row>
    <row r="34" spans="1:9" ht="19.5" hidden="1" customHeight="1" x14ac:dyDescent="0.2">
      <c r="A34" s="406" t="s">
        <v>45</v>
      </c>
      <c r="B34" s="407"/>
      <c r="C34" s="408" t="s">
        <v>46</v>
      </c>
      <c r="D34" s="409"/>
      <c r="E34" s="409"/>
      <c r="F34" s="410"/>
      <c r="G34" s="398">
        <v>32</v>
      </c>
      <c r="H34" s="399"/>
      <c r="I34" s="400"/>
    </row>
    <row r="35" spans="1:9" ht="19.5" hidden="1" customHeight="1" x14ac:dyDescent="0.2">
      <c r="A35" s="406" t="s">
        <v>47</v>
      </c>
      <c r="B35" s="407"/>
      <c r="C35" s="408" t="s">
        <v>48</v>
      </c>
      <c r="D35" s="409"/>
      <c r="E35" s="409"/>
      <c r="F35" s="410"/>
      <c r="G35" s="398">
        <v>64</v>
      </c>
      <c r="H35" s="399"/>
      <c r="I35" s="400"/>
    </row>
    <row r="36" spans="1:9" ht="19.5" hidden="1" customHeight="1" x14ac:dyDescent="0.2">
      <c r="A36" s="406" t="s">
        <v>49</v>
      </c>
      <c r="B36" s="407"/>
      <c r="C36" s="408" t="s">
        <v>50</v>
      </c>
      <c r="D36" s="409"/>
      <c r="E36" s="409"/>
      <c r="F36" s="410"/>
      <c r="G36" s="398">
        <v>128</v>
      </c>
      <c r="H36" s="399"/>
      <c r="I36" s="400"/>
    </row>
  </sheetData>
  <sheetProtection algorithmName="SHA-512" hashValue="fAIPqm0vN68hV3hKcRUemrJVUrPV8ixLqYGyNQG6+2SX7Y7azvxbns3yi8g6hUpuh+4NXaODepDywD5giGhcyA==" saltValue="QCV2ak7BK0oRY2KLczD4nQ==" spinCount="100000" sheet="1" objects="1" scenarios="1"/>
  <mergeCells count="38">
    <mergeCell ref="A35:B35"/>
    <mergeCell ref="C35:F35"/>
    <mergeCell ref="A36:B36"/>
    <mergeCell ref="C36:F36"/>
    <mergeCell ref="A32:B32"/>
    <mergeCell ref="C32:F32"/>
    <mergeCell ref="A33:B33"/>
    <mergeCell ref="C33:F33"/>
    <mergeCell ref="A34:B34"/>
    <mergeCell ref="C34:F34"/>
    <mergeCell ref="A29:B29"/>
    <mergeCell ref="C29:F29"/>
    <mergeCell ref="A30:B30"/>
    <mergeCell ref="C30:F30"/>
    <mergeCell ref="A31:B31"/>
    <mergeCell ref="C31:F31"/>
    <mergeCell ref="A17:H17"/>
    <mergeCell ref="A19:H19"/>
    <mergeCell ref="A27:B27"/>
    <mergeCell ref="C27:F27"/>
    <mergeCell ref="A28:B28"/>
    <mergeCell ref="C28:F28"/>
    <mergeCell ref="G26:I26"/>
    <mergeCell ref="G27:I27"/>
    <mergeCell ref="G28:I28"/>
    <mergeCell ref="C5:G5"/>
    <mergeCell ref="C7:G7"/>
    <mergeCell ref="A11:H11"/>
    <mergeCell ref="A13:H13"/>
    <mergeCell ref="A15:H15"/>
    <mergeCell ref="G34:I34"/>
    <mergeCell ref="G35:I35"/>
    <mergeCell ref="G36:I36"/>
    <mergeCell ref="G29:I29"/>
    <mergeCell ref="G30:I30"/>
    <mergeCell ref="G31:I31"/>
    <mergeCell ref="G32:I32"/>
    <mergeCell ref="G33:I3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N12" sqref="N12"/>
    </sheetView>
  </sheetViews>
  <sheetFormatPr defaultRowHeight="14.25" x14ac:dyDescent="0.2"/>
  <cols>
    <col min="1" max="1" width="9" hidden="1" customWidth="1"/>
    <col min="2" max="2" width="15.5" customWidth="1"/>
    <col min="3" max="3" width="14.125" bestFit="1" customWidth="1"/>
    <col min="4" max="4" width="15.75" customWidth="1"/>
    <col min="5" max="7" width="10.625" customWidth="1"/>
    <col min="8" max="8" width="10.625" hidden="1" customWidth="1"/>
    <col min="9" max="12" width="10.625" customWidth="1"/>
    <col min="13" max="13" width="10.625" hidden="1" customWidth="1"/>
    <col min="14" max="14" width="10.625" customWidth="1"/>
    <col min="15"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151</v>
      </c>
      <c r="B6" t="s">
        <v>1204</v>
      </c>
      <c r="C6" s="331">
        <v>42461</v>
      </c>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7" t="s">
        <v>128</v>
      </c>
      <c r="C10" s="417" t="s">
        <v>56</v>
      </c>
      <c r="D10" s="414"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4" t="str">
        <f>"Total"&amp;IF(Setup!$I$17&lt;&gt;"Patients","
(Patients)","")</f>
        <v>Total
(Patients)</v>
      </c>
      <c r="BD10" s="414" t="str">
        <f>"Total
("&amp;Setup!$I$17&amp;")"</f>
        <v>Total
(Minutes)</v>
      </c>
      <c r="BE10" s="414" t="s">
        <v>111</v>
      </c>
    </row>
    <row r="11" spans="1:57" ht="14.25" customHeight="1" x14ac:dyDescent="0.2">
      <c r="B11" s="417"/>
      <c r="C11" s="417"/>
      <c r="D11" s="414"/>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4"/>
      <c r="BD11" s="414"/>
      <c r="BE11" s="414"/>
    </row>
    <row r="12" spans="1:57" ht="15" thickBot="1" x14ac:dyDescent="0.25">
      <c r="B12" s="417"/>
      <c r="C12" s="418"/>
      <c r="D12" s="416"/>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5"/>
      <c r="BD12" s="415"/>
      <c r="BE12" s="415"/>
    </row>
    <row r="13" spans="1:57" ht="15" x14ac:dyDescent="0.25">
      <c r="A13">
        <v>1</v>
      </c>
      <c r="B13" s="259">
        <f>IF(C6&lt;&gt;"",YEAR(D13),1)</f>
        <v>2016</v>
      </c>
      <c r="C13" s="260">
        <f>IF(C$6&lt;&gt;"",WEEKNUM($C$6, 21),1)</f>
        <v>13</v>
      </c>
      <c r="D13" s="381">
        <f>IF($C$6&lt;&gt;"",$C$6-WEEKDAY($C$6,3),"")</f>
        <v>42457</v>
      </c>
      <c r="E13" s="179"/>
      <c r="F13" s="180">
        <v>1</v>
      </c>
      <c r="G13" s="181">
        <v>0</v>
      </c>
      <c r="H13" s="182"/>
      <c r="I13" s="247">
        <f>IF(COUNTBLANK(E13:H13)=4,"",SUM(E13:G13)+IF(Setup!$I$15="No",0,H13))</f>
        <v>1</v>
      </c>
      <c r="J13" s="193"/>
      <c r="K13" s="194">
        <v>2</v>
      </c>
      <c r="L13" s="195">
        <v>7</v>
      </c>
      <c r="M13" s="196"/>
      <c r="N13" s="251">
        <f>IF(COUNTBLANK(J13:M13)=4,"",SUM(J13:L13)+IF(Setup!$I$15="No",0,M13))</f>
        <v>9</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f ca="1">IF('Demand background (hide)'!A4=Num_Modalities,"",SUM(Demand!I13, Demand!N13))</f>
        <v>10</v>
      </c>
      <c r="BD13" s="255">
        <f ca="1">IF(AND(A13&lt;=MaxRows,BE13&lt;&gt;"Yes"),'Demand background (hide)'!X4+IF(Setup!$I$15="Yes",'Demand background (hide)'!AJ4,0),"")</f>
        <v>390</v>
      </c>
      <c r="BE13" s="205"/>
    </row>
    <row r="14" spans="1:57" ht="15" x14ac:dyDescent="0.25">
      <c r="A14">
        <f t="shared" ref="A14:A76" ca="1" si="0">IF(BC14&lt;&gt;"",ROW(A2),"")</f>
        <v>2</v>
      </c>
      <c r="B14" s="259" t="str">
        <f t="shared" ref="B14:B77" ca="1" si="1">IF(A14&lt;=MaxRows,IF($C$6&lt;&gt;"",IF(YEAR(D14)&lt;&gt;YEAR(D13),YEAR(D14)," "),IF(C14&lt;&gt;1,"",OFFSET(B14,-C13,0,1,1)+1))," ")</f>
        <v xml:space="preserve"> </v>
      </c>
      <c r="C14" s="261">
        <f t="shared" ref="C14:C77" ca="1" si="2">IF(ROW(A2)&lt;=MaxRows,IF($C$6&lt;&gt;"",WEEKNUM(D14,21),IF(MOD((C13+1),52)&gt;0,MOD((C13+1),52),52)),"")</f>
        <v>14</v>
      </c>
      <c r="D14" s="382">
        <f t="shared" ref="D14:D77" ca="1" si="3">IF(OR(AND(ROW(A2)&lt;=MaxRows,$C$6&lt;&gt;""),AND(ROW(A14)&lt;=64,LEFT($C$8,1)&lt;&gt;"H")),D13+7,"")</f>
        <v>42464</v>
      </c>
      <c r="E14" s="183"/>
      <c r="F14" s="184">
        <v>5</v>
      </c>
      <c r="G14" s="185">
        <v>2</v>
      </c>
      <c r="H14" s="186"/>
      <c r="I14" s="248">
        <f>IF(COUNTBLANK(E14:H14)=4,"",SUM(E14:G14)+IF(Setup!$I$15="No",0,H14))</f>
        <v>7</v>
      </c>
      <c r="J14" s="197"/>
      <c r="K14" s="198">
        <v>3</v>
      </c>
      <c r="L14" s="199">
        <v>7</v>
      </c>
      <c r="M14" s="200"/>
      <c r="N14" s="252">
        <f>IF(COUNTBLANK(J14:M14)=4,"",SUM(J14:L14)+IF(Setup!$I$15="No",0,M14))</f>
        <v>10</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f ca="1">IF('Demand background (hide)'!A5=Num_Modalities,"",SUM(Demand!I14, Demand!N14))</f>
        <v>17</v>
      </c>
      <c r="BD14" s="256">
        <f ca="1">IF(AND(A14&lt;=MaxRows,BE14&lt;&gt;"Yes"),'Demand background (hide)'!X5+IF(Setup!$I$15="Yes",'Demand background (hide)'!AJ5,0),"")</f>
        <v>610</v>
      </c>
      <c r="BE14" s="206"/>
    </row>
    <row r="15" spans="1:57" ht="15" x14ac:dyDescent="0.25">
      <c r="A15">
        <f t="shared" ca="1" si="0"/>
        <v>3</v>
      </c>
      <c r="B15" s="259" t="str">
        <f t="shared" ca="1" si="1"/>
        <v xml:space="preserve"> </v>
      </c>
      <c r="C15" s="261">
        <f t="shared" ca="1" si="2"/>
        <v>15</v>
      </c>
      <c r="D15" s="382">
        <f t="shared" ca="1" si="3"/>
        <v>42471</v>
      </c>
      <c r="E15" s="183"/>
      <c r="F15" s="184">
        <v>0</v>
      </c>
      <c r="G15" s="185">
        <v>2</v>
      </c>
      <c r="H15" s="186"/>
      <c r="I15" s="248">
        <f>IF(COUNTBLANK(E15:H15)=4,"",SUM(E15:G15)+IF(Setup!$I$15="No",0,H15))</f>
        <v>2</v>
      </c>
      <c r="J15" s="197"/>
      <c r="K15" s="198">
        <v>3</v>
      </c>
      <c r="L15" s="199">
        <v>5</v>
      </c>
      <c r="M15" s="200"/>
      <c r="N15" s="252">
        <f>IF(COUNTBLANK(J15:M15)=4,"",SUM(J15:L15)+IF(Setup!$I$15="No",0,M15))</f>
        <v>8</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f ca="1">IF('Demand background (hide)'!A6=Num_Modalities,"",SUM(Demand!I15, Demand!N15))</f>
        <v>10</v>
      </c>
      <c r="BD15" s="256">
        <f ca="1">IF(AND(A15&lt;=MaxRows,BE15&lt;&gt;"Yes"),'Demand background (hide)'!X6+IF(Setup!$I$15="Yes",'Demand background (hide)'!AJ6,0),"")</f>
        <v>380</v>
      </c>
      <c r="BE15" s="206"/>
    </row>
    <row r="16" spans="1:57" ht="15" x14ac:dyDescent="0.25">
      <c r="A16">
        <f t="shared" ca="1" si="0"/>
        <v>4</v>
      </c>
      <c r="B16" s="259" t="str">
        <f t="shared" ca="1" si="1"/>
        <v xml:space="preserve"> </v>
      </c>
      <c r="C16" s="261">
        <f t="shared" ca="1" si="2"/>
        <v>16</v>
      </c>
      <c r="D16" s="382">
        <f t="shared" ca="1" si="3"/>
        <v>42478</v>
      </c>
      <c r="E16" s="183"/>
      <c r="F16" s="184">
        <v>1</v>
      </c>
      <c r="G16" s="185">
        <v>8</v>
      </c>
      <c r="H16" s="186"/>
      <c r="I16" s="248">
        <f>IF(COUNTBLANK(E16:H16)=4,"",SUM(E16:G16)+IF(Setup!$I$15="No",0,H16))</f>
        <v>9</v>
      </c>
      <c r="J16" s="197"/>
      <c r="K16" s="198">
        <v>3</v>
      </c>
      <c r="L16" s="199">
        <v>9</v>
      </c>
      <c r="M16" s="200"/>
      <c r="N16" s="252">
        <f>IF(COUNTBLANK(J16:M16)=4,"",SUM(J16:L16)+IF(Setup!$I$15="No",0,M16))</f>
        <v>12</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f ca="1">IF('Demand background (hide)'!A7=Num_Modalities,"",SUM(Demand!I16, Demand!N16))</f>
        <v>21</v>
      </c>
      <c r="BD16" s="256">
        <f ca="1">IF(AND(A16&lt;=MaxRows,BE16&lt;&gt;"Yes"),'Demand background (hide)'!X7+IF(Setup!$I$15="Yes",'Demand background (hide)'!AJ7,0),"")</f>
        <v>750</v>
      </c>
      <c r="BE16" s="206"/>
    </row>
    <row r="17" spans="1:57" ht="15" x14ac:dyDescent="0.25">
      <c r="A17">
        <f t="shared" ca="1" si="0"/>
        <v>5</v>
      </c>
      <c r="B17" s="259" t="str">
        <f t="shared" ca="1" si="1"/>
        <v xml:space="preserve"> </v>
      </c>
      <c r="C17" s="261">
        <f t="shared" ca="1" si="2"/>
        <v>17</v>
      </c>
      <c r="D17" s="382">
        <f t="shared" ca="1" si="3"/>
        <v>42485</v>
      </c>
      <c r="E17" s="183"/>
      <c r="F17" s="184">
        <v>1</v>
      </c>
      <c r="G17" s="185">
        <v>2</v>
      </c>
      <c r="H17" s="186"/>
      <c r="I17" s="248">
        <f>IF(COUNTBLANK(E17:H17)=4,"",SUM(E17:G17)+IF(Setup!$I$15="No",0,H17))</f>
        <v>3</v>
      </c>
      <c r="J17" s="197"/>
      <c r="K17" s="198">
        <v>3</v>
      </c>
      <c r="L17" s="199">
        <v>7</v>
      </c>
      <c r="M17" s="200"/>
      <c r="N17" s="252">
        <f>IF(COUNTBLANK(J17:M17)=4,"",SUM(J17:L17)+IF(Setup!$I$15="No",0,M17))</f>
        <v>10</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f ca="1">IF('Demand background (hide)'!A8=Num_Modalities,"",SUM(Demand!I17, Demand!N17))</f>
        <v>13</v>
      </c>
      <c r="BD17" s="256">
        <f ca="1">IF(AND(A17&lt;=MaxRows,BE17&lt;&gt;"Yes"),'Demand background (hide)'!X8+IF(Setup!$I$15="Yes",'Demand background (hide)'!AJ8,0),"")</f>
        <v>490</v>
      </c>
      <c r="BE17" s="206"/>
    </row>
    <row r="18" spans="1:57" ht="15" x14ac:dyDescent="0.25">
      <c r="A18">
        <f t="shared" ca="1" si="0"/>
        <v>6</v>
      </c>
      <c r="B18" s="259" t="str">
        <f t="shared" ca="1" si="1"/>
        <v xml:space="preserve"> </v>
      </c>
      <c r="C18" s="261">
        <f t="shared" ca="1" si="2"/>
        <v>18</v>
      </c>
      <c r="D18" s="382">
        <f t="shared" ca="1" si="3"/>
        <v>42492</v>
      </c>
      <c r="E18" s="183"/>
      <c r="F18" s="184">
        <v>0</v>
      </c>
      <c r="G18" s="185">
        <v>4</v>
      </c>
      <c r="H18" s="186"/>
      <c r="I18" s="248">
        <f>IF(COUNTBLANK(E18:H18)=4,"",SUM(E18:G18)+IF(Setup!$I$15="No",0,H18))</f>
        <v>4</v>
      </c>
      <c r="J18" s="197"/>
      <c r="K18" s="198">
        <v>2</v>
      </c>
      <c r="L18" s="199">
        <v>5</v>
      </c>
      <c r="M18" s="200"/>
      <c r="N18" s="252">
        <f>IF(COUNTBLANK(J18:M18)=4,"",SUM(J18:L18)+IF(Setup!$I$15="No",0,M18))</f>
        <v>7</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f ca="1">IF('Demand background (hide)'!A9=Num_Modalities,"",SUM(Demand!I18, Demand!N18))</f>
        <v>11</v>
      </c>
      <c r="BD18" s="256">
        <f ca="1">IF(AND(A18&lt;=MaxRows,BE18&lt;&gt;"Yes"),'Demand background (hide)'!X9+IF(Setup!$I$15="Yes",'Demand background (hide)'!AJ9,0),"")</f>
        <v>400</v>
      </c>
      <c r="BE18" s="206"/>
    </row>
    <row r="19" spans="1:57" ht="15" x14ac:dyDescent="0.25">
      <c r="A19">
        <f t="shared" ca="1" si="0"/>
        <v>7</v>
      </c>
      <c r="B19" s="259" t="str">
        <f t="shared" ca="1" si="1"/>
        <v xml:space="preserve"> </v>
      </c>
      <c r="C19" s="261">
        <f t="shared" ca="1" si="2"/>
        <v>19</v>
      </c>
      <c r="D19" s="382">
        <f t="shared" ca="1" si="3"/>
        <v>42499</v>
      </c>
      <c r="E19" s="183"/>
      <c r="F19" s="184">
        <v>1</v>
      </c>
      <c r="G19" s="185">
        <v>4</v>
      </c>
      <c r="H19" s="186"/>
      <c r="I19" s="248">
        <f>IF(COUNTBLANK(E19:H19)=4,"",SUM(E19:G19)+IF(Setup!$I$15="No",0,H19))</f>
        <v>5</v>
      </c>
      <c r="J19" s="197"/>
      <c r="K19" s="198">
        <v>2</v>
      </c>
      <c r="L19" s="199">
        <v>9</v>
      </c>
      <c r="M19" s="200"/>
      <c r="N19" s="252">
        <f>IF(COUNTBLANK(J19:M19)=4,"",SUM(J19:L19)+IF(Setup!$I$15="No",0,M19))</f>
        <v>11</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f ca="1">IF('Demand background (hide)'!A10=Num_Modalities,"",SUM(Demand!I19, Demand!N19))</f>
        <v>16</v>
      </c>
      <c r="BD19" s="256">
        <f ca="1">IF(AND(A19&lt;=MaxRows,BE19&lt;&gt;"Yes"),'Demand background (hide)'!X10+IF(Setup!$I$15="Yes",'Demand background (hide)'!AJ10,0),"")</f>
        <v>590</v>
      </c>
      <c r="BE19" s="206"/>
    </row>
    <row r="20" spans="1:57" ht="15" x14ac:dyDescent="0.25">
      <c r="A20">
        <f t="shared" ca="1" si="0"/>
        <v>8</v>
      </c>
      <c r="B20" s="259" t="str">
        <f t="shared" ca="1" si="1"/>
        <v xml:space="preserve"> </v>
      </c>
      <c r="C20" s="261">
        <f t="shared" ca="1" si="2"/>
        <v>20</v>
      </c>
      <c r="D20" s="382">
        <f t="shared" ca="1" si="3"/>
        <v>42506</v>
      </c>
      <c r="E20" s="183"/>
      <c r="F20" s="184">
        <v>0</v>
      </c>
      <c r="G20" s="185">
        <v>3</v>
      </c>
      <c r="H20" s="186"/>
      <c r="I20" s="248">
        <f>IF(COUNTBLANK(E20:H20)=4,"",SUM(E20:G20)+IF(Setup!$I$15="No",0,H20))</f>
        <v>3</v>
      </c>
      <c r="J20" s="197"/>
      <c r="K20" s="198">
        <v>2</v>
      </c>
      <c r="L20" s="199">
        <v>7</v>
      </c>
      <c r="M20" s="200"/>
      <c r="N20" s="252">
        <f>IF(COUNTBLANK(J20:M20)=4,"",SUM(J20:L20)+IF(Setup!$I$15="No",0,M20))</f>
        <v>9</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f ca="1">IF('Demand background (hide)'!A11=Num_Modalities,"",SUM(Demand!I20, Demand!N20))</f>
        <v>12</v>
      </c>
      <c r="BD20" s="256">
        <f ca="1">IF(AND(A20&lt;=MaxRows,BE20&lt;&gt;"Yes"),'Demand background (hide)'!X11+IF(Setup!$I$15="Yes",'Demand background (hide)'!AJ11,0),"")</f>
        <v>450</v>
      </c>
      <c r="BE20" s="206"/>
    </row>
    <row r="21" spans="1:57" ht="15" x14ac:dyDescent="0.25">
      <c r="A21">
        <f t="shared" ca="1" si="0"/>
        <v>9</v>
      </c>
      <c r="B21" s="259" t="str">
        <f t="shared" ca="1" si="1"/>
        <v xml:space="preserve"> </v>
      </c>
      <c r="C21" s="261">
        <f t="shared" ca="1" si="2"/>
        <v>21</v>
      </c>
      <c r="D21" s="382">
        <f t="shared" ca="1" si="3"/>
        <v>42513</v>
      </c>
      <c r="E21" s="183"/>
      <c r="F21" s="184">
        <v>2</v>
      </c>
      <c r="G21" s="185">
        <v>0</v>
      </c>
      <c r="H21" s="186"/>
      <c r="I21" s="248">
        <f>IF(COUNTBLANK(E21:H21)=4,"",SUM(E21:G21)+IF(Setup!$I$15="No",0,H21))</f>
        <v>2</v>
      </c>
      <c r="J21" s="197"/>
      <c r="K21" s="198">
        <v>0</v>
      </c>
      <c r="L21" s="199">
        <v>5</v>
      </c>
      <c r="M21" s="200"/>
      <c r="N21" s="252">
        <f>IF(COUNTBLANK(J21:M21)=4,"",SUM(J21:L21)+IF(Setup!$I$15="No",0,M21))</f>
        <v>5</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f ca="1">IF('Demand background (hide)'!A12=Num_Modalities,"",SUM(Demand!I21, Demand!N21))</f>
        <v>7</v>
      </c>
      <c r="BD21" s="256">
        <f ca="1">IF(AND(A21&lt;=MaxRows,BE21&lt;&gt;"Yes"),'Demand background (hide)'!X12+IF(Setup!$I$15="Yes",'Demand background (hide)'!AJ12,0),"")</f>
        <v>260</v>
      </c>
      <c r="BE21" s="206"/>
    </row>
    <row r="22" spans="1:57" ht="15" x14ac:dyDescent="0.25">
      <c r="A22">
        <f t="shared" ca="1" si="0"/>
        <v>10</v>
      </c>
      <c r="B22" s="259" t="str">
        <f t="shared" ca="1" si="1"/>
        <v xml:space="preserve"> </v>
      </c>
      <c r="C22" s="261">
        <f t="shared" ca="1" si="2"/>
        <v>22</v>
      </c>
      <c r="D22" s="382">
        <f t="shared" ca="1" si="3"/>
        <v>42520</v>
      </c>
      <c r="E22" s="183"/>
      <c r="F22" s="184">
        <v>4</v>
      </c>
      <c r="G22" s="185">
        <v>4</v>
      </c>
      <c r="H22" s="186"/>
      <c r="I22" s="248">
        <f>IF(COUNTBLANK(E22:H22)=4,"",SUM(E22:G22)+IF(Setup!$I$15="No",0,H22))</f>
        <v>8</v>
      </c>
      <c r="J22" s="197"/>
      <c r="K22" s="198">
        <v>1</v>
      </c>
      <c r="L22" s="199">
        <v>8</v>
      </c>
      <c r="M22" s="200"/>
      <c r="N22" s="252">
        <f>IF(COUNTBLANK(J22:M22)=4,"",SUM(J22:L22)+IF(Setup!$I$15="No",0,M22))</f>
        <v>9</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f ca="1">IF('Demand background (hide)'!A13=Num_Modalities,"",SUM(Demand!I22, Demand!N22))</f>
        <v>17</v>
      </c>
      <c r="BD22" s="256">
        <f ca="1">IF(AND(A22&lt;=MaxRows,BE22&lt;&gt;"Yes"),'Demand background (hide)'!X13+IF(Setup!$I$15="Yes",'Demand background (hide)'!AJ13,0),"")</f>
        <v>600</v>
      </c>
      <c r="BE22" s="206"/>
    </row>
    <row r="23" spans="1:57" ht="15" x14ac:dyDescent="0.25">
      <c r="A23">
        <f t="shared" ca="1" si="0"/>
        <v>11</v>
      </c>
      <c r="B23" s="259" t="str">
        <f t="shared" ca="1" si="1"/>
        <v xml:space="preserve"> </v>
      </c>
      <c r="C23" s="261">
        <f t="shared" ca="1" si="2"/>
        <v>23</v>
      </c>
      <c r="D23" s="382">
        <f t="shared" ca="1" si="3"/>
        <v>42527</v>
      </c>
      <c r="E23" s="183"/>
      <c r="F23" s="184">
        <v>2</v>
      </c>
      <c r="G23" s="185">
        <v>2</v>
      </c>
      <c r="H23" s="186"/>
      <c r="I23" s="248">
        <f>IF(COUNTBLANK(E23:H23)=4,"",SUM(E23:G23)+IF(Setup!$I$15="No",0,H23))</f>
        <v>4</v>
      </c>
      <c r="J23" s="197"/>
      <c r="K23" s="198">
        <v>0</v>
      </c>
      <c r="L23" s="199">
        <v>14</v>
      </c>
      <c r="M23" s="200"/>
      <c r="N23" s="252">
        <f>IF(COUNTBLANK(J23:M23)=4,"",SUM(J23:L23)+IF(Setup!$I$15="No",0,M23))</f>
        <v>14</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f ca="1">IF('Demand background (hide)'!A14=Num_Modalities,"",SUM(Demand!I23, Demand!N23))</f>
        <v>18</v>
      </c>
      <c r="BD23" s="256">
        <f ca="1">IF(AND(A23&lt;=MaxRows,BE23&lt;&gt;"Yes"),'Demand background (hide)'!X14+IF(Setup!$I$15="Yes",'Demand background (hide)'!AJ14,0),"")</f>
        <v>680</v>
      </c>
      <c r="BE23" s="206"/>
    </row>
    <row r="24" spans="1:57" ht="15" x14ac:dyDescent="0.25">
      <c r="A24">
        <f t="shared" ca="1" si="0"/>
        <v>12</v>
      </c>
      <c r="B24" s="259" t="str">
        <f t="shared" ca="1" si="1"/>
        <v xml:space="preserve"> </v>
      </c>
      <c r="C24" s="261">
        <f t="shared" ca="1" si="2"/>
        <v>24</v>
      </c>
      <c r="D24" s="382">
        <f t="shared" ca="1" si="3"/>
        <v>42534</v>
      </c>
      <c r="E24" s="183"/>
      <c r="F24" s="184">
        <v>2</v>
      </c>
      <c r="G24" s="185">
        <v>3</v>
      </c>
      <c r="H24" s="186"/>
      <c r="I24" s="248">
        <f>IF(COUNTBLANK(E24:H24)=4,"",SUM(E24:G24)+IF(Setup!$I$15="No",0,H24))</f>
        <v>5</v>
      </c>
      <c r="J24" s="197"/>
      <c r="K24" s="198">
        <v>2</v>
      </c>
      <c r="L24" s="199">
        <v>3</v>
      </c>
      <c r="M24" s="200"/>
      <c r="N24" s="252">
        <f>IF(COUNTBLANK(J24:M24)=4,"",SUM(J24:L24)+IF(Setup!$I$15="No",0,M24))</f>
        <v>5</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f ca="1">IF('Demand background (hide)'!A15=Num_Modalities,"",SUM(Demand!I24, Demand!N24))</f>
        <v>10</v>
      </c>
      <c r="BD24" s="256">
        <f ca="1">IF(AND(A24&lt;=MaxRows,BE24&lt;&gt;"Yes"),'Demand background (hide)'!X15+IF(Setup!$I$15="Yes",'Demand background (hide)'!AJ15,0),"")</f>
        <v>350</v>
      </c>
      <c r="BE24" s="206"/>
    </row>
    <row r="25" spans="1:57" ht="15" x14ac:dyDescent="0.25">
      <c r="A25">
        <f t="shared" ca="1" si="0"/>
        <v>13</v>
      </c>
      <c r="B25" s="259" t="str">
        <f t="shared" ca="1" si="1"/>
        <v xml:space="preserve"> </v>
      </c>
      <c r="C25" s="261">
        <f t="shared" ca="1" si="2"/>
        <v>25</v>
      </c>
      <c r="D25" s="382">
        <f t="shared" ca="1" si="3"/>
        <v>42541</v>
      </c>
      <c r="E25" s="183"/>
      <c r="F25" s="184">
        <v>2</v>
      </c>
      <c r="G25" s="185">
        <v>2</v>
      </c>
      <c r="H25" s="186"/>
      <c r="I25" s="248">
        <f>IF(COUNTBLANK(E25:H25)=4,"",SUM(E25:G25)+IF(Setup!$I$15="No",0,H25))</f>
        <v>4</v>
      </c>
      <c r="J25" s="197"/>
      <c r="K25" s="198">
        <v>0</v>
      </c>
      <c r="L25" s="199">
        <v>7</v>
      </c>
      <c r="M25" s="200"/>
      <c r="N25" s="252">
        <f>IF(COUNTBLANK(J25:M25)=4,"",SUM(J25:L25)+IF(Setup!$I$15="No",0,M25))</f>
        <v>7</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f ca="1">IF('Demand background (hide)'!A16=Num_Modalities,"",SUM(Demand!I25, Demand!N25))</f>
        <v>11</v>
      </c>
      <c r="BD25" s="256">
        <f ca="1">IF(AND(A25&lt;=MaxRows,BE25&lt;&gt;"Yes"),'Demand background (hide)'!X16+IF(Setup!$I$15="Yes",'Demand background (hide)'!AJ16,0),"")</f>
        <v>400</v>
      </c>
      <c r="BE25" s="206"/>
    </row>
    <row r="26" spans="1:57" ht="15" x14ac:dyDescent="0.25">
      <c r="A26">
        <f t="shared" ca="1" si="0"/>
        <v>14</v>
      </c>
      <c r="B26" s="259" t="str">
        <f t="shared" ca="1" si="1"/>
        <v xml:space="preserve"> </v>
      </c>
      <c r="C26" s="261">
        <f t="shared" ca="1" si="2"/>
        <v>26</v>
      </c>
      <c r="D26" s="382">
        <f t="shared" ca="1" si="3"/>
        <v>42548</v>
      </c>
      <c r="E26" s="183"/>
      <c r="F26" s="184">
        <v>1</v>
      </c>
      <c r="G26" s="185">
        <v>4</v>
      </c>
      <c r="H26" s="186"/>
      <c r="I26" s="248">
        <f>IF(COUNTBLANK(E26:H26)=4,"",SUM(E26:G26)+IF(Setup!$I$15="No",0,H26))</f>
        <v>5</v>
      </c>
      <c r="J26" s="197"/>
      <c r="K26" s="198">
        <v>3</v>
      </c>
      <c r="L26" s="199">
        <v>10</v>
      </c>
      <c r="M26" s="200"/>
      <c r="N26" s="252">
        <f>IF(COUNTBLANK(J26:M26)=4,"",SUM(J26:L26)+IF(Setup!$I$15="No",0,M26))</f>
        <v>13</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f ca="1">IF('Demand background (hide)'!A17=Num_Modalities,"",SUM(Demand!I26, Demand!N26))</f>
        <v>18</v>
      </c>
      <c r="BD26" s="256">
        <f ca="1">IF(AND(A26&lt;=MaxRows,BE26&lt;&gt;"Yes"),'Demand background (hide)'!X17+IF(Setup!$I$15="Yes",'Demand background (hide)'!AJ17,0),"")</f>
        <v>670</v>
      </c>
      <c r="BE26" s="206"/>
    </row>
    <row r="27" spans="1:57" ht="15" x14ac:dyDescent="0.25">
      <c r="A27">
        <f t="shared" ca="1" si="0"/>
        <v>15</v>
      </c>
      <c r="B27" s="259" t="str">
        <f t="shared" ca="1" si="1"/>
        <v xml:space="preserve"> </v>
      </c>
      <c r="C27" s="261">
        <f t="shared" ca="1" si="2"/>
        <v>27</v>
      </c>
      <c r="D27" s="382">
        <f t="shared" ca="1" si="3"/>
        <v>42555</v>
      </c>
      <c r="E27" s="183"/>
      <c r="F27" s="184">
        <v>2</v>
      </c>
      <c r="G27" s="185">
        <v>1</v>
      </c>
      <c r="H27" s="186"/>
      <c r="I27" s="248">
        <f>IF(COUNTBLANK(E27:H27)=4,"",SUM(E27:G27)+IF(Setup!$I$15="No",0,H27))</f>
        <v>3</v>
      </c>
      <c r="J27" s="197"/>
      <c r="K27" s="198">
        <v>2</v>
      </c>
      <c r="L27" s="199">
        <v>9</v>
      </c>
      <c r="M27" s="200"/>
      <c r="N27" s="252">
        <f>IF(COUNTBLANK(J27:M27)=4,"",SUM(J27:L27)+IF(Setup!$I$15="No",0,M27))</f>
        <v>11</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f ca="1">IF('Demand background (hide)'!A18=Num_Modalities,"",SUM(Demand!I27, Demand!N27))</f>
        <v>14</v>
      </c>
      <c r="BD27" s="256">
        <f ca="1">IF(AND(A27&lt;=MaxRows,BE27&lt;&gt;"Yes"),'Demand background (hide)'!X18+IF(Setup!$I$15="Yes",'Demand background (hide)'!AJ18,0),"")</f>
        <v>530</v>
      </c>
      <c r="BE27" s="206"/>
    </row>
    <row r="28" spans="1:57" ht="15" x14ac:dyDescent="0.25">
      <c r="A28">
        <f t="shared" ca="1" si="0"/>
        <v>16</v>
      </c>
      <c r="B28" s="259" t="str">
        <f t="shared" ca="1" si="1"/>
        <v xml:space="preserve"> </v>
      </c>
      <c r="C28" s="261">
        <f t="shared" ca="1" si="2"/>
        <v>28</v>
      </c>
      <c r="D28" s="382">
        <f t="shared" ca="1" si="3"/>
        <v>42562</v>
      </c>
      <c r="E28" s="183"/>
      <c r="F28" s="184">
        <v>2</v>
      </c>
      <c r="G28" s="185">
        <v>3</v>
      </c>
      <c r="H28" s="186"/>
      <c r="I28" s="248">
        <f>IF(COUNTBLANK(E28:H28)=4,"",SUM(E28:G28)+IF(Setup!$I$15="No",0,H28))</f>
        <v>5</v>
      </c>
      <c r="J28" s="197"/>
      <c r="K28" s="198">
        <v>2</v>
      </c>
      <c r="L28" s="199">
        <v>7</v>
      </c>
      <c r="M28" s="200"/>
      <c r="N28" s="252">
        <f>IF(COUNTBLANK(J28:M28)=4,"",SUM(J28:L28)+IF(Setup!$I$15="No",0,M28))</f>
        <v>9</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f ca="1">IF('Demand background (hide)'!A19=Num_Modalities,"",SUM(Demand!I28, Demand!N28))</f>
        <v>14</v>
      </c>
      <c r="BD28" s="256">
        <f ca="1">IF(AND(A28&lt;=MaxRows,BE28&lt;&gt;"Yes"),'Demand background (hide)'!X19+IF(Setup!$I$15="Yes",'Demand background (hide)'!AJ19,0),"")</f>
        <v>510</v>
      </c>
      <c r="BE28" s="206"/>
    </row>
    <row r="29" spans="1:57" ht="15" x14ac:dyDescent="0.25">
      <c r="A29">
        <f t="shared" ca="1" si="0"/>
        <v>17</v>
      </c>
      <c r="B29" s="259" t="str">
        <f t="shared" ca="1" si="1"/>
        <v xml:space="preserve"> </v>
      </c>
      <c r="C29" s="261">
        <f t="shared" ca="1" si="2"/>
        <v>29</v>
      </c>
      <c r="D29" s="382">
        <f t="shared" ca="1" si="3"/>
        <v>42569</v>
      </c>
      <c r="E29" s="183"/>
      <c r="F29" s="184">
        <v>2</v>
      </c>
      <c r="G29" s="185">
        <v>6</v>
      </c>
      <c r="H29" s="186"/>
      <c r="I29" s="248">
        <f>IF(COUNTBLANK(E29:H29)=4,"",SUM(E29:G29)+IF(Setup!$I$15="No",0,H29))</f>
        <v>8</v>
      </c>
      <c r="J29" s="197"/>
      <c r="K29" s="198">
        <v>2</v>
      </c>
      <c r="L29" s="199">
        <v>7</v>
      </c>
      <c r="M29" s="200"/>
      <c r="N29" s="252">
        <f>IF(COUNTBLANK(J29:M29)=4,"",SUM(J29:L29)+IF(Setup!$I$15="No",0,M29))</f>
        <v>9</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f ca="1">IF('Demand background (hide)'!A20=Num_Modalities,"",SUM(Demand!I29, Demand!N29))</f>
        <v>17</v>
      </c>
      <c r="BD29" s="256">
        <f ca="1">IF(AND(A29&lt;=MaxRows,BE29&lt;&gt;"Yes"),'Demand background (hide)'!X20+IF(Setup!$I$15="Yes",'Demand background (hide)'!AJ20,0),"")</f>
        <v>600</v>
      </c>
      <c r="BE29" s="206"/>
    </row>
    <row r="30" spans="1:57" ht="15" x14ac:dyDescent="0.25">
      <c r="A30">
        <f t="shared" ca="1" si="0"/>
        <v>18</v>
      </c>
      <c r="B30" s="259" t="str">
        <f t="shared" ca="1" si="1"/>
        <v xml:space="preserve"> </v>
      </c>
      <c r="C30" s="261">
        <f t="shared" ca="1" si="2"/>
        <v>30</v>
      </c>
      <c r="D30" s="382">
        <f t="shared" ca="1" si="3"/>
        <v>42576</v>
      </c>
      <c r="E30" s="183"/>
      <c r="F30" s="184">
        <v>2</v>
      </c>
      <c r="G30" s="185">
        <v>2</v>
      </c>
      <c r="H30" s="186"/>
      <c r="I30" s="248">
        <f>IF(COUNTBLANK(E30:H30)=4,"",SUM(E30:G30)+IF(Setup!$I$15="No",0,H30))</f>
        <v>4</v>
      </c>
      <c r="J30" s="197"/>
      <c r="K30" s="198">
        <v>1</v>
      </c>
      <c r="L30" s="199">
        <v>9</v>
      </c>
      <c r="M30" s="200"/>
      <c r="N30" s="252">
        <f>IF(COUNTBLANK(J30:M30)=4,"",SUM(J30:L30)+IF(Setup!$I$15="No",0,M30))</f>
        <v>10</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f ca="1">IF('Demand background (hide)'!A21=Num_Modalities,"",SUM(Demand!I30, Demand!N30))</f>
        <v>14</v>
      </c>
      <c r="BD30" s="256">
        <f ca="1">IF(AND(A30&lt;=MaxRows,BE30&lt;&gt;"Yes"),'Demand background (hide)'!X21+IF(Setup!$I$15="Yes",'Demand background (hide)'!AJ21,0),"")</f>
        <v>520</v>
      </c>
      <c r="BE30" s="206"/>
    </row>
    <row r="31" spans="1:57" ht="15" x14ac:dyDescent="0.25">
      <c r="A31">
        <f t="shared" ca="1" si="0"/>
        <v>19</v>
      </c>
      <c r="B31" s="259" t="str">
        <f t="shared" ca="1" si="1"/>
        <v xml:space="preserve"> </v>
      </c>
      <c r="C31" s="261">
        <f t="shared" ca="1" si="2"/>
        <v>31</v>
      </c>
      <c r="D31" s="382">
        <f t="shared" ca="1" si="3"/>
        <v>42583</v>
      </c>
      <c r="E31" s="183"/>
      <c r="F31" s="184">
        <v>1</v>
      </c>
      <c r="G31" s="185">
        <v>7</v>
      </c>
      <c r="H31" s="186"/>
      <c r="I31" s="248">
        <f>IF(COUNTBLANK(E31:H31)=4,"",SUM(E31:G31)+IF(Setup!$I$15="No",0,H31))</f>
        <v>8</v>
      </c>
      <c r="J31" s="197"/>
      <c r="K31" s="198">
        <v>1</v>
      </c>
      <c r="L31" s="199">
        <v>8</v>
      </c>
      <c r="M31" s="200"/>
      <c r="N31" s="252">
        <f>IF(COUNTBLANK(J31:M31)=4,"",SUM(J31:L31)+IF(Setup!$I$15="No",0,M31))</f>
        <v>9</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f ca="1">IF('Demand background (hide)'!A22=Num_Modalities,"",SUM(Demand!I31, Demand!N31))</f>
        <v>17</v>
      </c>
      <c r="BD31" s="256">
        <f ca="1">IF(AND(A31&lt;=MaxRows,BE31&lt;&gt;"Yes"),'Demand background (hide)'!X22+IF(Setup!$I$15="Yes",'Demand background (hide)'!AJ22,0),"")</f>
        <v>600</v>
      </c>
      <c r="BE31" s="206"/>
    </row>
    <row r="32" spans="1:57" ht="15" x14ac:dyDescent="0.25">
      <c r="A32">
        <f t="shared" ca="1" si="0"/>
        <v>20</v>
      </c>
      <c r="B32" s="259" t="str">
        <f t="shared" ca="1" si="1"/>
        <v xml:space="preserve"> </v>
      </c>
      <c r="C32" s="261">
        <f t="shared" ca="1" si="2"/>
        <v>32</v>
      </c>
      <c r="D32" s="382">
        <f t="shared" ca="1" si="3"/>
        <v>42590</v>
      </c>
      <c r="E32" s="183"/>
      <c r="F32" s="184">
        <v>1</v>
      </c>
      <c r="G32" s="185">
        <v>4</v>
      </c>
      <c r="H32" s="186"/>
      <c r="I32" s="248">
        <f>IF(COUNTBLANK(E32:H32)=4,"",SUM(E32:G32)+IF(Setup!$I$15="No",0,H32))</f>
        <v>5</v>
      </c>
      <c r="J32" s="197"/>
      <c r="K32" s="198">
        <v>3</v>
      </c>
      <c r="L32" s="199">
        <v>11</v>
      </c>
      <c r="M32" s="200"/>
      <c r="N32" s="252">
        <f>IF(COUNTBLANK(J32:M32)=4,"",SUM(J32:L32)+IF(Setup!$I$15="No",0,M32))</f>
        <v>14</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f ca="1">IF('Demand background (hide)'!A23=Num_Modalities,"",SUM(Demand!I32, Demand!N32))</f>
        <v>19</v>
      </c>
      <c r="BD32" s="256">
        <f ca="1">IF(AND(A32&lt;=MaxRows,BE32&lt;&gt;"Yes"),'Demand background (hide)'!X23+IF(Setup!$I$15="Yes",'Demand background (hide)'!AJ23,0),"")</f>
        <v>710</v>
      </c>
      <c r="BE32" s="206"/>
    </row>
    <row r="33" spans="1:57" ht="15" x14ac:dyDescent="0.25">
      <c r="A33">
        <f t="shared" ca="1" si="0"/>
        <v>21</v>
      </c>
      <c r="B33" s="259" t="str">
        <f t="shared" ca="1" si="1"/>
        <v xml:space="preserve"> </v>
      </c>
      <c r="C33" s="261">
        <f t="shared" ca="1" si="2"/>
        <v>33</v>
      </c>
      <c r="D33" s="382">
        <f t="shared" ca="1" si="3"/>
        <v>42597</v>
      </c>
      <c r="E33" s="183"/>
      <c r="F33" s="184">
        <v>3</v>
      </c>
      <c r="G33" s="185">
        <v>6</v>
      </c>
      <c r="H33" s="186"/>
      <c r="I33" s="248">
        <f>IF(COUNTBLANK(E33:H33)=4,"",SUM(E33:G33)+IF(Setup!$I$15="No",0,H33))</f>
        <v>9</v>
      </c>
      <c r="J33" s="197"/>
      <c r="K33" s="198">
        <v>3</v>
      </c>
      <c r="L33" s="199">
        <v>7</v>
      </c>
      <c r="M33" s="200"/>
      <c r="N33" s="252">
        <f>IF(COUNTBLANK(J33:M33)=4,"",SUM(J33:L33)+IF(Setup!$I$15="No",0,M33))</f>
        <v>10</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f ca="1">IF('Demand background (hide)'!A24=Num_Modalities,"",SUM(Demand!I33, Demand!N33))</f>
        <v>19</v>
      </c>
      <c r="BD33" s="256">
        <f ca="1">IF(AND(A33&lt;=MaxRows,BE33&lt;&gt;"Yes"),'Demand background (hide)'!X24+IF(Setup!$I$15="Yes",'Demand background (hide)'!AJ24,0),"")</f>
        <v>670</v>
      </c>
      <c r="BE33" s="206"/>
    </row>
    <row r="34" spans="1:57" ht="15" x14ac:dyDescent="0.25">
      <c r="A34">
        <f t="shared" ca="1" si="0"/>
        <v>22</v>
      </c>
      <c r="B34" s="259" t="str">
        <f t="shared" ca="1" si="1"/>
        <v xml:space="preserve"> </v>
      </c>
      <c r="C34" s="261">
        <f t="shared" ca="1" si="2"/>
        <v>34</v>
      </c>
      <c r="D34" s="382">
        <f t="shared" ca="1" si="3"/>
        <v>42604</v>
      </c>
      <c r="E34" s="183"/>
      <c r="F34" s="184">
        <v>2</v>
      </c>
      <c r="G34" s="185">
        <v>10</v>
      </c>
      <c r="H34" s="186"/>
      <c r="I34" s="248">
        <f>IF(COUNTBLANK(E34:H34)=4,"",SUM(E34:G34)+IF(Setup!$I$15="No",0,H34))</f>
        <v>12</v>
      </c>
      <c r="J34" s="197"/>
      <c r="K34" s="198">
        <v>1</v>
      </c>
      <c r="L34" s="199">
        <v>5</v>
      </c>
      <c r="M34" s="200"/>
      <c r="N34" s="252">
        <f>IF(COUNTBLANK(J34:M34)=4,"",SUM(J34:L34)+IF(Setup!$I$15="No",0,M34))</f>
        <v>6</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f ca="1">IF('Demand background (hide)'!A25=Num_Modalities,"",SUM(Demand!I34, Demand!N34))</f>
        <v>18</v>
      </c>
      <c r="BD34" s="256">
        <f ca="1">IF(AND(A34&lt;=MaxRows,BE34&lt;&gt;"Yes"),'Demand background (hide)'!X25+IF(Setup!$I$15="Yes",'Demand background (hide)'!AJ25,0),"")</f>
        <v>600</v>
      </c>
      <c r="BE34" s="206"/>
    </row>
    <row r="35" spans="1:57" ht="15" x14ac:dyDescent="0.25">
      <c r="A35">
        <f t="shared" ca="1" si="0"/>
        <v>23</v>
      </c>
      <c r="B35" s="259" t="str">
        <f t="shared" ca="1" si="1"/>
        <v xml:space="preserve"> </v>
      </c>
      <c r="C35" s="261">
        <f t="shared" ca="1" si="2"/>
        <v>35</v>
      </c>
      <c r="D35" s="382">
        <f t="shared" ca="1" si="3"/>
        <v>42611</v>
      </c>
      <c r="E35" s="183"/>
      <c r="F35" s="184">
        <v>1</v>
      </c>
      <c r="G35" s="185">
        <v>5</v>
      </c>
      <c r="H35" s="186"/>
      <c r="I35" s="248">
        <f>IF(COUNTBLANK(E35:H35)=4,"",SUM(E35:G35)+IF(Setup!$I$15="No",0,H35))</f>
        <v>6</v>
      </c>
      <c r="J35" s="197"/>
      <c r="K35" s="198">
        <v>0</v>
      </c>
      <c r="L35" s="199">
        <v>12</v>
      </c>
      <c r="M35" s="200"/>
      <c r="N35" s="252">
        <f>IF(COUNTBLANK(J35:M35)=4,"",SUM(J35:L35)+IF(Setup!$I$15="No",0,M35))</f>
        <v>12</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f ca="1">IF('Demand background (hide)'!A26=Num_Modalities,"",SUM(Demand!I35, Demand!N35))</f>
        <v>18</v>
      </c>
      <c r="BD35" s="256">
        <f ca="1">IF(AND(A35&lt;=MaxRows,BE35&lt;&gt;"Yes"),'Demand background (hide)'!X26+IF(Setup!$I$15="Yes",'Demand background (hide)'!AJ26,0),"")</f>
        <v>660</v>
      </c>
      <c r="BE35" s="206"/>
    </row>
    <row r="36" spans="1:57" ht="15" x14ac:dyDescent="0.25">
      <c r="A36">
        <f t="shared" ca="1" si="0"/>
        <v>24</v>
      </c>
      <c r="B36" s="259" t="str">
        <f t="shared" ca="1" si="1"/>
        <v xml:space="preserve"> </v>
      </c>
      <c r="C36" s="261">
        <f t="shared" ca="1" si="2"/>
        <v>36</v>
      </c>
      <c r="D36" s="382">
        <f t="shared" ca="1" si="3"/>
        <v>42618</v>
      </c>
      <c r="E36" s="183"/>
      <c r="F36" s="184">
        <v>1</v>
      </c>
      <c r="G36" s="185">
        <v>1</v>
      </c>
      <c r="H36" s="186"/>
      <c r="I36" s="248">
        <f>IF(COUNTBLANK(E36:H36)=4,"",SUM(E36:G36)+IF(Setup!$I$15="No",0,H36))</f>
        <v>2</v>
      </c>
      <c r="J36" s="197"/>
      <c r="K36" s="198">
        <v>1</v>
      </c>
      <c r="L36" s="199">
        <v>8</v>
      </c>
      <c r="M36" s="200"/>
      <c r="N36" s="252">
        <f>IF(COUNTBLANK(J36:M36)=4,"",SUM(J36:L36)+IF(Setup!$I$15="No",0,M36))</f>
        <v>9</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f ca="1">IF('Demand background (hide)'!A27=Num_Modalities,"",SUM(Demand!I36, Demand!N36))</f>
        <v>11</v>
      </c>
      <c r="BD36" s="256">
        <f ca="1">IF(AND(A36&lt;=MaxRows,BE36&lt;&gt;"Yes"),'Demand background (hide)'!X27+IF(Setup!$I$15="Yes",'Demand background (hide)'!AJ27,0),"")</f>
        <v>420</v>
      </c>
      <c r="BE36" s="206"/>
    </row>
    <row r="37" spans="1:57" ht="15" x14ac:dyDescent="0.25">
      <c r="A37">
        <f t="shared" ca="1" si="0"/>
        <v>25</v>
      </c>
      <c r="B37" s="259" t="str">
        <f t="shared" ca="1" si="1"/>
        <v xml:space="preserve"> </v>
      </c>
      <c r="C37" s="261">
        <f t="shared" ca="1" si="2"/>
        <v>37</v>
      </c>
      <c r="D37" s="382">
        <f t="shared" ca="1" si="3"/>
        <v>42625</v>
      </c>
      <c r="E37" s="183"/>
      <c r="F37" s="184">
        <v>2</v>
      </c>
      <c r="G37" s="185">
        <v>5</v>
      </c>
      <c r="H37" s="186"/>
      <c r="I37" s="248">
        <f>IF(COUNTBLANK(E37:H37)=4,"",SUM(E37:G37)+IF(Setup!$I$15="No",0,H37))</f>
        <v>7</v>
      </c>
      <c r="J37" s="197"/>
      <c r="K37" s="198">
        <v>6</v>
      </c>
      <c r="L37" s="199">
        <v>7</v>
      </c>
      <c r="M37" s="200"/>
      <c r="N37" s="252">
        <f>IF(COUNTBLANK(J37:M37)=4,"",SUM(J37:L37)+IF(Setup!$I$15="No",0,M37))</f>
        <v>13</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f ca="1">IF('Demand background (hide)'!A28=Num_Modalities,"",SUM(Demand!I37, Demand!N37))</f>
        <v>20</v>
      </c>
      <c r="BD37" s="256">
        <f ca="1">IF(AND(A37&lt;=MaxRows,BE37&lt;&gt;"Yes"),'Demand background (hide)'!X28+IF(Setup!$I$15="Yes",'Demand background (hide)'!AJ28,0),"")</f>
        <v>730</v>
      </c>
      <c r="BE37" s="206"/>
    </row>
    <row r="38" spans="1:57" ht="15" x14ac:dyDescent="0.25">
      <c r="A38">
        <f t="shared" ca="1" si="0"/>
        <v>26</v>
      </c>
      <c r="B38" s="259" t="str">
        <f t="shared" ca="1" si="1"/>
        <v xml:space="preserve"> </v>
      </c>
      <c r="C38" s="261">
        <f t="shared" ca="1" si="2"/>
        <v>38</v>
      </c>
      <c r="D38" s="382">
        <f t="shared" ca="1" si="3"/>
        <v>42632</v>
      </c>
      <c r="E38" s="183"/>
      <c r="F38" s="184">
        <v>1</v>
      </c>
      <c r="G38" s="185">
        <v>4</v>
      </c>
      <c r="H38" s="186"/>
      <c r="I38" s="248">
        <f>IF(COUNTBLANK(E38:H38)=4,"",SUM(E38:G38)+IF(Setup!$I$15="No",0,H38))</f>
        <v>5</v>
      </c>
      <c r="J38" s="197"/>
      <c r="K38" s="198">
        <v>2</v>
      </c>
      <c r="L38" s="199">
        <v>11</v>
      </c>
      <c r="M38" s="200"/>
      <c r="N38" s="252">
        <f>IF(COUNTBLANK(J38:M38)=4,"",SUM(J38:L38)+IF(Setup!$I$15="No",0,M38))</f>
        <v>13</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f ca="1">IF('Demand background (hide)'!A29=Num_Modalities,"",SUM(Demand!I38, Demand!N38))</f>
        <v>18</v>
      </c>
      <c r="BD38" s="256">
        <f ca="1">IF(AND(A38&lt;=MaxRows,BE38&lt;&gt;"Yes"),'Demand background (hide)'!X29+IF(Setup!$I$15="Yes",'Demand background (hide)'!AJ29,0),"")</f>
        <v>670</v>
      </c>
      <c r="BE38" s="206"/>
    </row>
    <row r="39" spans="1:57" ht="15" x14ac:dyDescent="0.25">
      <c r="A39">
        <f t="shared" ca="1" si="0"/>
        <v>27</v>
      </c>
      <c r="B39" s="259" t="str">
        <f t="shared" ca="1" si="1"/>
        <v xml:space="preserve"> </v>
      </c>
      <c r="C39" s="261">
        <f t="shared" ca="1" si="2"/>
        <v>39</v>
      </c>
      <c r="D39" s="382">
        <f t="shared" ca="1" si="3"/>
        <v>42639</v>
      </c>
      <c r="E39" s="183"/>
      <c r="F39" s="184">
        <v>0</v>
      </c>
      <c r="G39" s="185">
        <v>2</v>
      </c>
      <c r="H39" s="186"/>
      <c r="I39" s="248">
        <f>IF(COUNTBLANK(E39:H39)=4,"",SUM(E39:G39)+IF(Setup!$I$15="No",0,H39))</f>
        <v>2</v>
      </c>
      <c r="J39" s="197"/>
      <c r="K39" s="198">
        <v>4</v>
      </c>
      <c r="L39" s="199">
        <v>9</v>
      </c>
      <c r="M39" s="200"/>
      <c r="N39" s="252">
        <f>IF(COUNTBLANK(J39:M39)=4,"",SUM(J39:L39)+IF(Setup!$I$15="No",0,M39))</f>
        <v>13</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f ca="1">IF('Demand background (hide)'!A30=Num_Modalities,"",SUM(Demand!I39, Demand!N39))</f>
        <v>15</v>
      </c>
      <c r="BD39" s="256">
        <f ca="1">IF(AND(A39&lt;=MaxRows,BE39&lt;&gt;"Yes"),'Demand background (hide)'!X30+IF(Setup!$I$15="Yes",'Demand background (hide)'!AJ30,0),"")</f>
        <v>580</v>
      </c>
      <c r="BE39" s="206"/>
    </row>
    <row r="40" spans="1:57" ht="15" x14ac:dyDescent="0.25">
      <c r="A40">
        <f t="shared" ca="1" si="0"/>
        <v>28</v>
      </c>
      <c r="B40" s="259" t="str">
        <f t="shared" ca="1" si="1"/>
        <v xml:space="preserve"> </v>
      </c>
      <c r="C40" s="261">
        <f t="shared" ca="1" si="2"/>
        <v>40</v>
      </c>
      <c r="D40" s="382">
        <f t="shared" ca="1" si="3"/>
        <v>42646</v>
      </c>
      <c r="E40" s="183"/>
      <c r="F40" s="184">
        <v>0</v>
      </c>
      <c r="G40" s="185">
        <v>3</v>
      </c>
      <c r="H40" s="186"/>
      <c r="I40" s="248">
        <f>IF(COUNTBLANK(E40:H40)=4,"",SUM(E40:G40)+IF(Setup!$I$15="No",0,H40))</f>
        <v>3</v>
      </c>
      <c r="J40" s="197"/>
      <c r="K40" s="198">
        <v>2</v>
      </c>
      <c r="L40" s="199">
        <v>3</v>
      </c>
      <c r="M40" s="200"/>
      <c r="N40" s="252">
        <f>IF(COUNTBLANK(J40:M40)=4,"",SUM(J40:L40)+IF(Setup!$I$15="No",0,M40))</f>
        <v>5</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f ca="1">IF('Demand background (hide)'!A31=Num_Modalities,"",SUM(Demand!I40, Demand!N40))</f>
        <v>8</v>
      </c>
      <c r="BD40" s="256">
        <f ca="1">IF(AND(A40&lt;=MaxRows,BE40&lt;&gt;"Yes"),'Demand background (hide)'!X31+IF(Setup!$I$15="Yes",'Demand background (hide)'!AJ31,0),"")</f>
        <v>290</v>
      </c>
      <c r="BE40" s="206"/>
    </row>
    <row r="41" spans="1:57" ht="15" x14ac:dyDescent="0.25">
      <c r="A41">
        <f t="shared" ca="1" si="0"/>
        <v>29</v>
      </c>
      <c r="B41" s="259" t="str">
        <f t="shared" ca="1" si="1"/>
        <v xml:space="preserve"> </v>
      </c>
      <c r="C41" s="261">
        <f t="shared" ca="1" si="2"/>
        <v>41</v>
      </c>
      <c r="D41" s="382">
        <f t="shared" ca="1" si="3"/>
        <v>42653</v>
      </c>
      <c r="E41" s="183"/>
      <c r="F41" s="184">
        <v>0</v>
      </c>
      <c r="G41" s="185">
        <v>3</v>
      </c>
      <c r="H41" s="186"/>
      <c r="I41" s="248">
        <f>IF(COUNTBLANK(E41:H41)=4,"",SUM(E41:G41)+IF(Setup!$I$15="No",0,H41))</f>
        <v>3</v>
      </c>
      <c r="J41" s="197"/>
      <c r="K41" s="198">
        <v>0</v>
      </c>
      <c r="L41" s="199">
        <v>11</v>
      </c>
      <c r="M41" s="200"/>
      <c r="N41" s="252">
        <f>IF(COUNTBLANK(J41:M41)=4,"",SUM(J41:L41)+IF(Setup!$I$15="No",0,M41))</f>
        <v>11</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f ca="1">IF('Demand background (hide)'!A32=Num_Modalities,"",SUM(Demand!I41, Demand!N41))</f>
        <v>14</v>
      </c>
      <c r="BD41" s="256">
        <f ca="1">IF(AND(A41&lt;=MaxRows,BE41&lt;&gt;"Yes"),'Demand background (hide)'!X32+IF(Setup!$I$15="Yes",'Demand background (hide)'!AJ32,0),"")</f>
        <v>530</v>
      </c>
      <c r="BE41" s="206"/>
    </row>
    <row r="42" spans="1:57" ht="15" x14ac:dyDescent="0.25">
      <c r="A42">
        <f t="shared" ca="1" si="0"/>
        <v>30</v>
      </c>
      <c r="B42" s="259" t="str">
        <f t="shared" ca="1" si="1"/>
        <v xml:space="preserve"> </v>
      </c>
      <c r="C42" s="261">
        <f t="shared" ca="1" si="2"/>
        <v>42</v>
      </c>
      <c r="D42" s="382">
        <f t="shared" ca="1" si="3"/>
        <v>42660</v>
      </c>
      <c r="E42" s="183"/>
      <c r="F42" s="184">
        <v>2</v>
      </c>
      <c r="G42" s="185">
        <v>2</v>
      </c>
      <c r="H42" s="186"/>
      <c r="I42" s="248">
        <f>IF(COUNTBLANK(E42:H42)=4,"",SUM(E42:G42)+IF(Setup!$I$15="No",0,H42))</f>
        <v>4</v>
      </c>
      <c r="J42" s="197"/>
      <c r="K42" s="198">
        <v>0</v>
      </c>
      <c r="L42" s="199">
        <v>5</v>
      </c>
      <c r="M42" s="200"/>
      <c r="N42" s="252">
        <f>IF(COUNTBLANK(J42:M42)=4,"",SUM(J42:L42)+IF(Setup!$I$15="No",0,M42))</f>
        <v>5</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f ca="1">IF('Demand background (hide)'!A33=Num_Modalities,"",SUM(Demand!I42, Demand!N42))</f>
        <v>9</v>
      </c>
      <c r="BD42" s="256">
        <f ca="1">IF(AND(A42&lt;=MaxRows,BE42&lt;&gt;"Yes"),'Demand background (hide)'!X33+IF(Setup!$I$15="Yes",'Demand background (hide)'!AJ33,0),"")</f>
        <v>320</v>
      </c>
      <c r="BE42" s="206"/>
    </row>
    <row r="43" spans="1:57" ht="15" x14ac:dyDescent="0.25">
      <c r="A43">
        <f t="shared" ca="1" si="0"/>
        <v>31</v>
      </c>
      <c r="B43" s="259" t="str">
        <f t="shared" ca="1" si="1"/>
        <v xml:space="preserve"> </v>
      </c>
      <c r="C43" s="261">
        <f t="shared" ca="1" si="2"/>
        <v>43</v>
      </c>
      <c r="D43" s="382">
        <f t="shared" ca="1" si="3"/>
        <v>42667</v>
      </c>
      <c r="E43" s="183"/>
      <c r="F43" s="184">
        <v>1</v>
      </c>
      <c r="G43" s="185">
        <v>2</v>
      </c>
      <c r="H43" s="186"/>
      <c r="I43" s="248">
        <f>IF(COUNTBLANK(E43:H43)=4,"",SUM(E43:G43)+IF(Setup!$I$15="No",0,H43))</f>
        <v>3</v>
      </c>
      <c r="J43" s="197"/>
      <c r="K43" s="198">
        <v>2</v>
      </c>
      <c r="L43" s="199">
        <v>14</v>
      </c>
      <c r="M43" s="200"/>
      <c r="N43" s="252">
        <f>IF(COUNTBLANK(J43:M43)=4,"",SUM(J43:L43)+IF(Setup!$I$15="No",0,M43))</f>
        <v>16</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f ca="1">IF('Demand background (hide)'!A34=Num_Modalities,"",SUM(Demand!I43, Demand!N43))</f>
        <v>19</v>
      </c>
      <c r="BD43" s="256">
        <f ca="1">IF(AND(A43&lt;=MaxRows,BE43&lt;&gt;"Yes"),'Demand background (hide)'!X34+IF(Setup!$I$15="Yes",'Demand background (hide)'!AJ34,0),"")</f>
        <v>730</v>
      </c>
      <c r="BE43" s="206"/>
    </row>
    <row r="44" spans="1:57" ht="15" x14ac:dyDescent="0.25">
      <c r="A44">
        <f t="shared" ca="1" si="0"/>
        <v>32</v>
      </c>
      <c r="B44" s="259" t="str">
        <f t="shared" ca="1" si="1"/>
        <v xml:space="preserve"> </v>
      </c>
      <c r="C44" s="261">
        <f t="shared" ca="1" si="2"/>
        <v>44</v>
      </c>
      <c r="D44" s="382">
        <f t="shared" ca="1" si="3"/>
        <v>42674</v>
      </c>
      <c r="E44" s="183"/>
      <c r="F44" s="184">
        <v>0</v>
      </c>
      <c r="G44" s="185">
        <v>6</v>
      </c>
      <c r="H44" s="186"/>
      <c r="I44" s="248">
        <f>IF(COUNTBLANK(E44:H44)=4,"",SUM(E44:G44)+IF(Setup!$I$15="No",0,H44))</f>
        <v>6</v>
      </c>
      <c r="J44" s="197"/>
      <c r="K44" s="198">
        <v>2</v>
      </c>
      <c r="L44" s="199">
        <v>8</v>
      </c>
      <c r="M44" s="200"/>
      <c r="N44" s="252">
        <f>IF(COUNTBLANK(J44:M44)=4,"",SUM(J44:L44)+IF(Setup!$I$15="No",0,M44))</f>
        <v>10</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f ca="1">IF('Demand background (hide)'!A35=Num_Modalities,"",SUM(Demand!I44, Demand!N44))</f>
        <v>16</v>
      </c>
      <c r="BD44" s="256">
        <f ca="1">IF(AND(A44&lt;=MaxRows,BE44&lt;&gt;"Yes"),'Demand background (hide)'!X35+IF(Setup!$I$15="Yes",'Demand background (hide)'!AJ35,0),"")</f>
        <v>580</v>
      </c>
      <c r="BE44" s="206"/>
    </row>
    <row r="45" spans="1:57" ht="15" x14ac:dyDescent="0.25">
      <c r="A45">
        <f t="shared" ca="1" si="0"/>
        <v>33</v>
      </c>
      <c r="B45" s="259" t="str">
        <f t="shared" ca="1" si="1"/>
        <v xml:space="preserve"> </v>
      </c>
      <c r="C45" s="261">
        <f t="shared" ca="1" si="2"/>
        <v>45</v>
      </c>
      <c r="D45" s="382">
        <f t="shared" ca="1" si="3"/>
        <v>42681</v>
      </c>
      <c r="E45" s="183"/>
      <c r="F45" s="184">
        <v>0</v>
      </c>
      <c r="G45" s="185">
        <v>7</v>
      </c>
      <c r="H45" s="186"/>
      <c r="I45" s="248">
        <f>IF(COUNTBLANK(E45:H45)=4,"",SUM(E45:G45)+IF(Setup!$I$15="No",0,H45))</f>
        <v>7</v>
      </c>
      <c r="J45" s="197"/>
      <c r="K45" s="198">
        <v>3</v>
      </c>
      <c r="L45" s="199">
        <v>3</v>
      </c>
      <c r="M45" s="200"/>
      <c r="N45" s="252">
        <f>IF(COUNTBLANK(J45:M45)=4,"",SUM(J45:L45)+IF(Setup!$I$15="No",0,M45))</f>
        <v>6</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f ca="1">IF('Demand background (hide)'!A36=Num_Modalities,"",SUM(Demand!I45, Demand!N45))</f>
        <v>13</v>
      </c>
      <c r="BD45" s="256">
        <f ca="1">IF(AND(A45&lt;=MaxRows,BE45&lt;&gt;"Yes"),'Demand background (hide)'!X36+IF(Setup!$I$15="Yes",'Demand background (hide)'!AJ36,0),"")</f>
        <v>450</v>
      </c>
      <c r="BE45" s="206"/>
    </row>
    <row r="46" spans="1:57" ht="15" x14ac:dyDescent="0.25">
      <c r="A46">
        <f t="shared" ca="1" si="0"/>
        <v>34</v>
      </c>
      <c r="B46" s="259" t="str">
        <f t="shared" ca="1" si="1"/>
        <v xml:space="preserve"> </v>
      </c>
      <c r="C46" s="261">
        <f t="shared" ca="1" si="2"/>
        <v>46</v>
      </c>
      <c r="D46" s="382">
        <f t="shared" ca="1" si="3"/>
        <v>42688</v>
      </c>
      <c r="E46" s="183"/>
      <c r="F46" s="184">
        <v>3</v>
      </c>
      <c r="G46" s="185">
        <v>3</v>
      </c>
      <c r="H46" s="186"/>
      <c r="I46" s="248">
        <f>IF(COUNTBLANK(E46:H46)=4,"",SUM(E46:G46)+IF(Setup!$I$15="No",0,H46))</f>
        <v>6</v>
      </c>
      <c r="J46" s="197"/>
      <c r="K46" s="198">
        <v>0</v>
      </c>
      <c r="L46" s="199">
        <v>7</v>
      </c>
      <c r="M46" s="200"/>
      <c r="N46" s="252">
        <f>IF(COUNTBLANK(J46:M46)=4,"",SUM(J46:L46)+IF(Setup!$I$15="No",0,M46))</f>
        <v>7</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f ca="1">IF('Demand background (hide)'!A37=Num_Modalities,"",SUM(Demand!I46, Demand!N46))</f>
        <v>13</v>
      </c>
      <c r="BD46" s="256">
        <f ca="1">IF(AND(A46&lt;=MaxRows,BE46&lt;&gt;"Yes"),'Demand background (hide)'!X37+IF(Setup!$I$15="Yes",'Demand background (hide)'!AJ37,0),"")</f>
        <v>460</v>
      </c>
      <c r="BE46" s="206"/>
    </row>
    <row r="47" spans="1:57" ht="15" x14ac:dyDescent="0.25">
      <c r="A47">
        <f t="shared" ca="1" si="0"/>
        <v>35</v>
      </c>
      <c r="B47" s="259" t="str">
        <f t="shared" ca="1" si="1"/>
        <v xml:space="preserve"> </v>
      </c>
      <c r="C47" s="261">
        <f t="shared" ca="1" si="2"/>
        <v>47</v>
      </c>
      <c r="D47" s="382">
        <f t="shared" ca="1" si="3"/>
        <v>42695</v>
      </c>
      <c r="E47" s="183"/>
      <c r="F47" s="184">
        <v>1</v>
      </c>
      <c r="G47" s="185">
        <v>5</v>
      </c>
      <c r="H47" s="186"/>
      <c r="I47" s="248">
        <f>IF(COUNTBLANK(E47:H47)=4,"",SUM(E47:G47)+IF(Setup!$I$15="No",0,H47))</f>
        <v>6</v>
      </c>
      <c r="J47" s="197"/>
      <c r="K47" s="198">
        <v>2</v>
      </c>
      <c r="L47" s="199">
        <v>11</v>
      </c>
      <c r="M47" s="200"/>
      <c r="N47" s="252">
        <f>IF(COUNTBLANK(J47:M47)=4,"",SUM(J47:L47)+IF(Setup!$I$15="No",0,M47))</f>
        <v>13</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f ca="1">IF('Demand background (hide)'!A38=Num_Modalities,"",SUM(Demand!I47, Demand!N47))</f>
        <v>19</v>
      </c>
      <c r="BD47" s="256">
        <f ca="1">IF(AND(A47&lt;=MaxRows,BE47&lt;&gt;"Yes"),'Demand background (hide)'!X38+IF(Setup!$I$15="Yes",'Demand background (hide)'!AJ38,0),"")</f>
        <v>700</v>
      </c>
      <c r="BE47" s="206"/>
    </row>
    <row r="48" spans="1:57" ht="15" x14ac:dyDescent="0.25">
      <c r="A48">
        <f t="shared" ca="1" si="0"/>
        <v>36</v>
      </c>
      <c r="B48" s="259" t="str">
        <f t="shared" ca="1" si="1"/>
        <v xml:space="preserve"> </v>
      </c>
      <c r="C48" s="261">
        <f t="shared" ca="1" si="2"/>
        <v>48</v>
      </c>
      <c r="D48" s="382">
        <f t="shared" ca="1" si="3"/>
        <v>42702</v>
      </c>
      <c r="E48" s="183"/>
      <c r="F48" s="184">
        <v>0</v>
      </c>
      <c r="G48" s="185">
        <v>3</v>
      </c>
      <c r="H48" s="186"/>
      <c r="I48" s="248">
        <f>IF(COUNTBLANK(E48:H48)=4,"",SUM(E48:G48)+IF(Setup!$I$15="No",0,H48))</f>
        <v>3</v>
      </c>
      <c r="J48" s="197"/>
      <c r="K48" s="198">
        <v>3</v>
      </c>
      <c r="L48" s="199">
        <v>9</v>
      </c>
      <c r="M48" s="200"/>
      <c r="N48" s="252">
        <f>IF(COUNTBLANK(J48:M48)=4,"",SUM(J48:L48)+IF(Setup!$I$15="No",0,M48))</f>
        <v>12</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f ca="1">IF('Demand background (hide)'!A39=Num_Modalities,"",SUM(Demand!I48, Demand!N48))</f>
        <v>15</v>
      </c>
      <c r="BD48" s="256">
        <f ca="1">IF(AND(A48&lt;=MaxRows,BE48&lt;&gt;"Yes"),'Demand background (hide)'!X39+IF(Setup!$I$15="Yes",'Demand background (hide)'!AJ39,0),"")</f>
        <v>570</v>
      </c>
      <c r="BE48" s="206"/>
    </row>
    <row r="49" spans="1:57" ht="15" x14ac:dyDescent="0.25">
      <c r="A49">
        <f t="shared" ca="1" si="0"/>
        <v>37</v>
      </c>
      <c r="B49" s="259" t="str">
        <f t="shared" ca="1" si="1"/>
        <v xml:space="preserve"> </v>
      </c>
      <c r="C49" s="261">
        <f t="shared" ca="1" si="2"/>
        <v>49</v>
      </c>
      <c r="D49" s="382">
        <f t="shared" ca="1" si="3"/>
        <v>42709</v>
      </c>
      <c r="E49" s="183"/>
      <c r="F49" s="184">
        <v>1</v>
      </c>
      <c r="G49" s="185">
        <v>3</v>
      </c>
      <c r="H49" s="186"/>
      <c r="I49" s="248">
        <f>IF(COUNTBLANK(E49:H49)=4,"",SUM(E49:G49)+IF(Setup!$I$15="No",0,H49))</f>
        <v>4</v>
      </c>
      <c r="J49" s="197"/>
      <c r="K49" s="198">
        <v>1</v>
      </c>
      <c r="L49" s="199">
        <v>11</v>
      </c>
      <c r="M49" s="200"/>
      <c r="N49" s="252">
        <f>IF(COUNTBLANK(J49:M49)=4,"",SUM(J49:L49)+IF(Setup!$I$15="No",0,M49))</f>
        <v>12</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f ca="1">IF('Demand background (hide)'!A40=Num_Modalities,"",SUM(Demand!I49, Demand!N49))</f>
        <v>16</v>
      </c>
      <c r="BD49" s="256">
        <f ca="1">IF(AND(A49&lt;=MaxRows,BE49&lt;&gt;"Yes"),'Demand background (hide)'!X40+IF(Setup!$I$15="Yes",'Demand background (hide)'!AJ40,0),"")</f>
        <v>600</v>
      </c>
      <c r="BE49" s="206"/>
    </row>
    <row r="50" spans="1:57" ht="15" x14ac:dyDescent="0.25">
      <c r="A50">
        <f t="shared" ca="1" si="0"/>
        <v>38</v>
      </c>
      <c r="B50" s="259" t="str">
        <f t="shared" ca="1" si="1"/>
        <v xml:space="preserve"> </v>
      </c>
      <c r="C50" s="261">
        <f t="shared" ca="1" si="2"/>
        <v>50</v>
      </c>
      <c r="D50" s="382">
        <f t="shared" ca="1" si="3"/>
        <v>42716</v>
      </c>
      <c r="E50" s="183"/>
      <c r="F50" s="184">
        <v>0</v>
      </c>
      <c r="G50" s="185">
        <v>1</v>
      </c>
      <c r="H50" s="186"/>
      <c r="I50" s="248">
        <f>IF(COUNTBLANK(E50:H50)=4,"",SUM(E50:G50)+IF(Setup!$I$15="No",0,H50))</f>
        <v>1</v>
      </c>
      <c r="J50" s="197"/>
      <c r="K50" s="198">
        <v>5</v>
      </c>
      <c r="L50" s="199">
        <v>7</v>
      </c>
      <c r="M50" s="200"/>
      <c r="N50" s="252">
        <f>IF(COUNTBLANK(J50:M50)=4,"",SUM(J50:L50)+IF(Setup!$I$15="No",0,M50))</f>
        <v>12</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f ca="1">IF('Demand background (hide)'!A41=Num_Modalities,"",SUM(Demand!I50, Demand!N50))</f>
        <v>13</v>
      </c>
      <c r="BD50" s="256">
        <f ca="1">IF(AND(A50&lt;=MaxRows,BE50&lt;&gt;"Yes"),'Demand background (hide)'!X41+IF(Setup!$I$15="Yes",'Demand background (hide)'!AJ41,0),"")</f>
        <v>510</v>
      </c>
      <c r="BE50" s="206"/>
    </row>
    <row r="51" spans="1:57" ht="15" x14ac:dyDescent="0.25">
      <c r="A51">
        <f t="shared" ca="1" si="0"/>
        <v>39</v>
      </c>
      <c r="B51" s="259" t="str">
        <f t="shared" ca="1" si="1"/>
        <v xml:space="preserve"> </v>
      </c>
      <c r="C51" s="261">
        <f t="shared" ca="1" si="2"/>
        <v>51</v>
      </c>
      <c r="D51" s="382">
        <f t="shared" ca="1" si="3"/>
        <v>42723</v>
      </c>
      <c r="E51" s="183"/>
      <c r="F51" s="184">
        <v>0</v>
      </c>
      <c r="G51" s="185">
        <v>2</v>
      </c>
      <c r="H51" s="186"/>
      <c r="I51" s="248">
        <f>IF(COUNTBLANK(E51:H51)=4,"",SUM(E51:G51)+IF(Setup!$I$15="No",0,H51))</f>
        <v>2</v>
      </c>
      <c r="J51" s="197"/>
      <c r="K51" s="198">
        <v>2</v>
      </c>
      <c r="L51" s="199">
        <v>4</v>
      </c>
      <c r="M51" s="200"/>
      <c r="N51" s="252">
        <f>IF(COUNTBLANK(J51:M51)=4,"",SUM(J51:L51)+IF(Setup!$I$15="No",0,M51))</f>
        <v>6</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f ca="1">IF('Demand background (hide)'!A42=Num_Modalities,"",SUM(Demand!I51, Demand!N51))</f>
        <v>8</v>
      </c>
      <c r="BD51" s="256">
        <f ca="1">IF(AND(A51&lt;=MaxRows,BE51&lt;&gt;"Yes"),'Demand background (hide)'!X42+IF(Setup!$I$15="Yes",'Demand background (hide)'!AJ42,0),"")</f>
        <v>300</v>
      </c>
      <c r="BE51" s="206"/>
    </row>
    <row r="52" spans="1:57" ht="15" x14ac:dyDescent="0.25">
      <c r="A52">
        <f t="shared" ca="1" si="0"/>
        <v>40</v>
      </c>
      <c r="B52" s="259" t="str">
        <f t="shared" ca="1" si="1"/>
        <v xml:space="preserve"> </v>
      </c>
      <c r="C52" s="261">
        <f t="shared" ca="1" si="2"/>
        <v>52</v>
      </c>
      <c r="D52" s="382">
        <f t="shared" ca="1" si="3"/>
        <v>42730</v>
      </c>
      <c r="E52" s="183"/>
      <c r="F52" s="184">
        <v>0</v>
      </c>
      <c r="G52" s="185">
        <v>7</v>
      </c>
      <c r="H52" s="186"/>
      <c r="I52" s="248">
        <f>IF(COUNTBLANK(E52:H52)=4,"",SUM(E52:G52)+IF(Setup!$I$15="No",0,H52))</f>
        <v>7</v>
      </c>
      <c r="J52" s="197"/>
      <c r="K52" s="198">
        <v>1</v>
      </c>
      <c r="L52" s="199">
        <v>13</v>
      </c>
      <c r="M52" s="200"/>
      <c r="N52" s="252">
        <f>IF(COUNTBLANK(J52:M52)=4,"",SUM(J52:L52)+IF(Setup!$I$15="No",0,M52))</f>
        <v>14</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f ca="1">IF('Demand background (hide)'!A43=Num_Modalities,"",SUM(Demand!I52, Demand!N52))</f>
        <v>21</v>
      </c>
      <c r="BD52" s="256">
        <f ca="1">IF(AND(A52&lt;=MaxRows,BE52&lt;&gt;"Yes"),'Demand background (hide)'!X43+IF(Setup!$I$15="Yes",'Demand background (hide)'!AJ43,0),"")</f>
        <v>770</v>
      </c>
      <c r="BE52" s="206"/>
    </row>
    <row r="53" spans="1:57" ht="15" x14ac:dyDescent="0.25">
      <c r="A53">
        <f t="shared" ca="1" si="0"/>
        <v>41</v>
      </c>
      <c r="B53" s="259">
        <f t="shared" ca="1" si="1"/>
        <v>2017</v>
      </c>
      <c r="C53" s="261">
        <f t="shared" ca="1" si="2"/>
        <v>1</v>
      </c>
      <c r="D53" s="382">
        <f t="shared" ca="1" si="3"/>
        <v>42737</v>
      </c>
      <c r="E53" s="183"/>
      <c r="F53" s="184">
        <v>0</v>
      </c>
      <c r="G53" s="185">
        <v>1</v>
      </c>
      <c r="H53" s="186"/>
      <c r="I53" s="248">
        <f>IF(COUNTBLANK(E53:H53)=4,"",SUM(E53:G53)+IF(Setup!$I$15="No",0,H53))</f>
        <v>1</v>
      </c>
      <c r="J53" s="197"/>
      <c r="K53" s="198">
        <v>4</v>
      </c>
      <c r="L53" s="199">
        <v>8</v>
      </c>
      <c r="M53" s="200"/>
      <c r="N53" s="252">
        <f>IF(COUNTBLANK(J53:M53)=4,"",SUM(J53:L53)+IF(Setup!$I$15="No",0,M53))</f>
        <v>12</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f ca="1">IF('Demand background (hide)'!A44=Num_Modalities,"",SUM(Demand!I53, Demand!N53))</f>
        <v>13</v>
      </c>
      <c r="BD53" s="256">
        <f ca="1">IF(AND(A53&lt;=MaxRows,BE53&lt;&gt;"Yes"),'Demand background (hide)'!X44+IF(Setup!$I$15="Yes",'Demand background (hide)'!AJ44,0),"")</f>
        <v>510</v>
      </c>
      <c r="BE53" s="206"/>
    </row>
    <row r="54" spans="1:57" ht="15" x14ac:dyDescent="0.25">
      <c r="A54">
        <f t="shared" ca="1" si="0"/>
        <v>42</v>
      </c>
      <c r="B54" s="259" t="str">
        <f t="shared" ca="1" si="1"/>
        <v xml:space="preserve"> </v>
      </c>
      <c r="C54" s="261">
        <f t="shared" ca="1" si="2"/>
        <v>2</v>
      </c>
      <c r="D54" s="382">
        <f t="shared" ca="1" si="3"/>
        <v>42744</v>
      </c>
      <c r="E54" s="183"/>
      <c r="F54" s="184">
        <v>0</v>
      </c>
      <c r="G54" s="185">
        <v>4</v>
      </c>
      <c r="H54" s="186"/>
      <c r="I54" s="248">
        <f>IF(COUNTBLANK(E54:H54)=4,"",SUM(E54:G54)+IF(Setup!$I$15="No",0,H54))</f>
        <v>4</v>
      </c>
      <c r="J54" s="197"/>
      <c r="K54" s="198">
        <v>2</v>
      </c>
      <c r="L54" s="199">
        <v>6</v>
      </c>
      <c r="M54" s="200"/>
      <c r="N54" s="252">
        <f>IF(COUNTBLANK(J54:M54)=4,"",SUM(J54:L54)+IF(Setup!$I$15="No",0,M54))</f>
        <v>8</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f ca="1">IF('Demand background (hide)'!A45=Num_Modalities,"",SUM(Demand!I54, Demand!N54))</f>
        <v>12</v>
      </c>
      <c r="BD54" s="256">
        <f ca="1">IF(AND(A54&lt;=MaxRows,BE54&lt;&gt;"Yes"),'Demand background (hide)'!X45+IF(Setup!$I$15="Yes",'Demand background (hide)'!AJ45,0),"")</f>
        <v>440</v>
      </c>
      <c r="BE54" s="206"/>
    </row>
    <row r="55" spans="1:57" ht="15" x14ac:dyDescent="0.25">
      <c r="A55">
        <f t="shared" ca="1" si="0"/>
        <v>43</v>
      </c>
      <c r="B55" s="259" t="str">
        <f t="shared" ca="1" si="1"/>
        <v xml:space="preserve"> </v>
      </c>
      <c r="C55" s="261">
        <f t="shared" ca="1" si="2"/>
        <v>3</v>
      </c>
      <c r="D55" s="382">
        <f t="shared" ca="1" si="3"/>
        <v>42751</v>
      </c>
      <c r="E55" s="183"/>
      <c r="F55" s="184">
        <v>2</v>
      </c>
      <c r="G55" s="185">
        <v>9</v>
      </c>
      <c r="H55" s="186"/>
      <c r="I55" s="248">
        <f>IF(COUNTBLANK(E55:H55)=4,"",SUM(E55:G55)+IF(Setup!$I$15="No",0,H55))</f>
        <v>11</v>
      </c>
      <c r="J55" s="197"/>
      <c r="K55" s="198">
        <v>2</v>
      </c>
      <c r="L55" s="199">
        <v>6</v>
      </c>
      <c r="M55" s="200"/>
      <c r="N55" s="252">
        <f>IF(COUNTBLANK(J55:M55)=4,"",SUM(J55:L55)+IF(Setup!$I$15="No",0,M55))</f>
        <v>8</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f ca="1">IF('Demand background (hide)'!A46=Num_Modalities,"",SUM(Demand!I55, Demand!N55))</f>
        <v>19</v>
      </c>
      <c r="BD55" s="256">
        <f ca="1">IF(AND(A55&lt;=MaxRows,BE55&lt;&gt;"Yes"),'Demand background (hide)'!X46+IF(Setup!$I$15="Yes",'Demand background (hide)'!AJ46,0),"")</f>
        <v>650</v>
      </c>
      <c r="BE55" s="206"/>
    </row>
    <row r="56" spans="1:57" ht="15" x14ac:dyDescent="0.25">
      <c r="A56">
        <f t="shared" ca="1" si="0"/>
        <v>44</v>
      </c>
      <c r="B56" s="259" t="str">
        <f t="shared" ca="1" si="1"/>
        <v xml:space="preserve"> </v>
      </c>
      <c r="C56" s="261">
        <f t="shared" ca="1" si="2"/>
        <v>4</v>
      </c>
      <c r="D56" s="382">
        <f t="shared" ca="1" si="3"/>
        <v>42758</v>
      </c>
      <c r="E56" s="183"/>
      <c r="F56" s="184">
        <v>0</v>
      </c>
      <c r="G56" s="185">
        <v>2</v>
      </c>
      <c r="H56" s="186"/>
      <c r="I56" s="248">
        <f>IF(COUNTBLANK(E56:H56)=4,"",SUM(E56:G56)+IF(Setup!$I$15="No",0,H56))</f>
        <v>2</v>
      </c>
      <c r="J56" s="197"/>
      <c r="K56" s="198">
        <v>5</v>
      </c>
      <c r="L56" s="199">
        <v>9</v>
      </c>
      <c r="M56" s="200"/>
      <c r="N56" s="252">
        <f>IF(COUNTBLANK(J56:M56)=4,"",SUM(J56:L56)+IF(Setup!$I$15="No",0,M56))</f>
        <v>14</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f ca="1">IF('Demand background (hide)'!A47=Num_Modalities,"",SUM(Demand!I56, Demand!N56))</f>
        <v>16</v>
      </c>
      <c r="BD56" s="256">
        <f ca="1">IF(AND(A56&lt;=MaxRows,BE56&lt;&gt;"Yes"),'Demand background (hide)'!X47+IF(Setup!$I$15="Yes",'Demand background (hide)'!AJ47,0),"")</f>
        <v>620</v>
      </c>
      <c r="BE56" s="206"/>
    </row>
    <row r="57" spans="1:57" ht="15" x14ac:dyDescent="0.25">
      <c r="A57">
        <f t="shared" ca="1" si="0"/>
        <v>45</v>
      </c>
      <c r="B57" s="259" t="str">
        <f t="shared" ca="1" si="1"/>
        <v xml:space="preserve"> </v>
      </c>
      <c r="C57" s="261">
        <f t="shared" ca="1" si="2"/>
        <v>5</v>
      </c>
      <c r="D57" s="382">
        <f t="shared" ca="1" si="3"/>
        <v>42765</v>
      </c>
      <c r="E57" s="183"/>
      <c r="F57" s="184">
        <v>2</v>
      </c>
      <c r="G57" s="185">
        <v>2</v>
      </c>
      <c r="H57" s="186"/>
      <c r="I57" s="248">
        <f>IF(COUNTBLANK(E57:H57)=4,"",SUM(E57:G57)+IF(Setup!$I$15="No",0,H57))</f>
        <v>4</v>
      </c>
      <c r="J57" s="197"/>
      <c r="K57" s="198">
        <v>0</v>
      </c>
      <c r="L57" s="199">
        <v>5</v>
      </c>
      <c r="M57" s="200"/>
      <c r="N57" s="252">
        <f>IF(COUNTBLANK(J57:M57)=4,"",SUM(J57:L57)+IF(Setup!$I$15="No",0,M57))</f>
        <v>5</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f ca="1">IF('Demand background (hide)'!A48=Num_Modalities,"",SUM(Demand!I57, Demand!N57))</f>
        <v>9</v>
      </c>
      <c r="BD57" s="256">
        <f ca="1">IF(AND(A57&lt;=MaxRows,BE57&lt;&gt;"Yes"),'Demand background (hide)'!X48+IF(Setup!$I$15="Yes",'Demand background (hide)'!AJ48,0),"")</f>
        <v>320</v>
      </c>
      <c r="BE57" s="206"/>
    </row>
    <row r="58" spans="1:57" ht="15" x14ac:dyDescent="0.25">
      <c r="A58">
        <f t="shared" ca="1" si="0"/>
        <v>46</v>
      </c>
      <c r="B58" s="259" t="str">
        <f t="shared" ca="1" si="1"/>
        <v xml:space="preserve"> </v>
      </c>
      <c r="C58" s="261">
        <f t="shared" ca="1" si="2"/>
        <v>6</v>
      </c>
      <c r="D58" s="382">
        <f t="shared" ca="1" si="3"/>
        <v>42772</v>
      </c>
      <c r="E58" s="183"/>
      <c r="F58" s="184">
        <v>1</v>
      </c>
      <c r="G58" s="185">
        <v>2</v>
      </c>
      <c r="H58" s="186"/>
      <c r="I58" s="248">
        <f>IF(COUNTBLANK(E58:H58)=4,"",SUM(E58:G58)+IF(Setup!$I$15="No",0,H58))</f>
        <v>3</v>
      </c>
      <c r="J58" s="197"/>
      <c r="K58" s="198">
        <v>2</v>
      </c>
      <c r="L58" s="199">
        <v>7</v>
      </c>
      <c r="M58" s="200"/>
      <c r="N58" s="252">
        <f>IF(COUNTBLANK(J58:M58)=4,"",SUM(J58:L58)+IF(Setup!$I$15="No",0,M58))</f>
        <v>9</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f ca="1">IF('Demand background (hide)'!A49=Num_Modalities,"",SUM(Demand!I58, Demand!N58))</f>
        <v>12</v>
      </c>
      <c r="BD58" s="256">
        <f ca="1">IF(AND(A58&lt;=MaxRows,BE58&lt;&gt;"Yes"),'Demand background (hide)'!X49+IF(Setup!$I$15="Yes",'Demand background (hide)'!AJ49,0),"")</f>
        <v>450</v>
      </c>
      <c r="BE58" s="206"/>
    </row>
    <row r="59" spans="1:57" ht="15" x14ac:dyDescent="0.25">
      <c r="A59">
        <f t="shared" ca="1" si="0"/>
        <v>47</v>
      </c>
      <c r="B59" s="259" t="str">
        <f t="shared" ca="1" si="1"/>
        <v xml:space="preserve"> </v>
      </c>
      <c r="C59" s="261">
        <f t="shared" ca="1" si="2"/>
        <v>7</v>
      </c>
      <c r="D59" s="382">
        <f t="shared" ca="1" si="3"/>
        <v>42779</v>
      </c>
      <c r="E59" s="183"/>
      <c r="F59" s="184">
        <v>0</v>
      </c>
      <c r="G59" s="185">
        <v>4</v>
      </c>
      <c r="H59" s="186"/>
      <c r="I59" s="248">
        <f>IF(COUNTBLANK(E59:H59)=4,"",SUM(E59:G59)+IF(Setup!$I$15="No",0,H59))</f>
        <v>4</v>
      </c>
      <c r="J59" s="197"/>
      <c r="K59" s="198">
        <v>2</v>
      </c>
      <c r="L59" s="199">
        <v>7</v>
      </c>
      <c r="M59" s="200"/>
      <c r="N59" s="252">
        <f>IF(COUNTBLANK(J59:M59)=4,"",SUM(J59:L59)+IF(Setup!$I$15="No",0,M59))</f>
        <v>9</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f ca="1">IF('Demand background (hide)'!A50=Num_Modalities,"",SUM(Demand!I59, Demand!N59))</f>
        <v>13</v>
      </c>
      <c r="BD59" s="256">
        <f ca="1">IF(AND(A59&lt;=MaxRows,BE59&lt;&gt;"Yes"),'Demand background (hide)'!X50+IF(Setup!$I$15="Yes",'Demand background (hide)'!AJ50,0),"")</f>
        <v>480</v>
      </c>
      <c r="BE59" s="206"/>
    </row>
    <row r="60" spans="1:57" ht="15" x14ac:dyDescent="0.25">
      <c r="A60">
        <f t="shared" ca="1" si="0"/>
        <v>48</v>
      </c>
      <c r="B60" s="259" t="str">
        <f t="shared" ca="1" si="1"/>
        <v xml:space="preserve"> </v>
      </c>
      <c r="C60" s="261">
        <f t="shared" ca="1" si="2"/>
        <v>8</v>
      </c>
      <c r="D60" s="382">
        <f t="shared" ca="1" si="3"/>
        <v>42786</v>
      </c>
      <c r="E60" s="183"/>
      <c r="F60" s="184">
        <v>3</v>
      </c>
      <c r="G60" s="185">
        <v>2</v>
      </c>
      <c r="H60" s="186"/>
      <c r="I60" s="248">
        <f>IF(COUNTBLANK(E60:H60)=4,"",SUM(E60:G60)+IF(Setup!$I$15="No",0,H60))</f>
        <v>5</v>
      </c>
      <c r="J60" s="197"/>
      <c r="K60" s="198">
        <v>4</v>
      </c>
      <c r="L60" s="199">
        <v>12</v>
      </c>
      <c r="M60" s="200"/>
      <c r="N60" s="252">
        <f>IF(COUNTBLANK(J60:M60)=4,"",SUM(J60:L60)+IF(Setup!$I$15="No",0,M60))</f>
        <v>16</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f ca="1">IF('Demand background (hide)'!A51=Num_Modalities,"",SUM(Demand!I60, Demand!N60))</f>
        <v>21</v>
      </c>
      <c r="BD60" s="256">
        <f ca="1">IF(AND(A60&lt;=MaxRows,BE60&lt;&gt;"Yes"),'Demand background (hide)'!X51+IF(Setup!$I$15="Yes",'Demand background (hide)'!AJ51,0),"")</f>
        <v>790</v>
      </c>
      <c r="BE60" s="206"/>
    </row>
    <row r="61" spans="1:57" ht="15" x14ac:dyDescent="0.25">
      <c r="A61">
        <f t="shared" ca="1" si="0"/>
        <v>49</v>
      </c>
      <c r="B61" s="259" t="str">
        <f t="shared" ca="1" si="1"/>
        <v xml:space="preserve"> </v>
      </c>
      <c r="C61" s="261">
        <f t="shared" ca="1" si="2"/>
        <v>9</v>
      </c>
      <c r="D61" s="382">
        <f t="shared" ca="1" si="3"/>
        <v>42793</v>
      </c>
      <c r="E61" s="183"/>
      <c r="F61" s="184">
        <v>0</v>
      </c>
      <c r="G61" s="185">
        <v>3</v>
      </c>
      <c r="H61" s="186"/>
      <c r="I61" s="248">
        <f>IF(COUNTBLANK(E61:H61)=4,"",SUM(E61:G61)+IF(Setup!$I$15="No",0,H61))</f>
        <v>3</v>
      </c>
      <c r="J61" s="197"/>
      <c r="K61" s="198">
        <v>1</v>
      </c>
      <c r="L61" s="199">
        <v>5</v>
      </c>
      <c r="M61" s="200"/>
      <c r="N61" s="252">
        <f>IF(COUNTBLANK(J61:M61)=4,"",SUM(J61:L61)+IF(Setup!$I$15="No",0,M61))</f>
        <v>6</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f ca="1">IF('Demand background (hide)'!A52=Num_Modalities,"",SUM(Demand!I61, Demand!N61))</f>
        <v>9</v>
      </c>
      <c r="BD61" s="256">
        <f ca="1">IF(AND(A61&lt;=MaxRows,BE61&lt;&gt;"Yes"),'Demand background (hide)'!X52+IF(Setup!$I$15="Yes",'Demand background (hide)'!AJ52,0),"")</f>
        <v>330</v>
      </c>
      <c r="BE61" s="206"/>
    </row>
    <row r="62" spans="1:57" ht="15" x14ac:dyDescent="0.25">
      <c r="A62">
        <f t="shared" ca="1" si="0"/>
        <v>50</v>
      </c>
      <c r="B62" s="259" t="str">
        <f t="shared" ca="1" si="1"/>
        <v xml:space="preserve"> </v>
      </c>
      <c r="C62" s="261">
        <f t="shared" ca="1" si="2"/>
        <v>10</v>
      </c>
      <c r="D62" s="382">
        <f t="shared" ca="1" si="3"/>
        <v>42800</v>
      </c>
      <c r="E62" s="183"/>
      <c r="F62" s="184">
        <v>1</v>
      </c>
      <c r="G62" s="185">
        <v>4</v>
      </c>
      <c r="H62" s="186"/>
      <c r="I62" s="248">
        <f>IF(COUNTBLANK(E62:H62)=4,"",SUM(E62:G62)+IF(Setup!$I$15="No",0,H62))</f>
        <v>5</v>
      </c>
      <c r="J62" s="197"/>
      <c r="K62" s="198">
        <v>3</v>
      </c>
      <c r="L62" s="199">
        <v>8</v>
      </c>
      <c r="M62" s="200"/>
      <c r="N62" s="252">
        <f>IF(COUNTBLANK(J62:M62)=4,"",SUM(J62:L62)+IF(Setup!$I$15="No",0,M62))</f>
        <v>11</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f ca="1">IF('Demand background (hide)'!A53=Num_Modalities,"",SUM(Demand!I62, Demand!N62))</f>
        <v>16</v>
      </c>
      <c r="BD62" s="256">
        <f ca="1">IF(AND(A62&lt;=MaxRows,BE62&lt;&gt;"Yes"),'Demand background (hide)'!X53+IF(Setup!$I$15="Yes",'Demand background (hide)'!AJ53,0),"")</f>
        <v>590</v>
      </c>
      <c r="BE62" s="206"/>
    </row>
    <row r="63" spans="1:57" ht="15" x14ac:dyDescent="0.25">
      <c r="A63">
        <f t="shared" ca="1" si="0"/>
        <v>51</v>
      </c>
      <c r="B63" s="259" t="str">
        <f t="shared" ca="1" si="1"/>
        <v xml:space="preserve"> </v>
      </c>
      <c r="C63" s="261">
        <f t="shared" ca="1" si="2"/>
        <v>11</v>
      </c>
      <c r="D63" s="382">
        <f t="shared" ca="1" si="3"/>
        <v>42807</v>
      </c>
      <c r="E63" s="183"/>
      <c r="F63" s="184">
        <v>1</v>
      </c>
      <c r="G63" s="185">
        <v>1</v>
      </c>
      <c r="H63" s="186"/>
      <c r="I63" s="248">
        <f>IF(COUNTBLANK(E63:H63)=4,"",SUM(E63:G63)+IF(Setup!$I$15="No",0,H63))</f>
        <v>2</v>
      </c>
      <c r="J63" s="197"/>
      <c r="K63" s="198">
        <v>1</v>
      </c>
      <c r="L63" s="199">
        <v>8</v>
      </c>
      <c r="M63" s="200"/>
      <c r="N63" s="252">
        <f>IF(COUNTBLANK(J63:M63)=4,"",SUM(J63:L63)+IF(Setup!$I$15="No",0,M63))</f>
        <v>9</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f ca="1">IF('Demand background (hide)'!A54=Num_Modalities,"",SUM(Demand!I63, Demand!N63))</f>
        <v>11</v>
      </c>
      <c r="BD63" s="256">
        <f ca="1">IF(AND(A63&lt;=MaxRows,BE63&lt;&gt;"Yes"),'Demand background (hide)'!X54+IF(Setup!$I$15="Yes",'Demand background (hide)'!AJ54,0),"")</f>
        <v>420</v>
      </c>
      <c r="BE63" s="206"/>
    </row>
    <row r="64" spans="1:57" ht="15.75" thickBot="1" x14ac:dyDescent="0.3">
      <c r="A64">
        <f t="shared" ca="1" si="0"/>
        <v>52</v>
      </c>
      <c r="B64" s="259" t="str">
        <f t="shared" ca="1" si="1"/>
        <v xml:space="preserve"> </v>
      </c>
      <c r="C64" s="262">
        <f t="shared" ca="1" si="2"/>
        <v>12</v>
      </c>
      <c r="D64" s="383">
        <f t="shared" ca="1" si="3"/>
        <v>42814</v>
      </c>
      <c r="E64" s="187"/>
      <c r="F64" s="188">
        <v>1</v>
      </c>
      <c r="G64" s="189">
        <v>1</v>
      </c>
      <c r="H64" s="190"/>
      <c r="I64" s="249">
        <f>IF(COUNTBLANK(E64:H64)=4,"",SUM(E64:G64)+IF(Setup!$I$15="No",0,H64))</f>
        <v>2</v>
      </c>
      <c r="J64" s="201"/>
      <c r="K64" s="202">
        <v>3</v>
      </c>
      <c r="L64" s="203">
        <v>15</v>
      </c>
      <c r="M64" s="204"/>
      <c r="N64" s="253">
        <f>IF(COUNTBLANK(J64:M64)=4,"",SUM(J64:L64)+IF(Setup!$I$15="No",0,M64))</f>
        <v>18</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f ca="1">IF('Demand background (hide)'!A55=Num_Modalities,"",SUM(Demand!I64, Demand!N64))</f>
        <v>20</v>
      </c>
      <c r="BD64" s="257">
        <f ca="1">IF(AND(A64&lt;=MaxRows,BE64&lt;&gt;"Yes"),'Demand background (hide)'!X55+IF(Setup!$I$15="Yes",'Demand background (hide)'!AJ55,0),"")</f>
        <v>780</v>
      </c>
      <c r="BE64" s="207"/>
    </row>
    <row r="65" spans="1:57" ht="15" x14ac:dyDescent="0.25">
      <c r="A65">
        <f t="shared" ca="1" si="0"/>
        <v>53</v>
      </c>
      <c r="B65" s="263" t="str">
        <f t="shared" ca="1" si="1"/>
        <v xml:space="preserve"> </v>
      </c>
      <c r="C65" s="264">
        <f t="shared" ca="1" si="2"/>
        <v>13</v>
      </c>
      <c r="D65" s="384">
        <f t="shared" ca="1" si="3"/>
        <v>42821</v>
      </c>
      <c r="E65" s="191"/>
      <c r="F65" s="191">
        <v>1</v>
      </c>
      <c r="G65" s="192">
        <v>2</v>
      </c>
      <c r="H65" s="191"/>
      <c r="I65" s="250">
        <f>IF(COUNTBLANK(E65:H65)=4,"",SUM(E65:G65)+IF(Setup!$I$15="No",0,H65))</f>
        <v>3</v>
      </c>
      <c r="J65" s="191"/>
      <c r="K65" s="191">
        <v>0</v>
      </c>
      <c r="L65" s="191">
        <v>7</v>
      </c>
      <c r="M65" s="191"/>
      <c r="N65" s="254">
        <f>IF(COUNTBLANK(J65:M65)=4,"",SUM(J65:L65)+IF(Setup!$I$15="No",0,M65))</f>
        <v>7</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f ca="1">IF('Demand background (hide)'!A56=Num_Modalities,"",SUM(Demand!I65, Demand!N65))</f>
        <v>10</v>
      </c>
      <c r="BD65" s="258">
        <f ca="1">IF(AND(A65&lt;=MaxRows,BE65&lt;&gt;"Yes"),'Demand background (hide)'!X56+IF(Setup!$I$15="Yes",'Demand background (hide)'!AJ56,0),"")</f>
        <v>370</v>
      </c>
      <c r="BE65" s="208"/>
    </row>
    <row r="66" spans="1:57" ht="15" x14ac:dyDescent="0.25">
      <c r="A66">
        <f t="shared" ca="1" si="0"/>
        <v>54</v>
      </c>
      <c r="B66" s="263" t="str">
        <f t="shared" ca="1" si="1"/>
        <v xml:space="preserve"> </v>
      </c>
      <c r="C66" s="264">
        <f t="shared" ca="1" si="2"/>
        <v>14</v>
      </c>
      <c r="D66" s="384">
        <f t="shared" ca="1" si="3"/>
        <v>42828</v>
      </c>
      <c r="E66" s="191"/>
      <c r="F66" s="191">
        <v>0</v>
      </c>
      <c r="G66" s="192">
        <v>3</v>
      </c>
      <c r="H66" s="191"/>
      <c r="I66" s="250">
        <f>IF(COUNTBLANK(E66:H66)=4,"",SUM(E66:G66)+IF(Setup!$I$15="No",0,H66))</f>
        <v>3</v>
      </c>
      <c r="J66" s="191"/>
      <c r="K66" s="191">
        <v>2</v>
      </c>
      <c r="L66" s="191">
        <v>7</v>
      </c>
      <c r="M66" s="191"/>
      <c r="N66" s="254">
        <f>IF(COUNTBLANK(J66:M66)=4,"",SUM(J66:L66)+IF(Setup!$I$15="No",0,M66))</f>
        <v>9</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f ca="1">IF('Demand background (hide)'!A57=Num_Modalities,"",SUM(Demand!I66, Demand!N66))</f>
        <v>12</v>
      </c>
      <c r="BD66" s="258">
        <f ca="1">IF(AND(A66&lt;=MaxRows,BE66&lt;&gt;"Yes"),'Demand background (hide)'!X57+IF(Setup!$I$15="Yes",'Demand background (hide)'!AJ57,0),"")</f>
        <v>450</v>
      </c>
      <c r="BE66" s="208"/>
    </row>
    <row r="67" spans="1:57" ht="15" x14ac:dyDescent="0.25">
      <c r="A67">
        <f t="shared" ca="1" si="0"/>
        <v>55</v>
      </c>
      <c r="B67" s="263" t="str">
        <f t="shared" ca="1" si="1"/>
        <v xml:space="preserve"> </v>
      </c>
      <c r="C67" s="264">
        <f t="shared" ca="1" si="2"/>
        <v>15</v>
      </c>
      <c r="D67" s="384">
        <f t="shared" ca="1" si="3"/>
        <v>42835</v>
      </c>
      <c r="E67" s="191"/>
      <c r="F67" s="191">
        <v>2</v>
      </c>
      <c r="G67" s="192">
        <v>3</v>
      </c>
      <c r="H67" s="191"/>
      <c r="I67" s="250">
        <f>IF(COUNTBLANK(E67:H67)=4,"",SUM(E67:G67)+IF(Setup!$I$15="No",0,H67))</f>
        <v>5</v>
      </c>
      <c r="J67" s="191"/>
      <c r="K67" s="191">
        <v>1</v>
      </c>
      <c r="L67" s="191">
        <v>6</v>
      </c>
      <c r="M67" s="191"/>
      <c r="N67" s="254">
        <f>IF(COUNTBLANK(J67:M67)=4,"",SUM(J67:L67)+IF(Setup!$I$15="No",0,M67))</f>
        <v>7</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f ca="1">IF('Demand background (hide)'!A58=Num_Modalities,"",SUM(Demand!I67, Demand!N67))</f>
        <v>12</v>
      </c>
      <c r="BD67" s="258">
        <f ca="1">IF(AND(A67&lt;=MaxRows,BE67&lt;&gt;"Yes"),'Demand background (hide)'!X58+IF(Setup!$I$15="Yes",'Demand background (hide)'!AJ58,0),"")</f>
        <v>430</v>
      </c>
      <c r="BE67" s="208"/>
    </row>
    <row r="68" spans="1:57" ht="15" x14ac:dyDescent="0.25">
      <c r="A68">
        <f t="shared" ca="1" si="0"/>
        <v>56</v>
      </c>
      <c r="B68" s="263" t="str">
        <f t="shared" ca="1" si="1"/>
        <v xml:space="preserve"> </v>
      </c>
      <c r="C68" s="264">
        <f t="shared" ca="1" si="2"/>
        <v>16</v>
      </c>
      <c r="D68" s="384">
        <f t="shared" ca="1" si="3"/>
        <v>42842</v>
      </c>
      <c r="E68" s="191"/>
      <c r="F68" s="191">
        <v>1</v>
      </c>
      <c r="G68" s="192">
        <v>5</v>
      </c>
      <c r="H68" s="191"/>
      <c r="I68" s="250">
        <f>IF(COUNTBLANK(E68:H68)=4,"",SUM(E68:G68)+IF(Setup!$I$15="No",0,H68))</f>
        <v>6</v>
      </c>
      <c r="J68" s="191"/>
      <c r="K68" s="191">
        <v>0</v>
      </c>
      <c r="L68" s="191">
        <v>11</v>
      </c>
      <c r="M68" s="191"/>
      <c r="N68" s="254">
        <f>IF(COUNTBLANK(J68:M68)=4,"",SUM(J68:L68)+IF(Setup!$I$15="No",0,M68))</f>
        <v>11</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f ca="1">IF('Demand background (hide)'!A59=Num_Modalities,"",SUM(Demand!I68, Demand!N68))</f>
        <v>17</v>
      </c>
      <c r="BD68" s="258">
        <f ca="1">IF(AND(A68&lt;=MaxRows,BE68&lt;&gt;"Yes"),'Demand background (hide)'!X59+IF(Setup!$I$15="Yes",'Demand background (hide)'!AJ59,0),"")</f>
        <v>620</v>
      </c>
      <c r="BE68" s="208"/>
    </row>
    <row r="69" spans="1:57" ht="15" x14ac:dyDescent="0.25">
      <c r="A69">
        <f t="shared" ca="1" si="0"/>
        <v>57</v>
      </c>
      <c r="B69" s="263" t="str">
        <f t="shared" ca="1" si="1"/>
        <v xml:space="preserve"> </v>
      </c>
      <c r="C69" s="264">
        <f t="shared" ca="1" si="2"/>
        <v>17</v>
      </c>
      <c r="D69" s="384">
        <f t="shared" ca="1" si="3"/>
        <v>42849</v>
      </c>
      <c r="E69" s="191"/>
      <c r="F69" s="191">
        <v>2</v>
      </c>
      <c r="G69" s="192">
        <v>3</v>
      </c>
      <c r="H69" s="191"/>
      <c r="I69" s="250">
        <f>IF(COUNTBLANK(E69:H69)=4,"",SUM(E69:G69)+IF(Setup!$I$15="No",0,H69))</f>
        <v>5</v>
      </c>
      <c r="J69" s="191"/>
      <c r="K69" s="191">
        <v>1</v>
      </c>
      <c r="L69" s="191">
        <v>6</v>
      </c>
      <c r="M69" s="191"/>
      <c r="N69" s="254">
        <f>IF(COUNTBLANK(J69:M69)=4,"",SUM(J69:L69)+IF(Setup!$I$15="No",0,M69))</f>
        <v>7</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f ca="1">IF('Demand background (hide)'!A60=Num_Modalities,"",SUM(Demand!I69, Demand!N69))</f>
        <v>12</v>
      </c>
      <c r="BD69" s="258">
        <f ca="1">IF(AND(A69&lt;=MaxRows,BE69&lt;&gt;"Yes"),'Demand background (hide)'!X60+IF(Setup!$I$15="Yes",'Demand background (hide)'!AJ60,0),"")</f>
        <v>430</v>
      </c>
      <c r="BE69" s="208"/>
    </row>
    <row r="70" spans="1:57" ht="15" x14ac:dyDescent="0.25">
      <c r="A70">
        <f t="shared" ca="1" si="0"/>
        <v>58</v>
      </c>
      <c r="B70" s="263" t="str">
        <f t="shared" ca="1" si="1"/>
        <v xml:space="preserve"> </v>
      </c>
      <c r="C70" s="264">
        <f t="shared" ca="1" si="2"/>
        <v>18</v>
      </c>
      <c r="D70" s="384">
        <f t="shared" ca="1" si="3"/>
        <v>42856</v>
      </c>
      <c r="E70" s="191"/>
      <c r="F70" s="191">
        <v>0</v>
      </c>
      <c r="G70" s="192">
        <v>6</v>
      </c>
      <c r="H70" s="191"/>
      <c r="I70" s="250">
        <f>IF(COUNTBLANK(E70:H70)=4,"",SUM(E70:G70)+IF(Setup!$I$15="No",0,H70))</f>
        <v>6</v>
      </c>
      <c r="J70" s="191"/>
      <c r="K70" s="191">
        <v>4</v>
      </c>
      <c r="L70" s="191">
        <v>7</v>
      </c>
      <c r="M70" s="191"/>
      <c r="N70" s="254">
        <f>IF(COUNTBLANK(J70:M70)=4,"",SUM(J70:L70)+IF(Setup!$I$15="No",0,M70))</f>
        <v>11</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f ca="1">IF('Demand background (hide)'!A61=Num_Modalities,"",SUM(Demand!I70, Demand!N70))</f>
        <v>17</v>
      </c>
      <c r="BD70" s="258">
        <f ca="1">IF(AND(A70&lt;=MaxRows,BE70&lt;&gt;"Yes"),'Demand background (hide)'!X61+IF(Setup!$I$15="Yes",'Demand background (hide)'!AJ61,0),"")</f>
        <v>620</v>
      </c>
      <c r="BE70" s="208"/>
    </row>
    <row r="71" spans="1:57" ht="15" x14ac:dyDescent="0.25">
      <c r="A71">
        <f t="shared" ca="1" si="0"/>
        <v>59</v>
      </c>
      <c r="B71" s="263" t="str">
        <f t="shared" ca="1" si="1"/>
        <v xml:space="preserve"> </v>
      </c>
      <c r="C71" s="264">
        <f t="shared" ca="1" si="2"/>
        <v>19</v>
      </c>
      <c r="D71" s="384">
        <f t="shared" ca="1" si="3"/>
        <v>42863</v>
      </c>
      <c r="E71" s="191"/>
      <c r="F71" s="191">
        <v>0</v>
      </c>
      <c r="G71" s="192">
        <v>5</v>
      </c>
      <c r="H71" s="191"/>
      <c r="I71" s="250">
        <f>IF(COUNTBLANK(E71:H71)=4,"",SUM(E71:G71)+IF(Setup!$I$15="No",0,H71))</f>
        <v>5</v>
      </c>
      <c r="J71" s="191"/>
      <c r="K71" s="191">
        <v>1</v>
      </c>
      <c r="L71" s="191">
        <v>2</v>
      </c>
      <c r="M71" s="191"/>
      <c r="N71" s="254">
        <f>IF(COUNTBLANK(J71:M71)=4,"",SUM(J71:L71)+IF(Setup!$I$15="No",0,M71))</f>
        <v>3</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f ca="1">IF('Demand background (hide)'!A62=Num_Modalities,"",SUM(Demand!I71, Demand!N71))</f>
        <v>8</v>
      </c>
      <c r="BD71" s="258">
        <f ca="1">IF(AND(A71&lt;=MaxRows,BE71&lt;&gt;"Yes"),'Demand background (hide)'!X62+IF(Setup!$I$15="Yes",'Demand background (hide)'!AJ62,0),"")</f>
        <v>270</v>
      </c>
      <c r="BE71" s="208"/>
    </row>
    <row r="72" spans="1:57" ht="15" x14ac:dyDescent="0.25">
      <c r="A72">
        <f t="shared" ca="1" si="0"/>
        <v>60</v>
      </c>
      <c r="B72" s="263" t="str">
        <f t="shared" ca="1" si="1"/>
        <v xml:space="preserve"> </v>
      </c>
      <c r="C72" s="264">
        <f t="shared" ca="1" si="2"/>
        <v>20</v>
      </c>
      <c r="D72" s="384">
        <f t="shared" ca="1" si="3"/>
        <v>42870</v>
      </c>
      <c r="E72" s="191"/>
      <c r="F72" s="191">
        <v>0</v>
      </c>
      <c r="G72" s="192">
        <v>1</v>
      </c>
      <c r="H72" s="191"/>
      <c r="I72" s="250">
        <f>IF(COUNTBLANK(E72:H72)=4,"",SUM(E72:G72)+IF(Setup!$I$15="No",0,H72))</f>
        <v>1</v>
      </c>
      <c r="J72" s="191"/>
      <c r="K72" s="191">
        <v>3</v>
      </c>
      <c r="L72" s="191">
        <v>9</v>
      </c>
      <c r="M72" s="191"/>
      <c r="N72" s="254">
        <f>IF(COUNTBLANK(J72:M72)=4,"",SUM(J72:L72)+IF(Setup!$I$15="No",0,M72))</f>
        <v>12</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f ca="1">IF('Demand background (hide)'!A63=Num_Modalities,"",SUM(Demand!I72, Demand!N72))</f>
        <v>13</v>
      </c>
      <c r="BD72" s="258">
        <f ca="1">IF(AND(A72&lt;=MaxRows,BE72&lt;&gt;"Yes"),'Demand background (hide)'!X63+IF(Setup!$I$15="Yes",'Demand background (hide)'!AJ63,0),"")</f>
        <v>510</v>
      </c>
      <c r="BE72" s="208"/>
    </row>
    <row r="73" spans="1:57" ht="15" x14ac:dyDescent="0.25">
      <c r="A73">
        <f t="shared" ca="1" si="0"/>
        <v>61</v>
      </c>
      <c r="B73" s="263" t="str">
        <f t="shared" ca="1" si="1"/>
        <v xml:space="preserve"> </v>
      </c>
      <c r="C73" s="264">
        <f t="shared" ca="1" si="2"/>
        <v>21</v>
      </c>
      <c r="D73" s="384">
        <f t="shared" ca="1" si="3"/>
        <v>42877</v>
      </c>
      <c r="E73" s="191"/>
      <c r="F73" s="191">
        <v>0</v>
      </c>
      <c r="G73" s="192">
        <v>4</v>
      </c>
      <c r="H73" s="191"/>
      <c r="I73" s="250">
        <f>IF(COUNTBLANK(E73:H73)=4,"",SUM(E73:G73)+IF(Setup!$I$15="No",0,H73))</f>
        <v>4</v>
      </c>
      <c r="J73" s="191"/>
      <c r="K73" s="191">
        <v>2</v>
      </c>
      <c r="L73" s="191">
        <v>2</v>
      </c>
      <c r="M73" s="191"/>
      <c r="N73" s="254">
        <f>IF(COUNTBLANK(J73:M73)=4,"",SUM(J73:L73)+IF(Setup!$I$15="No",0,M73))</f>
        <v>4</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f ca="1">IF('Demand background (hide)'!A64=Num_Modalities,"",SUM(Demand!I73, Demand!N73))</f>
        <v>8</v>
      </c>
      <c r="BD73" s="258">
        <f ca="1">IF(AND(A73&lt;=MaxRows,BE73&lt;&gt;"Yes"),'Demand background (hide)'!X64+IF(Setup!$I$15="Yes",'Demand background (hide)'!AJ64,0),"")</f>
        <v>280</v>
      </c>
      <c r="BE73" s="208"/>
    </row>
    <row r="74" spans="1:57" ht="15" x14ac:dyDescent="0.25">
      <c r="A74">
        <f t="shared" ca="1" si="0"/>
        <v>62</v>
      </c>
      <c r="B74" s="263" t="str">
        <f t="shared" ca="1" si="1"/>
        <v xml:space="preserve"> </v>
      </c>
      <c r="C74" s="264">
        <f t="shared" ca="1" si="2"/>
        <v>22</v>
      </c>
      <c r="D74" s="384">
        <f t="shared" ca="1" si="3"/>
        <v>42884</v>
      </c>
      <c r="E74" s="191"/>
      <c r="F74" s="191">
        <v>1</v>
      </c>
      <c r="G74" s="192">
        <v>3</v>
      </c>
      <c r="H74" s="191"/>
      <c r="I74" s="250">
        <f>IF(COUNTBLANK(E74:H74)=4,"",SUM(E74:G74)+IF(Setup!$I$15="No",0,H74))</f>
        <v>4</v>
      </c>
      <c r="J74" s="191"/>
      <c r="K74" s="191">
        <v>5</v>
      </c>
      <c r="L74" s="191">
        <v>10</v>
      </c>
      <c r="M74" s="191"/>
      <c r="N74" s="254">
        <f>IF(COUNTBLANK(J74:M74)=4,"",SUM(J74:L74)+IF(Setup!$I$15="No",0,M74))</f>
        <v>15</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f ca="1">IF('Demand background (hide)'!A65=Num_Modalities,"",SUM(Demand!I74, Demand!N74))</f>
        <v>19</v>
      </c>
      <c r="BD74" s="258">
        <f ca="1">IF(AND(A74&lt;=MaxRows,BE74&lt;&gt;"Yes"),'Demand background (hide)'!X65+IF(Setup!$I$15="Yes",'Demand background (hide)'!AJ65,0),"")</f>
        <v>720</v>
      </c>
      <c r="BE74" s="208"/>
    </row>
    <row r="75" spans="1:57" ht="15" x14ac:dyDescent="0.25">
      <c r="A75">
        <f t="shared" ca="1" si="0"/>
        <v>63</v>
      </c>
      <c r="B75" s="263" t="str">
        <f t="shared" ca="1" si="1"/>
        <v xml:space="preserve"> </v>
      </c>
      <c r="C75" s="264">
        <f t="shared" ca="1" si="2"/>
        <v>23</v>
      </c>
      <c r="D75" s="384">
        <f t="shared" ca="1" si="3"/>
        <v>42891</v>
      </c>
      <c r="E75" s="191"/>
      <c r="F75" s="191">
        <v>0</v>
      </c>
      <c r="G75" s="192">
        <v>5</v>
      </c>
      <c r="H75" s="191"/>
      <c r="I75" s="250">
        <f>IF(COUNTBLANK(E75:H75)=4,"",SUM(E75:G75)+IF(Setup!$I$15="No",0,H75))</f>
        <v>5</v>
      </c>
      <c r="J75" s="191"/>
      <c r="K75" s="191">
        <v>1</v>
      </c>
      <c r="L75" s="191">
        <v>2</v>
      </c>
      <c r="M75" s="191"/>
      <c r="N75" s="254">
        <f>IF(COUNTBLANK(J75:M75)=4,"",SUM(J75:L75)+IF(Setup!$I$15="No",0,M75))</f>
        <v>3</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f ca="1">IF('Demand background (hide)'!A66=Num_Modalities,"",SUM(Demand!I75, Demand!N75))</f>
        <v>8</v>
      </c>
      <c r="BD75" s="258">
        <f ca="1">IF(AND(A75&lt;=MaxRows,BE75&lt;&gt;"Yes"),'Demand background (hide)'!X66+IF(Setup!$I$15="Yes",'Demand background (hide)'!AJ66,0),"")</f>
        <v>270</v>
      </c>
      <c r="BE75" s="208"/>
    </row>
    <row r="76" spans="1:57" ht="15" x14ac:dyDescent="0.25">
      <c r="A76">
        <f t="shared" ca="1" si="0"/>
        <v>64</v>
      </c>
      <c r="B76" s="263" t="str">
        <f t="shared" ca="1" si="1"/>
        <v xml:space="preserve"> </v>
      </c>
      <c r="C76" s="264">
        <f t="shared" ca="1" si="2"/>
        <v>24</v>
      </c>
      <c r="D76" s="384">
        <f t="shared" ca="1" si="3"/>
        <v>42898</v>
      </c>
      <c r="E76" s="191"/>
      <c r="F76" s="191">
        <v>1</v>
      </c>
      <c r="G76" s="192">
        <v>4</v>
      </c>
      <c r="H76" s="191"/>
      <c r="I76" s="250">
        <f>IF(COUNTBLANK(E76:H76)=4,"",SUM(E76:G76)+IF(Setup!$I$15="No",0,H76))</f>
        <v>5</v>
      </c>
      <c r="J76" s="191"/>
      <c r="K76" s="191">
        <v>4</v>
      </c>
      <c r="L76" s="191">
        <v>2</v>
      </c>
      <c r="M76" s="191"/>
      <c r="N76" s="254">
        <f>IF(COUNTBLANK(J76:M76)=4,"",SUM(J76:L76)+IF(Setup!$I$15="No",0,M76))</f>
        <v>6</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f ca="1">IF('Demand background (hide)'!A67=Num_Modalities,"",SUM(Demand!I76, Demand!N76))</f>
        <v>11</v>
      </c>
      <c r="BD76" s="258">
        <f ca="1">IF(AND(A76&lt;=MaxRows,BE76&lt;&gt;"Yes"),'Demand background (hide)'!X67+IF(Setup!$I$15="Yes",'Demand background (hide)'!AJ67,0),"")</f>
        <v>390</v>
      </c>
      <c r="BE76" s="208"/>
    </row>
    <row r="77" spans="1:57" ht="15" x14ac:dyDescent="0.25">
      <c r="A77">
        <f t="shared" ref="A77:A140" ca="1" si="4">IF(BC77&lt;&gt;"",ROW(A65),"")</f>
        <v>65</v>
      </c>
      <c r="B77" s="263" t="str">
        <f t="shared" ca="1" si="1"/>
        <v xml:space="preserve"> </v>
      </c>
      <c r="C77" s="264">
        <f t="shared" ca="1" si="2"/>
        <v>25</v>
      </c>
      <c r="D77" s="384">
        <f t="shared" ca="1" si="3"/>
        <v>42905</v>
      </c>
      <c r="E77" s="191"/>
      <c r="F77" s="191">
        <v>2</v>
      </c>
      <c r="G77" s="192">
        <v>4</v>
      </c>
      <c r="H77" s="191"/>
      <c r="I77" s="250">
        <f>IF(COUNTBLANK(E77:H77)=4,"",SUM(E77:G77)+IF(Setup!$I$15="No",0,H77))</f>
        <v>6</v>
      </c>
      <c r="J77" s="191"/>
      <c r="K77" s="191">
        <v>3</v>
      </c>
      <c r="L77" s="191">
        <v>5</v>
      </c>
      <c r="M77" s="191"/>
      <c r="N77" s="254">
        <f>IF(COUNTBLANK(J77:M77)=4,"",SUM(J77:L77)+IF(Setup!$I$15="No",0,M77))</f>
        <v>8</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f ca="1">IF('Demand background (hide)'!A68=Num_Modalities,"",SUM(Demand!I77, Demand!N77))</f>
        <v>14</v>
      </c>
      <c r="BD77" s="258">
        <f ca="1">IF(AND(A77&lt;=MaxRows,BE77&lt;&gt;"Yes"),'Demand background (hide)'!X68+IF(Setup!$I$15="Yes",'Demand background (hide)'!AJ68,0),"")</f>
        <v>500</v>
      </c>
      <c r="BE77" s="208"/>
    </row>
    <row r="78" spans="1:57" ht="15" x14ac:dyDescent="0.25">
      <c r="A78">
        <f t="shared" ca="1" si="4"/>
        <v>66</v>
      </c>
      <c r="B78" s="263" t="str">
        <f t="shared" ref="B78:B141" ca="1" si="5">IF(A78&lt;=MaxRows,IF($C$6&lt;&gt;"",IF(YEAR(D78)&lt;&gt;YEAR(D77),YEAR(D78)," "),IF(C78&lt;&gt;1,"",OFFSET(B78,-C77,0,1,1)+1))," ")</f>
        <v xml:space="preserve"> </v>
      </c>
      <c r="C78" s="264">
        <f t="shared" ref="C78:C141" ca="1" si="6">IF(ROW(A66)&lt;=MaxRows,IF($C$6&lt;&gt;"",WEEKNUM(D78,21),IF(MOD((C77+1),52)&gt;0,MOD((C77+1),52),52)),"")</f>
        <v>26</v>
      </c>
      <c r="D78" s="384">
        <f t="shared" ref="D78:D141" ca="1" si="7">IF(OR(AND(ROW(A66)&lt;=MaxRows,$C$6&lt;&gt;""),AND(ROW(A78)&lt;=64,LEFT($C$8,1)&lt;&gt;"H")),D77+7,"")</f>
        <v>42912</v>
      </c>
      <c r="E78" s="191"/>
      <c r="F78" s="191">
        <v>1</v>
      </c>
      <c r="G78" s="192">
        <v>0</v>
      </c>
      <c r="H78" s="191"/>
      <c r="I78" s="250">
        <f>IF(COUNTBLANK(E78:H78)=4,"",SUM(E78:G78)+IF(Setup!$I$15="No",0,H78))</f>
        <v>1</v>
      </c>
      <c r="J78" s="191"/>
      <c r="K78" s="191">
        <v>1</v>
      </c>
      <c r="L78" s="191">
        <v>6</v>
      </c>
      <c r="M78" s="191"/>
      <c r="N78" s="254">
        <f>IF(COUNTBLANK(J78:M78)=4,"",SUM(J78:L78)+IF(Setup!$I$15="No",0,M78))</f>
        <v>7</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f ca="1">IF('Demand background (hide)'!A69=Num_Modalities,"",SUM(Demand!I78, Demand!N78))</f>
        <v>8</v>
      </c>
      <c r="BD78" s="258">
        <f ca="1">IF(AND(A78&lt;=MaxRows,BE78&lt;&gt;"Yes"),'Demand background (hide)'!X69+IF(Setup!$I$15="Yes",'Demand background (hide)'!AJ69,0),"")</f>
        <v>310</v>
      </c>
      <c r="BE78" s="208"/>
    </row>
    <row r="79" spans="1:57" ht="15" x14ac:dyDescent="0.25">
      <c r="A79">
        <f t="shared" ca="1" si="4"/>
        <v>67</v>
      </c>
      <c r="B79" s="263" t="str">
        <f t="shared" ca="1" si="5"/>
        <v xml:space="preserve"> </v>
      </c>
      <c r="C79" s="264">
        <f t="shared" ca="1" si="6"/>
        <v>27</v>
      </c>
      <c r="D79" s="384">
        <f t="shared" ca="1" si="7"/>
        <v>42919</v>
      </c>
      <c r="E79" s="191"/>
      <c r="F79" s="191">
        <v>0</v>
      </c>
      <c r="G79" s="192">
        <v>2</v>
      </c>
      <c r="H79" s="191"/>
      <c r="I79" s="250">
        <f>IF(COUNTBLANK(E79:H79)=4,"",SUM(E79:G79)+IF(Setup!$I$15="No",0,H79))</f>
        <v>2</v>
      </c>
      <c r="J79" s="191"/>
      <c r="K79" s="191">
        <v>4</v>
      </c>
      <c r="L79" s="191">
        <v>15</v>
      </c>
      <c r="M79" s="191"/>
      <c r="N79" s="254">
        <f>IF(COUNTBLANK(J79:M79)=4,"",SUM(J79:L79)+IF(Setup!$I$15="No",0,M79))</f>
        <v>19</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f ca="1">IF('Demand background (hide)'!A70=Num_Modalities,"",SUM(Demand!I79, Demand!N79))</f>
        <v>21</v>
      </c>
      <c r="BD79" s="258">
        <f ca="1">IF(AND(A79&lt;=MaxRows,BE79&lt;&gt;"Yes"),'Demand background (hide)'!X70+IF(Setup!$I$15="Yes",'Demand background (hide)'!AJ70,0),"")</f>
        <v>820</v>
      </c>
      <c r="BE79" s="208"/>
    </row>
    <row r="80" spans="1:57" ht="15" x14ac:dyDescent="0.25">
      <c r="A80">
        <f t="shared" ca="1" si="4"/>
        <v>68</v>
      </c>
      <c r="B80" s="263" t="str">
        <f t="shared" ca="1" si="5"/>
        <v xml:space="preserve"> </v>
      </c>
      <c r="C80" s="264">
        <f t="shared" ca="1" si="6"/>
        <v>28</v>
      </c>
      <c r="D80" s="384">
        <f t="shared" ca="1" si="7"/>
        <v>42926</v>
      </c>
      <c r="E80" s="191"/>
      <c r="F80" s="191">
        <v>0</v>
      </c>
      <c r="G80" s="192">
        <v>4</v>
      </c>
      <c r="H80" s="191"/>
      <c r="I80" s="250">
        <f>IF(COUNTBLANK(E80:H80)=4,"",SUM(E80:G80)+IF(Setup!$I$15="No",0,H80))</f>
        <v>4</v>
      </c>
      <c r="J80" s="191"/>
      <c r="K80" s="191">
        <v>4</v>
      </c>
      <c r="L80" s="191">
        <v>9</v>
      </c>
      <c r="M80" s="191"/>
      <c r="N80" s="254">
        <f>IF(COUNTBLANK(J80:M80)=4,"",SUM(J80:L80)+IF(Setup!$I$15="No",0,M80))</f>
        <v>13</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f ca="1">IF('Demand background (hide)'!A71=Num_Modalities,"",SUM(Demand!I80, Demand!N80))</f>
        <v>17</v>
      </c>
      <c r="BD80" s="258">
        <f ca="1">IF(AND(A80&lt;=MaxRows,BE80&lt;&gt;"Yes"),'Demand background (hide)'!X71+IF(Setup!$I$15="Yes",'Demand background (hide)'!AJ71,0),"")</f>
        <v>640</v>
      </c>
      <c r="BE80" s="208"/>
    </row>
    <row r="81" spans="1:57" ht="15" x14ac:dyDescent="0.25">
      <c r="A81">
        <f t="shared" ca="1" si="4"/>
        <v>69</v>
      </c>
      <c r="B81" s="263" t="str">
        <f t="shared" ca="1" si="5"/>
        <v xml:space="preserve"> </v>
      </c>
      <c r="C81" s="264">
        <f t="shared" ca="1" si="6"/>
        <v>29</v>
      </c>
      <c r="D81" s="384">
        <f t="shared" ca="1" si="7"/>
        <v>42933</v>
      </c>
      <c r="E81" s="191"/>
      <c r="F81" s="191">
        <v>2</v>
      </c>
      <c r="G81" s="192">
        <v>4</v>
      </c>
      <c r="H81" s="191"/>
      <c r="I81" s="250">
        <f>IF(COUNTBLANK(E81:H81)=4,"",SUM(E81:G81)+IF(Setup!$I$15="No",0,H81))</f>
        <v>6</v>
      </c>
      <c r="J81" s="191"/>
      <c r="K81" s="191">
        <v>0</v>
      </c>
      <c r="L81" s="191">
        <v>7</v>
      </c>
      <c r="M81" s="191"/>
      <c r="N81" s="254">
        <f>IF(COUNTBLANK(J81:M81)=4,"",SUM(J81:L81)+IF(Setup!$I$15="No",0,M81))</f>
        <v>7</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f ca="1">IF('Demand background (hide)'!A72=Num_Modalities,"",SUM(Demand!I81, Demand!N81))</f>
        <v>13</v>
      </c>
      <c r="BD81" s="258">
        <f ca="1">IF(AND(A81&lt;=MaxRows,BE81&lt;&gt;"Yes"),'Demand background (hide)'!X72+IF(Setup!$I$15="Yes",'Demand background (hide)'!AJ72,0),"")</f>
        <v>460</v>
      </c>
      <c r="BE81" s="208"/>
    </row>
    <row r="82" spans="1:57" ht="15" x14ac:dyDescent="0.25">
      <c r="A82">
        <f t="shared" ca="1" si="4"/>
        <v>70</v>
      </c>
      <c r="B82" s="263" t="str">
        <f t="shared" ca="1" si="5"/>
        <v xml:space="preserve"> </v>
      </c>
      <c r="C82" s="264">
        <f t="shared" ca="1" si="6"/>
        <v>30</v>
      </c>
      <c r="D82" s="384">
        <f t="shared" ca="1" si="7"/>
        <v>42940</v>
      </c>
      <c r="E82" s="191"/>
      <c r="F82" s="191">
        <v>3</v>
      </c>
      <c r="G82" s="192">
        <v>4</v>
      </c>
      <c r="H82" s="191"/>
      <c r="I82" s="250">
        <f>IF(COUNTBLANK(E82:H82)=4,"",SUM(E82:G82)+IF(Setup!$I$15="No",0,H82))</f>
        <v>7</v>
      </c>
      <c r="J82" s="191"/>
      <c r="K82" s="191">
        <v>3</v>
      </c>
      <c r="L82" s="191">
        <v>11</v>
      </c>
      <c r="M82" s="191"/>
      <c r="N82" s="254">
        <f>IF(COUNTBLANK(J82:M82)=4,"",SUM(J82:L82)+IF(Setup!$I$15="No",0,M82))</f>
        <v>14</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f ca="1">IF('Demand background (hide)'!A73=Num_Modalities,"",SUM(Demand!I82, Demand!N82))</f>
        <v>21</v>
      </c>
      <c r="BD82" s="258">
        <f ca="1">IF(AND(A82&lt;=MaxRows,BE82&lt;&gt;"Yes"),'Demand background (hide)'!X73+IF(Setup!$I$15="Yes",'Demand background (hide)'!AJ73,0),"")</f>
        <v>770</v>
      </c>
      <c r="BE82" s="208"/>
    </row>
    <row r="83" spans="1:57" ht="15" x14ac:dyDescent="0.25">
      <c r="A83">
        <f t="shared" ca="1" si="4"/>
        <v>71</v>
      </c>
      <c r="B83" s="263" t="str">
        <f t="shared" ca="1" si="5"/>
        <v xml:space="preserve"> </v>
      </c>
      <c r="C83" s="264">
        <f t="shared" ca="1" si="6"/>
        <v>31</v>
      </c>
      <c r="D83" s="384">
        <f t="shared" ca="1" si="7"/>
        <v>42947</v>
      </c>
      <c r="E83" s="191"/>
      <c r="F83" s="191">
        <v>0</v>
      </c>
      <c r="G83" s="192">
        <v>1</v>
      </c>
      <c r="H83" s="191"/>
      <c r="I83" s="250">
        <f>IF(COUNTBLANK(E83:H83)=4,"",SUM(E83:G83)+IF(Setup!$I$15="No",0,H83))</f>
        <v>1</v>
      </c>
      <c r="J83" s="191"/>
      <c r="K83" s="191">
        <v>1</v>
      </c>
      <c r="L83" s="191">
        <v>9</v>
      </c>
      <c r="M83" s="191"/>
      <c r="N83" s="254">
        <f>IF(COUNTBLANK(J83:M83)=4,"",SUM(J83:L83)+IF(Setup!$I$15="No",0,M83))</f>
        <v>10</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f ca="1">IF('Demand background (hide)'!A74=Num_Modalities,"",SUM(Demand!I83, Demand!N83))</f>
        <v>11</v>
      </c>
      <c r="BD83" s="258">
        <f ca="1">IF(AND(A83&lt;=MaxRows,BE83&lt;&gt;"Yes"),'Demand background (hide)'!X74+IF(Setup!$I$15="Yes",'Demand background (hide)'!AJ74,0),"")</f>
        <v>430</v>
      </c>
      <c r="BE83" s="208"/>
    </row>
    <row r="84" spans="1:57" ht="15" x14ac:dyDescent="0.25">
      <c r="A84">
        <f t="shared" ca="1" si="4"/>
        <v>72</v>
      </c>
      <c r="B84" s="263" t="str">
        <f t="shared" ca="1" si="5"/>
        <v xml:space="preserve"> </v>
      </c>
      <c r="C84" s="264">
        <f t="shared" ca="1" si="6"/>
        <v>32</v>
      </c>
      <c r="D84" s="384">
        <f t="shared" ca="1" si="7"/>
        <v>42954</v>
      </c>
      <c r="E84" s="191"/>
      <c r="F84" s="191">
        <v>0</v>
      </c>
      <c r="G84" s="192">
        <v>3</v>
      </c>
      <c r="H84" s="191"/>
      <c r="I84" s="250">
        <f>IF(COUNTBLANK(E84:H84)=4,"",SUM(E84:G84)+IF(Setup!$I$15="No",0,H84))</f>
        <v>3</v>
      </c>
      <c r="J84" s="191"/>
      <c r="K84" s="191">
        <v>1</v>
      </c>
      <c r="L84" s="191">
        <v>9</v>
      </c>
      <c r="M84" s="191"/>
      <c r="N84" s="254">
        <f>IF(COUNTBLANK(J84:M84)=4,"",SUM(J84:L84)+IF(Setup!$I$15="No",0,M84))</f>
        <v>10</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f ca="1">IF('Demand background (hide)'!A75=Num_Modalities,"",SUM(Demand!I84, Demand!N84))</f>
        <v>13</v>
      </c>
      <c r="BD84" s="258">
        <f ca="1">IF(AND(A84&lt;=MaxRows,BE84&lt;&gt;"Yes"),'Demand background (hide)'!X75+IF(Setup!$I$15="Yes",'Demand background (hide)'!AJ75,0),"")</f>
        <v>490</v>
      </c>
      <c r="BE84" s="208"/>
    </row>
    <row r="85" spans="1:57" ht="15" x14ac:dyDescent="0.25">
      <c r="A85">
        <f t="shared" ca="1" si="4"/>
        <v>73</v>
      </c>
      <c r="B85" s="263" t="str">
        <f t="shared" ca="1" si="5"/>
        <v xml:space="preserve"> </v>
      </c>
      <c r="C85" s="264">
        <f t="shared" ca="1" si="6"/>
        <v>33</v>
      </c>
      <c r="D85" s="384">
        <f t="shared" ca="1" si="7"/>
        <v>42961</v>
      </c>
      <c r="E85" s="191"/>
      <c r="F85" s="191">
        <v>2</v>
      </c>
      <c r="G85" s="192">
        <v>2</v>
      </c>
      <c r="H85" s="191"/>
      <c r="I85" s="250">
        <f>IF(COUNTBLANK(E85:H85)=4,"",SUM(E85:G85)+IF(Setup!$I$15="No",0,H85))</f>
        <v>4</v>
      </c>
      <c r="J85" s="191"/>
      <c r="K85" s="191">
        <v>1</v>
      </c>
      <c r="L85" s="191">
        <v>11</v>
      </c>
      <c r="M85" s="191"/>
      <c r="N85" s="254">
        <f>IF(COUNTBLANK(J85:M85)=4,"",SUM(J85:L85)+IF(Setup!$I$15="No",0,M85))</f>
        <v>12</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f ca="1">IF('Demand background (hide)'!A76=Num_Modalities,"",SUM(Demand!I85, Demand!N85))</f>
        <v>16</v>
      </c>
      <c r="BD85" s="258">
        <f ca="1">IF(AND(A85&lt;=MaxRows,BE85&lt;&gt;"Yes"),'Demand background (hide)'!X76+IF(Setup!$I$15="Yes",'Demand background (hide)'!AJ76,0),"")</f>
        <v>600</v>
      </c>
      <c r="BE85" s="208"/>
    </row>
    <row r="86" spans="1:57" ht="15" x14ac:dyDescent="0.25">
      <c r="A86">
        <f t="shared" ca="1" si="4"/>
        <v>74</v>
      </c>
      <c r="B86" s="263" t="str">
        <f t="shared" ca="1" si="5"/>
        <v xml:space="preserve"> </v>
      </c>
      <c r="C86" s="264">
        <f t="shared" ca="1" si="6"/>
        <v>34</v>
      </c>
      <c r="D86" s="384">
        <f t="shared" ca="1" si="7"/>
        <v>42968</v>
      </c>
      <c r="E86" s="191"/>
      <c r="F86" s="191">
        <v>1</v>
      </c>
      <c r="G86" s="192">
        <v>4</v>
      </c>
      <c r="H86" s="191"/>
      <c r="I86" s="250">
        <f>IF(COUNTBLANK(E86:H86)=4,"",SUM(E86:G86)+IF(Setup!$I$15="No",0,H86))</f>
        <v>5</v>
      </c>
      <c r="J86" s="191"/>
      <c r="K86" s="191">
        <v>3</v>
      </c>
      <c r="L86" s="191">
        <v>8</v>
      </c>
      <c r="M86" s="191"/>
      <c r="N86" s="254">
        <f>IF(COUNTBLANK(J86:M86)=4,"",SUM(J86:L86)+IF(Setup!$I$15="No",0,M86))</f>
        <v>11</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f ca="1">IF('Demand background (hide)'!A77=Num_Modalities,"",SUM(Demand!I86, Demand!N86))</f>
        <v>16</v>
      </c>
      <c r="BD86" s="258">
        <f ca="1">IF(AND(A86&lt;=MaxRows,BE86&lt;&gt;"Yes"),'Demand background (hide)'!X77+IF(Setup!$I$15="Yes",'Demand background (hide)'!AJ77,0),"")</f>
        <v>590</v>
      </c>
      <c r="BE86" s="208"/>
    </row>
    <row r="87" spans="1:57" ht="15" x14ac:dyDescent="0.25">
      <c r="A87">
        <f t="shared" ca="1" si="4"/>
        <v>75</v>
      </c>
      <c r="B87" s="263" t="str">
        <f t="shared" ca="1" si="5"/>
        <v xml:space="preserve"> </v>
      </c>
      <c r="C87" s="264">
        <f t="shared" ca="1" si="6"/>
        <v>35</v>
      </c>
      <c r="D87" s="384">
        <f t="shared" ca="1" si="7"/>
        <v>42975</v>
      </c>
      <c r="E87" s="191"/>
      <c r="F87" s="191">
        <v>3</v>
      </c>
      <c r="G87" s="192">
        <v>4</v>
      </c>
      <c r="H87" s="191"/>
      <c r="I87" s="250">
        <f>IF(COUNTBLANK(E87:H87)=4,"",SUM(E87:G87)+IF(Setup!$I$15="No",0,H87))</f>
        <v>7</v>
      </c>
      <c r="J87" s="191"/>
      <c r="K87" s="191">
        <v>2</v>
      </c>
      <c r="L87" s="191">
        <v>11</v>
      </c>
      <c r="M87" s="191"/>
      <c r="N87" s="254">
        <f>IF(COUNTBLANK(J87:M87)=4,"",SUM(J87:L87)+IF(Setup!$I$15="No",0,M87))</f>
        <v>13</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f ca="1">IF('Demand background (hide)'!A78=Num_Modalities,"",SUM(Demand!I87, Demand!N87))</f>
        <v>20</v>
      </c>
      <c r="BD87" s="258">
        <f ca="1">IF(AND(A87&lt;=MaxRows,BE87&lt;&gt;"Yes"),'Demand background (hide)'!X78+IF(Setup!$I$15="Yes",'Demand background (hide)'!AJ78,0),"")</f>
        <v>730</v>
      </c>
      <c r="BE87" s="208"/>
    </row>
    <row r="88" spans="1:57" ht="15" x14ac:dyDescent="0.25">
      <c r="A88">
        <f t="shared" ca="1" si="4"/>
        <v>76</v>
      </c>
      <c r="B88" s="263" t="str">
        <f t="shared" ca="1" si="5"/>
        <v xml:space="preserve"> </v>
      </c>
      <c r="C88" s="264">
        <f t="shared" ca="1" si="6"/>
        <v>36</v>
      </c>
      <c r="D88" s="384">
        <f t="shared" ca="1" si="7"/>
        <v>42982</v>
      </c>
      <c r="E88" s="191"/>
      <c r="F88" s="191">
        <v>2</v>
      </c>
      <c r="G88" s="192">
        <v>4</v>
      </c>
      <c r="H88" s="191"/>
      <c r="I88" s="250">
        <f>IF(COUNTBLANK(E88:H88)=4,"",SUM(E88:G88)+IF(Setup!$I$15="No",0,H88))</f>
        <v>6</v>
      </c>
      <c r="J88" s="191"/>
      <c r="K88" s="191">
        <v>2</v>
      </c>
      <c r="L88" s="191">
        <v>6</v>
      </c>
      <c r="M88" s="191"/>
      <c r="N88" s="254">
        <f>IF(COUNTBLANK(J88:M88)=4,"",SUM(J88:L88)+IF(Setup!$I$15="No",0,M88))</f>
        <v>8</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f ca="1">IF('Demand background (hide)'!A79=Num_Modalities,"",SUM(Demand!I88, Demand!N88))</f>
        <v>14</v>
      </c>
      <c r="BD88" s="258">
        <f ca="1">IF(AND(A88&lt;=MaxRows,BE88&lt;&gt;"Yes"),'Demand background (hide)'!X79+IF(Setup!$I$15="Yes",'Demand background (hide)'!AJ79,0),"")</f>
        <v>500</v>
      </c>
      <c r="BE88" s="208"/>
    </row>
    <row r="89" spans="1:57" ht="15" x14ac:dyDescent="0.25">
      <c r="A89">
        <f t="shared" ca="1" si="4"/>
        <v>77</v>
      </c>
      <c r="B89" s="263" t="str">
        <f t="shared" ca="1" si="5"/>
        <v xml:space="preserve"> </v>
      </c>
      <c r="C89" s="264">
        <f t="shared" ca="1" si="6"/>
        <v>37</v>
      </c>
      <c r="D89" s="384">
        <f t="shared" ca="1" si="7"/>
        <v>42989</v>
      </c>
      <c r="E89" s="191"/>
      <c r="F89" s="191">
        <v>1</v>
      </c>
      <c r="G89" s="192">
        <v>9</v>
      </c>
      <c r="H89" s="191"/>
      <c r="I89" s="250">
        <f>IF(COUNTBLANK(E89:H89)=4,"",SUM(E89:G89)+IF(Setup!$I$15="No",0,H89))</f>
        <v>10</v>
      </c>
      <c r="J89" s="191"/>
      <c r="K89" s="191">
        <v>3</v>
      </c>
      <c r="L89" s="191">
        <v>7</v>
      </c>
      <c r="M89" s="191"/>
      <c r="N89" s="254">
        <f>IF(COUNTBLANK(J89:M89)=4,"",SUM(J89:L89)+IF(Setup!$I$15="No",0,M89))</f>
        <v>10</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f ca="1">IF('Demand background (hide)'!A80=Num_Modalities,"",SUM(Demand!I89, Demand!N89))</f>
        <v>20</v>
      </c>
      <c r="BD89" s="258">
        <f ca="1">IF(AND(A89&lt;=MaxRows,BE89&lt;&gt;"Yes"),'Demand background (hide)'!X80+IF(Setup!$I$15="Yes",'Demand background (hide)'!AJ80,0),"")</f>
        <v>700</v>
      </c>
      <c r="BE89" s="208"/>
    </row>
    <row r="90" spans="1:57" ht="15" x14ac:dyDescent="0.25">
      <c r="A90">
        <f t="shared" ca="1" si="4"/>
        <v>78</v>
      </c>
      <c r="B90" s="263" t="str">
        <f t="shared" ca="1" si="5"/>
        <v xml:space="preserve"> </v>
      </c>
      <c r="C90" s="264">
        <f t="shared" ca="1" si="6"/>
        <v>38</v>
      </c>
      <c r="D90" s="384">
        <f t="shared" ca="1" si="7"/>
        <v>42996</v>
      </c>
      <c r="E90" s="191"/>
      <c r="F90" s="191">
        <v>1</v>
      </c>
      <c r="G90" s="192">
        <v>3</v>
      </c>
      <c r="H90" s="191"/>
      <c r="I90" s="250">
        <f>IF(COUNTBLANK(E90:H90)=4,"",SUM(E90:G90)+IF(Setup!$I$15="No",0,H90))</f>
        <v>4</v>
      </c>
      <c r="J90" s="191"/>
      <c r="K90" s="191">
        <v>2</v>
      </c>
      <c r="L90" s="191">
        <v>8</v>
      </c>
      <c r="M90" s="191"/>
      <c r="N90" s="254">
        <f>IF(COUNTBLANK(J90:M90)=4,"",SUM(J90:L90)+IF(Setup!$I$15="No",0,M90))</f>
        <v>10</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f ca="1">IF('Demand background (hide)'!A81=Num_Modalities,"",SUM(Demand!I90, Demand!N90))</f>
        <v>14</v>
      </c>
      <c r="BD90" s="258">
        <f ca="1">IF(AND(A90&lt;=MaxRows,BE90&lt;&gt;"Yes"),'Demand background (hide)'!X81+IF(Setup!$I$15="Yes",'Demand background (hide)'!AJ81,0),"")</f>
        <v>520</v>
      </c>
      <c r="BE90" s="208"/>
    </row>
    <row r="91" spans="1:57" ht="15" x14ac:dyDescent="0.25">
      <c r="A91">
        <f t="shared" ca="1" si="4"/>
        <v>79</v>
      </c>
      <c r="B91" s="263" t="str">
        <f t="shared" ca="1" si="5"/>
        <v xml:space="preserve"> </v>
      </c>
      <c r="C91" s="264">
        <f t="shared" ca="1" si="6"/>
        <v>39</v>
      </c>
      <c r="D91" s="384">
        <f t="shared" ca="1" si="7"/>
        <v>43003</v>
      </c>
      <c r="E91" s="191"/>
      <c r="F91" s="191">
        <v>2</v>
      </c>
      <c r="G91" s="192">
        <v>6</v>
      </c>
      <c r="H91" s="191"/>
      <c r="I91" s="250">
        <f>IF(COUNTBLANK(E91:H91)=4,"",SUM(E91:G91)+IF(Setup!$I$15="No",0,H91))</f>
        <v>8</v>
      </c>
      <c r="J91" s="191"/>
      <c r="K91" s="191">
        <v>1</v>
      </c>
      <c r="L91" s="191">
        <v>7</v>
      </c>
      <c r="M91" s="191"/>
      <c r="N91" s="254">
        <f>IF(COUNTBLANK(J91:M91)=4,"",SUM(J91:L91)+IF(Setup!$I$15="No",0,M91))</f>
        <v>8</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f ca="1">IF('Demand background (hide)'!A82=Num_Modalities,"",SUM(Demand!I91, Demand!N91))</f>
        <v>16</v>
      </c>
      <c r="BD91" s="258">
        <f ca="1">IF(AND(A91&lt;=MaxRows,BE91&lt;&gt;"Yes"),'Demand background (hide)'!X82+IF(Setup!$I$15="Yes",'Demand background (hide)'!AJ82,0),"")</f>
        <v>560</v>
      </c>
      <c r="BE91" s="208"/>
    </row>
    <row r="92" spans="1:57" ht="15" x14ac:dyDescent="0.25">
      <c r="A92">
        <f t="shared" ca="1" si="4"/>
        <v>80</v>
      </c>
      <c r="B92" s="263" t="str">
        <f t="shared" ca="1" si="5"/>
        <v xml:space="preserve"> </v>
      </c>
      <c r="C92" s="264">
        <f t="shared" ca="1" si="6"/>
        <v>40</v>
      </c>
      <c r="D92" s="384">
        <f t="shared" ca="1" si="7"/>
        <v>43010</v>
      </c>
      <c r="E92" s="191"/>
      <c r="F92" s="191">
        <v>0</v>
      </c>
      <c r="G92" s="192">
        <v>3</v>
      </c>
      <c r="H92" s="191"/>
      <c r="I92" s="250">
        <f>IF(COUNTBLANK(E92:H92)=4,"",SUM(E92:G92)+IF(Setup!$I$15="No",0,H92))</f>
        <v>3</v>
      </c>
      <c r="J92" s="191"/>
      <c r="K92" s="191">
        <v>2</v>
      </c>
      <c r="L92" s="191">
        <v>8</v>
      </c>
      <c r="M92" s="191"/>
      <c r="N92" s="254">
        <f>IF(COUNTBLANK(J92:M92)=4,"",SUM(J92:L92)+IF(Setup!$I$15="No",0,M92))</f>
        <v>10</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f ca="1">IF('Demand background (hide)'!A83=Num_Modalities,"",SUM(Demand!I92, Demand!N92))</f>
        <v>13</v>
      </c>
      <c r="BD92" s="258">
        <f ca="1">IF(AND(A92&lt;=MaxRows,BE92&lt;&gt;"Yes"),'Demand background (hide)'!X83+IF(Setup!$I$15="Yes",'Demand background (hide)'!AJ83,0),"")</f>
        <v>490</v>
      </c>
      <c r="BE92" s="208"/>
    </row>
    <row r="93" spans="1:57" ht="15" x14ac:dyDescent="0.25">
      <c r="A93">
        <f t="shared" ca="1" si="4"/>
        <v>81</v>
      </c>
      <c r="B93" s="263" t="str">
        <f t="shared" ca="1" si="5"/>
        <v xml:space="preserve"> </v>
      </c>
      <c r="C93" s="264">
        <f t="shared" ca="1" si="6"/>
        <v>41</v>
      </c>
      <c r="D93" s="384">
        <f t="shared" ca="1" si="7"/>
        <v>43017</v>
      </c>
      <c r="E93" s="191"/>
      <c r="F93" s="191">
        <v>0</v>
      </c>
      <c r="G93" s="192">
        <v>4</v>
      </c>
      <c r="H93" s="191"/>
      <c r="I93" s="250">
        <f>IF(COUNTBLANK(E93:H93)=4,"",SUM(E93:G93)+IF(Setup!$I$15="No",0,H93))</f>
        <v>4</v>
      </c>
      <c r="J93" s="191"/>
      <c r="K93" s="191">
        <v>2</v>
      </c>
      <c r="L93" s="191">
        <v>3</v>
      </c>
      <c r="M93" s="191"/>
      <c r="N93" s="254">
        <f>IF(COUNTBLANK(J93:M93)=4,"",SUM(J93:L93)+IF(Setup!$I$15="No",0,M93))</f>
        <v>5</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f ca="1">IF('Demand background (hide)'!A84=Num_Modalities,"",SUM(Demand!I93, Demand!N93))</f>
        <v>9</v>
      </c>
      <c r="BD93" s="258">
        <f ca="1">IF(AND(A93&lt;=MaxRows,BE93&lt;&gt;"Yes"),'Demand background (hide)'!X84+IF(Setup!$I$15="Yes",'Demand background (hide)'!AJ84,0),"")</f>
        <v>320</v>
      </c>
      <c r="BE93" s="208"/>
    </row>
    <row r="94" spans="1:57" ht="15" x14ac:dyDescent="0.25">
      <c r="A94">
        <f t="shared" ca="1" si="4"/>
        <v>82</v>
      </c>
      <c r="B94" s="263" t="str">
        <f t="shared" ca="1" si="5"/>
        <v xml:space="preserve"> </v>
      </c>
      <c r="C94" s="264">
        <f t="shared" ca="1" si="6"/>
        <v>42</v>
      </c>
      <c r="D94" s="384">
        <f t="shared" ca="1" si="7"/>
        <v>43024</v>
      </c>
      <c r="E94" s="191"/>
      <c r="F94" s="191">
        <v>2</v>
      </c>
      <c r="G94" s="192">
        <v>3</v>
      </c>
      <c r="H94" s="191"/>
      <c r="I94" s="250">
        <f>IF(COUNTBLANK(E94:H94)=4,"",SUM(E94:G94)+IF(Setup!$I$15="No",0,H94))</f>
        <v>5</v>
      </c>
      <c r="J94" s="191"/>
      <c r="K94" s="191">
        <v>1</v>
      </c>
      <c r="L94" s="191">
        <v>7</v>
      </c>
      <c r="M94" s="191"/>
      <c r="N94" s="254">
        <f>IF(COUNTBLANK(J94:M94)=4,"",SUM(J94:L94)+IF(Setup!$I$15="No",0,M94))</f>
        <v>8</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f ca="1">IF('Demand background (hide)'!A85=Num_Modalities,"",SUM(Demand!I94, Demand!N94))</f>
        <v>13</v>
      </c>
      <c r="BD94" s="258">
        <f ca="1">IF(AND(A94&lt;=MaxRows,BE94&lt;&gt;"Yes"),'Demand background (hide)'!X85+IF(Setup!$I$15="Yes",'Demand background (hide)'!AJ85,0),"")</f>
        <v>470</v>
      </c>
      <c r="BE94" s="208"/>
    </row>
    <row r="95" spans="1:57" ht="15" x14ac:dyDescent="0.25">
      <c r="A95">
        <f t="shared" ca="1" si="4"/>
        <v>83</v>
      </c>
      <c r="B95" s="263" t="str">
        <f t="shared" ca="1" si="5"/>
        <v xml:space="preserve"> </v>
      </c>
      <c r="C95" s="264">
        <f t="shared" ca="1" si="6"/>
        <v>43</v>
      </c>
      <c r="D95" s="384">
        <f t="shared" ca="1" si="7"/>
        <v>43031</v>
      </c>
      <c r="E95" s="191"/>
      <c r="F95" s="191">
        <v>1</v>
      </c>
      <c r="G95" s="192">
        <v>5</v>
      </c>
      <c r="H95" s="191"/>
      <c r="I95" s="250">
        <f>IF(COUNTBLANK(E95:H95)=4,"",SUM(E95:G95)+IF(Setup!$I$15="No",0,H95))</f>
        <v>6</v>
      </c>
      <c r="J95" s="191"/>
      <c r="K95" s="191">
        <v>2</v>
      </c>
      <c r="L95" s="191">
        <v>7</v>
      </c>
      <c r="M95" s="191"/>
      <c r="N95" s="254">
        <f>IF(COUNTBLANK(J95:M95)=4,"",SUM(J95:L95)+IF(Setup!$I$15="No",0,M95))</f>
        <v>9</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f ca="1">IF('Demand background (hide)'!A86=Num_Modalities,"",SUM(Demand!I95, Demand!N95))</f>
        <v>15</v>
      </c>
      <c r="BD95" s="258">
        <f ca="1">IF(AND(A95&lt;=MaxRows,BE95&lt;&gt;"Yes"),'Demand background (hide)'!X86+IF(Setup!$I$15="Yes",'Demand background (hide)'!AJ86,0),"")</f>
        <v>540</v>
      </c>
      <c r="BE95" s="208"/>
    </row>
    <row r="96" spans="1:57" ht="15" x14ac:dyDescent="0.25">
      <c r="A96">
        <f t="shared" ca="1" si="4"/>
        <v>84</v>
      </c>
      <c r="B96" s="263" t="str">
        <f t="shared" ca="1" si="5"/>
        <v xml:space="preserve"> </v>
      </c>
      <c r="C96" s="264">
        <f t="shared" ca="1" si="6"/>
        <v>44</v>
      </c>
      <c r="D96" s="384">
        <f t="shared" ca="1" si="7"/>
        <v>43038</v>
      </c>
      <c r="E96" s="191"/>
      <c r="F96" s="191">
        <v>1</v>
      </c>
      <c r="G96" s="192">
        <v>1</v>
      </c>
      <c r="H96" s="191"/>
      <c r="I96" s="250">
        <f>IF(COUNTBLANK(E96:H96)=4,"",SUM(E96:G96)+IF(Setup!$I$15="No",0,H96))</f>
        <v>2</v>
      </c>
      <c r="J96" s="191"/>
      <c r="K96" s="191">
        <v>1</v>
      </c>
      <c r="L96" s="191">
        <v>6</v>
      </c>
      <c r="M96" s="191"/>
      <c r="N96" s="254">
        <f>IF(COUNTBLANK(J96:M96)=4,"",SUM(J96:L96)+IF(Setup!$I$15="No",0,M96))</f>
        <v>7</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f ca="1">IF('Demand background (hide)'!A87=Num_Modalities,"",SUM(Demand!I96, Demand!N96))</f>
        <v>9</v>
      </c>
      <c r="BD96" s="258">
        <f ca="1">IF(AND(A96&lt;=MaxRows,BE96&lt;&gt;"Yes"),'Demand background (hide)'!X87+IF(Setup!$I$15="Yes",'Demand background (hide)'!AJ87,0),"")</f>
        <v>340</v>
      </c>
      <c r="BE96" s="208"/>
    </row>
    <row r="97" spans="1:57" ht="15" x14ac:dyDescent="0.25">
      <c r="A97">
        <f t="shared" ca="1" si="4"/>
        <v>85</v>
      </c>
      <c r="B97" s="263" t="str">
        <f t="shared" ca="1" si="5"/>
        <v xml:space="preserve"> </v>
      </c>
      <c r="C97" s="264">
        <f t="shared" ca="1" si="6"/>
        <v>45</v>
      </c>
      <c r="D97" s="384">
        <f t="shared" ca="1" si="7"/>
        <v>43045</v>
      </c>
      <c r="E97" s="191"/>
      <c r="F97" s="191">
        <v>0</v>
      </c>
      <c r="G97" s="192">
        <v>3</v>
      </c>
      <c r="H97" s="191"/>
      <c r="I97" s="250">
        <f>IF(COUNTBLANK(E97:H97)=4,"",SUM(E97:G97)+IF(Setup!$I$15="No",0,H97))</f>
        <v>3</v>
      </c>
      <c r="J97" s="191"/>
      <c r="K97" s="191">
        <v>2</v>
      </c>
      <c r="L97" s="191">
        <v>9</v>
      </c>
      <c r="M97" s="191"/>
      <c r="N97" s="254">
        <f>IF(COUNTBLANK(J97:M97)=4,"",SUM(J97:L97)+IF(Setup!$I$15="No",0,M97))</f>
        <v>11</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f ca="1">IF('Demand background (hide)'!A88=Num_Modalities,"",SUM(Demand!I97, Demand!N97))</f>
        <v>14</v>
      </c>
      <c r="BD97" s="258">
        <f ca="1">IF(AND(A97&lt;=MaxRows,BE97&lt;&gt;"Yes"),'Demand background (hide)'!X88+IF(Setup!$I$15="Yes",'Demand background (hide)'!AJ88,0),"")</f>
        <v>530</v>
      </c>
      <c r="BE97" s="208"/>
    </row>
    <row r="98" spans="1:57" ht="15" x14ac:dyDescent="0.25">
      <c r="A98">
        <f t="shared" ca="1" si="4"/>
        <v>86</v>
      </c>
      <c r="B98" s="263" t="str">
        <f t="shared" ca="1" si="5"/>
        <v xml:space="preserve"> </v>
      </c>
      <c r="C98" s="264">
        <f t="shared" ca="1" si="6"/>
        <v>46</v>
      </c>
      <c r="D98" s="384">
        <f t="shared" ca="1" si="7"/>
        <v>43052</v>
      </c>
      <c r="E98" s="191"/>
      <c r="F98" s="191">
        <v>0</v>
      </c>
      <c r="G98" s="192">
        <v>6</v>
      </c>
      <c r="H98" s="191"/>
      <c r="I98" s="250">
        <f>IF(COUNTBLANK(E98:H98)=4,"",SUM(E98:G98)+IF(Setup!$I$15="No",0,H98))</f>
        <v>6</v>
      </c>
      <c r="J98" s="191"/>
      <c r="K98" s="191">
        <v>3</v>
      </c>
      <c r="L98" s="191">
        <v>7</v>
      </c>
      <c r="M98" s="191"/>
      <c r="N98" s="254">
        <f>IF(COUNTBLANK(J98:M98)=4,"",SUM(J98:L98)+IF(Setup!$I$15="No",0,M98))</f>
        <v>10</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f ca="1">IF('Demand background (hide)'!A89=Num_Modalities,"",SUM(Demand!I98, Demand!N98))</f>
        <v>16</v>
      </c>
      <c r="BD98" s="258">
        <f ca="1">IF(AND(A98&lt;=MaxRows,BE98&lt;&gt;"Yes"),'Demand background (hide)'!X89+IF(Setup!$I$15="Yes",'Demand background (hide)'!AJ89,0),"")</f>
        <v>580</v>
      </c>
      <c r="BE98" s="208"/>
    </row>
    <row r="99" spans="1:57" ht="15" x14ac:dyDescent="0.25">
      <c r="A99">
        <f t="shared" ca="1" si="4"/>
        <v>87</v>
      </c>
      <c r="B99" s="263" t="str">
        <f t="shared" ca="1" si="5"/>
        <v xml:space="preserve"> </v>
      </c>
      <c r="C99" s="264">
        <f t="shared" ca="1" si="6"/>
        <v>47</v>
      </c>
      <c r="D99" s="384">
        <f t="shared" ca="1" si="7"/>
        <v>43059</v>
      </c>
      <c r="E99" s="191"/>
      <c r="F99" s="191">
        <v>0</v>
      </c>
      <c r="G99" s="192">
        <v>2</v>
      </c>
      <c r="H99" s="191"/>
      <c r="I99" s="250">
        <f>IF(COUNTBLANK(E99:H99)=4,"",SUM(E99:G99)+IF(Setup!$I$15="No",0,H99))</f>
        <v>2</v>
      </c>
      <c r="J99" s="191"/>
      <c r="K99" s="191">
        <v>2</v>
      </c>
      <c r="L99" s="191">
        <v>8</v>
      </c>
      <c r="M99" s="191"/>
      <c r="N99" s="254">
        <f>IF(COUNTBLANK(J99:M99)=4,"",SUM(J99:L99)+IF(Setup!$I$15="No",0,M99))</f>
        <v>10</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f ca="1">IF('Demand background (hide)'!A90=Num_Modalities,"",SUM(Demand!I99, Demand!N99))</f>
        <v>12</v>
      </c>
      <c r="BD99" s="258">
        <f ca="1">IF(AND(A99&lt;=MaxRows,BE99&lt;&gt;"Yes"),'Demand background (hide)'!X90+IF(Setup!$I$15="Yes",'Demand background (hide)'!AJ90,0),"")</f>
        <v>460</v>
      </c>
      <c r="BE99" s="208"/>
    </row>
    <row r="100" spans="1:57" ht="15" x14ac:dyDescent="0.25">
      <c r="A100">
        <f t="shared" ca="1" si="4"/>
        <v>88</v>
      </c>
      <c r="B100" s="263" t="str">
        <f t="shared" ca="1" si="5"/>
        <v xml:space="preserve"> </v>
      </c>
      <c r="C100" s="264">
        <f t="shared" ca="1" si="6"/>
        <v>48</v>
      </c>
      <c r="D100" s="384">
        <f t="shared" ca="1" si="7"/>
        <v>43066</v>
      </c>
      <c r="E100" s="191"/>
      <c r="F100" s="191">
        <v>3</v>
      </c>
      <c r="G100" s="192">
        <v>3</v>
      </c>
      <c r="H100" s="191"/>
      <c r="I100" s="250">
        <f>IF(COUNTBLANK(E100:H100)=4,"",SUM(E100:G100)+IF(Setup!$I$15="No",0,H100))</f>
        <v>6</v>
      </c>
      <c r="J100" s="191"/>
      <c r="K100" s="191">
        <v>2</v>
      </c>
      <c r="L100" s="191">
        <v>6</v>
      </c>
      <c r="M100" s="191"/>
      <c r="N100" s="254">
        <f>IF(COUNTBLANK(J100:M100)=4,"",SUM(J100:L100)+IF(Setup!$I$15="No",0,M100))</f>
        <v>8</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f ca="1">IF('Demand background (hide)'!A91=Num_Modalities,"",SUM(Demand!I100, Demand!N100))</f>
        <v>14</v>
      </c>
      <c r="BD100" s="258">
        <f ca="1">IF(AND(A100&lt;=MaxRows,BE100&lt;&gt;"Yes"),'Demand background (hide)'!X91+IF(Setup!$I$15="Yes",'Demand background (hide)'!AJ91,0),"")</f>
        <v>500</v>
      </c>
      <c r="BE100" s="208"/>
    </row>
    <row r="101" spans="1:57" ht="15" x14ac:dyDescent="0.25">
      <c r="A101">
        <f t="shared" ca="1" si="4"/>
        <v>89</v>
      </c>
      <c r="B101" s="263" t="str">
        <f t="shared" ca="1" si="5"/>
        <v xml:space="preserve"> </v>
      </c>
      <c r="C101" s="264">
        <f t="shared" ca="1" si="6"/>
        <v>49</v>
      </c>
      <c r="D101" s="384">
        <f t="shared" ca="1" si="7"/>
        <v>43073</v>
      </c>
      <c r="E101" s="191"/>
      <c r="F101" s="191">
        <v>1</v>
      </c>
      <c r="G101" s="192">
        <v>8</v>
      </c>
      <c r="H101" s="191"/>
      <c r="I101" s="250">
        <f>IF(COUNTBLANK(E101:H101)=4,"",SUM(E101:G101)+IF(Setup!$I$15="No",0,H101))</f>
        <v>9</v>
      </c>
      <c r="J101" s="191"/>
      <c r="K101" s="191">
        <v>3</v>
      </c>
      <c r="L101" s="191">
        <v>3</v>
      </c>
      <c r="M101" s="191"/>
      <c r="N101" s="254">
        <f>IF(COUNTBLANK(J101:M101)=4,"",SUM(J101:L101)+IF(Setup!$I$15="No",0,M101))</f>
        <v>6</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f ca="1">IF('Demand background (hide)'!A92=Num_Modalities,"",SUM(Demand!I101, Demand!N101))</f>
        <v>15</v>
      </c>
      <c r="BD101" s="258">
        <f ca="1">IF(AND(A101&lt;=MaxRows,BE101&lt;&gt;"Yes"),'Demand background (hide)'!X92+IF(Setup!$I$15="Yes",'Demand background (hide)'!AJ92,0),"")</f>
        <v>510</v>
      </c>
      <c r="BE101" s="208"/>
    </row>
    <row r="102" spans="1:57" ht="15" x14ac:dyDescent="0.25">
      <c r="A102">
        <f t="shared" ca="1" si="4"/>
        <v>90</v>
      </c>
      <c r="B102" s="263" t="str">
        <f t="shared" ca="1" si="5"/>
        <v xml:space="preserve"> </v>
      </c>
      <c r="C102" s="264">
        <f t="shared" ca="1" si="6"/>
        <v>50</v>
      </c>
      <c r="D102" s="384">
        <f t="shared" ca="1" si="7"/>
        <v>43080</v>
      </c>
      <c r="E102" s="191"/>
      <c r="F102" s="191">
        <v>0</v>
      </c>
      <c r="G102" s="192">
        <v>5</v>
      </c>
      <c r="H102" s="191"/>
      <c r="I102" s="250">
        <f>IF(COUNTBLANK(E102:H102)=4,"",SUM(E102:G102)+IF(Setup!$I$15="No",0,H102))</f>
        <v>5</v>
      </c>
      <c r="J102" s="191"/>
      <c r="K102" s="191">
        <v>2</v>
      </c>
      <c r="L102" s="191">
        <v>7</v>
      </c>
      <c r="M102" s="191"/>
      <c r="N102" s="254">
        <f>IF(COUNTBLANK(J102:M102)=4,"",SUM(J102:L102)+IF(Setup!$I$15="No",0,M102))</f>
        <v>9</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f ca="1">IF('Demand background (hide)'!A93=Num_Modalities,"",SUM(Demand!I102, Demand!N102))</f>
        <v>14</v>
      </c>
      <c r="BD102" s="258">
        <f ca="1">IF(AND(A102&lt;=MaxRows,BE102&lt;&gt;"Yes"),'Demand background (hide)'!X93+IF(Setup!$I$15="Yes",'Demand background (hide)'!AJ93,0),"")</f>
        <v>510</v>
      </c>
      <c r="BE102" s="208"/>
    </row>
    <row r="103" spans="1:57" ht="15" x14ac:dyDescent="0.25">
      <c r="A103">
        <f t="shared" ca="1" si="4"/>
        <v>91</v>
      </c>
      <c r="B103" s="263" t="str">
        <f t="shared" ca="1" si="5"/>
        <v xml:space="preserve"> </v>
      </c>
      <c r="C103" s="264">
        <f t="shared" ca="1" si="6"/>
        <v>51</v>
      </c>
      <c r="D103" s="384">
        <f t="shared" ca="1" si="7"/>
        <v>43087</v>
      </c>
      <c r="E103" s="191"/>
      <c r="F103" s="191">
        <v>1</v>
      </c>
      <c r="G103" s="192">
        <v>0</v>
      </c>
      <c r="H103" s="191"/>
      <c r="I103" s="250">
        <f>IF(COUNTBLANK(E103:H103)=4,"",SUM(E103:G103)+IF(Setup!$I$15="No",0,H103))</f>
        <v>1</v>
      </c>
      <c r="J103" s="191"/>
      <c r="K103" s="191">
        <v>1</v>
      </c>
      <c r="L103" s="191">
        <v>8</v>
      </c>
      <c r="M103" s="191"/>
      <c r="N103" s="254">
        <f>IF(COUNTBLANK(J103:M103)=4,"",SUM(J103:L103)+IF(Setup!$I$15="No",0,M103))</f>
        <v>9</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f ca="1">IF('Demand background (hide)'!A94=Num_Modalities,"",SUM(Demand!I103, Demand!N103))</f>
        <v>10</v>
      </c>
      <c r="BD103" s="258">
        <f ca="1">IF(AND(A103&lt;=MaxRows,BE103&lt;&gt;"Yes"),'Demand background (hide)'!X94+IF(Setup!$I$15="Yes",'Demand background (hide)'!AJ94,0),"")</f>
        <v>390</v>
      </c>
      <c r="BE103" s="208"/>
    </row>
    <row r="104" spans="1:57" ht="15" x14ac:dyDescent="0.25">
      <c r="A104">
        <f t="shared" ca="1" si="4"/>
        <v>92</v>
      </c>
      <c r="B104" s="263" t="str">
        <f t="shared" ca="1" si="5"/>
        <v xml:space="preserve"> </v>
      </c>
      <c r="C104" s="264">
        <f t="shared" ca="1" si="6"/>
        <v>52</v>
      </c>
      <c r="D104" s="384">
        <f t="shared" ca="1" si="7"/>
        <v>43094</v>
      </c>
      <c r="E104" s="191"/>
      <c r="F104" s="191">
        <v>1</v>
      </c>
      <c r="G104" s="192">
        <v>3</v>
      </c>
      <c r="H104" s="191"/>
      <c r="I104" s="250">
        <f>IF(COUNTBLANK(E104:H104)=4,"",SUM(E104:G104)+IF(Setup!$I$15="No",0,H104))</f>
        <v>4</v>
      </c>
      <c r="J104" s="191"/>
      <c r="K104" s="191">
        <v>1</v>
      </c>
      <c r="L104" s="191">
        <v>7</v>
      </c>
      <c r="M104" s="191"/>
      <c r="N104" s="254">
        <f>IF(COUNTBLANK(J104:M104)=4,"",SUM(J104:L104)+IF(Setup!$I$15="No",0,M104))</f>
        <v>8</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f ca="1">IF('Demand background (hide)'!A95=Num_Modalities,"",SUM(Demand!I104, Demand!N104))</f>
        <v>12</v>
      </c>
      <c r="BD104" s="258">
        <f ca="1">IF(AND(A104&lt;=MaxRows,BE104&lt;&gt;"Yes"),'Demand background (hide)'!X95+IF(Setup!$I$15="Yes",'Demand background (hide)'!AJ95,0),"")</f>
        <v>440</v>
      </c>
      <c r="BE104" s="208"/>
    </row>
    <row r="105" spans="1:57" ht="15" x14ac:dyDescent="0.25">
      <c r="A105">
        <f t="shared" ca="1" si="4"/>
        <v>93</v>
      </c>
      <c r="B105" s="263">
        <f t="shared" ca="1" si="5"/>
        <v>2018</v>
      </c>
      <c r="C105" s="264">
        <f t="shared" ca="1" si="6"/>
        <v>1</v>
      </c>
      <c r="D105" s="384">
        <f t="shared" ca="1" si="7"/>
        <v>43101</v>
      </c>
      <c r="E105" s="191"/>
      <c r="F105" s="191">
        <v>0</v>
      </c>
      <c r="G105" s="192">
        <v>6</v>
      </c>
      <c r="H105" s="191"/>
      <c r="I105" s="250">
        <f>IF(COUNTBLANK(E105:H105)=4,"",SUM(E105:G105)+IF(Setup!$I$15="No",0,H105))</f>
        <v>6</v>
      </c>
      <c r="J105" s="191"/>
      <c r="K105" s="191">
        <v>1</v>
      </c>
      <c r="L105" s="191">
        <v>12</v>
      </c>
      <c r="M105" s="191"/>
      <c r="N105" s="254">
        <f>IF(COUNTBLANK(J105:M105)=4,"",SUM(J105:L105)+IF(Setup!$I$15="No",0,M105))</f>
        <v>13</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f ca="1">IF('Demand background (hide)'!A96=Num_Modalities,"",SUM(Demand!I105, Demand!N105))</f>
        <v>19</v>
      </c>
      <c r="BD105" s="258">
        <f ca="1">IF(AND(A105&lt;=MaxRows,BE105&lt;&gt;"Yes"),'Demand background (hide)'!X96+IF(Setup!$I$15="Yes",'Demand background (hide)'!AJ96,0),"")</f>
        <v>700</v>
      </c>
      <c r="BE105" s="208"/>
    </row>
    <row r="106" spans="1:57" ht="15" x14ac:dyDescent="0.25">
      <c r="A106">
        <f t="shared" ca="1" si="4"/>
        <v>94</v>
      </c>
      <c r="B106" s="263" t="str">
        <f t="shared" ca="1" si="5"/>
        <v xml:space="preserve"> </v>
      </c>
      <c r="C106" s="264">
        <f t="shared" ca="1" si="6"/>
        <v>2</v>
      </c>
      <c r="D106" s="384">
        <f t="shared" ca="1" si="7"/>
        <v>43108</v>
      </c>
      <c r="E106" s="191"/>
      <c r="F106" s="191">
        <v>0</v>
      </c>
      <c r="G106" s="192">
        <v>3</v>
      </c>
      <c r="H106" s="191"/>
      <c r="I106" s="250">
        <f>IF(COUNTBLANK(E106:H106)=4,"",SUM(E106:G106)+IF(Setup!$I$15="No",0,H106))</f>
        <v>3</v>
      </c>
      <c r="J106" s="191"/>
      <c r="K106" s="191">
        <v>2</v>
      </c>
      <c r="L106" s="191">
        <v>10</v>
      </c>
      <c r="M106" s="191"/>
      <c r="N106" s="254">
        <f>IF(COUNTBLANK(J106:M106)=4,"",SUM(J106:L106)+IF(Setup!$I$15="No",0,M106))</f>
        <v>12</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f ca="1">IF('Demand background (hide)'!A97=Num_Modalities,"",SUM(Demand!I106, Demand!N106))</f>
        <v>15</v>
      </c>
      <c r="BD106" s="258">
        <f ca="1">IF(AND(A106&lt;=MaxRows,BE106&lt;&gt;"Yes"),'Demand background (hide)'!X97+IF(Setup!$I$15="Yes",'Demand background (hide)'!AJ97,0),"")</f>
        <v>570</v>
      </c>
      <c r="BE106" s="208"/>
    </row>
    <row r="107" spans="1:57" ht="15" x14ac:dyDescent="0.25">
      <c r="A107">
        <f t="shared" ca="1" si="4"/>
        <v>95</v>
      </c>
      <c r="B107" s="263" t="str">
        <f t="shared" ca="1" si="5"/>
        <v xml:space="preserve"> </v>
      </c>
      <c r="C107" s="264">
        <f t="shared" ca="1" si="6"/>
        <v>3</v>
      </c>
      <c r="D107" s="384">
        <f t="shared" ca="1" si="7"/>
        <v>43115</v>
      </c>
      <c r="E107" s="191"/>
      <c r="F107" s="191">
        <v>1</v>
      </c>
      <c r="G107" s="192">
        <v>7</v>
      </c>
      <c r="H107" s="191"/>
      <c r="I107" s="250">
        <f>IF(COUNTBLANK(E107:H107)=4,"",SUM(E107:G107)+IF(Setup!$I$15="No",0,H107))</f>
        <v>8</v>
      </c>
      <c r="J107" s="191"/>
      <c r="K107" s="191">
        <v>1</v>
      </c>
      <c r="L107" s="191">
        <v>6</v>
      </c>
      <c r="M107" s="191"/>
      <c r="N107" s="254">
        <f>IF(COUNTBLANK(J107:M107)=4,"",SUM(J107:L107)+IF(Setup!$I$15="No",0,M107))</f>
        <v>7</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f ca="1">IF('Demand background (hide)'!A98=Num_Modalities,"",SUM(Demand!I107, Demand!N107))</f>
        <v>15</v>
      </c>
      <c r="BD107" s="258">
        <f ca="1">IF(AND(A107&lt;=MaxRows,BE107&lt;&gt;"Yes"),'Demand background (hide)'!X98+IF(Setup!$I$15="Yes",'Demand background (hide)'!AJ98,0),"")</f>
        <v>520</v>
      </c>
      <c r="BE107" s="208"/>
    </row>
    <row r="108" spans="1:57" ht="15" x14ac:dyDescent="0.25">
      <c r="A108">
        <f t="shared" ca="1" si="4"/>
        <v>96</v>
      </c>
      <c r="B108" s="263" t="str">
        <f t="shared" ca="1" si="5"/>
        <v xml:space="preserve"> </v>
      </c>
      <c r="C108" s="264">
        <f t="shared" ca="1" si="6"/>
        <v>4</v>
      </c>
      <c r="D108" s="384">
        <f t="shared" ca="1" si="7"/>
        <v>43122</v>
      </c>
      <c r="E108" s="191"/>
      <c r="F108" s="191">
        <v>0</v>
      </c>
      <c r="G108" s="192">
        <v>5</v>
      </c>
      <c r="H108" s="191"/>
      <c r="I108" s="250">
        <f>IF(COUNTBLANK(E108:H108)=4,"",SUM(E108:G108)+IF(Setup!$I$15="No",0,H108))</f>
        <v>5</v>
      </c>
      <c r="J108" s="191"/>
      <c r="K108" s="191">
        <v>1</v>
      </c>
      <c r="L108" s="191">
        <v>11</v>
      </c>
      <c r="M108" s="191"/>
      <c r="N108" s="254">
        <f>IF(COUNTBLANK(J108:M108)=4,"",SUM(J108:L108)+IF(Setup!$I$15="No",0,M108))</f>
        <v>12</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f ca="1">IF('Demand background (hide)'!A99=Num_Modalities,"",SUM(Demand!I108, Demand!N108))</f>
        <v>17</v>
      </c>
      <c r="BD108" s="258">
        <f ca="1">IF(AND(A108&lt;=MaxRows,BE108&lt;&gt;"Yes"),'Demand background (hide)'!X99+IF(Setup!$I$15="Yes",'Demand background (hide)'!AJ99,0),"")</f>
        <v>630</v>
      </c>
      <c r="BE108" s="208"/>
    </row>
    <row r="109" spans="1:57" ht="15" x14ac:dyDescent="0.25">
      <c r="A109">
        <f t="shared" ca="1" si="4"/>
        <v>97</v>
      </c>
      <c r="B109" s="263" t="str">
        <f t="shared" ca="1" si="5"/>
        <v xml:space="preserve"> </v>
      </c>
      <c r="C109" s="264">
        <f t="shared" ca="1" si="6"/>
        <v>5</v>
      </c>
      <c r="D109" s="384">
        <f t="shared" ca="1" si="7"/>
        <v>43129</v>
      </c>
      <c r="E109" s="191"/>
      <c r="F109" s="191">
        <v>2</v>
      </c>
      <c r="G109" s="192">
        <v>3</v>
      </c>
      <c r="H109" s="191"/>
      <c r="I109" s="250">
        <f>IF(COUNTBLANK(E109:H109)=4,"",SUM(E109:G109)+IF(Setup!$I$15="No",0,H109))</f>
        <v>5</v>
      </c>
      <c r="J109" s="191"/>
      <c r="K109" s="191">
        <v>1</v>
      </c>
      <c r="L109" s="191">
        <v>9</v>
      </c>
      <c r="M109" s="191"/>
      <c r="N109" s="254">
        <f>IF(COUNTBLANK(J109:M109)=4,"",SUM(J109:L109)+IF(Setup!$I$15="No",0,M109))</f>
        <v>10</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f ca="1">IF('Demand background (hide)'!A100=Num_Modalities,"",SUM(Demand!I109, Demand!N109))</f>
        <v>15</v>
      </c>
      <c r="BD109" s="258">
        <f ca="1">IF(AND(A109&lt;=MaxRows,BE109&lt;&gt;"Yes"),'Demand background (hide)'!X100+IF(Setup!$I$15="Yes",'Demand background (hide)'!AJ100,0),"")</f>
        <v>550</v>
      </c>
      <c r="BE109" s="208"/>
    </row>
    <row r="110" spans="1:57" ht="15" x14ac:dyDescent="0.25">
      <c r="A110">
        <f t="shared" ca="1" si="4"/>
        <v>98</v>
      </c>
      <c r="B110" s="263" t="str">
        <f t="shared" ca="1" si="5"/>
        <v xml:space="preserve"> </v>
      </c>
      <c r="C110" s="264">
        <f t="shared" ca="1" si="6"/>
        <v>6</v>
      </c>
      <c r="D110" s="384">
        <f t="shared" ca="1" si="7"/>
        <v>43136</v>
      </c>
      <c r="E110" s="191"/>
      <c r="F110" s="191">
        <v>1</v>
      </c>
      <c r="G110" s="192">
        <v>4</v>
      </c>
      <c r="H110" s="191"/>
      <c r="I110" s="250">
        <f>IF(COUNTBLANK(E110:H110)=4,"",SUM(E110:G110)+IF(Setup!$I$15="No",0,H110))</f>
        <v>5</v>
      </c>
      <c r="J110" s="191"/>
      <c r="K110" s="191">
        <v>1</v>
      </c>
      <c r="L110" s="191">
        <v>4</v>
      </c>
      <c r="M110" s="191"/>
      <c r="N110" s="254">
        <f>IF(COUNTBLANK(J110:M110)=4,"",SUM(J110:L110)+IF(Setup!$I$15="No",0,M110))</f>
        <v>5</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f ca="1">IF('Demand background (hide)'!A101=Num_Modalities,"",SUM(Demand!I110, Demand!N110))</f>
        <v>10</v>
      </c>
      <c r="BD110" s="258">
        <f ca="1">IF(AND(A110&lt;=MaxRows,BE110&lt;&gt;"Yes"),'Demand background (hide)'!X101+IF(Setup!$I$15="Yes",'Demand background (hide)'!AJ101,0),"")</f>
        <v>350</v>
      </c>
      <c r="BE110" s="208"/>
    </row>
    <row r="111" spans="1:57" ht="15" x14ac:dyDescent="0.25">
      <c r="A111">
        <f t="shared" ca="1" si="4"/>
        <v>99</v>
      </c>
      <c r="B111" s="263" t="str">
        <f t="shared" ca="1" si="5"/>
        <v xml:space="preserve"> </v>
      </c>
      <c r="C111" s="264">
        <f t="shared" ca="1" si="6"/>
        <v>7</v>
      </c>
      <c r="D111" s="384">
        <f t="shared" ca="1" si="7"/>
        <v>43143</v>
      </c>
      <c r="E111" s="191"/>
      <c r="F111" s="191">
        <v>0</v>
      </c>
      <c r="G111" s="192">
        <v>3</v>
      </c>
      <c r="H111" s="191"/>
      <c r="I111" s="250">
        <f>IF(COUNTBLANK(E111:H111)=4,"",SUM(E111:G111)+IF(Setup!$I$15="No",0,H111))</f>
        <v>3</v>
      </c>
      <c r="J111" s="191"/>
      <c r="K111" s="191">
        <v>4</v>
      </c>
      <c r="L111" s="191">
        <v>4</v>
      </c>
      <c r="M111" s="191"/>
      <c r="N111" s="254">
        <f>IF(COUNTBLANK(J111:M111)=4,"",SUM(J111:L111)+IF(Setup!$I$15="No",0,M111))</f>
        <v>8</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f ca="1">IF('Demand background (hide)'!A102=Num_Modalities,"",SUM(Demand!I111, Demand!N111))</f>
        <v>11</v>
      </c>
      <c r="BD111" s="258">
        <f ca="1">IF(AND(A111&lt;=MaxRows,BE111&lt;&gt;"Yes"),'Demand background (hide)'!X102+IF(Setup!$I$15="Yes",'Demand background (hide)'!AJ102,0),"")</f>
        <v>410</v>
      </c>
      <c r="BE111" s="208"/>
    </row>
    <row r="112" spans="1:57" ht="15" x14ac:dyDescent="0.25">
      <c r="A112">
        <f t="shared" ca="1" si="4"/>
        <v>100</v>
      </c>
      <c r="B112" s="263" t="str">
        <f t="shared" ca="1" si="5"/>
        <v xml:space="preserve"> </v>
      </c>
      <c r="C112" s="264">
        <f t="shared" ca="1" si="6"/>
        <v>8</v>
      </c>
      <c r="D112" s="384">
        <f t="shared" ca="1" si="7"/>
        <v>43150</v>
      </c>
      <c r="E112" s="191"/>
      <c r="F112" s="191">
        <v>0</v>
      </c>
      <c r="G112" s="192">
        <v>3</v>
      </c>
      <c r="H112" s="191"/>
      <c r="I112" s="250">
        <f>IF(COUNTBLANK(E112:H112)=4,"",SUM(E112:G112)+IF(Setup!$I$15="No",0,H112))</f>
        <v>3</v>
      </c>
      <c r="J112" s="191"/>
      <c r="K112" s="191">
        <v>2</v>
      </c>
      <c r="L112" s="191">
        <v>7</v>
      </c>
      <c r="M112" s="191"/>
      <c r="N112" s="254">
        <f>IF(COUNTBLANK(J112:M112)=4,"",SUM(J112:L112)+IF(Setup!$I$15="No",0,M112))</f>
        <v>9</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f ca="1">IF('Demand background (hide)'!A103=Num_Modalities,"",SUM(Demand!I112, Demand!N112))</f>
        <v>12</v>
      </c>
      <c r="BD112" s="258">
        <f ca="1">IF(AND(A112&lt;=MaxRows,BE112&lt;&gt;"Yes"),'Demand background (hide)'!X103+IF(Setup!$I$15="Yes",'Demand background (hide)'!AJ103,0),"")</f>
        <v>450</v>
      </c>
      <c r="BE112" s="208"/>
    </row>
    <row r="113" spans="1:59" ht="15" x14ac:dyDescent="0.25">
      <c r="A113">
        <f t="shared" ca="1" si="4"/>
        <v>101</v>
      </c>
      <c r="B113" s="263" t="str">
        <f t="shared" ca="1" si="5"/>
        <v xml:space="preserve"> </v>
      </c>
      <c r="C113" s="264">
        <f t="shared" ca="1" si="6"/>
        <v>9</v>
      </c>
      <c r="D113" s="384">
        <f t="shared" ca="1" si="7"/>
        <v>43157</v>
      </c>
      <c r="E113" s="191"/>
      <c r="F113" s="191">
        <v>1</v>
      </c>
      <c r="G113" s="192">
        <v>0</v>
      </c>
      <c r="H113" s="191"/>
      <c r="I113" s="250">
        <f>IF(COUNTBLANK(E113:H113)=4,"",SUM(E113:G113)+IF(Setup!$I$15="No",0,H113))</f>
        <v>1</v>
      </c>
      <c r="J113" s="191"/>
      <c r="K113" s="191">
        <v>1</v>
      </c>
      <c r="L113" s="191">
        <v>5</v>
      </c>
      <c r="M113" s="191"/>
      <c r="N113" s="254">
        <f>IF(COUNTBLANK(J113:M113)=4,"",SUM(J113:L113)+IF(Setup!$I$15="No",0,M113))</f>
        <v>6</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f ca="1">IF('Demand background (hide)'!A104=Num_Modalities,"",SUM(Demand!I113, Demand!N113))</f>
        <v>7</v>
      </c>
      <c r="BD113" s="258">
        <f ca="1">IF(AND(A113&lt;=MaxRows,BE113&lt;&gt;"Yes"),'Demand background (hide)'!X104+IF(Setup!$I$15="Yes",'Demand background (hide)'!AJ104,0),"")</f>
        <v>270</v>
      </c>
      <c r="BE113" s="208"/>
    </row>
    <row r="114" spans="1:59" ht="15" x14ac:dyDescent="0.25">
      <c r="A114">
        <f t="shared" ca="1" si="4"/>
        <v>102</v>
      </c>
      <c r="B114" s="263" t="str">
        <f t="shared" ca="1" si="5"/>
        <v xml:space="preserve"> </v>
      </c>
      <c r="C114" s="264">
        <f t="shared" ca="1" si="6"/>
        <v>10</v>
      </c>
      <c r="D114" s="384">
        <f t="shared" ca="1" si="7"/>
        <v>43164</v>
      </c>
      <c r="E114" s="191"/>
      <c r="F114" s="191">
        <v>1</v>
      </c>
      <c r="G114" s="192">
        <v>1</v>
      </c>
      <c r="H114" s="191"/>
      <c r="I114" s="250">
        <f>IF(COUNTBLANK(E114:H114)=4,"",SUM(E114:G114)+IF(Setup!$I$15="No",0,H114))</f>
        <v>2</v>
      </c>
      <c r="J114" s="191"/>
      <c r="K114" s="191">
        <v>2</v>
      </c>
      <c r="L114" s="191">
        <v>16</v>
      </c>
      <c r="M114" s="191"/>
      <c r="N114" s="254">
        <f>IF(COUNTBLANK(J114:M114)=4,"",SUM(J114:L114)+IF(Setup!$I$15="No",0,M114))</f>
        <v>18</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f ca="1">IF('Demand background (hide)'!A105=Num_Modalities,"",SUM(Demand!I114, Demand!N114))</f>
        <v>20</v>
      </c>
      <c r="BD114" s="258">
        <f ca="1">IF(AND(A114&lt;=MaxRows,BE114&lt;&gt;"Yes"),'Demand background (hide)'!X105+IF(Setup!$I$15="Yes",'Demand background (hide)'!AJ105,0),"")</f>
        <v>780</v>
      </c>
      <c r="BE114" s="208"/>
    </row>
    <row r="115" spans="1:59" ht="15" x14ac:dyDescent="0.25">
      <c r="A115">
        <f t="shared" ca="1" si="4"/>
        <v>103</v>
      </c>
      <c r="B115" s="263" t="str">
        <f t="shared" ca="1" si="5"/>
        <v xml:space="preserve"> </v>
      </c>
      <c r="C115" s="264">
        <f t="shared" ca="1" si="6"/>
        <v>11</v>
      </c>
      <c r="D115" s="384">
        <f t="shared" ca="1" si="7"/>
        <v>43171</v>
      </c>
      <c r="E115" s="191"/>
      <c r="F115" s="191">
        <v>0</v>
      </c>
      <c r="G115" s="192">
        <v>10</v>
      </c>
      <c r="H115" s="191"/>
      <c r="I115" s="250">
        <f>IF(COUNTBLANK(E115:H115)=4,"",SUM(E115:G115)+IF(Setup!$I$15="No",0,H115))</f>
        <v>10</v>
      </c>
      <c r="J115" s="191"/>
      <c r="K115" s="191">
        <v>5</v>
      </c>
      <c r="L115" s="191">
        <v>6</v>
      </c>
      <c r="M115" s="191"/>
      <c r="N115" s="254">
        <f>IF(COUNTBLANK(J115:M115)=4,"",SUM(J115:L115)+IF(Setup!$I$15="No",0,M115))</f>
        <v>11</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f ca="1">IF('Demand background (hide)'!A106=Num_Modalities,"",SUM(Demand!I115, Demand!N115))</f>
        <v>21</v>
      </c>
      <c r="BD115" s="258">
        <f ca="1">IF(AND(A115&lt;=MaxRows,BE115&lt;&gt;"Yes"),'Demand background (hide)'!X106+IF(Setup!$I$15="Yes",'Demand background (hide)'!AJ106,0),"")</f>
        <v>740</v>
      </c>
      <c r="BE115" s="208"/>
    </row>
    <row r="116" spans="1:59" ht="15" x14ac:dyDescent="0.25">
      <c r="A116">
        <f t="shared" ca="1" si="4"/>
        <v>104</v>
      </c>
      <c r="B116" s="263" t="str">
        <f t="shared" ca="1" si="5"/>
        <v xml:space="preserve"> </v>
      </c>
      <c r="C116" s="264">
        <f t="shared" ca="1" si="6"/>
        <v>12</v>
      </c>
      <c r="D116" s="384">
        <f t="shared" ca="1" si="7"/>
        <v>43178</v>
      </c>
      <c r="E116" s="191"/>
      <c r="F116" s="191">
        <v>1</v>
      </c>
      <c r="G116" s="192">
        <v>4</v>
      </c>
      <c r="H116" s="191"/>
      <c r="I116" s="250">
        <f>IF(COUNTBLANK(E116:H116)=4,"",SUM(E116:G116)+IF(Setup!$I$15="No",0,H116))</f>
        <v>5</v>
      </c>
      <c r="J116" s="191"/>
      <c r="K116" s="191">
        <v>3</v>
      </c>
      <c r="L116" s="191">
        <v>6</v>
      </c>
      <c r="M116" s="191"/>
      <c r="N116" s="254">
        <f>IF(COUNTBLANK(J116:M116)=4,"",SUM(J116:L116)+IF(Setup!$I$15="No",0,M116))</f>
        <v>9</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f ca="1">IF('Demand background (hide)'!A107=Num_Modalities,"",SUM(Demand!I116, Demand!N116))</f>
        <v>14</v>
      </c>
      <c r="BD116" s="258">
        <f ca="1">IF(AND(A116&lt;=MaxRows,BE116&lt;&gt;"Yes"),'Demand background (hide)'!X107+IF(Setup!$I$15="Yes",'Demand background (hide)'!AJ107,0),"")</f>
        <v>510</v>
      </c>
      <c r="BE116" s="208"/>
    </row>
    <row r="117" spans="1:59" ht="15" x14ac:dyDescent="0.25">
      <c r="A117">
        <f t="shared" ca="1" si="4"/>
        <v>105</v>
      </c>
      <c r="B117" s="263" t="str">
        <f t="shared" ca="1" si="5"/>
        <v xml:space="preserve"> </v>
      </c>
      <c r="C117" s="264">
        <f t="shared" ca="1" si="6"/>
        <v>13</v>
      </c>
      <c r="D117" s="384">
        <f t="shared" ca="1" si="7"/>
        <v>43185</v>
      </c>
      <c r="E117" s="191"/>
      <c r="F117" s="191">
        <v>1</v>
      </c>
      <c r="G117" s="191">
        <v>4</v>
      </c>
      <c r="H117" s="191"/>
      <c r="I117" s="250">
        <f>IF(COUNTBLANK(E117:H117)=4,"",SUM(E117:G117)+IF(Setup!$I$15="No",0,H117))</f>
        <v>5</v>
      </c>
      <c r="J117" s="191"/>
      <c r="K117" s="191">
        <v>1</v>
      </c>
      <c r="L117" s="191">
        <v>5</v>
      </c>
      <c r="M117" s="191"/>
      <c r="N117" s="254">
        <f>IF(COUNTBLANK(J117:M117)=4,"",SUM(J117:L117)+IF(Setup!$I$15="No",0,M117))</f>
        <v>6</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f ca="1">IF('Demand background (hide)'!A108=Num_Modalities,"",SUM(Demand!I117, Demand!N117))</f>
        <v>11</v>
      </c>
      <c r="BD117" s="258">
        <f ca="1">IF(AND(A117&lt;=MaxRows,BE117&lt;&gt;"Yes"),'Demand background (hide)'!X108+IF(Setup!$I$15="Yes",'Demand background (hide)'!AJ108,0),"")</f>
        <v>390</v>
      </c>
      <c r="BE117" s="208"/>
      <c r="BG117" s="50"/>
    </row>
    <row r="118" spans="1:59" ht="15" x14ac:dyDescent="0.25">
      <c r="A118">
        <f t="shared" ca="1" si="4"/>
        <v>106</v>
      </c>
      <c r="B118" s="263" t="str">
        <f t="shared" ca="1" si="5"/>
        <v xml:space="preserve"> </v>
      </c>
      <c r="C118" s="264">
        <f t="shared" ca="1" si="6"/>
        <v>14</v>
      </c>
      <c r="D118" s="384">
        <f t="shared" ca="1" si="7"/>
        <v>43192</v>
      </c>
      <c r="E118" s="191"/>
      <c r="F118" s="191">
        <v>0</v>
      </c>
      <c r="G118" s="191">
        <v>1</v>
      </c>
      <c r="H118" s="191"/>
      <c r="I118" s="250">
        <f>IF(COUNTBLANK(E118:H118)=4,"",SUM(E118:G118)+IF(Setup!$I$15="No",0,H118))</f>
        <v>1</v>
      </c>
      <c r="J118" s="191"/>
      <c r="K118" s="191">
        <v>2</v>
      </c>
      <c r="L118" s="191">
        <v>4</v>
      </c>
      <c r="M118" s="191"/>
      <c r="N118" s="254">
        <f>IF(COUNTBLANK(J118:M118)=4,"",SUM(J118:L118)+IF(Setup!$I$15="No",0,M118))</f>
        <v>6</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f ca="1">IF('Demand background (hide)'!A109=Num_Modalities,"",SUM(Demand!I118, Demand!N118))</f>
        <v>7</v>
      </c>
      <c r="BD118" s="258">
        <f ca="1">IF(AND(A118&lt;=MaxRows,BE118&lt;&gt;"Yes"),'Demand background (hide)'!X109+IF(Setup!$I$15="Yes",'Demand background (hide)'!AJ109,0),"")</f>
        <v>270</v>
      </c>
      <c r="BE118" s="208"/>
    </row>
    <row r="119" spans="1:59" ht="15" x14ac:dyDescent="0.25">
      <c r="A119">
        <f t="shared" ca="1" si="4"/>
        <v>107</v>
      </c>
      <c r="B119" s="263" t="str">
        <f t="shared" ca="1" si="5"/>
        <v xml:space="preserve"> </v>
      </c>
      <c r="C119" s="264">
        <f t="shared" ca="1" si="6"/>
        <v>15</v>
      </c>
      <c r="D119" s="384">
        <f t="shared" ca="1" si="7"/>
        <v>43199</v>
      </c>
      <c r="E119" s="191"/>
      <c r="F119" s="191">
        <v>3</v>
      </c>
      <c r="G119" s="191">
        <v>4</v>
      </c>
      <c r="H119" s="191"/>
      <c r="I119" s="250">
        <f>IF(COUNTBLANK(E119:H119)=4,"",SUM(E119:G119)+IF(Setup!$I$15="No",0,H119))</f>
        <v>7</v>
      </c>
      <c r="J119" s="191"/>
      <c r="K119" s="191">
        <v>2</v>
      </c>
      <c r="L119" s="191">
        <v>7</v>
      </c>
      <c r="M119" s="191"/>
      <c r="N119" s="254">
        <f>IF(COUNTBLANK(J119:M119)=4,"",SUM(J119:L119)+IF(Setup!$I$15="No",0,M119))</f>
        <v>9</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f ca="1">IF('Demand background (hide)'!A110=Num_Modalities,"",SUM(Demand!I119, Demand!N119))</f>
        <v>16</v>
      </c>
      <c r="BD119" s="258">
        <f ca="1">IF(AND(A119&lt;=MaxRows,BE119&lt;&gt;"Yes"),'Demand background (hide)'!X110+IF(Setup!$I$15="Yes",'Demand background (hide)'!AJ110,0),"")</f>
        <v>570</v>
      </c>
      <c r="BE119" s="208"/>
    </row>
    <row r="120" spans="1:59" ht="15" x14ac:dyDescent="0.25">
      <c r="A120">
        <f t="shared" ca="1" si="4"/>
        <v>108</v>
      </c>
      <c r="B120" s="263" t="str">
        <f t="shared" ca="1" si="5"/>
        <v xml:space="preserve"> </v>
      </c>
      <c r="C120" s="264">
        <f t="shared" ca="1" si="6"/>
        <v>16</v>
      </c>
      <c r="D120" s="384">
        <f t="shared" ca="1" si="7"/>
        <v>43206</v>
      </c>
      <c r="E120" s="191"/>
      <c r="F120" s="191">
        <v>0</v>
      </c>
      <c r="G120" s="191">
        <v>3</v>
      </c>
      <c r="H120" s="191"/>
      <c r="I120" s="250">
        <f>IF(COUNTBLANK(E120:H120)=4,"",SUM(E120:G120)+IF(Setup!$I$15="No",0,H120))</f>
        <v>3</v>
      </c>
      <c r="J120" s="191"/>
      <c r="K120" s="191">
        <v>4</v>
      </c>
      <c r="L120" s="191">
        <v>11</v>
      </c>
      <c r="M120" s="191"/>
      <c r="N120" s="254">
        <f>IF(COUNTBLANK(J120:M120)=4,"",SUM(J120:L120)+IF(Setup!$I$15="No",0,M120))</f>
        <v>15</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f ca="1">IF('Demand background (hide)'!A111=Num_Modalities,"",SUM(Demand!I120, Demand!N120))</f>
        <v>18</v>
      </c>
      <c r="BD120" s="258">
        <f ca="1">IF(AND(A120&lt;=MaxRows,BE120&lt;&gt;"Yes"),'Demand background (hide)'!X111+IF(Setup!$I$15="Yes",'Demand background (hide)'!AJ111,0),"")</f>
        <v>690</v>
      </c>
      <c r="BE120" s="208"/>
    </row>
    <row r="121" spans="1:59" ht="15" x14ac:dyDescent="0.25">
      <c r="A121">
        <f t="shared" ca="1" si="4"/>
        <v>109</v>
      </c>
      <c r="B121" s="263" t="str">
        <f t="shared" ca="1" si="5"/>
        <v xml:space="preserve"> </v>
      </c>
      <c r="C121" s="264">
        <f t="shared" ca="1" si="6"/>
        <v>17</v>
      </c>
      <c r="D121" s="384">
        <f t="shared" ca="1" si="7"/>
        <v>43213</v>
      </c>
      <c r="E121" s="191"/>
      <c r="F121" s="191">
        <v>3</v>
      </c>
      <c r="G121" s="191">
        <v>4</v>
      </c>
      <c r="H121" s="191"/>
      <c r="I121" s="250">
        <f>IF(COUNTBLANK(E121:H121)=4,"",SUM(E121:G121)+IF(Setup!$I$15="No",0,H121))</f>
        <v>7</v>
      </c>
      <c r="J121" s="191"/>
      <c r="K121" s="191">
        <v>0</v>
      </c>
      <c r="L121" s="191">
        <v>5</v>
      </c>
      <c r="M121" s="191"/>
      <c r="N121" s="254">
        <f>IF(COUNTBLANK(J121:M121)=4,"",SUM(J121:L121)+IF(Setup!$I$15="No",0,M121))</f>
        <v>5</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f ca="1">IF('Demand background (hide)'!A112=Num_Modalities,"",SUM(Demand!I121, Demand!N121))</f>
        <v>12</v>
      </c>
      <c r="BD121" s="258">
        <f ca="1">IF(AND(A121&lt;=MaxRows,BE121&lt;&gt;"Yes"),'Demand background (hide)'!X112+IF(Setup!$I$15="Yes",'Demand background (hide)'!AJ112,0),"")</f>
        <v>410</v>
      </c>
      <c r="BE121" s="208"/>
    </row>
    <row r="122" spans="1:59" ht="15" x14ac:dyDescent="0.25">
      <c r="A122">
        <f t="shared" ca="1" si="4"/>
        <v>110</v>
      </c>
      <c r="B122" s="263" t="str">
        <f t="shared" ca="1" si="5"/>
        <v xml:space="preserve"> </v>
      </c>
      <c r="C122" s="264">
        <f t="shared" ca="1" si="6"/>
        <v>18</v>
      </c>
      <c r="D122" s="384">
        <f t="shared" ca="1" si="7"/>
        <v>43220</v>
      </c>
      <c r="E122" s="191"/>
      <c r="F122" s="191">
        <v>2</v>
      </c>
      <c r="G122" s="191">
        <v>2</v>
      </c>
      <c r="H122" s="191"/>
      <c r="I122" s="250">
        <f>IF(COUNTBLANK(E122:H122)=4,"",SUM(E122:G122)+IF(Setup!$I$15="No",0,H122))</f>
        <v>4</v>
      </c>
      <c r="J122" s="191"/>
      <c r="K122" s="191">
        <v>1</v>
      </c>
      <c r="L122" s="191">
        <v>6</v>
      </c>
      <c r="M122" s="191"/>
      <c r="N122" s="254">
        <f>IF(COUNTBLANK(J122:M122)=4,"",SUM(J122:L122)+IF(Setup!$I$15="No",0,M122))</f>
        <v>7</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f ca="1">IF('Demand background (hide)'!A113=Num_Modalities,"",SUM(Demand!I122, Demand!N122))</f>
        <v>11</v>
      </c>
      <c r="BD122" s="258">
        <f ca="1">IF(AND(A122&lt;=MaxRows,BE122&lt;&gt;"Yes"),'Demand background (hide)'!X113+IF(Setup!$I$15="Yes",'Demand background (hide)'!AJ113,0),"")</f>
        <v>400</v>
      </c>
      <c r="BE122" s="208"/>
    </row>
    <row r="123" spans="1:59" ht="15" x14ac:dyDescent="0.25">
      <c r="A123">
        <f t="shared" ca="1" si="4"/>
        <v>111</v>
      </c>
      <c r="B123" s="263" t="str">
        <f t="shared" ca="1" si="5"/>
        <v xml:space="preserve"> </v>
      </c>
      <c r="C123" s="264">
        <f t="shared" ca="1" si="6"/>
        <v>19</v>
      </c>
      <c r="D123" s="384">
        <f t="shared" ca="1" si="7"/>
        <v>43227</v>
      </c>
      <c r="E123" s="191"/>
      <c r="F123" s="191">
        <v>0</v>
      </c>
      <c r="G123" s="191">
        <v>3</v>
      </c>
      <c r="H123" s="191"/>
      <c r="I123" s="250">
        <f>IF(COUNTBLANK(E123:H123)=4,"",SUM(E123:G123)+IF(Setup!$I$15="No",0,H123))</f>
        <v>3</v>
      </c>
      <c r="J123" s="191"/>
      <c r="K123" s="191">
        <v>7</v>
      </c>
      <c r="L123" s="191">
        <v>7</v>
      </c>
      <c r="M123" s="191"/>
      <c r="N123" s="254">
        <f>IF(COUNTBLANK(J123:M123)=4,"",SUM(J123:L123)+IF(Setup!$I$15="No",0,M123))</f>
        <v>14</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f ca="1">IF('Demand background (hide)'!A114=Num_Modalities,"",SUM(Demand!I123, Demand!N123))</f>
        <v>17</v>
      </c>
      <c r="BD123" s="258">
        <f ca="1">IF(AND(A123&lt;=MaxRows,BE123&lt;&gt;"Yes"),'Demand background (hide)'!X114+IF(Setup!$I$15="Yes",'Demand background (hide)'!AJ114,0),"")</f>
        <v>650</v>
      </c>
      <c r="BE123" s="208"/>
    </row>
    <row r="124" spans="1:59" ht="15" x14ac:dyDescent="0.25">
      <c r="A124">
        <f t="shared" ca="1" si="4"/>
        <v>112</v>
      </c>
      <c r="B124" s="263" t="str">
        <f t="shared" ca="1" si="5"/>
        <v xml:space="preserve"> </v>
      </c>
      <c r="C124" s="264">
        <f t="shared" ca="1" si="6"/>
        <v>20</v>
      </c>
      <c r="D124" s="384">
        <f t="shared" ca="1" si="7"/>
        <v>43234</v>
      </c>
      <c r="E124" s="191"/>
      <c r="F124" s="191">
        <v>1</v>
      </c>
      <c r="G124" s="191">
        <v>4</v>
      </c>
      <c r="H124" s="191"/>
      <c r="I124" s="250">
        <f>IF(COUNTBLANK(E124:H124)=4,"",SUM(E124:G124)+IF(Setup!$I$15="No",0,H124))</f>
        <v>5</v>
      </c>
      <c r="J124" s="191"/>
      <c r="K124" s="191">
        <v>1</v>
      </c>
      <c r="L124" s="191">
        <v>7</v>
      </c>
      <c r="M124" s="191"/>
      <c r="N124" s="254">
        <f>IF(COUNTBLANK(J124:M124)=4,"",SUM(J124:L124)+IF(Setup!$I$15="No",0,M124))</f>
        <v>8</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f ca="1">IF('Demand background (hide)'!A115=Num_Modalities,"",SUM(Demand!I124, Demand!N124))</f>
        <v>13</v>
      </c>
      <c r="BD124" s="258">
        <f ca="1">IF(AND(A124&lt;=MaxRows,BE124&lt;&gt;"Yes"),'Demand background (hide)'!X115+IF(Setup!$I$15="Yes",'Demand background (hide)'!AJ115,0),"")</f>
        <v>470</v>
      </c>
      <c r="BE124" s="208"/>
    </row>
    <row r="125" spans="1:59" ht="15" x14ac:dyDescent="0.25">
      <c r="A125">
        <f t="shared" ca="1" si="4"/>
        <v>113</v>
      </c>
      <c r="B125" s="263" t="str">
        <f t="shared" ca="1" si="5"/>
        <v xml:space="preserve"> </v>
      </c>
      <c r="C125" s="264">
        <f t="shared" ca="1" si="6"/>
        <v>21</v>
      </c>
      <c r="D125" s="384">
        <f t="shared" ca="1" si="7"/>
        <v>43241</v>
      </c>
      <c r="E125" s="191"/>
      <c r="F125" s="191">
        <v>0</v>
      </c>
      <c r="G125" s="191">
        <v>3</v>
      </c>
      <c r="H125" s="191"/>
      <c r="I125" s="250">
        <f>IF(COUNTBLANK(E125:H125)=4,"",SUM(E125:G125)+IF(Setup!$I$15="No",0,H125))</f>
        <v>3</v>
      </c>
      <c r="J125" s="191"/>
      <c r="K125" s="191">
        <v>2</v>
      </c>
      <c r="L125" s="191">
        <v>6</v>
      </c>
      <c r="M125" s="191"/>
      <c r="N125" s="254">
        <f>IF(COUNTBLANK(J125:M125)=4,"",SUM(J125:L125)+IF(Setup!$I$15="No",0,M125))</f>
        <v>8</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f ca="1">IF('Demand background (hide)'!A116=Num_Modalities,"",SUM(Demand!I125, Demand!N125))</f>
        <v>11</v>
      </c>
      <c r="BD125" s="258">
        <f ca="1">IF(AND(A125&lt;=MaxRows,BE125&lt;&gt;"Yes"),'Demand background (hide)'!X116+IF(Setup!$I$15="Yes",'Demand background (hide)'!AJ116,0),"")</f>
        <v>410</v>
      </c>
      <c r="BE125" s="208"/>
    </row>
    <row r="126" spans="1:59" ht="15" x14ac:dyDescent="0.25">
      <c r="A126">
        <f t="shared" ca="1" si="4"/>
        <v>114</v>
      </c>
      <c r="B126" s="263" t="str">
        <f t="shared" ca="1" si="5"/>
        <v xml:space="preserve"> </v>
      </c>
      <c r="C126" s="264">
        <f t="shared" ca="1" si="6"/>
        <v>22</v>
      </c>
      <c r="D126" s="384">
        <f t="shared" ca="1" si="7"/>
        <v>43248</v>
      </c>
      <c r="E126" s="191"/>
      <c r="F126" s="191">
        <v>0</v>
      </c>
      <c r="G126" s="191">
        <v>3</v>
      </c>
      <c r="H126" s="191"/>
      <c r="I126" s="250">
        <f>IF(COUNTBLANK(E126:H126)=4,"",SUM(E126:G126)+IF(Setup!$I$15="No",0,H126))</f>
        <v>3</v>
      </c>
      <c r="J126" s="191"/>
      <c r="K126" s="191">
        <v>1</v>
      </c>
      <c r="L126" s="191">
        <v>6</v>
      </c>
      <c r="M126" s="191"/>
      <c r="N126" s="254">
        <f>IF(COUNTBLANK(J126:M126)=4,"",SUM(J126:L126)+IF(Setup!$I$15="No",0,M126))</f>
        <v>7</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f ca="1">IF('Demand background (hide)'!A117=Num_Modalities,"",SUM(Demand!I126, Demand!N126))</f>
        <v>10</v>
      </c>
      <c r="BD126" s="258">
        <f ca="1">IF(AND(A126&lt;=MaxRows,BE126&lt;&gt;"Yes"),'Demand background (hide)'!X117+IF(Setup!$I$15="Yes",'Demand background (hide)'!AJ117,0),"")</f>
        <v>370</v>
      </c>
      <c r="BE126" s="208"/>
    </row>
    <row r="127" spans="1:59" ht="15" x14ac:dyDescent="0.25">
      <c r="A127">
        <f t="shared" ca="1" si="4"/>
        <v>115</v>
      </c>
      <c r="B127" s="263" t="str">
        <f t="shared" ca="1" si="5"/>
        <v xml:space="preserve"> </v>
      </c>
      <c r="C127" s="264">
        <f t="shared" ca="1" si="6"/>
        <v>23</v>
      </c>
      <c r="D127" s="384">
        <f t="shared" ca="1" si="7"/>
        <v>43255</v>
      </c>
      <c r="E127" s="191"/>
      <c r="F127" s="191">
        <v>1</v>
      </c>
      <c r="G127" s="191">
        <v>4</v>
      </c>
      <c r="H127" s="191"/>
      <c r="I127" s="250">
        <f>IF(COUNTBLANK(E127:H127)=4,"",SUM(E127:G127)+IF(Setup!$I$15="No",0,H127))</f>
        <v>5</v>
      </c>
      <c r="J127" s="191"/>
      <c r="K127" s="191">
        <v>2</v>
      </c>
      <c r="L127" s="191">
        <v>5</v>
      </c>
      <c r="M127" s="191"/>
      <c r="N127" s="254">
        <f>IF(COUNTBLANK(J127:M127)=4,"",SUM(J127:L127)+IF(Setup!$I$15="No",0,M127))</f>
        <v>7</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f ca="1">IF('Demand background (hide)'!A118=Num_Modalities,"",SUM(Demand!I127, Demand!N127))</f>
        <v>12</v>
      </c>
      <c r="BD127" s="258">
        <f ca="1">IF(AND(A127&lt;=MaxRows,BE127&lt;&gt;"Yes"),'Demand background (hide)'!X118+IF(Setup!$I$15="Yes",'Demand background (hide)'!AJ118,0),"")</f>
        <v>430</v>
      </c>
      <c r="BE127" s="208"/>
    </row>
    <row r="128" spans="1:59" ht="15" x14ac:dyDescent="0.25">
      <c r="A128">
        <f t="shared" ca="1" si="4"/>
        <v>116</v>
      </c>
      <c r="B128" s="263" t="str">
        <f t="shared" ca="1" si="5"/>
        <v xml:space="preserve"> </v>
      </c>
      <c r="C128" s="264">
        <f t="shared" ca="1" si="6"/>
        <v>24</v>
      </c>
      <c r="D128" s="384">
        <f t="shared" ca="1" si="7"/>
        <v>43262</v>
      </c>
      <c r="E128" s="191"/>
      <c r="F128" s="191">
        <v>0</v>
      </c>
      <c r="G128" s="191">
        <v>5</v>
      </c>
      <c r="H128" s="191"/>
      <c r="I128" s="250">
        <f>IF(COUNTBLANK(E128:H128)=4,"",SUM(E128:G128)+IF(Setup!$I$15="No",0,H128))</f>
        <v>5</v>
      </c>
      <c r="J128" s="191"/>
      <c r="K128" s="191">
        <v>1</v>
      </c>
      <c r="L128" s="191">
        <v>11</v>
      </c>
      <c r="M128" s="191"/>
      <c r="N128" s="254">
        <f>IF(COUNTBLANK(J128:M128)=4,"",SUM(J128:L128)+IF(Setup!$I$15="No",0,M128))</f>
        <v>12</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f ca="1">IF('Demand background (hide)'!A119=Num_Modalities,"",SUM(Demand!I128, Demand!N128))</f>
        <v>17</v>
      </c>
      <c r="BD128" s="258">
        <f ca="1">IF(AND(A128&lt;=MaxRows,BE128&lt;&gt;"Yes"),'Demand background (hide)'!X119+IF(Setup!$I$15="Yes",'Demand background (hide)'!AJ119,0),"")</f>
        <v>630</v>
      </c>
      <c r="BE128" s="208"/>
    </row>
    <row r="129" spans="1:57" ht="15" x14ac:dyDescent="0.25">
      <c r="A129">
        <f t="shared" ca="1" si="4"/>
        <v>117</v>
      </c>
      <c r="B129" s="263" t="str">
        <f t="shared" ca="1" si="5"/>
        <v xml:space="preserve"> </v>
      </c>
      <c r="C129" s="264">
        <f t="shared" ca="1" si="6"/>
        <v>25</v>
      </c>
      <c r="D129" s="384">
        <f t="shared" ca="1" si="7"/>
        <v>43269</v>
      </c>
      <c r="E129" s="191"/>
      <c r="F129" s="191">
        <v>3</v>
      </c>
      <c r="G129" s="191">
        <v>3</v>
      </c>
      <c r="H129" s="191"/>
      <c r="I129" s="250">
        <f>IF(COUNTBLANK(E129:H129)=4,"",SUM(E129:G129)+IF(Setup!$I$15="No",0,H129))</f>
        <v>6</v>
      </c>
      <c r="J129" s="191"/>
      <c r="K129" s="191">
        <v>0</v>
      </c>
      <c r="L129" s="191">
        <v>9</v>
      </c>
      <c r="M129" s="191"/>
      <c r="N129" s="254">
        <f>IF(COUNTBLANK(J129:M129)=4,"",SUM(J129:L129)+IF(Setup!$I$15="No",0,M129))</f>
        <v>9</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f ca="1">IF('Demand background (hide)'!A120=Num_Modalities,"",SUM(Demand!I129, Demand!N129))</f>
        <v>15</v>
      </c>
      <c r="BD129" s="258">
        <f ca="1">IF(AND(A129&lt;=MaxRows,BE129&lt;&gt;"Yes"),'Demand background (hide)'!X120+IF(Setup!$I$15="Yes",'Demand background (hide)'!AJ120,0),"")</f>
        <v>540</v>
      </c>
      <c r="BE129" s="208"/>
    </row>
    <row r="130" spans="1:57" ht="15" x14ac:dyDescent="0.25">
      <c r="A130">
        <f t="shared" ca="1" si="4"/>
        <v>118</v>
      </c>
      <c r="B130" s="263" t="str">
        <f t="shared" ca="1" si="5"/>
        <v xml:space="preserve"> </v>
      </c>
      <c r="C130" s="264">
        <f t="shared" ca="1" si="6"/>
        <v>26</v>
      </c>
      <c r="D130" s="384">
        <f t="shared" ca="1" si="7"/>
        <v>43276</v>
      </c>
      <c r="E130" s="191"/>
      <c r="F130" s="191">
        <v>0</v>
      </c>
      <c r="G130" s="191">
        <v>3</v>
      </c>
      <c r="H130" s="191"/>
      <c r="I130" s="250">
        <f>IF(COUNTBLANK(E130:H130)=4,"",SUM(E130:G130)+IF(Setup!$I$15="No",0,H130))</f>
        <v>3</v>
      </c>
      <c r="J130" s="191"/>
      <c r="K130" s="191">
        <v>2</v>
      </c>
      <c r="L130" s="191">
        <v>6</v>
      </c>
      <c r="M130" s="191"/>
      <c r="N130" s="254">
        <f>IF(COUNTBLANK(J130:M130)=4,"",SUM(J130:L130)+IF(Setup!$I$15="No",0,M130))</f>
        <v>8</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f ca="1">IF('Demand background (hide)'!A121=Num_Modalities,"",SUM(Demand!I130, Demand!N130))</f>
        <v>11</v>
      </c>
      <c r="BD130" s="258">
        <f ca="1">IF(AND(A130&lt;=MaxRows,BE130&lt;&gt;"Yes"),'Demand background (hide)'!X121+IF(Setup!$I$15="Yes",'Demand background (hide)'!AJ121,0),"")</f>
        <v>410</v>
      </c>
      <c r="BE130" s="208"/>
    </row>
    <row r="131" spans="1:57" ht="15" x14ac:dyDescent="0.25">
      <c r="A131">
        <f t="shared" ca="1" si="4"/>
        <v>119</v>
      </c>
      <c r="B131" s="263" t="str">
        <f t="shared" ca="1" si="5"/>
        <v xml:space="preserve"> </v>
      </c>
      <c r="C131" s="264">
        <f t="shared" ca="1" si="6"/>
        <v>27</v>
      </c>
      <c r="D131" s="384">
        <f t="shared" ca="1" si="7"/>
        <v>43283</v>
      </c>
      <c r="E131" s="191"/>
      <c r="F131" s="191">
        <v>3</v>
      </c>
      <c r="G131" s="191">
        <v>3</v>
      </c>
      <c r="H131" s="191"/>
      <c r="I131" s="250">
        <f>IF(COUNTBLANK(E131:H131)=4,"",SUM(E131:G131)+IF(Setup!$I$15="No",0,H131))</f>
        <v>6</v>
      </c>
      <c r="J131" s="191"/>
      <c r="K131" s="191">
        <v>1</v>
      </c>
      <c r="L131" s="191">
        <v>6</v>
      </c>
      <c r="M131" s="191"/>
      <c r="N131" s="254">
        <f>IF(COUNTBLANK(J131:M131)=4,"",SUM(J131:L131)+IF(Setup!$I$15="No",0,M131))</f>
        <v>7</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f ca="1">IF('Demand background (hide)'!A122=Num_Modalities,"",SUM(Demand!I131, Demand!N131))</f>
        <v>13</v>
      </c>
      <c r="BD131" s="258">
        <f ca="1">IF(AND(A131&lt;=MaxRows,BE131&lt;&gt;"Yes"),'Demand background (hide)'!X122+IF(Setup!$I$15="Yes",'Demand background (hide)'!AJ122,0),"")</f>
        <v>460</v>
      </c>
      <c r="BE131" s="208"/>
    </row>
    <row r="132" spans="1:57" ht="15" x14ac:dyDescent="0.25">
      <c r="A132">
        <f t="shared" ca="1" si="4"/>
        <v>120</v>
      </c>
      <c r="B132" s="263" t="str">
        <f t="shared" ca="1" si="5"/>
        <v xml:space="preserve"> </v>
      </c>
      <c r="C132" s="264">
        <f t="shared" ca="1" si="6"/>
        <v>28</v>
      </c>
      <c r="D132" s="384">
        <f t="shared" ca="1" si="7"/>
        <v>43290</v>
      </c>
      <c r="E132" s="191"/>
      <c r="F132" s="191">
        <v>1</v>
      </c>
      <c r="G132" s="191">
        <v>5</v>
      </c>
      <c r="H132" s="191"/>
      <c r="I132" s="250">
        <f>IF(COUNTBLANK(E132:H132)=4,"",SUM(E132:G132)+IF(Setup!$I$15="No",0,H132))</f>
        <v>6</v>
      </c>
      <c r="J132" s="191"/>
      <c r="K132" s="191">
        <v>4</v>
      </c>
      <c r="L132" s="191">
        <v>7</v>
      </c>
      <c r="M132" s="191"/>
      <c r="N132" s="254">
        <f>IF(COUNTBLANK(J132:M132)=4,"",SUM(J132:L132)+IF(Setup!$I$15="No",0,M132))</f>
        <v>11</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f ca="1">IF('Demand background (hide)'!A123=Num_Modalities,"",SUM(Demand!I132, Demand!N132))</f>
        <v>17</v>
      </c>
      <c r="BD132" s="258">
        <f ca="1">IF(AND(A132&lt;=MaxRows,BE132&lt;&gt;"Yes"),'Demand background (hide)'!X123+IF(Setup!$I$15="Yes",'Demand background (hide)'!AJ123,0),"")</f>
        <v>620</v>
      </c>
      <c r="BE132" s="208"/>
    </row>
    <row r="133" spans="1:57" ht="15" x14ac:dyDescent="0.25">
      <c r="A133">
        <f t="shared" ca="1" si="4"/>
        <v>121</v>
      </c>
      <c r="B133" s="263" t="str">
        <f t="shared" ca="1" si="5"/>
        <v xml:space="preserve"> </v>
      </c>
      <c r="C133" s="264">
        <f t="shared" ca="1" si="6"/>
        <v>29</v>
      </c>
      <c r="D133" s="384">
        <f t="shared" ca="1" si="7"/>
        <v>43297</v>
      </c>
      <c r="E133" s="191"/>
      <c r="F133" s="191">
        <v>0</v>
      </c>
      <c r="G133" s="191">
        <v>3</v>
      </c>
      <c r="H133" s="191"/>
      <c r="I133" s="250">
        <f>IF(COUNTBLANK(E133:H133)=4,"",SUM(E133:G133)+IF(Setup!$I$15="No",0,H133))</f>
        <v>3</v>
      </c>
      <c r="J133" s="191"/>
      <c r="K133" s="191">
        <v>2</v>
      </c>
      <c r="L133" s="191">
        <v>6</v>
      </c>
      <c r="M133" s="191"/>
      <c r="N133" s="254">
        <f>IF(COUNTBLANK(J133:M133)=4,"",SUM(J133:L133)+IF(Setup!$I$15="No",0,M133))</f>
        <v>8</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f ca="1">IF('Demand background (hide)'!A124=Num_Modalities,"",SUM(Demand!I133, Demand!N133))</f>
        <v>11</v>
      </c>
      <c r="BD133" s="258">
        <f ca="1">IF(AND(A133&lt;=MaxRows,BE133&lt;&gt;"Yes"),'Demand background (hide)'!X124+IF(Setup!$I$15="Yes",'Demand background (hide)'!AJ124,0),"")</f>
        <v>410</v>
      </c>
      <c r="BE133" s="208"/>
    </row>
    <row r="134" spans="1:57" ht="15" x14ac:dyDescent="0.25">
      <c r="A134">
        <f t="shared" ca="1" si="4"/>
        <v>122</v>
      </c>
      <c r="B134" s="263" t="str">
        <f t="shared" ca="1" si="5"/>
        <v xml:space="preserve"> </v>
      </c>
      <c r="C134" s="264">
        <f t="shared" ca="1" si="6"/>
        <v>30</v>
      </c>
      <c r="D134" s="384">
        <f t="shared" ca="1" si="7"/>
        <v>43304</v>
      </c>
      <c r="E134" s="191"/>
      <c r="F134" s="191">
        <v>0</v>
      </c>
      <c r="G134" s="191">
        <v>2</v>
      </c>
      <c r="H134" s="191"/>
      <c r="I134" s="250">
        <f>IF(COUNTBLANK(E134:H134)=4,"",SUM(E134:G134)+IF(Setup!$I$15="No",0,H134))</f>
        <v>2</v>
      </c>
      <c r="J134" s="191"/>
      <c r="K134" s="191">
        <v>1</v>
      </c>
      <c r="L134" s="191">
        <v>8</v>
      </c>
      <c r="M134" s="191"/>
      <c r="N134" s="254">
        <f>IF(COUNTBLANK(J134:M134)=4,"",SUM(J134:L134)+IF(Setup!$I$15="No",0,M134))</f>
        <v>9</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f ca="1">IF('Demand background (hide)'!A125=Num_Modalities,"",SUM(Demand!I134, Demand!N134))</f>
        <v>11</v>
      </c>
      <c r="BD134" s="258">
        <f ca="1">IF(AND(A134&lt;=MaxRows,BE134&lt;&gt;"Yes"),'Demand background (hide)'!X125+IF(Setup!$I$15="Yes",'Demand background (hide)'!AJ125,0),"")</f>
        <v>420</v>
      </c>
      <c r="BE134" s="208"/>
    </row>
    <row r="135" spans="1:57" ht="15" x14ac:dyDescent="0.25">
      <c r="A135">
        <f t="shared" ca="1" si="4"/>
        <v>123</v>
      </c>
      <c r="B135" s="263" t="str">
        <f t="shared" ca="1" si="5"/>
        <v xml:space="preserve"> </v>
      </c>
      <c r="C135" s="264">
        <f t="shared" ca="1" si="6"/>
        <v>31</v>
      </c>
      <c r="D135" s="384">
        <f t="shared" ca="1" si="7"/>
        <v>43311</v>
      </c>
      <c r="E135" s="191"/>
      <c r="F135" s="191">
        <v>0</v>
      </c>
      <c r="G135" s="191">
        <v>1</v>
      </c>
      <c r="H135" s="191"/>
      <c r="I135" s="250">
        <f>IF(COUNTBLANK(E135:H135)=4,"",SUM(E135:G135)+IF(Setup!$I$15="No",0,H135))</f>
        <v>1</v>
      </c>
      <c r="J135" s="191"/>
      <c r="K135" s="191">
        <v>1</v>
      </c>
      <c r="L135" s="191">
        <v>5</v>
      </c>
      <c r="M135" s="191"/>
      <c r="N135" s="254">
        <f>IF(COUNTBLANK(J135:M135)=4,"",SUM(J135:L135)+IF(Setup!$I$15="No",0,M135))</f>
        <v>6</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f ca="1">IF('Demand background (hide)'!A126=Num_Modalities,"",SUM(Demand!I135, Demand!N135))</f>
        <v>7</v>
      </c>
      <c r="BD135" s="258">
        <f ca="1">IF(AND(A135&lt;=MaxRows,BE135&lt;&gt;"Yes"),'Demand background (hide)'!X126+IF(Setup!$I$15="Yes",'Demand background (hide)'!AJ126,0),"")</f>
        <v>270</v>
      </c>
      <c r="BE135" s="208"/>
    </row>
    <row r="136" spans="1:57" ht="15" x14ac:dyDescent="0.25">
      <c r="A136">
        <f t="shared" ca="1" si="4"/>
        <v>124</v>
      </c>
      <c r="B136" s="263" t="str">
        <f t="shared" ca="1" si="5"/>
        <v xml:space="preserve"> </v>
      </c>
      <c r="C136" s="264">
        <f t="shared" ca="1" si="6"/>
        <v>32</v>
      </c>
      <c r="D136" s="384">
        <f t="shared" ca="1" si="7"/>
        <v>43318</v>
      </c>
      <c r="E136" s="191"/>
      <c r="F136" s="191">
        <v>1</v>
      </c>
      <c r="G136" s="191">
        <v>4</v>
      </c>
      <c r="H136" s="191"/>
      <c r="I136" s="250">
        <f>IF(COUNTBLANK(E136:H136)=4,"",SUM(E136:G136)+IF(Setup!$I$15="No",0,H136))</f>
        <v>5</v>
      </c>
      <c r="J136" s="191"/>
      <c r="K136" s="191">
        <v>1</v>
      </c>
      <c r="L136" s="191">
        <v>8</v>
      </c>
      <c r="M136" s="191"/>
      <c r="N136" s="254">
        <f>IF(COUNTBLANK(J136:M136)=4,"",SUM(J136:L136)+IF(Setup!$I$15="No",0,M136))</f>
        <v>9</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f ca="1">IF('Demand background (hide)'!A127=Num_Modalities,"",SUM(Demand!I136, Demand!N136))</f>
        <v>14</v>
      </c>
      <c r="BD136" s="258">
        <f ca="1">IF(AND(A136&lt;=MaxRows,BE136&lt;&gt;"Yes"),'Demand background (hide)'!X127+IF(Setup!$I$15="Yes",'Demand background (hide)'!AJ127,0),"")</f>
        <v>510</v>
      </c>
      <c r="BE136" s="208"/>
    </row>
    <row r="137" spans="1:57" ht="15" x14ac:dyDescent="0.25">
      <c r="A137">
        <f t="shared" ca="1" si="4"/>
        <v>125</v>
      </c>
      <c r="B137" s="263" t="str">
        <f t="shared" ca="1" si="5"/>
        <v xml:space="preserve"> </v>
      </c>
      <c r="C137" s="264">
        <f t="shared" ca="1" si="6"/>
        <v>33</v>
      </c>
      <c r="D137" s="384">
        <f t="shared" ca="1" si="7"/>
        <v>43325</v>
      </c>
      <c r="E137" s="191"/>
      <c r="F137" s="191">
        <v>1</v>
      </c>
      <c r="G137" s="191">
        <v>4</v>
      </c>
      <c r="H137" s="191"/>
      <c r="I137" s="250">
        <f>IF(COUNTBLANK(E137:H137)=4,"",SUM(E137:G137)+IF(Setup!$I$15="No",0,H137))</f>
        <v>5</v>
      </c>
      <c r="J137" s="191"/>
      <c r="K137" s="191">
        <v>3</v>
      </c>
      <c r="L137" s="191">
        <v>11</v>
      </c>
      <c r="M137" s="191"/>
      <c r="N137" s="254">
        <f>IF(COUNTBLANK(J137:M137)=4,"",SUM(J137:L137)+IF(Setup!$I$15="No",0,M137))</f>
        <v>14</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f ca="1">IF('Demand background (hide)'!A128=Num_Modalities,"",SUM(Demand!I137, Demand!N137))</f>
        <v>19</v>
      </c>
      <c r="BD137" s="258">
        <f ca="1">IF(AND(A137&lt;=MaxRows,BE137&lt;&gt;"Yes"),'Demand background (hide)'!X128+IF(Setup!$I$15="Yes",'Demand background (hide)'!AJ128,0),"")</f>
        <v>710</v>
      </c>
      <c r="BE137" s="208"/>
    </row>
    <row r="138" spans="1:57" ht="15" x14ac:dyDescent="0.25">
      <c r="A138">
        <f t="shared" ca="1" si="4"/>
        <v>126</v>
      </c>
      <c r="B138" s="263" t="str">
        <f t="shared" ca="1" si="5"/>
        <v xml:space="preserve"> </v>
      </c>
      <c r="C138" s="264">
        <f t="shared" ca="1" si="6"/>
        <v>34</v>
      </c>
      <c r="D138" s="384">
        <f t="shared" ca="1" si="7"/>
        <v>43332</v>
      </c>
      <c r="E138" s="191"/>
      <c r="F138" s="191">
        <v>1</v>
      </c>
      <c r="G138" s="191">
        <v>2</v>
      </c>
      <c r="H138" s="191"/>
      <c r="I138" s="250">
        <f>IF(COUNTBLANK(E138:H138)=4,"",SUM(E138:G138)+IF(Setup!$I$15="No",0,H138))</f>
        <v>3</v>
      </c>
      <c r="J138" s="191"/>
      <c r="K138" s="191">
        <v>6</v>
      </c>
      <c r="L138" s="191">
        <v>9</v>
      </c>
      <c r="M138" s="191"/>
      <c r="N138" s="254">
        <f>IF(COUNTBLANK(J138:M138)=4,"",SUM(J138:L138)+IF(Setup!$I$15="No",0,M138))</f>
        <v>15</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f ca="1">IF('Demand background (hide)'!A129=Num_Modalities,"",SUM(Demand!I138, Demand!N138))</f>
        <v>18</v>
      </c>
      <c r="BD138" s="258">
        <f ca="1">IF(AND(A138&lt;=MaxRows,BE138&lt;&gt;"Yes"),'Demand background (hide)'!X129+IF(Setup!$I$15="Yes",'Demand background (hide)'!AJ129,0),"")</f>
        <v>690</v>
      </c>
      <c r="BE138" s="208"/>
    </row>
    <row r="139" spans="1:57" ht="15" x14ac:dyDescent="0.25">
      <c r="A139">
        <f t="shared" ca="1" si="4"/>
        <v>127</v>
      </c>
      <c r="B139" s="263" t="str">
        <f t="shared" ca="1" si="5"/>
        <v xml:space="preserve"> </v>
      </c>
      <c r="C139" s="264">
        <f t="shared" ca="1" si="6"/>
        <v>35</v>
      </c>
      <c r="D139" s="384">
        <f t="shared" ca="1" si="7"/>
        <v>43339</v>
      </c>
      <c r="E139" s="191"/>
      <c r="F139" s="191">
        <v>2</v>
      </c>
      <c r="G139" s="191">
        <v>4</v>
      </c>
      <c r="H139" s="191"/>
      <c r="I139" s="250">
        <f>IF(COUNTBLANK(E139:H139)=4,"",SUM(E139:G139)+IF(Setup!$I$15="No",0,H139))</f>
        <v>6</v>
      </c>
      <c r="J139" s="191"/>
      <c r="K139" s="191">
        <v>3</v>
      </c>
      <c r="L139" s="191">
        <v>7</v>
      </c>
      <c r="M139" s="191"/>
      <c r="N139" s="254">
        <f>IF(COUNTBLANK(J139:M139)=4,"",SUM(J139:L139)+IF(Setup!$I$15="No",0,M139))</f>
        <v>10</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f ca="1">IF('Demand background (hide)'!A130=Num_Modalities,"",SUM(Demand!I139, Demand!N139))</f>
        <v>16</v>
      </c>
      <c r="BD139" s="258">
        <f ca="1">IF(AND(A139&lt;=MaxRows,BE139&lt;&gt;"Yes"),'Demand background (hide)'!X130+IF(Setup!$I$15="Yes",'Demand background (hide)'!AJ130,0),"")</f>
        <v>580</v>
      </c>
      <c r="BE139" s="208"/>
    </row>
    <row r="140" spans="1:57" ht="15" x14ac:dyDescent="0.25">
      <c r="A140">
        <f t="shared" ca="1" si="4"/>
        <v>128</v>
      </c>
      <c r="B140" s="263" t="str">
        <f t="shared" ca="1" si="5"/>
        <v xml:space="preserve"> </v>
      </c>
      <c r="C140" s="264">
        <f t="shared" ca="1" si="6"/>
        <v>36</v>
      </c>
      <c r="D140" s="384">
        <f t="shared" ca="1" si="7"/>
        <v>43346</v>
      </c>
      <c r="E140" s="191"/>
      <c r="F140" s="191">
        <v>0</v>
      </c>
      <c r="G140" s="191">
        <v>3</v>
      </c>
      <c r="H140" s="191"/>
      <c r="I140" s="250">
        <f>IF(COUNTBLANK(E140:H140)=4,"",SUM(E140:G140)+IF(Setup!$I$15="No",0,H140))</f>
        <v>3</v>
      </c>
      <c r="J140" s="191"/>
      <c r="K140" s="191">
        <v>3</v>
      </c>
      <c r="L140" s="191">
        <v>5</v>
      </c>
      <c r="M140" s="191"/>
      <c r="N140" s="254">
        <f>IF(COUNTBLANK(J140:M140)=4,"",SUM(J140:L140)+IF(Setup!$I$15="No",0,M140))</f>
        <v>8</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f ca="1">IF('Demand background (hide)'!A131=Num_Modalities,"",SUM(Demand!I140, Demand!N140))</f>
        <v>11</v>
      </c>
      <c r="BD140" s="258">
        <f ca="1">IF(AND(A140&lt;=MaxRows,BE140&lt;&gt;"Yes"),'Demand background (hide)'!X131+IF(Setup!$I$15="Yes",'Demand background (hide)'!AJ131,0),"")</f>
        <v>410</v>
      </c>
      <c r="BE140" s="208"/>
    </row>
    <row r="141" spans="1:57" ht="15" x14ac:dyDescent="0.25">
      <c r="A141">
        <f t="shared" ref="A141:A204" ca="1" si="8">IF(BC141&lt;&gt;"",ROW(A129),"")</f>
        <v>129</v>
      </c>
      <c r="B141" s="263" t="str">
        <f t="shared" ca="1" si="5"/>
        <v xml:space="preserve"> </v>
      </c>
      <c r="C141" s="264">
        <f t="shared" ca="1" si="6"/>
        <v>37</v>
      </c>
      <c r="D141" s="384">
        <f t="shared" ca="1" si="7"/>
        <v>43353</v>
      </c>
      <c r="E141" s="191"/>
      <c r="F141" s="191">
        <v>0</v>
      </c>
      <c r="G141" s="191">
        <v>3</v>
      </c>
      <c r="H141" s="191"/>
      <c r="I141" s="250">
        <f>IF(COUNTBLANK(E141:H141)=4,"",SUM(E141:G141)+IF(Setup!$I$15="No",0,H141))</f>
        <v>3</v>
      </c>
      <c r="J141" s="191"/>
      <c r="K141" s="191">
        <v>1</v>
      </c>
      <c r="L141" s="191">
        <v>6</v>
      </c>
      <c r="M141" s="191"/>
      <c r="N141" s="254">
        <f>IF(COUNTBLANK(J141:M141)=4,"",SUM(J141:L141)+IF(Setup!$I$15="No",0,M141))</f>
        <v>7</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f ca="1">IF('Demand background (hide)'!A132=Num_Modalities,"",SUM(Demand!I141, Demand!N141))</f>
        <v>10</v>
      </c>
      <c r="BD141" s="258">
        <f ca="1">IF(AND(A141&lt;=MaxRows,BE141&lt;&gt;"Yes"),'Demand background (hide)'!X132+IF(Setup!$I$15="Yes",'Demand background (hide)'!AJ132,0),"")</f>
        <v>370</v>
      </c>
      <c r="BE141" s="208"/>
    </row>
    <row r="142" spans="1:57" ht="15" x14ac:dyDescent="0.25">
      <c r="A142">
        <f t="shared" ca="1" si="8"/>
        <v>130</v>
      </c>
      <c r="B142" s="263" t="str">
        <f t="shared" ref="B142:B205" ca="1" si="9">IF(A142&lt;=MaxRows,IF($C$6&lt;&gt;"",IF(YEAR(D142)&lt;&gt;YEAR(D141),YEAR(D142)," "),IF(C142&lt;&gt;1,"",OFFSET(B142,-C141,0,1,1)+1))," ")</f>
        <v xml:space="preserve"> </v>
      </c>
      <c r="C142" s="264">
        <f t="shared" ref="C142:C205" ca="1" si="10">IF(ROW(A130)&lt;=MaxRows,IF($C$6&lt;&gt;"",WEEKNUM(D142,21),IF(MOD((C141+1),52)&gt;0,MOD((C141+1),52),52)),"")</f>
        <v>38</v>
      </c>
      <c r="D142" s="384">
        <f t="shared" ref="D142:D205" ca="1" si="11">IF(OR(AND(ROW(A130)&lt;=MaxRows,$C$6&lt;&gt;""),AND(ROW(A142)&lt;=64,LEFT($C$8,1)&lt;&gt;"H")),D141+7,"")</f>
        <v>43360</v>
      </c>
      <c r="E142" s="191"/>
      <c r="F142" s="191">
        <v>2</v>
      </c>
      <c r="G142" s="191">
        <v>3</v>
      </c>
      <c r="H142" s="191"/>
      <c r="I142" s="250">
        <f>IF(COUNTBLANK(E142:H142)=4,"",SUM(E142:G142)+IF(Setup!$I$15="No",0,H142))</f>
        <v>5</v>
      </c>
      <c r="J142" s="191"/>
      <c r="K142" s="191">
        <v>1</v>
      </c>
      <c r="L142" s="191">
        <v>10</v>
      </c>
      <c r="M142" s="191"/>
      <c r="N142" s="254">
        <f>IF(COUNTBLANK(J142:M142)=4,"",SUM(J142:L142)+IF(Setup!$I$15="No",0,M142))</f>
        <v>11</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f ca="1">IF('Demand background (hide)'!A133=Num_Modalities,"",SUM(Demand!I142, Demand!N142))</f>
        <v>16</v>
      </c>
      <c r="BD142" s="258">
        <f ca="1">IF(AND(A142&lt;=MaxRows,BE142&lt;&gt;"Yes"),'Demand background (hide)'!X133+IF(Setup!$I$15="Yes",'Demand background (hide)'!AJ133,0),"")</f>
        <v>590</v>
      </c>
      <c r="BE142" s="208"/>
    </row>
    <row r="143" spans="1:57" ht="15" x14ac:dyDescent="0.25">
      <c r="A143">
        <f t="shared" ca="1" si="8"/>
        <v>131</v>
      </c>
      <c r="B143" s="263" t="str">
        <f t="shared" ca="1" si="9"/>
        <v xml:space="preserve"> </v>
      </c>
      <c r="C143" s="264">
        <f t="shared" ca="1" si="10"/>
        <v>39</v>
      </c>
      <c r="D143" s="384">
        <f t="shared" ca="1" si="11"/>
        <v>43367</v>
      </c>
      <c r="E143" s="191"/>
      <c r="F143" s="191">
        <v>0</v>
      </c>
      <c r="G143" s="191">
        <v>3</v>
      </c>
      <c r="H143" s="191"/>
      <c r="I143" s="250">
        <f>IF(COUNTBLANK(E143:H143)=4,"",SUM(E143:G143)+IF(Setup!$I$15="No",0,H143))</f>
        <v>3</v>
      </c>
      <c r="J143" s="191"/>
      <c r="K143" s="191">
        <v>3</v>
      </c>
      <c r="L143" s="191">
        <v>9</v>
      </c>
      <c r="M143" s="191"/>
      <c r="N143" s="254">
        <f>IF(COUNTBLANK(J143:M143)=4,"",SUM(J143:L143)+IF(Setup!$I$15="No",0,M143))</f>
        <v>12</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f ca="1">IF('Demand background (hide)'!A134=Num_Modalities,"",SUM(Demand!I143, Demand!N143))</f>
        <v>15</v>
      </c>
      <c r="BD143" s="258">
        <f ca="1">IF(AND(A143&lt;=MaxRows,BE143&lt;&gt;"Yes"),'Demand background (hide)'!X134+IF(Setup!$I$15="Yes",'Demand background (hide)'!AJ134,0),"")</f>
        <v>570</v>
      </c>
      <c r="BE143" s="208"/>
    </row>
    <row r="144" spans="1:57" ht="15" x14ac:dyDescent="0.25">
      <c r="A144">
        <f t="shared" ca="1" si="8"/>
        <v>132</v>
      </c>
      <c r="B144" s="263" t="str">
        <f t="shared" ca="1" si="9"/>
        <v xml:space="preserve"> </v>
      </c>
      <c r="C144" s="264">
        <f t="shared" ca="1" si="10"/>
        <v>40</v>
      </c>
      <c r="D144" s="384">
        <f t="shared" ca="1" si="11"/>
        <v>43374</v>
      </c>
      <c r="E144" s="191"/>
      <c r="F144" s="191">
        <v>0</v>
      </c>
      <c r="G144" s="191">
        <v>3</v>
      </c>
      <c r="H144" s="191"/>
      <c r="I144" s="250">
        <f>IF(COUNTBLANK(E144:H144)=4,"",SUM(E144:G144)+IF(Setup!$I$15="No",0,H144))</f>
        <v>3</v>
      </c>
      <c r="J144" s="191"/>
      <c r="K144" s="191">
        <v>3</v>
      </c>
      <c r="L144" s="191">
        <v>7</v>
      </c>
      <c r="M144" s="191"/>
      <c r="N144" s="254">
        <f>IF(COUNTBLANK(J144:M144)=4,"",SUM(J144:L144)+IF(Setup!$I$15="No",0,M144))</f>
        <v>10</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f ca="1">IF('Demand background (hide)'!A135=Num_Modalities,"",SUM(Demand!I144, Demand!N144))</f>
        <v>13</v>
      </c>
      <c r="BD144" s="258">
        <f ca="1">IF(AND(A144&lt;=MaxRows,BE144&lt;&gt;"Yes"),'Demand background (hide)'!X135+IF(Setup!$I$15="Yes",'Demand background (hide)'!AJ135,0),"")</f>
        <v>490</v>
      </c>
      <c r="BE144" s="208"/>
    </row>
    <row r="145" spans="1:57" ht="15" x14ac:dyDescent="0.25">
      <c r="A145">
        <f t="shared" ca="1" si="8"/>
        <v>133</v>
      </c>
      <c r="B145" s="263" t="str">
        <f t="shared" ca="1" si="9"/>
        <v xml:space="preserve"> </v>
      </c>
      <c r="C145" s="264">
        <f t="shared" ca="1" si="10"/>
        <v>41</v>
      </c>
      <c r="D145" s="384">
        <f t="shared" ca="1" si="11"/>
        <v>43381</v>
      </c>
      <c r="E145" s="191"/>
      <c r="F145" s="191">
        <v>1</v>
      </c>
      <c r="G145" s="191">
        <v>6</v>
      </c>
      <c r="H145" s="191"/>
      <c r="I145" s="250">
        <f>IF(COUNTBLANK(E145:H145)=4,"",SUM(E145:G145)+IF(Setup!$I$15="No",0,H145))</f>
        <v>7</v>
      </c>
      <c r="J145" s="191"/>
      <c r="K145" s="191">
        <v>2</v>
      </c>
      <c r="L145" s="191">
        <v>7</v>
      </c>
      <c r="M145" s="191"/>
      <c r="N145" s="254">
        <f>IF(COUNTBLANK(J145:M145)=4,"",SUM(J145:L145)+IF(Setup!$I$15="No",0,M145))</f>
        <v>9</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f ca="1">IF('Demand background (hide)'!A136=Num_Modalities,"",SUM(Demand!I145, Demand!N145))</f>
        <v>16</v>
      </c>
      <c r="BD145" s="258">
        <f ca="1">IF(AND(A145&lt;=MaxRows,BE145&lt;&gt;"Yes"),'Demand background (hide)'!X136+IF(Setup!$I$15="Yes",'Demand background (hide)'!AJ136,0),"")</f>
        <v>570</v>
      </c>
      <c r="BE145" s="208"/>
    </row>
    <row r="146" spans="1:57" ht="15" x14ac:dyDescent="0.25">
      <c r="A146">
        <f t="shared" ca="1" si="8"/>
        <v>134</v>
      </c>
      <c r="B146" s="263" t="str">
        <f t="shared" ca="1" si="9"/>
        <v xml:space="preserve"> </v>
      </c>
      <c r="C146" s="264">
        <f t="shared" ca="1" si="10"/>
        <v>42</v>
      </c>
      <c r="D146" s="384">
        <f t="shared" ca="1" si="11"/>
        <v>43388</v>
      </c>
      <c r="E146" s="191"/>
      <c r="F146" s="191">
        <v>0</v>
      </c>
      <c r="G146" s="191">
        <v>3</v>
      </c>
      <c r="H146" s="191"/>
      <c r="I146" s="250">
        <f>IF(COUNTBLANK(E146:H146)=4,"",SUM(E146:G146)+IF(Setup!$I$15="No",0,H146))</f>
        <v>3</v>
      </c>
      <c r="J146" s="191"/>
      <c r="K146" s="191">
        <v>1</v>
      </c>
      <c r="L146" s="191">
        <v>5</v>
      </c>
      <c r="M146" s="191"/>
      <c r="N146" s="254">
        <f>IF(COUNTBLANK(J146:M146)=4,"",SUM(J146:L146)+IF(Setup!$I$15="No",0,M146))</f>
        <v>6</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f ca="1">IF('Demand background (hide)'!A137=Num_Modalities,"",SUM(Demand!I146, Demand!N146))</f>
        <v>9</v>
      </c>
      <c r="BD146" s="258">
        <f ca="1">IF(AND(A146&lt;=MaxRows,BE146&lt;&gt;"Yes"),'Demand background (hide)'!X137+IF(Setup!$I$15="Yes",'Demand background (hide)'!AJ137,0),"")</f>
        <v>330</v>
      </c>
      <c r="BE146" s="208"/>
    </row>
    <row r="147" spans="1:57" ht="15" x14ac:dyDescent="0.25">
      <c r="A147">
        <f t="shared" ca="1" si="8"/>
        <v>135</v>
      </c>
      <c r="B147" s="263" t="str">
        <f t="shared" ca="1" si="9"/>
        <v xml:space="preserve"> </v>
      </c>
      <c r="C147" s="264">
        <f t="shared" ca="1" si="10"/>
        <v>43</v>
      </c>
      <c r="D147" s="384">
        <f t="shared" ca="1" si="11"/>
        <v>43395</v>
      </c>
      <c r="E147" s="191"/>
      <c r="F147" s="191">
        <v>0</v>
      </c>
      <c r="G147" s="191">
        <v>2</v>
      </c>
      <c r="H147" s="191"/>
      <c r="I147" s="250">
        <f>IF(COUNTBLANK(E147:H147)=4,"",SUM(E147:G147)+IF(Setup!$I$15="No",0,H147))</f>
        <v>2</v>
      </c>
      <c r="J147" s="191"/>
      <c r="K147" s="191">
        <v>1</v>
      </c>
      <c r="L147" s="191">
        <v>9</v>
      </c>
      <c r="M147" s="191"/>
      <c r="N147" s="254">
        <f>IF(COUNTBLANK(J147:M147)=4,"",SUM(J147:L147)+IF(Setup!$I$15="No",0,M147))</f>
        <v>10</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f ca="1">IF('Demand background (hide)'!A138=Num_Modalities,"",SUM(Demand!I147, Demand!N147))</f>
        <v>12</v>
      </c>
      <c r="BD147" s="258">
        <f ca="1">IF(AND(A147&lt;=MaxRows,BE147&lt;&gt;"Yes"),'Demand background (hide)'!X138+IF(Setup!$I$15="Yes",'Demand background (hide)'!AJ138,0),"")</f>
        <v>460</v>
      </c>
      <c r="BE147" s="208"/>
    </row>
    <row r="148" spans="1:57" ht="15" x14ac:dyDescent="0.25">
      <c r="A148">
        <f t="shared" ca="1" si="8"/>
        <v>136</v>
      </c>
      <c r="B148" s="263" t="str">
        <f t="shared" ca="1" si="9"/>
        <v xml:space="preserve"> </v>
      </c>
      <c r="C148" s="264">
        <f t="shared" ca="1" si="10"/>
        <v>44</v>
      </c>
      <c r="D148" s="384">
        <f t="shared" ca="1" si="11"/>
        <v>43402</v>
      </c>
      <c r="E148" s="191"/>
      <c r="F148" s="191">
        <v>1</v>
      </c>
      <c r="G148" s="191">
        <v>4</v>
      </c>
      <c r="H148" s="191"/>
      <c r="I148" s="250">
        <f>IF(COUNTBLANK(E148:H148)=4,"",SUM(E148:G148)+IF(Setup!$I$15="No",0,H148))</f>
        <v>5</v>
      </c>
      <c r="J148" s="191"/>
      <c r="K148" s="191">
        <v>3</v>
      </c>
      <c r="L148" s="191">
        <v>5</v>
      </c>
      <c r="M148" s="191"/>
      <c r="N148" s="254">
        <f>IF(COUNTBLANK(J148:M148)=4,"",SUM(J148:L148)+IF(Setup!$I$15="No",0,M148))</f>
        <v>8</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f ca="1">IF('Demand background (hide)'!A139=Num_Modalities,"",SUM(Demand!I148, Demand!N148))</f>
        <v>13</v>
      </c>
      <c r="BD148" s="258">
        <f ca="1">IF(AND(A148&lt;=MaxRows,BE148&lt;&gt;"Yes"),'Demand background (hide)'!X139+IF(Setup!$I$15="Yes",'Demand background (hide)'!AJ139,0),"")</f>
        <v>470</v>
      </c>
      <c r="BE148" s="208"/>
    </row>
    <row r="149" spans="1:57" ht="15" x14ac:dyDescent="0.25">
      <c r="A149">
        <f t="shared" ca="1" si="8"/>
        <v>137</v>
      </c>
      <c r="B149" s="263" t="str">
        <f t="shared" ca="1" si="9"/>
        <v xml:space="preserve"> </v>
      </c>
      <c r="C149" s="264">
        <f t="shared" ca="1" si="10"/>
        <v>45</v>
      </c>
      <c r="D149" s="384">
        <f t="shared" ca="1" si="11"/>
        <v>43409</v>
      </c>
      <c r="E149" s="191"/>
      <c r="F149" s="191">
        <v>3</v>
      </c>
      <c r="G149" s="191">
        <v>4</v>
      </c>
      <c r="H149" s="191"/>
      <c r="I149" s="250">
        <f>IF(COUNTBLANK(E149:H149)=4,"",SUM(E149:G149)+IF(Setup!$I$15="No",0,H149))</f>
        <v>7</v>
      </c>
      <c r="J149" s="191"/>
      <c r="K149" s="191">
        <v>0</v>
      </c>
      <c r="L149" s="191">
        <v>7</v>
      </c>
      <c r="M149" s="191"/>
      <c r="N149" s="254">
        <f>IF(COUNTBLANK(J149:M149)=4,"",SUM(J149:L149)+IF(Setup!$I$15="No",0,M149))</f>
        <v>7</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f ca="1">IF('Demand background (hide)'!A140=Num_Modalities,"",SUM(Demand!I149, Demand!N149))</f>
        <v>14</v>
      </c>
      <c r="BD149" s="258">
        <f ca="1">IF(AND(A149&lt;=MaxRows,BE149&lt;&gt;"Yes"),'Demand background (hide)'!X140+IF(Setup!$I$15="Yes",'Demand background (hide)'!AJ140,0),"")</f>
        <v>490</v>
      </c>
      <c r="BE149" s="208"/>
    </row>
    <row r="150" spans="1:57" ht="15" x14ac:dyDescent="0.25">
      <c r="A150">
        <f t="shared" ca="1" si="8"/>
        <v>138</v>
      </c>
      <c r="B150" s="263" t="str">
        <f t="shared" ca="1" si="9"/>
        <v xml:space="preserve"> </v>
      </c>
      <c r="C150" s="264">
        <f t="shared" ca="1" si="10"/>
        <v>46</v>
      </c>
      <c r="D150" s="384">
        <f t="shared" ca="1" si="11"/>
        <v>43416</v>
      </c>
      <c r="E150" s="191"/>
      <c r="F150" s="191">
        <v>0</v>
      </c>
      <c r="G150" s="191">
        <v>5</v>
      </c>
      <c r="H150" s="191"/>
      <c r="I150" s="250">
        <f>IF(COUNTBLANK(E150:H150)=4,"",SUM(E150:G150)+IF(Setup!$I$15="No",0,H150))</f>
        <v>5</v>
      </c>
      <c r="J150" s="191"/>
      <c r="K150" s="191">
        <v>1</v>
      </c>
      <c r="L150" s="191">
        <v>6</v>
      </c>
      <c r="M150" s="191"/>
      <c r="N150" s="254">
        <f>IF(COUNTBLANK(J150:M150)=4,"",SUM(J150:L150)+IF(Setup!$I$15="No",0,M150))</f>
        <v>7</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f ca="1">IF('Demand background (hide)'!A141=Num_Modalities,"",SUM(Demand!I150, Demand!N150))</f>
        <v>12</v>
      </c>
      <c r="BD150" s="258">
        <f ca="1">IF(AND(A150&lt;=MaxRows,BE150&lt;&gt;"Yes"),'Demand background (hide)'!X141+IF(Setup!$I$15="Yes",'Demand background (hide)'!AJ141,0),"")</f>
        <v>430</v>
      </c>
      <c r="BE150" s="208"/>
    </row>
    <row r="151" spans="1:57" ht="15" x14ac:dyDescent="0.25">
      <c r="A151">
        <f t="shared" ca="1" si="8"/>
        <v>139</v>
      </c>
      <c r="B151" s="263" t="str">
        <f t="shared" ca="1" si="9"/>
        <v xml:space="preserve"> </v>
      </c>
      <c r="C151" s="264">
        <f t="shared" ca="1" si="10"/>
        <v>47</v>
      </c>
      <c r="D151" s="384">
        <f t="shared" ca="1" si="11"/>
        <v>43423</v>
      </c>
      <c r="E151" s="191"/>
      <c r="F151" s="191">
        <v>2</v>
      </c>
      <c r="G151" s="191">
        <v>3</v>
      </c>
      <c r="H151" s="191"/>
      <c r="I151" s="250">
        <f>IF(COUNTBLANK(E151:H151)=4,"",SUM(E151:G151)+IF(Setup!$I$15="No",0,H151))</f>
        <v>5</v>
      </c>
      <c r="J151" s="191"/>
      <c r="K151" s="191">
        <v>0</v>
      </c>
      <c r="L151" s="191">
        <v>8</v>
      </c>
      <c r="M151" s="191"/>
      <c r="N151" s="254">
        <f>IF(COUNTBLANK(J151:M151)=4,"",SUM(J151:L151)+IF(Setup!$I$15="No",0,M151))</f>
        <v>8</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f ca="1">IF('Demand background (hide)'!A142=Num_Modalities,"",SUM(Demand!I151, Demand!N151))</f>
        <v>13</v>
      </c>
      <c r="BD151" s="258">
        <f ca="1">IF(AND(A151&lt;=MaxRows,BE151&lt;&gt;"Yes"),'Demand background (hide)'!X142+IF(Setup!$I$15="Yes",'Demand background (hide)'!AJ142,0),"")</f>
        <v>470</v>
      </c>
      <c r="BE151" s="208"/>
    </row>
    <row r="152" spans="1:57" ht="15" x14ac:dyDescent="0.25">
      <c r="A152">
        <f t="shared" ca="1" si="8"/>
        <v>140</v>
      </c>
      <c r="B152" s="263" t="str">
        <f t="shared" ca="1" si="9"/>
        <v xml:space="preserve"> </v>
      </c>
      <c r="C152" s="264">
        <f t="shared" ca="1" si="10"/>
        <v>48</v>
      </c>
      <c r="D152" s="384">
        <f t="shared" ca="1" si="11"/>
        <v>43430</v>
      </c>
      <c r="E152" s="191"/>
      <c r="F152" s="191">
        <v>1</v>
      </c>
      <c r="G152" s="191">
        <v>3</v>
      </c>
      <c r="H152" s="191"/>
      <c r="I152" s="250">
        <f>IF(COUNTBLANK(E152:H152)=4,"",SUM(E152:G152)+IF(Setup!$I$15="No",0,H152))</f>
        <v>4</v>
      </c>
      <c r="J152" s="191"/>
      <c r="K152" s="191">
        <v>1</v>
      </c>
      <c r="L152" s="191">
        <v>14</v>
      </c>
      <c r="M152" s="191"/>
      <c r="N152" s="254">
        <f>IF(COUNTBLANK(J152:M152)=4,"",SUM(J152:L152)+IF(Setup!$I$15="No",0,M152))</f>
        <v>15</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f ca="1">IF('Demand background (hide)'!A143=Num_Modalities,"",SUM(Demand!I152, Demand!N152))</f>
        <v>19</v>
      </c>
      <c r="BD152" s="258">
        <f ca="1">IF(AND(A152&lt;=MaxRows,BE152&lt;&gt;"Yes"),'Demand background (hide)'!X143+IF(Setup!$I$15="Yes",'Demand background (hide)'!AJ143,0),"")</f>
        <v>720</v>
      </c>
      <c r="BE152" s="208"/>
    </row>
    <row r="153" spans="1:57" ht="15" x14ac:dyDescent="0.25">
      <c r="A153">
        <f t="shared" ca="1" si="8"/>
        <v>141</v>
      </c>
      <c r="B153" s="263" t="str">
        <f t="shared" ca="1" si="9"/>
        <v xml:space="preserve"> </v>
      </c>
      <c r="C153" s="264">
        <f t="shared" ca="1" si="10"/>
        <v>49</v>
      </c>
      <c r="D153" s="384">
        <f t="shared" ca="1" si="11"/>
        <v>43437</v>
      </c>
      <c r="E153" s="191"/>
      <c r="F153" s="191">
        <v>0</v>
      </c>
      <c r="G153" s="191">
        <v>3</v>
      </c>
      <c r="H153" s="191"/>
      <c r="I153" s="250">
        <f>IF(COUNTBLANK(E153:H153)=4,"",SUM(E153:G153)+IF(Setup!$I$15="No",0,H153))</f>
        <v>3</v>
      </c>
      <c r="J153" s="191"/>
      <c r="K153" s="191">
        <v>2</v>
      </c>
      <c r="L153" s="191">
        <v>2</v>
      </c>
      <c r="M153" s="191"/>
      <c r="N153" s="254">
        <f>IF(COUNTBLANK(J153:M153)=4,"",SUM(J153:L153)+IF(Setup!$I$15="No",0,M153))</f>
        <v>4</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f ca="1">IF('Demand background (hide)'!A144=Num_Modalities,"",SUM(Demand!I153, Demand!N153))</f>
        <v>7</v>
      </c>
      <c r="BD153" s="258">
        <f ca="1">IF(AND(A153&lt;=MaxRows,BE153&lt;&gt;"Yes"),'Demand background (hide)'!X144+IF(Setup!$I$15="Yes",'Demand background (hide)'!AJ144,0),"")</f>
        <v>250</v>
      </c>
      <c r="BE153" s="208"/>
    </row>
    <row r="154" spans="1:57" ht="15" x14ac:dyDescent="0.25">
      <c r="A154">
        <f t="shared" ca="1" si="8"/>
        <v>142</v>
      </c>
      <c r="B154" s="263" t="str">
        <f t="shared" ca="1" si="9"/>
        <v xml:space="preserve"> </v>
      </c>
      <c r="C154" s="264">
        <f t="shared" ca="1" si="10"/>
        <v>50</v>
      </c>
      <c r="D154" s="384">
        <f t="shared" ca="1" si="11"/>
        <v>43444</v>
      </c>
      <c r="E154" s="191"/>
      <c r="F154" s="191">
        <v>0</v>
      </c>
      <c r="G154" s="191">
        <v>5</v>
      </c>
      <c r="H154" s="191"/>
      <c r="I154" s="250">
        <f>IF(COUNTBLANK(E154:H154)=4,"",SUM(E154:G154)+IF(Setup!$I$15="No",0,H154))</f>
        <v>5</v>
      </c>
      <c r="J154" s="191"/>
      <c r="K154" s="191">
        <v>3</v>
      </c>
      <c r="L154" s="191">
        <v>7</v>
      </c>
      <c r="M154" s="191"/>
      <c r="N154" s="254">
        <f>IF(COUNTBLANK(J154:M154)=4,"",SUM(J154:L154)+IF(Setup!$I$15="No",0,M154))</f>
        <v>10</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f ca="1">IF('Demand background (hide)'!A145=Num_Modalities,"",SUM(Demand!I154, Demand!N154))</f>
        <v>15</v>
      </c>
      <c r="BD154" s="258">
        <f ca="1">IF(AND(A154&lt;=MaxRows,BE154&lt;&gt;"Yes"),'Demand background (hide)'!X145+IF(Setup!$I$15="Yes",'Demand background (hide)'!AJ145,0),"")</f>
        <v>550</v>
      </c>
      <c r="BE154" s="208"/>
    </row>
    <row r="155" spans="1:57" ht="15" x14ac:dyDescent="0.25">
      <c r="A155">
        <f t="shared" ca="1" si="8"/>
        <v>143</v>
      </c>
      <c r="B155" s="263" t="str">
        <f t="shared" ca="1" si="9"/>
        <v xml:space="preserve"> </v>
      </c>
      <c r="C155" s="264">
        <f t="shared" ca="1" si="10"/>
        <v>51</v>
      </c>
      <c r="D155" s="384">
        <f t="shared" ca="1" si="11"/>
        <v>43451</v>
      </c>
      <c r="E155" s="191"/>
      <c r="F155" s="191">
        <v>1</v>
      </c>
      <c r="G155" s="191">
        <v>2</v>
      </c>
      <c r="H155" s="191"/>
      <c r="I155" s="250">
        <f>IF(COUNTBLANK(E155:H155)=4,"",SUM(E155:G155)+IF(Setup!$I$15="No",0,H155))</f>
        <v>3</v>
      </c>
      <c r="J155" s="191"/>
      <c r="K155" s="191">
        <v>2</v>
      </c>
      <c r="L155" s="191">
        <v>13</v>
      </c>
      <c r="M155" s="191"/>
      <c r="N155" s="254">
        <f>IF(COUNTBLANK(J155:M155)=4,"",SUM(J155:L155)+IF(Setup!$I$15="No",0,M155))</f>
        <v>15</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f ca="1">IF('Demand background (hide)'!A146=Num_Modalities,"",SUM(Demand!I155, Demand!N155))</f>
        <v>18</v>
      </c>
      <c r="BD155" s="258">
        <f ca="1">IF(AND(A155&lt;=MaxRows,BE155&lt;&gt;"Yes"),'Demand background (hide)'!X146+IF(Setup!$I$15="Yes",'Demand background (hide)'!AJ146,0),"")</f>
        <v>690</v>
      </c>
      <c r="BE155" s="208"/>
    </row>
    <row r="156" spans="1:57" ht="15" x14ac:dyDescent="0.25">
      <c r="A156">
        <f t="shared" ca="1" si="8"/>
        <v>144</v>
      </c>
      <c r="B156" s="263" t="str">
        <f t="shared" ca="1" si="9"/>
        <v xml:space="preserve"> </v>
      </c>
      <c r="C156" s="264">
        <f t="shared" ca="1" si="10"/>
        <v>52</v>
      </c>
      <c r="D156" s="384">
        <f t="shared" ca="1" si="11"/>
        <v>43458</v>
      </c>
      <c r="E156" s="191"/>
      <c r="F156" s="191">
        <v>1</v>
      </c>
      <c r="G156" s="191">
        <v>2</v>
      </c>
      <c r="H156" s="191"/>
      <c r="I156" s="250">
        <f>IF(COUNTBLANK(E156:H156)=4,"",SUM(E156:G156)+IF(Setup!$I$15="No",0,H156))</f>
        <v>3</v>
      </c>
      <c r="J156" s="191"/>
      <c r="K156" s="191">
        <v>1</v>
      </c>
      <c r="L156" s="191">
        <v>6</v>
      </c>
      <c r="M156" s="191"/>
      <c r="N156" s="254">
        <f>IF(COUNTBLANK(J156:M156)=4,"",SUM(J156:L156)+IF(Setup!$I$15="No",0,M156))</f>
        <v>7</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f ca="1">IF('Demand background (hide)'!A147=Num_Modalities,"",SUM(Demand!I156, Demand!N156))</f>
        <v>10</v>
      </c>
      <c r="BD156" s="258">
        <f ca="1">IF(AND(A156&lt;=MaxRows,BE156&lt;&gt;"Yes"),'Demand background (hide)'!X147+IF(Setup!$I$15="Yes",'Demand background (hide)'!AJ147,0),"")</f>
        <v>370</v>
      </c>
      <c r="BE156" s="208"/>
    </row>
    <row r="157" spans="1:57" ht="15" x14ac:dyDescent="0.25">
      <c r="A157">
        <f t="shared" ca="1" si="8"/>
        <v>145</v>
      </c>
      <c r="B157" s="263" t="str">
        <f t="shared" ca="1" si="9"/>
        <v xml:space="preserve"> </v>
      </c>
      <c r="C157" s="264">
        <f t="shared" ca="1" si="10"/>
        <v>1</v>
      </c>
      <c r="D157" s="384">
        <f t="shared" ca="1" si="11"/>
        <v>43465</v>
      </c>
      <c r="E157" s="191"/>
      <c r="F157" s="191">
        <v>1</v>
      </c>
      <c r="G157" s="191">
        <v>3</v>
      </c>
      <c r="H157" s="191"/>
      <c r="I157" s="250">
        <f>IF(COUNTBLANK(E157:H157)=4,"",SUM(E157:G157)+IF(Setup!$I$15="No",0,H157))</f>
        <v>4</v>
      </c>
      <c r="J157" s="191"/>
      <c r="K157" s="191">
        <v>2</v>
      </c>
      <c r="L157" s="191">
        <v>9</v>
      </c>
      <c r="M157" s="191"/>
      <c r="N157" s="254">
        <f>IF(COUNTBLANK(J157:M157)=4,"",SUM(J157:L157)+IF(Setup!$I$15="No",0,M157))</f>
        <v>11</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f ca="1">IF('Demand background (hide)'!A148=Num_Modalities,"",SUM(Demand!I157, Demand!N157))</f>
        <v>15</v>
      </c>
      <c r="BD157" s="258">
        <f ca="1">IF(AND(A157&lt;=MaxRows,BE157&lt;&gt;"Yes"),'Demand background (hide)'!X148+IF(Setup!$I$15="Yes",'Demand background (hide)'!AJ148,0),"")</f>
        <v>560</v>
      </c>
      <c r="BE157" s="208"/>
    </row>
    <row r="158" spans="1:57" ht="15" x14ac:dyDescent="0.25">
      <c r="A158">
        <f t="shared" ca="1" si="8"/>
        <v>146</v>
      </c>
      <c r="B158" s="263">
        <f t="shared" ca="1" si="9"/>
        <v>2019</v>
      </c>
      <c r="C158" s="264">
        <f t="shared" ca="1" si="10"/>
        <v>2</v>
      </c>
      <c r="D158" s="384">
        <f t="shared" ca="1" si="11"/>
        <v>43472</v>
      </c>
      <c r="E158" s="191"/>
      <c r="F158" s="191">
        <v>0</v>
      </c>
      <c r="G158" s="191">
        <v>1</v>
      </c>
      <c r="H158" s="191"/>
      <c r="I158" s="250">
        <f>IF(COUNTBLANK(E158:H158)=4,"",SUM(E158:G158)+IF(Setup!$I$15="No",0,H158))</f>
        <v>1</v>
      </c>
      <c r="J158" s="191"/>
      <c r="K158" s="191">
        <v>2</v>
      </c>
      <c r="L158" s="191">
        <v>4</v>
      </c>
      <c r="M158" s="191"/>
      <c r="N158" s="254">
        <f>IF(COUNTBLANK(J158:M158)=4,"",SUM(J158:L158)+IF(Setup!$I$15="No",0,M158))</f>
        <v>6</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f ca="1">IF('Demand background (hide)'!A149=Num_Modalities,"",SUM(Demand!I158, Demand!N158))</f>
        <v>7</v>
      </c>
      <c r="BD158" s="258">
        <f ca="1">IF(AND(A158&lt;=MaxRows,BE158&lt;&gt;"Yes"),'Demand background (hide)'!X149+IF(Setup!$I$15="Yes",'Demand background (hide)'!AJ149,0),"")</f>
        <v>270</v>
      </c>
      <c r="BE158" s="208"/>
    </row>
    <row r="159" spans="1:57" ht="15" x14ac:dyDescent="0.25">
      <c r="A159">
        <f t="shared" ca="1" si="8"/>
        <v>147</v>
      </c>
      <c r="B159" s="263" t="str">
        <f t="shared" ca="1" si="9"/>
        <v xml:space="preserve"> </v>
      </c>
      <c r="C159" s="264">
        <f t="shared" ca="1" si="10"/>
        <v>3</v>
      </c>
      <c r="D159" s="384">
        <f t="shared" ca="1" si="11"/>
        <v>43479</v>
      </c>
      <c r="E159" s="191"/>
      <c r="F159" s="191">
        <v>1</v>
      </c>
      <c r="G159" s="191">
        <v>2</v>
      </c>
      <c r="H159" s="191"/>
      <c r="I159" s="250">
        <f>IF(COUNTBLANK(E159:H159)=4,"",SUM(E159:G159)+IF(Setup!$I$15="No",0,H159))</f>
        <v>3</v>
      </c>
      <c r="J159" s="191"/>
      <c r="K159" s="191">
        <v>3</v>
      </c>
      <c r="L159" s="191">
        <v>6</v>
      </c>
      <c r="M159" s="191"/>
      <c r="N159" s="254">
        <f>IF(COUNTBLANK(J159:M159)=4,"",SUM(J159:L159)+IF(Setup!$I$15="No",0,M159))</f>
        <v>9</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f ca="1">IF('Demand background (hide)'!A150=Num_Modalities,"",SUM(Demand!I159, Demand!N159))</f>
        <v>12</v>
      </c>
      <c r="BD159" s="258">
        <f ca="1">IF(AND(A159&lt;=MaxRows,BE159&lt;&gt;"Yes"),'Demand background (hide)'!X150+IF(Setup!$I$15="Yes",'Demand background (hide)'!AJ150,0),"")</f>
        <v>450</v>
      </c>
      <c r="BE159" s="208"/>
    </row>
    <row r="160" spans="1:57" ht="15" x14ac:dyDescent="0.25">
      <c r="A160">
        <f t="shared" ca="1" si="8"/>
        <v>148</v>
      </c>
      <c r="B160" s="263" t="str">
        <f t="shared" ca="1" si="9"/>
        <v xml:space="preserve"> </v>
      </c>
      <c r="C160" s="264">
        <f t="shared" ca="1" si="10"/>
        <v>4</v>
      </c>
      <c r="D160" s="384">
        <f t="shared" ca="1" si="11"/>
        <v>43486</v>
      </c>
      <c r="E160" s="191"/>
      <c r="F160" s="191">
        <v>0</v>
      </c>
      <c r="G160" s="191">
        <v>5</v>
      </c>
      <c r="H160" s="191"/>
      <c r="I160" s="250">
        <f>IF(COUNTBLANK(E160:H160)=4,"",SUM(E160:G160)+IF(Setup!$I$15="No",0,H160))</f>
        <v>5</v>
      </c>
      <c r="J160" s="191"/>
      <c r="K160" s="191">
        <v>3</v>
      </c>
      <c r="L160" s="191">
        <v>12</v>
      </c>
      <c r="M160" s="191"/>
      <c r="N160" s="254">
        <f>IF(COUNTBLANK(J160:M160)=4,"",SUM(J160:L160)+IF(Setup!$I$15="No",0,M160))</f>
        <v>15</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f ca="1">IF('Demand background (hide)'!A151=Num_Modalities,"",SUM(Demand!I160, Demand!N160))</f>
        <v>20</v>
      </c>
      <c r="BD160" s="258">
        <f ca="1">IF(AND(A160&lt;=MaxRows,BE160&lt;&gt;"Yes"),'Demand background (hide)'!X151+IF(Setup!$I$15="Yes",'Demand background (hide)'!AJ151,0),"")</f>
        <v>750</v>
      </c>
      <c r="BE160" s="208"/>
    </row>
    <row r="161" spans="1:57" ht="15" x14ac:dyDescent="0.25">
      <c r="A161">
        <f t="shared" ca="1" si="8"/>
        <v>149</v>
      </c>
      <c r="B161" s="263" t="str">
        <f t="shared" ca="1" si="9"/>
        <v xml:space="preserve"> </v>
      </c>
      <c r="C161" s="264">
        <f t="shared" ca="1" si="10"/>
        <v>5</v>
      </c>
      <c r="D161" s="384">
        <f t="shared" ca="1" si="11"/>
        <v>43493</v>
      </c>
      <c r="E161" s="191"/>
      <c r="F161" s="191">
        <v>0</v>
      </c>
      <c r="G161" s="191">
        <v>5</v>
      </c>
      <c r="H161" s="191"/>
      <c r="I161" s="250">
        <f>IF(COUNTBLANK(E161:H161)=4,"",SUM(E161:G161)+IF(Setup!$I$15="No",0,H161))</f>
        <v>5</v>
      </c>
      <c r="J161" s="191"/>
      <c r="K161" s="191">
        <v>2</v>
      </c>
      <c r="L161" s="191">
        <v>4</v>
      </c>
      <c r="M161" s="191"/>
      <c r="N161" s="254">
        <f>IF(COUNTBLANK(J161:M161)=4,"",SUM(J161:L161)+IF(Setup!$I$15="No",0,M161))</f>
        <v>6</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f ca="1">IF('Demand background (hide)'!A152=Num_Modalities,"",SUM(Demand!I161, Demand!N161))</f>
        <v>11</v>
      </c>
      <c r="BD161" s="258">
        <f ca="1">IF(AND(A161&lt;=MaxRows,BE161&lt;&gt;"Yes"),'Demand background (hide)'!X152+IF(Setup!$I$15="Yes",'Demand background (hide)'!AJ152,0),"")</f>
        <v>390</v>
      </c>
      <c r="BE161" s="208"/>
    </row>
    <row r="162" spans="1:57" ht="15" x14ac:dyDescent="0.25">
      <c r="A162">
        <f t="shared" ca="1" si="8"/>
        <v>150</v>
      </c>
      <c r="B162" s="263" t="str">
        <f t="shared" ca="1" si="9"/>
        <v xml:space="preserve"> </v>
      </c>
      <c r="C162" s="264">
        <f t="shared" ca="1" si="10"/>
        <v>6</v>
      </c>
      <c r="D162" s="384">
        <f t="shared" ca="1" si="11"/>
        <v>43500</v>
      </c>
      <c r="E162" s="191"/>
      <c r="F162" s="191">
        <v>0</v>
      </c>
      <c r="G162" s="191">
        <v>2</v>
      </c>
      <c r="H162" s="191"/>
      <c r="I162" s="250">
        <f>IF(COUNTBLANK(E162:H162)=4,"",SUM(E162:G162)+IF(Setup!$I$15="No",0,H162))</f>
        <v>2</v>
      </c>
      <c r="J162" s="191"/>
      <c r="K162" s="191">
        <v>5</v>
      </c>
      <c r="L162" s="191">
        <v>9</v>
      </c>
      <c r="M162" s="191"/>
      <c r="N162" s="254">
        <f>IF(COUNTBLANK(J162:M162)=4,"",SUM(J162:L162)+IF(Setup!$I$15="No",0,M162))</f>
        <v>14</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f ca="1">IF('Demand background (hide)'!A153=Num_Modalities,"",SUM(Demand!I162, Demand!N162))</f>
        <v>16</v>
      </c>
      <c r="BD162" s="258">
        <f ca="1">IF(AND(A162&lt;=MaxRows,BE162&lt;&gt;"Yes"),'Demand background (hide)'!X153+IF(Setup!$I$15="Yes",'Demand background (hide)'!AJ153,0),"")</f>
        <v>620</v>
      </c>
      <c r="BE162" s="208"/>
    </row>
    <row r="163" spans="1:57" ht="15" x14ac:dyDescent="0.25">
      <c r="A163">
        <f t="shared" ca="1" si="8"/>
        <v>151</v>
      </c>
      <c r="B163" s="263" t="str">
        <f t="shared" ca="1" si="9"/>
        <v xml:space="preserve"> </v>
      </c>
      <c r="C163" s="264">
        <f t="shared" ca="1" si="10"/>
        <v>7</v>
      </c>
      <c r="D163" s="384">
        <f t="shared" ca="1" si="11"/>
        <v>43507</v>
      </c>
      <c r="E163" s="191"/>
      <c r="F163" s="191">
        <v>1</v>
      </c>
      <c r="G163" s="191">
        <v>1</v>
      </c>
      <c r="H163" s="191"/>
      <c r="I163" s="250">
        <f>IF(COUNTBLANK(E163:H163)=4,"",SUM(E163:G163)+IF(Setup!$I$15="No",0,H163))</f>
        <v>2</v>
      </c>
      <c r="J163" s="191"/>
      <c r="K163" s="191">
        <v>3</v>
      </c>
      <c r="L163" s="191">
        <v>4</v>
      </c>
      <c r="M163" s="191"/>
      <c r="N163" s="254">
        <f>IF(COUNTBLANK(J163:M163)=4,"",SUM(J163:L163)+IF(Setup!$I$15="No",0,M163))</f>
        <v>7</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f ca="1">IF('Demand background (hide)'!A154=Num_Modalities,"",SUM(Demand!I163, Demand!N163))</f>
        <v>9</v>
      </c>
      <c r="BD163" s="258">
        <f ca="1">IF(AND(A163&lt;=MaxRows,BE163&lt;&gt;"Yes"),'Demand background (hide)'!X154+IF(Setup!$I$15="Yes",'Demand background (hide)'!AJ154,0),"")</f>
        <v>340</v>
      </c>
      <c r="BE163" s="208"/>
    </row>
    <row r="164" spans="1:57" ht="15" x14ac:dyDescent="0.25">
      <c r="A164" t="str">
        <f t="shared" ca="1" si="8"/>
        <v/>
      </c>
      <c r="B164" s="263" t="str">
        <f t="shared" ca="1" si="9"/>
        <v xml:space="preserve"> </v>
      </c>
      <c r="C164" s="264" t="str">
        <f t="shared" ca="1" si="10"/>
        <v/>
      </c>
      <c r="D164" s="38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 Demand!N164))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38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 Demand!N165))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38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 Demand!N166))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38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 Demand!N167))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38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 Demand!N168))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38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 Demand!N169))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38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 Demand!N170))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38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 Demand!N171))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38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 Demand!N172))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38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 Demand!N173))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38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 Demand!N174))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38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 Demand!N175))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38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 Demand!N176))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38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 Demand!N177))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38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 Demand!N178))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38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 Demand!N179))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38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 Demand!N180))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38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 Demand!N181))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38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 Demand!N182))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38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 Demand!N183))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38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 Demand!N184))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38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 Demand!N185))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38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 Demand!N186))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38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 Demand!N187))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38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 Demand!N188))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38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 Demand!N189))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38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 Demand!N190))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38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 Demand!N191))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38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 Demand!N192))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38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 Demand!N193))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38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 Demand!N194))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38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 Demand!N195))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38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 Demand!N196))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38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 Demand!N197))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38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 Demand!N198))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38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 Demand!N199))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38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 Demand!N200))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38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 Demand!N201))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38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 Demand!N202))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38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 Demand!N203))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38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 Demand!N204))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38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 Demand!N205))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38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 Demand!N206))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38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 Demand!N207))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38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 Demand!N208))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38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 Demand!N209))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38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 Demand!N210))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38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 Demand!N211))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38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 Demand!N212))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38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 Demand!N213))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38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 Demand!N214))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38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 Demand!N215))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38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 Demand!N216))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38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 Demand!N217))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38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 Demand!N218))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38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 Demand!N219))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38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 Demand!N220))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38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 Demand!N221))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38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 Demand!N222))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38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 Demand!N223))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38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 Demand!N224))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38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 Demand!N225))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38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 Demand!N226))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38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 Demand!N227))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38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 Demand!N228))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38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 Demand!N229))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38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 Demand!N230))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38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 Demand!N231))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38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 Demand!N232))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38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 Demand!N233))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38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 Demand!N234))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38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 Demand!N235))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38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 Demand!N236))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38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 Demand!N237))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38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 Demand!N238))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38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 Demand!N239))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38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 Demand!N240))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38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 Demand!N241))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38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 Demand!N242))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38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 Demand!N243))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38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 Demand!N244))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38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 Demand!N245))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38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 Demand!N246))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38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 Demand!N247))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38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 Demand!N248))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38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 Demand!N249))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38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 Demand!N250))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38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 Demand!N251))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38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 Demand!N252))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38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 Demand!N253))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38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 Demand!N254))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38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 Demand!N255))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38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 Demand!N256))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38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 Demand!N257))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38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 Demand!N258))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38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 Demand!N259))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38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 Demand!N260))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38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 Demand!N261))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38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 Demand!N262))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38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 Demand!N263))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38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 Demand!N264))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38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 Demand!N265))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38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 Demand!N266))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38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 Demand!N267))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38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 Demand!N268))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38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 Demand!N269))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38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 Demand!N270))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38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 Demand!N271))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38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 Demand!N272))</f>
        <v/>
      </c>
      <c r="BD272" s="258" t="str">
        <f ca="1">IF(AND(A272&lt;=MaxRows,BE272&lt;&gt;"Yes"),'Demand background (hide)'!X263+IF(Setup!$I$15="Yes",'Demand background (hide)'!AJ263,0),"")</f>
        <v/>
      </c>
      <c r="BE272" s="208"/>
    </row>
  </sheetData>
  <sheetProtection algorithmName="SHA-512" hashValue="3INwbH4KBsLyMSJ/Gdg5m20JebOIQo3rJ1qrxqpJLxecgWqjKSDaNY2YIDUFbmM/1dCj988AFjvyF8jedgUYHg==" saltValue="3T8bEVl9yI/Csh0U8Mrrn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495</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0</v>
      </c>
      <c r="B4" s="5">
        <f ca="1">COUNTBLANK(OFFSET(Demand!$I13,0,(COLUMN(A1)-1)*5,1,1))</f>
        <v>0</v>
      </c>
      <c r="C4" s="5">
        <f ca="1">COUNTBLANK(OFFSET(Demand!$I13,0,(COLUMN(B1)-1)*5,1,1))</f>
        <v>0</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30</v>
      </c>
      <c r="O4" s="5">
        <f ca="1">SUM(OFFSET(Demand!$E13,0,(COLUMN(B1)-1)*5,1,3))*O$2</f>
        <v>360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390</v>
      </c>
      <c r="Y4" s="5">
        <f t="shared" ref="Y4:Y67" ca="1" si="5">SUM(OFFSET(N4,0,0,1,Num_Modalities))</f>
        <v>390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390</v>
      </c>
      <c r="AM4" s="5">
        <f ca="1">IF(AN4&lt;&gt;"","",AJ4)</f>
        <v>0</v>
      </c>
      <c r="AN4" s="5" t="str">
        <f>IF(Demand!BE13="Yes","Yes","")</f>
        <v/>
      </c>
      <c r="AP4" s="36">
        <f>Demand!B13</f>
        <v>2016</v>
      </c>
      <c r="AQ4" s="5" t="str">
        <f>TEXT(Demand!D13,"MMM")</f>
        <v>Mar</v>
      </c>
      <c r="AV4" s="5" t="s">
        <v>71</v>
      </c>
      <c r="AW4" s="44">
        <f ca="1">IFERROR(AVERAGE(OFFSET($AT$4,'SPC background (hide)'!$C$4-1,0,'SPC background (hide)'!$H$5,1)),0)</f>
        <v>159.80769230769232</v>
      </c>
      <c r="BB4"/>
      <c r="BC4"/>
      <c r="BD4"/>
      <c r="BE4"/>
      <c r="BF4" t="s">
        <v>199</v>
      </c>
      <c r="BG4"/>
      <c r="BH4"/>
      <c r="BI4"/>
      <c r="BJ4"/>
      <c r="BK4"/>
      <c r="BL4"/>
      <c r="BM4"/>
      <c r="BP4"/>
      <c r="BQ4">
        <f ca="1">IF($AN4="",OFFSET(Demand!$A$13,ROW(A1)-1,4+((QUOTIENT(COLUMN(BQ$2)-69,3))*5)+MOD(COLUMN(BQ$2),3),1,1),"")</f>
        <v>0</v>
      </c>
      <c r="BR4">
        <f ca="1">IF($AN4="",OFFSET(Demand!$A$13,ROW(B1)-1,4+((QUOTIENT(COLUMN(BR$2)-69,3))*5)+MOD(COLUMN(BR$2),3),1,1),"")</f>
        <v>1</v>
      </c>
      <c r="BS4">
        <f ca="1">IF($AN4="",OFFSET(Demand!$A$13,ROW(C1)-1,4+((QUOTIENT(COLUMN(BS$2)-69,3))*5)+MOD(COLUMN(BS$2),3),1,1),"")</f>
        <v>0</v>
      </c>
      <c r="BT4">
        <f ca="1">IF($AN4="",OFFSET(Demand!$A$13,ROW(D1)-1,4+((QUOTIENT(COLUMN(BT$2)-69,3))*5)+MOD(COLUMN(BT$2),3),1,1),"")</f>
        <v>0</v>
      </c>
      <c r="BU4">
        <f ca="1">IF($AN4="",OFFSET(Demand!$A$13,ROW(E1)-1,4+((QUOTIENT(COLUMN(BU$2)-69,3))*5)+MOD(COLUMN(BU$2),3),1,1),"")</f>
        <v>2</v>
      </c>
      <c r="BV4">
        <f ca="1">IF($AN4="",OFFSET(Demand!$A$13,ROW(F1)-1,4+((QUOTIENT(COLUMN(BV$2)-69,3))*5)+MOD(COLUMN(BV$2),3),1,1),"")</f>
        <v>7</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f ca="1">VLOOKUP(IF($DM4&lt;53,$DM4,52),'Summary Calculations (hide)'!$D$15:$F$67,2,0)</f>
        <v>551.5</v>
      </c>
      <c r="DP4" s="5">
        <f ca="1">VLOOKUP(IF($DM4&lt;53,$DM4,52),'Summary Calculations (hide)'!$D$15:$F$67,3,0)</f>
        <v>664</v>
      </c>
      <c r="DQ4" s="5">
        <f>IF(AND(DN4&gt;='Demand adjustments for Covid'!$F$12,DN4&lt;'Demand adjustments for Covid'!$F$17),'Demand adjustments for Covid'!$F$13,DO4)</f>
        <v>200</v>
      </c>
      <c r="DR4" s="5">
        <f t="shared" ref="DR4:DR35" si="7">IF(AND(ROW(A1)&gt;=$EE$4,ROW(A1)&lt;=$EE$5),1,0)</f>
        <v>0</v>
      </c>
      <c r="DS4" s="5">
        <f ca="1">IF('Demand adjustments for Covid'!$F$9="Yes",IF(DR4=0,DQ4,((SUM(DR$4:DR4)-1)*$EE$8)+'Demand adjustments for Covid'!F$13),'Demand background (hide)'!DO4)</f>
        <v>551.5</v>
      </c>
      <c r="DT4" s="5">
        <f ca="1">IF(AND('Demand adjustments for Covid'!$F$9="Yes",MaxRows&gt;=10),IF(OR(AND(DN4&gt;='Demand adjustments for Covid'!$F$12,DN4&lt;'Demand adjustments for Covid'!$F$17),DR4=1),DS4+3,DP4),'Demand background (hide)'!DP4)</f>
        <v>664</v>
      </c>
      <c r="DU4" s="5">
        <f ca="1">IF(DS4&lt;='Demand adjustments for Covid'!$F$17,DO4-DS4,0)</f>
        <v>0</v>
      </c>
      <c r="DV4" s="5">
        <f ca="1">IF(AND(ROW(A1)&gt;$EE$5,ROW(A1)&lt;=$EA$5),OFFSET('Demand adjustments for Covid'!$F$35,0,ROW(A1)-'Demand background (hide)'!$EE$5,1,1),0)</f>
        <v>0</v>
      </c>
      <c r="DW4" s="5">
        <f ca="1">IF(AND(ROW(A1)&gt;$EE$5,ROW(A1)&lt;=$EA$5),OFFSET('Demand adjustments for Covid'!$F$36,0,ROW(A1)-'Demand background (hide)'!$EE$5,1,1),0)</f>
        <v>0</v>
      </c>
      <c r="DX4" s="5">
        <f ca="1">SUM(DV4:DW4,DT4)</f>
        <v>664</v>
      </c>
      <c r="ED4" s="5" t="s">
        <v>1193</v>
      </c>
      <c r="EE4" s="5">
        <f>MATCH('Demand adjustments for Covid'!$F$17,$DN$4:$DN$55,0)</f>
        <v>7</v>
      </c>
    </row>
    <row r="5" spans="1:135" s="5" customFormat="1" x14ac:dyDescent="0.2">
      <c r="A5" s="5">
        <f t="shared" ca="1" si="3"/>
        <v>0</v>
      </c>
      <c r="B5" s="5">
        <f ca="1">COUNTBLANK(OFFSET(Demand!$I14,0,(COLUMN(A2)-1)*5,1,1))</f>
        <v>0</v>
      </c>
      <c r="C5" s="5">
        <f ca="1">COUNTBLANK(OFFSET(Demand!$I14,0,(COLUMN(B2)-1)*5,1,1))</f>
        <v>0</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210</v>
      </c>
      <c r="O5" s="5">
        <f ca="1">SUM(OFFSET(Demand!$E14,0,(COLUMN(B2)-1)*5,1,3))*O$2</f>
        <v>400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610</v>
      </c>
      <c r="Y5" s="5">
        <f t="shared" ca="1" si="5"/>
        <v>610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610</v>
      </c>
      <c r="AM5" s="5">
        <f t="shared" ref="AM5:AM68" ca="1" si="9">IF(AN5&lt;&gt;"","",AJ5)</f>
        <v>0</v>
      </c>
      <c r="AN5" s="5" t="str">
        <f>IF(Demand!BE14="Yes","Yes","")</f>
        <v/>
      </c>
      <c r="AP5" s="36" t="str">
        <f ca="1">Demand!B14</f>
        <v xml:space="preserve"> </v>
      </c>
      <c r="AQ5" s="5" t="str">
        <f ca="1">IF(TEXT(Demand!D14,"MMM")&lt;&gt;TEXT(Demand!D13,"MMM"),TEXT(Demand!D14,"MMM"),"")</f>
        <v>Apr</v>
      </c>
      <c r="AT5" s="5">
        <f ca="1">IF(OR(AL5="",AL4=""),"",ABS(AL5-AL4))</f>
        <v>220</v>
      </c>
      <c r="AV5" s="5" t="s">
        <v>70</v>
      </c>
      <c r="AW5" s="44">
        <f ca="1">AW4/1.128</f>
        <v>141.67348608837972</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5</v>
      </c>
      <c r="BS5">
        <f ca="1">IF($AN5="",OFFSET(Demand!$A$13,ROW(C2)-1,4+((QUOTIENT(COLUMN(BS$2)-69,3))*5)+MOD(COLUMN(BS$2),3),1,1),"")</f>
        <v>2</v>
      </c>
      <c r="BT5">
        <f ca="1">IF($AN5="",OFFSET(Demand!$A$13,ROW(D2)-1,4+((QUOTIENT(COLUMN(BT$2)-69,3))*5)+MOD(COLUMN(BT$2),3),1,1),"")</f>
        <v>0</v>
      </c>
      <c r="BU5">
        <f ca="1">IF($AN5="",OFFSET(Demand!$A$13,ROW(E2)-1,4+((QUOTIENT(COLUMN(BU$2)-69,3))*5)+MOD(COLUMN(BU$2),3),1,1),"")</f>
        <v>3</v>
      </c>
      <c r="BV5">
        <f ca="1">IF($AN5="",OFFSET(Demand!$A$13,ROW(F2)-1,4+((QUOTIENT(COLUMN(BV$2)-69,3))*5)+MOD(COLUMN(BV$2),3),1,1),"")</f>
        <v>7</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f ca="1">VLOOKUP(IF($DM5&lt;53,$DM5,52),'Summary Calculations (hide)'!$D$15:$F$67,2,0)</f>
        <v>551.5</v>
      </c>
      <c r="DP5" s="5">
        <f ca="1">VLOOKUP(IF($DM5&lt;53,$DM5,52),'Summary Calculations (hide)'!$D$15:$F$67,3,0)</f>
        <v>664</v>
      </c>
      <c r="DQ5" s="5">
        <f>IF(AND(DN5&gt;='Demand adjustments for Covid'!$F$12,DN5&lt;'Demand adjustments for Covid'!$F$17),'Demand adjustments for Covid'!$F$13,DO5)</f>
        <v>200</v>
      </c>
      <c r="DR5" s="5">
        <f t="shared" si="7"/>
        <v>0</v>
      </c>
      <c r="DS5" s="5">
        <f ca="1">IF('Demand adjustments for Covid'!$F$9="Yes",IF(DR5=0,DQ5,((SUM(DR$4:DR5)-1)*$EE$8)+'Demand adjustments for Covid'!F$13),'Demand background (hide)'!DO5)</f>
        <v>551.5</v>
      </c>
      <c r="DT5" s="5">
        <f ca="1">IF('Demand adjustments for Covid'!$F$9="Yes",IF(OR(AND(DN5&gt;='Demand adjustments for Covid'!$F$12,DN5&lt;'Demand adjustments for Covid'!$F$17),DR5=1),DS5+3,DP5),'Demand background (hide)'!DP5)</f>
        <v>664</v>
      </c>
      <c r="DU5" s="5">
        <f ca="1">IF(DS5&lt;='Demand adjustments for Covid'!$F$17,DO5-DS5,0)</f>
        <v>0</v>
      </c>
      <c r="DV5" s="5">
        <f ca="1">IF(AND(ROW(A2)&gt;$EE$5,ROW(A2)&lt;=$EA$5),OFFSET('Demand adjustments for Covid'!$F$35,0,ROW(A2)-'Demand background (hide)'!$EE$5,1,1),0)</f>
        <v>0</v>
      </c>
      <c r="DW5" s="5">
        <f ca="1">IF(AND(ROW(A2)&gt;$EE$5,ROW(A2)&lt;=$EA$5),OFFSET('Demand adjustments for Covid'!$F$36,0,ROW(A2)-'Demand background (hide)'!$EE$5,1,1),0)</f>
        <v>0</v>
      </c>
      <c r="DX5" s="5">
        <f t="shared" ref="DX5:DX55" ca="1" si="11">SUM(DV5:DW5,DT5)</f>
        <v>664</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0</v>
      </c>
      <c r="B6" s="5">
        <f ca="1">COUNTBLANK(OFFSET(Demand!$I15,0,(COLUMN(A3)-1)*5,1,1))</f>
        <v>0</v>
      </c>
      <c r="C6" s="5">
        <f ca="1">COUNTBLANK(OFFSET(Demand!$I15,0,(COLUMN(B3)-1)*5,1,1))</f>
        <v>0</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60</v>
      </c>
      <c r="O6" s="5">
        <f ca="1">SUM(OFFSET(Demand!$E15,0,(COLUMN(B3)-1)*5,1,3))*O$2</f>
        <v>320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380</v>
      </c>
      <c r="Y6" s="5">
        <f t="shared" ca="1" si="5"/>
        <v>380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380</v>
      </c>
      <c r="AM6" s="5">
        <f t="shared" ca="1" si="9"/>
        <v>0</v>
      </c>
      <c r="AN6" s="5" t="str">
        <f>IF(Demand!BE15="Yes","Yes","")</f>
        <v/>
      </c>
      <c r="AP6" s="36" t="str">
        <f ca="1">Demand!B15</f>
        <v xml:space="preserve"> </v>
      </c>
      <c r="AQ6" s="5" t="str">
        <f ca="1">IF(TEXT(Demand!D15,"MMM")&lt;&gt;TEXT(Demand!D14,"MMM"),TEXT(Demand!D15,"MMM"),"")</f>
        <v/>
      </c>
      <c r="AT6" s="5">
        <f t="shared" ref="AT6:AT69" ca="1" si="12">IF(OR(AL6="",AL5=""),"",ABS(AL6-AL5))</f>
        <v>230</v>
      </c>
      <c r="AV6" s="5" t="s">
        <v>137</v>
      </c>
      <c r="AW6" s="44">
        <f ca="1">PERCENTILE(OFFSET(AL$4,'SPC background (hide)'!$C$4-1,0,'SPC background (hide)'!$H$5,1),'Control sheet (hide)'!$I$9)</f>
        <v>551.5</v>
      </c>
      <c r="AX6" s="5">
        <f ca="1">PERCENTILE(OFFSET(AM$4,'SPC background (hide)'!$C$4-1,0,'SPC background (hide)'!$H$5,1),'Control sheet (hide)'!$I$9)</f>
        <v>0</v>
      </c>
      <c r="BB6" t="str">
        <f>'Control sheet (hide)'!AA3</f>
        <v>Test name 1</v>
      </c>
      <c r="BC6" s="46">
        <f t="shared" ref="BC6:BC15" ca="1" si="13">IFERROR(IF(ROW(A1)&lt;=Num_Modalities,BJ6/$BM6,""),"")</f>
        <v>0</v>
      </c>
      <c r="BD6" s="46">
        <f t="shared" ref="BD6:BD15" ca="1" si="14">IFERROR(IF(ROW(B1)&lt;=Num_Modalities,BK6/$BM6,""),"")</f>
        <v>0.19047619047619047</v>
      </c>
      <c r="BE6" s="46">
        <f t="shared" ref="BE6:BE15" ca="1" si="15">IFERROR(IF(ROW(C1)&lt;=Num_Modalities,BL6/$BM6,""),"")</f>
        <v>0.80952380952380953</v>
      </c>
      <c r="BF6" s="5">
        <f ca="1">SUM(OFFSET($BQ$4,'SPC background (hide)'!$C$4-1,((ROW(A1)-1)*3)+MOD(COLUMN(C1),3),'SPC background (hide)'!$I$11,1))</f>
        <v>0</v>
      </c>
      <c r="BG6" s="5">
        <f ca="1">SUM(OFFSET($BQ$4,'SPC background (hide)'!$C$4-1,((ROW(B1)-1)*3)+MOD(COLUMN(D1),3),'SPC background (hide)'!$I$11,1))</f>
        <v>40</v>
      </c>
      <c r="BH6" s="5">
        <f ca="1">SUM(OFFSET($BQ$4,'SPC background (hide)'!$C$4-1,((ROW(C1)-1)*3)+MOD(COLUMN(E1),3),'SPC background (hide)'!$I$11,1))</f>
        <v>170</v>
      </c>
      <c r="BI6" s="5">
        <f ca="1">SUM(BF6:BH6)</f>
        <v>210</v>
      </c>
      <c r="BJ6" s="5">
        <f ca="1">BF6*OFFSET($N$2,0,ROW(A1)-1,1,1)</f>
        <v>0</v>
      </c>
      <c r="BK6" s="5">
        <f t="shared" ref="BK6:BL6" ca="1" si="16">BG6*OFFSET($N$2,0,ROW(B1)-1,1,1)</f>
        <v>1200</v>
      </c>
      <c r="BL6" s="5">
        <f t="shared" ca="1" si="16"/>
        <v>5100</v>
      </c>
      <c r="BM6" s="5">
        <f ca="1">SUM(BJ6:BL6)</f>
        <v>6300</v>
      </c>
      <c r="BN6" s="5">
        <f ca="1">OFFSET($N$2,0,ROW(A1)-1,1,1)</f>
        <v>30</v>
      </c>
      <c r="BO6" s="84">
        <f ca="1">BM6/$BM$16</f>
        <v>0.24475524475524477</v>
      </c>
      <c r="BQ6">
        <f ca="1">IF($AN6="",OFFSET(Demand!$A$13,ROW(A3)-1,4+((QUOTIENT(COLUMN(BQ$2)-69,3))*5)+MOD(COLUMN(BQ$2),3),1,1),"")</f>
        <v>0</v>
      </c>
      <c r="BR6">
        <f ca="1">IF($AN6="",OFFSET(Demand!$A$13,ROW(B3)-1,4+((QUOTIENT(COLUMN(BR$2)-69,3))*5)+MOD(COLUMN(BR$2),3),1,1),"")</f>
        <v>0</v>
      </c>
      <c r="BS6">
        <f ca="1">IF($AN6="",OFFSET(Demand!$A$13,ROW(C3)-1,4+((QUOTIENT(COLUMN(BS$2)-69,3))*5)+MOD(COLUMN(BS$2),3),1,1),"")</f>
        <v>2</v>
      </c>
      <c r="BT6">
        <f ca="1">IF($AN6="",OFFSET(Demand!$A$13,ROW(D3)-1,4+((QUOTIENT(COLUMN(BT$2)-69,3))*5)+MOD(COLUMN(BT$2),3),1,1),"")</f>
        <v>0</v>
      </c>
      <c r="BU6">
        <f ca="1">IF($AN6="",OFFSET(Demand!$A$13,ROW(E3)-1,4+((QUOTIENT(COLUMN(BU$2)-69,3))*5)+MOD(COLUMN(BU$2),3),1,1),"")</f>
        <v>3</v>
      </c>
      <c r="BV6">
        <f ca="1">IF($AN6="",OFFSET(Demand!$A$13,ROW(F3)-1,4+((QUOTIENT(COLUMN(BV$2)-69,3))*5)+MOD(COLUMN(BV$2),3),1,1),"")</f>
        <v>5</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f ca="1">VLOOKUP(IF($DM6&lt;53,$DM6,52),'Summary Calculations (hide)'!$D$15:$F$67,2,0)</f>
        <v>551.5</v>
      </c>
      <c r="DP6" s="5">
        <f ca="1">VLOOKUP(IF($DM6&lt;53,$DM6,52),'Summary Calculations (hide)'!$D$15:$F$67,3,0)</f>
        <v>664</v>
      </c>
      <c r="DQ6" s="5">
        <f>IF(AND(DN6&gt;='Demand adjustments for Covid'!$F$12,DN6&lt;'Demand adjustments for Covid'!$F$17),'Demand adjustments for Covid'!$F$13,DO6)</f>
        <v>200</v>
      </c>
      <c r="DR6" s="5">
        <f t="shared" si="7"/>
        <v>0</v>
      </c>
      <c r="DS6" s="5">
        <f ca="1">IF('Demand adjustments for Covid'!$F$9="Yes",IF(DR6=0,DQ6,((SUM(DR$4:DR6)-1)*$EE$8)+'Demand adjustments for Covid'!F$13),'Demand background (hide)'!DO6)</f>
        <v>551.5</v>
      </c>
      <c r="DT6" s="5">
        <f ca="1">IF('Demand adjustments for Covid'!$F$9="Yes",IF(OR(AND(DN6&gt;='Demand adjustments for Covid'!$F$12,DN6&lt;'Demand adjustments for Covid'!$F$17),DR6=1),DS6+3,DP6),'Demand background (hide)'!DP6)</f>
        <v>664</v>
      </c>
      <c r="DU6" s="5">
        <f ca="1">IF(DS6&lt;='Demand adjustments for Covid'!$F$17,DO6-DS6,0)</f>
        <v>0</v>
      </c>
      <c r="DV6" s="5">
        <f ca="1">IF(AND(ROW(A3)&gt;$EE$5,ROW(A3)&lt;=$EA$5),OFFSET('Demand adjustments for Covid'!$F$35,0,ROW(A3)-'Demand background (hide)'!$EE$5,1,1),0)</f>
        <v>0</v>
      </c>
      <c r="DW6" s="5">
        <f ca="1">IF(AND(ROW(A3)&gt;$EE$5,ROW(A3)&lt;=$EA$5),OFFSET('Demand adjustments for Covid'!$F$36,0,ROW(A3)-'Demand background (hide)'!$EE$5,1,1),0)</f>
        <v>0</v>
      </c>
      <c r="DX6" s="5">
        <f t="shared" ca="1" si="11"/>
        <v>664</v>
      </c>
      <c r="EA6" s="317"/>
    </row>
    <row r="7" spans="1:135" s="5" customFormat="1" x14ac:dyDescent="0.2">
      <c r="A7" s="5">
        <f t="shared" ca="1" si="3"/>
        <v>0</v>
      </c>
      <c r="B7" s="5">
        <f ca="1">COUNTBLANK(OFFSET(Demand!$I16,0,(COLUMN(A4)-1)*5,1,1))</f>
        <v>0</v>
      </c>
      <c r="C7" s="5">
        <f ca="1">COUNTBLANK(OFFSET(Demand!$I16,0,(COLUMN(B4)-1)*5,1,1))</f>
        <v>0</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270</v>
      </c>
      <c r="O7" s="5">
        <f ca="1">SUM(OFFSET(Demand!$E16,0,(COLUMN(B4)-1)*5,1,3))*O$2</f>
        <v>480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750</v>
      </c>
      <c r="Y7" s="5">
        <f t="shared" ca="1" si="5"/>
        <v>750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750</v>
      </c>
      <c r="AM7" s="5">
        <f t="shared" ca="1" si="9"/>
        <v>0</v>
      </c>
      <c r="AN7" s="5" t="str">
        <f>IF(Demand!BE16="Yes","Yes","")</f>
        <v/>
      </c>
      <c r="AP7" s="36" t="str">
        <f ca="1">Demand!B16</f>
        <v xml:space="preserve"> </v>
      </c>
      <c r="AQ7" s="5" t="str">
        <f ca="1">IF(TEXT(Demand!D16,"MMM")&lt;&gt;TEXT(Demand!D15,"MMM"),TEXT(Demand!D16,"MMM"),"")</f>
        <v/>
      </c>
      <c r="AT7" s="5">
        <f t="shared" ca="1" si="12"/>
        <v>370</v>
      </c>
      <c r="AV7" s="5" t="s">
        <v>138</v>
      </c>
      <c r="AW7" s="44">
        <f ca="1">PERCENTILE(OFFSET(AL$4,'SPC background (hide)'!$C$4-1,0,'SPC background (hide)'!$H$5,1),'Control sheet (hide)'!$I$10)</f>
        <v>664</v>
      </c>
      <c r="AX7" s="5">
        <f ca="1">PERCENTILE(OFFSET(AM$4,'SPC background (hide)'!$C$4-1,0,'SPC background (hide)'!$H$5,1),'Control sheet (hide)'!$I$10)</f>
        <v>0</v>
      </c>
      <c r="BB7" t="str">
        <f>'Control sheet (hide)'!AA4</f>
        <v>Test name 2</v>
      </c>
      <c r="BC7" s="46">
        <f t="shared" ca="1" si="13"/>
        <v>0</v>
      </c>
      <c r="BD7" s="46">
        <f t="shared" ca="1" si="14"/>
        <v>0.22633744855967078</v>
      </c>
      <c r="BE7" s="46">
        <f t="shared" ca="1" si="15"/>
        <v>0.77366255144032925</v>
      </c>
      <c r="BF7" s="5">
        <f ca="1">SUM(OFFSET($BQ$4,'SPC background (hide)'!$C$4-1,((ROW(A2)-1)*3)+MOD(COLUMN(C2),3),'SPC background (hide)'!$I$11,1))</f>
        <v>0</v>
      </c>
      <c r="BG7" s="5">
        <f ca="1">SUM(OFFSET($BQ$4,'SPC background (hide)'!$C$4-1,((ROW(B2)-1)*3)+MOD(COLUMN(D2),3),'SPC background (hide)'!$I$11,1))</f>
        <v>110</v>
      </c>
      <c r="BH7" s="5">
        <f ca="1">SUM(OFFSET($BQ$4,'SPC background (hide)'!$C$4-1,((ROW(C2)-1)*3)+MOD(COLUMN(E2),3),'SPC background (hide)'!$I$11,1))</f>
        <v>376</v>
      </c>
      <c r="BI7" s="5">
        <f t="shared" ref="BI7:BI15" ca="1" si="18">SUM(BF7:BH7)</f>
        <v>486</v>
      </c>
      <c r="BJ7" s="5">
        <f t="shared" ref="BJ7:BL7" ca="1" si="19">BF7*OFFSET($N$2,0,ROW(A2)-1,1,1)</f>
        <v>0</v>
      </c>
      <c r="BK7" s="5">
        <f t="shared" ca="1" si="19"/>
        <v>4400</v>
      </c>
      <c r="BL7" s="5">
        <f t="shared" ca="1" si="19"/>
        <v>15040</v>
      </c>
      <c r="BM7" s="5">
        <f t="shared" ref="BM7:BM15" ca="1" si="20">SUM(BJ7:BL7)</f>
        <v>19440</v>
      </c>
      <c r="BN7" s="5">
        <f t="shared" ref="BN7:BN15" ca="1" si="21">OFFSET($N$2,0,ROW(A2)-1,1,1)</f>
        <v>40</v>
      </c>
      <c r="BO7" s="84">
        <f t="shared" ref="BO7:BO15" ca="1" si="22">BM7/$BM$16</f>
        <v>0.75524475524475521</v>
      </c>
      <c r="BQ7">
        <f ca="1">IF($AN7="",OFFSET(Demand!$A$13,ROW(A4)-1,4+((QUOTIENT(COLUMN(BQ$2)-69,3))*5)+MOD(COLUMN(BQ$2),3),1,1),"")</f>
        <v>0</v>
      </c>
      <c r="BR7">
        <f ca="1">IF($AN7="",OFFSET(Demand!$A$13,ROW(B4)-1,4+((QUOTIENT(COLUMN(BR$2)-69,3))*5)+MOD(COLUMN(BR$2),3),1,1),"")</f>
        <v>1</v>
      </c>
      <c r="BS7">
        <f ca="1">IF($AN7="",OFFSET(Demand!$A$13,ROW(C4)-1,4+((QUOTIENT(COLUMN(BS$2)-69,3))*5)+MOD(COLUMN(BS$2),3),1,1),"")</f>
        <v>8</v>
      </c>
      <c r="BT7">
        <f ca="1">IF($AN7="",OFFSET(Demand!$A$13,ROW(D4)-1,4+((QUOTIENT(COLUMN(BT$2)-69,3))*5)+MOD(COLUMN(BT$2),3),1,1),"")</f>
        <v>0</v>
      </c>
      <c r="BU7">
        <f ca="1">IF($AN7="",OFFSET(Demand!$A$13,ROW(E4)-1,4+((QUOTIENT(COLUMN(BU$2)-69,3))*5)+MOD(COLUMN(BU$2),3),1,1),"")</f>
        <v>3</v>
      </c>
      <c r="BV7">
        <f ca="1">IF($AN7="",OFFSET(Demand!$A$13,ROW(F4)-1,4+((QUOTIENT(COLUMN(BV$2)-69,3))*5)+MOD(COLUMN(BV$2),3),1,1),"")</f>
        <v>9</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f ca="1">VLOOKUP(IF($DM7&lt;53,$DM7,52),'Summary Calculations (hide)'!$D$15:$F$67,2,0)</f>
        <v>551.5</v>
      </c>
      <c r="DP7" s="5">
        <f ca="1">VLOOKUP(IF($DM7&lt;53,$DM7,52),'Summary Calculations (hide)'!$D$15:$F$67,3,0)</f>
        <v>664</v>
      </c>
      <c r="DQ7" s="5">
        <f>IF(AND(DN7&gt;='Demand adjustments for Covid'!$F$12,DN7&lt;'Demand adjustments for Covid'!$F$17),'Demand adjustments for Covid'!$F$13,DO7)</f>
        <v>200</v>
      </c>
      <c r="DR7" s="5">
        <f t="shared" si="7"/>
        <v>0</v>
      </c>
      <c r="DS7" s="5">
        <f ca="1">IF('Demand adjustments for Covid'!$F$9="Yes",IF(DR7=0,DQ7,((SUM(DR$4:DR7)-1)*$EE$8)+'Demand adjustments for Covid'!F$13),'Demand background (hide)'!DO7)</f>
        <v>551.5</v>
      </c>
      <c r="DT7" s="5">
        <f ca="1">IF('Demand adjustments for Covid'!$F$9="Yes",IF(OR(AND(DN7&gt;='Demand adjustments for Covid'!$F$12,DN7&lt;'Demand adjustments for Covid'!$F$17),DR7=1),DS7+3,DP7),'Demand background (hide)'!DP7)</f>
        <v>664</v>
      </c>
      <c r="DU7" s="5">
        <f ca="1">IF(DS7&lt;='Demand adjustments for Covid'!$F$17,DO7-DS7,0)</f>
        <v>0</v>
      </c>
      <c r="DV7" s="5">
        <f ca="1">IF(AND(ROW(A4)&gt;$EE$5,ROW(A4)&lt;=$EA$5),OFFSET('Demand adjustments for Covid'!$F$35,0,ROW(A4)-'Demand background (hide)'!$EE$5,1,1),0)</f>
        <v>0</v>
      </c>
      <c r="DW7" s="5">
        <f ca="1">IF(AND(ROW(A4)&gt;$EE$5,ROW(A4)&lt;=$EA$5),OFFSET('Demand adjustments for Covid'!$F$36,0,ROW(A4)-'Demand background (hide)'!$EE$5,1,1),0)</f>
        <v>0</v>
      </c>
      <c r="DX7" s="5">
        <f t="shared" ca="1" si="11"/>
        <v>664</v>
      </c>
      <c r="ED7" s="5" t="s">
        <v>1196</v>
      </c>
      <c r="EE7" s="5">
        <f ca="1">INDEX($DO$4:$DO$55,EE5)</f>
        <v>551.5</v>
      </c>
    </row>
    <row r="8" spans="1:135" s="5" customFormat="1" x14ac:dyDescent="0.2">
      <c r="A8" s="5">
        <f t="shared" ca="1" si="3"/>
        <v>0</v>
      </c>
      <c r="B8" s="5">
        <f ca="1">COUNTBLANK(OFFSET(Demand!$I17,0,(COLUMN(A5)-1)*5,1,1))</f>
        <v>0</v>
      </c>
      <c r="C8" s="5">
        <f ca="1">COUNTBLANK(OFFSET(Demand!$I17,0,(COLUMN(B5)-1)*5,1,1))</f>
        <v>0</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90</v>
      </c>
      <c r="O8" s="5">
        <f ca="1">SUM(OFFSET(Demand!$E17,0,(COLUMN(B5)-1)*5,1,3))*O$2</f>
        <v>400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490</v>
      </c>
      <c r="Y8" s="5">
        <f t="shared" ca="1" si="5"/>
        <v>490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490</v>
      </c>
      <c r="AM8" s="5">
        <f t="shared" ca="1" si="9"/>
        <v>0</v>
      </c>
      <c r="AN8" s="5" t="str">
        <f>IF(Demand!BE17="Yes","Yes","")</f>
        <v/>
      </c>
      <c r="AP8" s="36" t="str">
        <f ca="1">Demand!B17</f>
        <v xml:space="preserve"> </v>
      </c>
      <c r="AQ8" s="5" t="str">
        <f ca="1">IF(TEXT(Demand!D17,"MMM")&lt;&gt;TEXT(Demand!D16,"MMM"),TEXT(Demand!D17,"MMM"),"")</f>
        <v/>
      </c>
      <c r="AT8" s="5">
        <f t="shared" ca="1" si="12"/>
        <v>260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f t="shared" ca="1" si="22"/>
        <v>0</v>
      </c>
      <c r="BQ8">
        <f ca="1">IF($AN8="",OFFSET(Demand!$A$13,ROW(A5)-1,4+((QUOTIENT(COLUMN(BQ$2)-69,3))*5)+MOD(COLUMN(BQ$2),3),1,1),"")</f>
        <v>0</v>
      </c>
      <c r="BR8">
        <f ca="1">IF($AN8="",OFFSET(Demand!$A$13,ROW(B5)-1,4+((QUOTIENT(COLUMN(BR$2)-69,3))*5)+MOD(COLUMN(BR$2),3),1,1),"")</f>
        <v>1</v>
      </c>
      <c r="BS8">
        <f ca="1">IF($AN8="",OFFSET(Demand!$A$13,ROW(C5)-1,4+((QUOTIENT(COLUMN(BS$2)-69,3))*5)+MOD(COLUMN(BS$2),3),1,1),"")</f>
        <v>2</v>
      </c>
      <c r="BT8">
        <f ca="1">IF($AN8="",OFFSET(Demand!$A$13,ROW(D5)-1,4+((QUOTIENT(COLUMN(BT$2)-69,3))*5)+MOD(COLUMN(BT$2),3),1,1),"")</f>
        <v>0</v>
      </c>
      <c r="BU8">
        <f ca="1">IF($AN8="",OFFSET(Demand!$A$13,ROW(E5)-1,4+((QUOTIENT(COLUMN(BU$2)-69,3))*5)+MOD(COLUMN(BU$2),3),1,1),"")</f>
        <v>3</v>
      </c>
      <c r="BV8">
        <f ca="1">IF($AN8="",OFFSET(Demand!$A$13,ROW(F5)-1,4+((QUOTIENT(COLUMN(BV$2)-69,3))*5)+MOD(COLUMN(BV$2),3),1,1),"")</f>
        <v>7</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f ca="1">VLOOKUP(IF($DM8&lt;53,$DM8,52),'Summary Calculations (hide)'!$D$15:$F$67,2,0)</f>
        <v>551.5</v>
      </c>
      <c r="DP8" s="5">
        <f ca="1">VLOOKUP(IF($DM8&lt;53,$DM8,52),'Summary Calculations (hide)'!$D$15:$F$67,3,0)</f>
        <v>664</v>
      </c>
      <c r="DQ8" s="5">
        <f>IF(AND(DN8&gt;='Demand adjustments for Covid'!$F$12,DN8&lt;'Demand adjustments for Covid'!$F$17),'Demand adjustments for Covid'!$F$13,DO8)</f>
        <v>200</v>
      </c>
      <c r="DR8" s="5">
        <f t="shared" si="7"/>
        <v>0</v>
      </c>
      <c r="DS8" s="5">
        <f ca="1">IF('Demand adjustments for Covid'!$F$9="Yes",IF(DR8=0,DQ8,((SUM(DR$4:DR8)-1)*$EE$8)+'Demand adjustments for Covid'!F$13),'Demand background (hide)'!DO8)</f>
        <v>551.5</v>
      </c>
      <c r="DT8" s="5">
        <f ca="1">IF('Demand adjustments for Covid'!$F$9="Yes",IF(OR(AND(DN8&gt;='Demand adjustments for Covid'!$F$12,DN8&lt;'Demand adjustments for Covid'!$F$17),DR8=1),DS8+3,DP8),'Demand background (hide)'!DP8)</f>
        <v>664</v>
      </c>
      <c r="DU8" s="5">
        <f ca="1">IF(DS8&lt;='Demand adjustments for Covid'!$F$17,DO8-DS8,0)</f>
        <v>0</v>
      </c>
      <c r="DV8" s="5">
        <f ca="1">IF(AND(ROW(A5)&gt;$EE$5,ROW(A5)&lt;=$EA$5),OFFSET('Demand adjustments for Covid'!$F$35,0,ROW(A5)-'Demand background (hide)'!$EE$5,1,1),0)</f>
        <v>0</v>
      </c>
      <c r="DW8" s="5">
        <f ca="1">IF(AND(ROW(A5)&gt;$EE$5,ROW(A5)&lt;=$EA$5),OFFSET('Demand adjustments for Covid'!$F$36,0,ROW(A5)-'Demand background (hide)'!$EE$5,1,1),0)</f>
        <v>0</v>
      </c>
      <c r="DX8" s="5">
        <f t="shared" ca="1" si="11"/>
        <v>664</v>
      </c>
      <c r="ED8" s="5" t="s">
        <v>1197</v>
      </c>
      <c r="EE8" s="5">
        <f ca="1">IF('Demand adjustments for Covid'!F18&gt;0,(EE7-'Demand adjustments for Covid'!F13)/'Demand adjustments for Covid'!F18,0)</f>
        <v>17.574999999999999</v>
      </c>
    </row>
    <row r="9" spans="1:135" s="5" customFormat="1" x14ac:dyDescent="0.2">
      <c r="A9" s="5">
        <f t="shared" ca="1" si="3"/>
        <v>0</v>
      </c>
      <c r="B9" s="5">
        <f ca="1">COUNTBLANK(OFFSET(Demand!$I18,0,(COLUMN(A6)-1)*5,1,1))</f>
        <v>0</v>
      </c>
      <c r="C9" s="5">
        <f ca="1">COUNTBLANK(OFFSET(Demand!$I18,0,(COLUMN(B6)-1)*5,1,1))</f>
        <v>0</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120</v>
      </c>
      <c r="O9" s="5">
        <f ca="1">SUM(OFFSET(Demand!$E18,0,(COLUMN(B6)-1)*5,1,3))*O$2</f>
        <v>280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400</v>
      </c>
      <c r="Y9" s="5">
        <f t="shared" ca="1" si="5"/>
        <v>400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400</v>
      </c>
      <c r="AM9" s="5">
        <f t="shared" ca="1" si="9"/>
        <v>0</v>
      </c>
      <c r="AN9" s="5" t="str">
        <f>IF(Demand!BE18="Yes","Yes","")</f>
        <v/>
      </c>
      <c r="AP9" s="36" t="str">
        <f ca="1">Demand!B18</f>
        <v xml:space="preserve"> </v>
      </c>
      <c r="AQ9" s="5" t="str">
        <f ca="1">IF(TEXT(Demand!D18,"MMM")&lt;&gt;TEXT(Demand!D17,"MMM"),TEXT(Demand!D18,"MMM"),"")</f>
        <v>May</v>
      </c>
      <c r="AT9" s="5">
        <f t="shared" ca="1" si="12"/>
        <v>90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f t="shared" ca="1" si="22"/>
        <v>0</v>
      </c>
      <c r="BQ9">
        <f ca="1">IF($AN9="",OFFSET(Demand!$A$13,ROW(A6)-1,4+((QUOTIENT(COLUMN(BQ$2)-69,3))*5)+MOD(COLUMN(BQ$2),3),1,1),"")</f>
        <v>0</v>
      </c>
      <c r="BR9">
        <f ca="1">IF($AN9="",OFFSET(Demand!$A$13,ROW(B6)-1,4+((QUOTIENT(COLUMN(BR$2)-69,3))*5)+MOD(COLUMN(BR$2),3),1,1),"")</f>
        <v>0</v>
      </c>
      <c r="BS9">
        <f ca="1">IF($AN9="",OFFSET(Demand!$A$13,ROW(C6)-1,4+((QUOTIENT(COLUMN(BS$2)-69,3))*5)+MOD(COLUMN(BS$2),3),1,1),"")</f>
        <v>4</v>
      </c>
      <c r="BT9">
        <f ca="1">IF($AN9="",OFFSET(Demand!$A$13,ROW(D6)-1,4+((QUOTIENT(COLUMN(BT$2)-69,3))*5)+MOD(COLUMN(BT$2),3),1,1),"")</f>
        <v>0</v>
      </c>
      <c r="BU9">
        <f ca="1">IF($AN9="",OFFSET(Demand!$A$13,ROW(E6)-1,4+((QUOTIENT(COLUMN(BU$2)-69,3))*5)+MOD(COLUMN(BU$2),3),1,1),"")</f>
        <v>2</v>
      </c>
      <c r="BV9">
        <f ca="1">IF($AN9="",OFFSET(Demand!$A$13,ROW(F6)-1,4+((QUOTIENT(COLUMN(BV$2)-69,3))*5)+MOD(COLUMN(BV$2),3),1,1),"")</f>
        <v>5</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f ca="1">VLOOKUP(IF($DM9&lt;53,$DM9,52),'Summary Calculations (hide)'!$D$15:$F$67,2,0)</f>
        <v>551.5</v>
      </c>
      <c r="DP9" s="5">
        <f ca="1">VLOOKUP(IF($DM9&lt;53,$DM9,52),'Summary Calculations (hide)'!$D$15:$F$67,3,0)</f>
        <v>664</v>
      </c>
      <c r="DQ9" s="5">
        <f>IF(AND(DN9&gt;='Demand adjustments for Covid'!$F$12,DN9&lt;'Demand adjustments for Covid'!$F$17),'Demand adjustments for Covid'!$F$13,DO9)</f>
        <v>200</v>
      </c>
      <c r="DR9" s="5">
        <f t="shared" si="7"/>
        <v>0</v>
      </c>
      <c r="DS9" s="5">
        <f ca="1">IF('Demand adjustments for Covid'!$F$9="Yes",IF(DR9=0,DQ9,((SUM(DR$4:DR9)-1)*$EE$8)+'Demand adjustments for Covid'!F$13),'Demand background (hide)'!DO9)</f>
        <v>551.5</v>
      </c>
      <c r="DT9" s="5">
        <f ca="1">IF('Demand adjustments for Covid'!$F$9="Yes",IF(OR(AND(DN9&gt;='Demand adjustments for Covid'!$F$12,DN9&lt;'Demand adjustments for Covid'!$F$17),DR9=1),DS9+3,DP9),'Demand background (hide)'!DP9)</f>
        <v>664</v>
      </c>
      <c r="DU9" s="5">
        <f ca="1">IF(DS9&lt;='Demand adjustments for Covid'!$F$17,DO9-DS9,0)</f>
        <v>0</v>
      </c>
      <c r="DV9" s="5">
        <f ca="1">IF(AND(ROW(A6)&gt;$EE$5,ROW(A6)&lt;=$EA$5),OFFSET('Demand adjustments for Covid'!$F$35,0,ROW(A6)-'Demand background (hide)'!$EE$5,1,1),0)</f>
        <v>0</v>
      </c>
      <c r="DW9" s="5">
        <f ca="1">IF(AND(ROW(A6)&gt;$EE$5,ROW(A6)&lt;=$EA$5),OFFSET('Demand adjustments for Covid'!$F$36,0,ROW(A6)-'Demand background (hide)'!$EE$5,1,1),0)</f>
        <v>0</v>
      </c>
      <c r="DX9" s="5">
        <f t="shared" ca="1" si="11"/>
        <v>664</v>
      </c>
    </row>
    <row r="10" spans="1:135" s="5" customFormat="1" x14ac:dyDescent="0.2">
      <c r="A10" s="5">
        <f t="shared" ca="1" si="3"/>
        <v>0</v>
      </c>
      <c r="B10" s="5">
        <f ca="1">COUNTBLANK(OFFSET(Demand!$I19,0,(COLUMN(A7)-1)*5,1,1))</f>
        <v>0</v>
      </c>
      <c r="C10" s="5">
        <f ca="1">COUNTBLANK(OFFSET(Demand!$I19,0,(COLUMN(B7)-1)*5,1,1))</f>
        <v>0</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150</v>
      </c>
      <c r="O10" s="5">
        <f ca="1">SUM(OFFSET(Demand!$E19,0,(COLUMN(B7)-1)*5,1,3))*O$2</f>
        <v>440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590</v>
      </c>
      <c r="Y10" s="5">
        <f t="shared" ca="1" si="5"/>
        <v>590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590</v>
      </c>
      <c r="AM10" s="5">
        <f t="shared" ca="1" si="9"/>
        <v>0</v>
      </c>
      <c r="AN10" s="5" t="str">
        <f>IF(Demand!BE19="Yes","Yes","")</f>
        <v/>
      </c>
      <c r="AP10" s="36" t="str">
        <f ca="1">Demand!B19</f>
        <v xml:space="preserve"> </v>
      </c>
      <c r="AQ10" s="5" t="str">
        <f ca="1">IF(TEXT(Demand!D19,"MMM")&lt;&gt;TEXT(Demand!D18,"MMM"),TEXT(Demand!D19,"MMM"),"")</f>
        <v/>
      </c>
      <c r="AT10" s="5">
        <f t="shared" ca="1" si="12"/>
        <v>190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f t="shared" ca="1" si="22"/>
        <v>0</v>
      </c>
      <c r="BQ10">
        <f ca="1">IF($AN10="",OFFSET(Demand!$A$13,ROW(A7)-1,4+((QUOTIENT(COLUMN(BQ$2)-69,3))*5)+MOD(COLUMN(BQ$2),3),1,1),"")</f>
        <v>0</v>
      </c>
      <c r="BR10">
        <f ca="1">IF($AN10="",OFFSET(Demand!$A$13,ROW(B7)-1,4+((QUOTIENT(COLUMN(BR$2)-69,3))*5)+MOD(COLUMN(BR$2),3),1,1),"")</f>
        <v>1</v>
      </c>
      <c r="BS10">
        <f ca="1">IF($AN10="",OFFSET(Demand!$A$13,ROW(C7)-1,4+((QUOTIENT(COLUMN(BS$2)-69,3))*5)+MOD(COLUMN(BS$2),3),1,1),"")</f>
        <v>4</v>
      </c>
      <c r="BT10">
        <f ca="1">IF($AN10="",OFFSET(Demand!$A$13,ROW(D7)-1,4+((QUOTIENT(COLUMN(BT$2)-69,3))*5)+MOD(COLUMN(BT$2),3),1,1),"")</f>
        <v>0</v>
      </c>
      <c r="BU10">
        <f ca="1">IF($AN10="",OFFSET(Demand!$A$13,ROW(E7)-1,4+((QUOTIENT(COLUMN(BU$2)-69,3))*5)+MOD(COLUMN(BU$2),3),1,1),"")</f>
        <v>2</v>
      </c>
      <c r="BV10">
        <f ca="1">IF($AN10="",OFFSET(Demand!$A$13,ROW(F7)-1,4+((QUOTIENT(COLUMN(BV$2)-69,3))*5)+MOD(COLUMN(BV$2),3),1,1),"")</f>
        <v>9</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f ca="1">VLOOKUP(IF($DM10&lt;53,$DM10,52),'Summary Calculations (hide)'!$D$15:$F$67,2,0)</f>
        <v>551.5</v>
      </c>
      <c r="DP10" s="5">
        <f ca="1">VLOOKUP(IF($DM10&lt;53,$DM10,52),'Summary Calculations (hide)'!$D$15:$F$67,3,0)</f>
        <v>664</v>
      </c>
      <c r="DQ10" s="5">
        <f ca="1">IF(AND(DN10&gt;='Demand adjustments for Covid'!$F$12,DN10&lt;'Demand adjustments for Covid'!$F$17),'Demand adjustments for Covid'!$F$13,DO10)</f>
        <v>551.5</v>
      </c>
      <c r="DR10" s="5">
        <f t="shared" si="7"/>
        <v>1</v>
      </c>
      <c r="DS10" s="5">
        <f ca="1">IF('Demand adjustments for Covid'!$F$9="Yes",IF(DR10=0,DQ10,((SUM(DR$4:DR10)-1)*$EE$8)+'Demand adjustments for Covid'!F$13),'Demand background (hide)'!DO10)</f>
        <v>551.5</v>
      </c>
      <c r="DT10" s="5">
        <f ca="1">IF('Demand adjustments for Covid'!$F$9="Yes",IF(OR(AND(DN10&gt;='Demand adjustments for Covid'!$F$12,DN10&lt;'Demand adjustments for Covid'!$F$17),DR10=1),DS10+3,DP10),'Demand background (hide)'!DP10)</f>
        <v>664</v>
      </c>
      <c r="DU10" s="5">
        <f ca="1">IF(DS10&lt;='Demand adjustments for Covid'!$F$17,DO10-DS10,0)</f>
        <v>0</v>
      </c>
      <c r="DV10" s="5">
        <f ca="1">IF(AND(ROW(A7)&gt;$EE$5,ROW(A7)&lt;=$EA$5),OFFSET('Demand adjustments for Covid'!$F$35,0,ROW(A7)-'Demand background (hide)'!$EE$5,1,1),0)</f>
        <v>0</v>
      </c>
      <c r="DW10" s="5">
        <f ca="1">IF(AND(ROW(A7)&gt;$EE$5,ROW(A7)&lt;=$EA$5),OFFSET('Demand adjustments for Covid'!$F$36,0,ROW(A7)-'Demand background (hide)'!$EE$5,1,1),0)</f>
        <v>0</v>
      </c>
      <c r="DX10" s="5">
        <f t="shared" ca="1" si="11"/>
        <v>664</v>
      </c>
      <c r="ED10" s="5" t="s">
        <v>1200</v>
      </c>
      <c r="EE10" s="5">
        <f ca="1">SUM(DU4:DU55)</f>
        <v>0</v>
      </c>
    </row>
    <row r="11" spans="1:135" s="5" customFormat="1" x14ac:dyDescent="0.2">
      <c r="A11" s="5">
        <f t="shared" ca="1" si="3"/>
        <v>0</v>
      </c>
      <c r="B11" s="5">
        <f ca="1">COUNTBLANK(OFFSET(Demand!$I20,0,(COLUMN(A8)-1)*5,1,1))</f>
        <v>0</v>
      </c>
      <c r="C11" s="5">
        <f ca="1">COUNTBLANK(OFFSET(Demand!$I20,0,(COLUMN(B8)-1)*5,1,1))</f>
        <v>0</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90</v>
      </c>
      <c r="O11" s="5">
        <f ca="1">SUM(OFFSET(Demand!$E20,0,(COLUMN(B8)-1)*5,1,3))*O$2</f>
        <v>360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450</v>
      </c>
      <c r="Y11" s="5">
        <f t="shared" ca="1" si="5"/>
        <v>450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450</v>
      </c>
      <c r="AM11" s="5">
        <f t="shared" ca="1" si="9"/>
        <v>0</v>
      </c>
      <c r="AN11" s="5" t="str">
        <f>IF(Demand!BE20="Yes","Yes","")</f>
        <v/>
      </c>
      <c r="AP11" s="36" t="str">
        <f ca="1">Demand!B20</f>
        <v xml:space="preserve"> </v>
      </c>
      <c r="AQ11" s="5" t="str">
        <f ca="1">IF(TEXT(Demand!D20,"MMM")&lt;&gt;TEXT(Demand!D19,"MMM"),TEXT(Demand!D20,"MMM"),"")</f>
        <v/>
      </c>
      <c r="AT11" s="5">
        <f t="shared" ca="1" si="12"/>
        <v>140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f t="shared" ca="1" si="22"/>
        <v>0</v>
      </c>
      <c r="BQ11">
        <f ca="1">IF($AN11="",OFFSET(Demand!$A$13,ROW(A8)-1,4+((QUOTIENT(COLUMN(BQ$2)-69,3))*5)+MOD(COLUMN(BQ$2),3),1,1),"")</f>
        <v>0</v>
      </c>
      <c r="BR11">
        <f ca="1">IF($AN11="",OFFSET(Demand!$A$13,ROW(B8)-1,4+((QUOTIENT(COLUMN(BR$2)-69,3))*5)+MOD(COLUMN(BR$2),3),1,1),"")</f>
        <v>0</v>
      </c>
      <c r="BS11">
        <f ca="1">IF($AN11="",OFFSET(Demand!$A$13,ROW(C8)-1,4+((QUOTIENT(COLUMN(BS$2)-69,3))*5)+MOD(COLUMN(BS$2),3),1,1),"")</f>
        <v>3</v>
      </c>
      <c r="BT11">
        <f ca="1">IF($AN11="",OFFSET(Demand!$A$13,ROW(D8)-1,4+((QUOTIENT(COLUMN(BT$2)-69,3))*5)+MOD(COLUMN(BT$2),3),1,1),"")</f>
        <v>0</v>
      </c>
      <c r="BU11">
        <f ca="1">IF($AN11="",OFFSET(Demand!$A$13,ROW(E8)-1,4+((QUOTIENT(COLUMN(BU$2)-69,3))*5)+MOD(COLUMN(BU$2),3),1,1),"")</f>
        <v>2</v>
      </c>
      <c r="BV11">
        <f ca="1">IF($AN11="",OFFSET(Demand!$A$13,ROW(F8)-1,4+((QUOTIENT(COLUMN(BV$2)-69,3))*5)+MOD(COLUMN(BV$2),3),1,1),"")</f>
        <v>7</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f ca="1">VLOOKUP(IF($DM11&lt;53,$DM11,52),'Summary Calculations (hide)'!$D$15:$F$67,2,0)</f>
        <v>551.5</v>
      </c>
      <c r="DP11" s="5">
        <f ca="1">VLOOKUP(IF($DM11&lt;53,$DM11,52),'Summary Calculations (hide)'!$D$15:$F$67,3,0)</f>
        <v>664</v>
      </c>
      <c r="DQ11" s="5">
        <f ca="1">IF(AND(DN11&gt;='Demand adjustments for Covid'!$F$12,DN11&lt;'Demand adjustments for Covid'!$F$17),'Demand adjustments for Covid'!$F$13,DO11)</f>
        <v>551.5</v>
      </c>
      <c r="DR11" s="5">
        <f t="shared" si="7"/>
        <v>1</v>
      </c>
      <c r="DS11" s="5">
        <f ca="1">IF('Demand adjustments for Covid'!$F$9="Yes",IF(DR11=0,DQ11,((SUM(DR$4:DR11)-1)*$EE$8)+'Demand adjustments for Covid'!F$13),'Demand background (hide)'!DO11)</f>
        <v>551.5</v>
      </c>
      <c r="DT11" s="5">
        <f ca="1">IF('Demand adjustments for Covid'!$F$9="Yes",IF(OR(AND(DN11&gt;='Demand adjustments for Covid'!$F$12,DN11&lt;'Demand adjustments for Covid'!$F$17),DR11=1),DS11+3,DP11),'Demand background (hide)'!DP11)</f>
        <v>664</v>
      </c>
      <c r="DU11" s="5">
        <f ca="1">IF(DS11&lt;='Demand adjustments for Covid'!$F$17,DO11-DS11,0)</f>
        <v>0</v>
      </c>
      <c r="DV11" s="5">
        <f ca="1">IF(AND(ROW(A8)&gt;$EE$5,ROW(A8)&lt;=$EA$5),OFFSET('Demand adjustments for Covid'!$F$35,0,ROW(A8)-'Demand background (hide)'!$EE$5,1,1),0)</f>
        <v>0</v>
      </c>
      <c r="DW11" s="5">
        <f ca="1">IF(AND(ROW(A8)&gt;$EE$5,ROW(A8)&lt;=$EA$5),OFFSET('Demand adjustments for Covid'!$F$36,0,ROW(A8)-'Demand background (hide)'!$EE$5,1,1),0)</f>
        <v>0</v>
      </c>
      <c r="DX11" s="5">
        <f t="shared" ca="1" si="11"/>
        <v>664</v>
      </c>
    </row>
    <row r="12" spans="1:135" s="5" customFormat="1" x14ac:dyDescent="0.2">
      <c r="A12" s="5">
        <f t="shared" ca="1" si="3"/>
        <v>0</v>
      </c>
      <c r="B12" s="5">
        <f ca="1">COUNTBLANK(OFFSET(Demand!$I21,0,(COLUMN(A9)-1)*5,1,1))</f>
        <v>0</v>
      </c>
      <c r="C12" s="5">
        <f ca="1">COUNTBLANK(OFFSET(Demand!$I21,0,(COLUMN(B9)-1)*5,1,1))</f>
        <v>0</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60</v>
      </c>
      <c r="O12" s="5">
        <f ca="1">SUM(OFFSET(Demand!$E21,0,(COLUMN(B9)-1)*5,1,3))*O$2</f>
        <v>200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260</v>
      </c>
      <c r="Y12" s="5">
        <f t="shared" ca="1" si="5"/>
        <v>260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260</v>
      </c>
      <c r="AM12" s="5">
        <f t="shared" ca="1" si="9"/>
        <v>0</v>
      </c>
      <c r="AN12" s="5" t="str">
        <f>IF(Demand!BE21="Yes","Yes","")</f>
        <v/>
      </c>
      <c r="AP12" s="36" t="str">
        <f ca="1">Demand!B21</f>
        <v xml:space="preserve"> </v>
      </c>
      <c r="AQ12" s="5" t="str">
        <f ca="1">IF(TEXT(Demand!D21,"MMM")&lt;&gt;TEXT(Demand!D20,"MMM"),TEXT(Demand!D21,"MMM"),"")</f>
        <v/>
      </c>
      <c r="AT12" s="5">
        <f t="shared" ca="1" si="12"/>
        <v>190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f t="shared" ca="1" si="22"/>
        <v>0</v>
      </c>
      <c r="BQ12">
        <f ca="1">IF($AN12="",OFFSET(Demand!$A$13,ROW(A9)-1,4+((QUOTIENT(COLUMN(BQ$2)-69,3))*5)+MOD(COLUMN(BQ$2),3),1,1),"")</f>
        <v>0</v>
      </c>
      <c r="BR12">
        <f ca="1">IF($AN12="",OFFSET(Demand!$A$13,ROW(B9)-1,4+((QUOTIENT(COLUMN(BR$2)-69,3))*5)+MOD(COLUMN(BR$2),3),1,1),"")</f>
        <v>2</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5</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f ca="1">VLOOKUP(IF($DM12&lt;53,$DM12,52),'Summary Calculations (hide)'!$D$15:$F$67,2,0)</f>
        <v>551.5</v>
      </c>
      <c r="DP12" s="5">
        <f ca="1">VLOOKUP(IF($DM12&lt;53,$DM12,52),'Summary Calculations (hide)'!$D$15:$F$67,3,0)</f>
        <v>664</v>
      </c>
      <c r="DQ12" s="5">
        <f ca="1">IF(AND(DN12&gt;='Demand adjustments for Covid'!$F$12,DN12&lt;'Demand adjustments for Covid'!$F$17),'Demand adjustments for Covid'!$F$13,DO12)</f>
        <v>551.5</v>
      </c>
      <c r="DR12" s="5">
        <f t="shared" si="7"/>
        <v>1</v>
      </c>
      <c r="DS12" s="5">
        <f ca="1">IF('Demand adjustments for Covid'!$F$9="Yes",IF(DR12=0,DQ12,((SUM(DR$4:DR12)-1)*$EE$8)+'Demand adjustments for Covid'!F$13),'Demand background (hide)'!DO12)</f>
        <v>551.5</v>
      </c>
      <c r="DT12" s="5">
        <f ca="1">IF('Demand adjustments for Covid'!$F$9="Yes",IF(OR(AND(DN12&gt;='Demand adjustments for Covid'!$F$12,DN12&lt;'Demand adjustments for Covid'!$F$17),DR12=1),DS12+3,DP12),'Demand background (hide)'!DP12)</f>
        <v>664</v>
      </c>
      <c r="DU12" s="5">
        <f ca="1">IF(DS12&lt;='Demand adjustments for Covid'!$F$17,DO12-DS12,0)</f>
        <v>0</v>
      </c>
      <c r="DV12" s="5">
        <f ca="1">IF(AND(ROW(A9)&gt;$EE$5,ROW(A9)&lt;=$EA$5),OFFSET('Demand adjustments for Covid'!$F$35,0,ROW(A9)-'Demand background (hide)'!$EE$5,1,1),0)</f>
        <v>0</v>
      </c>
      <c r="DW12" s="5">
        <f ca="1">IF(AND(ROW(A9)&gt;$EE$5,ROW(A9)&lt;=$EA$5),OFFSET('Demand adjustments for Covid'!$F$36,0,ROW(A9)-'Demand background (hide)'!$EE$5,1,1),0)</f>
        <v>0</v>
      </c>
      <c r="DX12" s="5">
        <f t="shared" ca="1" si="11"/>
        <v>664</v>
      </c>
    </row>
    <row r="13" spans="1:135" s="5" customFormat="1" x14ac:dyDescent="0.2">
      <c r="A13" s="5">
        <f t="shared" ca="1" si="3"/>
        <v>0</v>
      </c>
      <c r="B13" s="5">
        <f ca="1">COUNTBLANK(OFFSET(Demand!$I22,0,(COLUMN(A10)-1)*5,1,1))</f>
        <v>0</v>
      </c>
      <c r="C13" s="5">
        <f ca="1">COUNTBLANK(OFFSET(Demand!$I22,0,(COLUMN(B10)-1)*5,1,1))</f>
        <v>0</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240</v>
      </c>
      <c r="O13" s="5">
        <f ca="1">SUM(OFFSET(Demand!$E22,0,(COLUMN(B10)-1)*5,1,3))*O$2</f>
        <v>360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600</v>
      </c>
      <c r="Y13" s="5">
        <f t="shared" ca="1" si="5"/>
        <v>600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600</v>
      </c>
      <c r="AM13" s="5">
        <f t="shared" ca="1" si="9"/>
        <v>0</v>
      </c>
      <c r="AN13" s="5" t="str">
        <f>IF(Demand!BE22="Yes","Yes","")</f>
        <v/>
      </c>
      <c r="AP13" s="36" t="str">
        <f ca="1">Demand!B22</f>
        <v xml:space="preserve"> </v>
      </c>
      <c r="AQ13" s="5" t="str">
        <f ca="1">IF(TEXT(Demand!D22,"MMM")&lt;&gt;TEXT(Demand!D21,"MMM"),TEXT(Demand!D22,"MMM"),"")</f>
        <v/>
      </c>
      <c r="AT13" s="5">
        <f t="shared" ca="1" si="12"/>
        <v>340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f t="shared" ca="1" si="22"/>
        <v>0</v>
      </c>
      <c r="BQ13">
        <f ca="1">IF($AN13="",OFFSET(Demand!$A$13,ROW(A10)-1,4+((QUOTIENT(COLUMN(BQ$2)-69,3))*5)+MOD(COLUMN(BQ$2),3),1,1),"")</f>
        <v>0</v>
      </c>
      <c r="BR13">
        <f ca="1">IF($AN13="",OFFSET(Demand!$A$13,ROW(B10)-1,4+((QUOTIENT(COLUMN(BR$2)-69,3))*5)+MOD(COLUMN(BR$2),3),1,1),"")</f>
        <v>4</v>
      </c>
      <c r="BS13">
        <f ca="1">IF($AN13="",OFFSET(Demand!$A$13,ROW(C10)-1,4+((QUOTIENT(COLUMN(BS$2)-69,3))*5)+MOD(COLUMN(BS$2),3),1,1),"")</f>
        <v>4</v>
      </c>
      <c r="BT13">
        <f ca="1">IF($AN13="",OFFSET(Demand!$A$13,ROW(D10)-1,4+((QUOTIENT(COLUMN(BT$2)-69,3))*5)+MOD(COLUMN(BT$2),3),1,1),"")</f>
        <v>0</v>
      </c>
      <c r="BU13">
        <f ca="1">IF($AN13="",OFFSET(Demand!$A$13,ROW(E10)-1,4+((QUOTIENT(COLUMN(BU$2)-69,3))*5)+MOD(COLUMN(BU$2),3),1,1),"")</f>
        <v>1</v>
      </c>
      <c r="BV13">
        <f ca="1">IF($AN13="",OFFSET(Demand!$A$13,ROW(F10)-1,4+((QUOTIENT(COLUMN(BV$2)-69,3))*5)+MOD(COLUMN(BV$2),3),1,1),"")</f>
        <v>8</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f ca="1">VLOOKUP(IF($DM13&lt;53,$DM13,52),'Summary Calculations (hide)'!$D$15:$F$67,2,0)</f>
        <v>551.5</v>
      </c>
      <c r="DP13" s="5">
        <f ca="1">VLOOKUP(IF($DM13&lt;53,$DM13,52),'Summary Calculations (hide)'!$D$15:$F$67,3,0)</f>
        <v>664</v>
      </c>
      <c r="DQ13" s="5">
        <f ca="1">IF(AND(DN13&gt;='Demand adjustments for Covid'!$F$12,DN13&lt;'Demand adjustments for Covid'!$F$17),'Demand adjustments for Covid'!$F$13,DO13)</f>
        <v>551.5</v>
      </c>
      <c r="DR13" s="5">
        <f t="shared" si="7"/>
        <v>1</v>
      </c>
      <c r="DS13" s="5">
        <f ca="1">IF('Demand adjustments for Covid'!$F$9="Yes",IF(DR13=0,DQ13,((SUM(DR$4:DR13)-1)*$EE$8)+'Demand adjustments for Covid'!F$13),'Demand background (hide)'!DO13)</f>
        <v>551.5</v>
      </c>
      <c r="DT13" s="5">
        <f ca="1">IF('Demand adjustments for Covid'!$F$9="Yes",IF(OR(AND(DN13&gt;='Demand adjustments for Covid'!$F$12,DN13&lt;'Demand adjustments for Covid'!$F$17),DR13=1),DS13+3,DP13),'Demand background (hide)'!DP13)</f>
        <v>664</v>
      </c>
      <c r="DU13" s="5">
        <f ca="1">IF(DS13&lt;='Demand adjustments for Covid'!$F$17,DO13-DS13,0)</f>
        <v>0</v>
      </c>
      <c r="DV13" s="5">
        <f ca="1">IF(AND(ROW(A10)&gt;$EE$5,ROW(A10)&lt;=$EA$5),OFFSET('Demand adjustments for Covid'!$F$35,0,ROW(A10)-'Demand background (hide)'!$EE$5,1,1),0)</f>
        <v>0</v>
      </c>
      <c r="DW13" s="5">
        <f ca="1">IF(AND(ROW(A10)&gt;$EE$5,ROW(A10)&lt;=$EA$5),OFFSET('Demand adjustments for Covid'!$F$36,0,ROW(A10)-'Demand background (hide)'!$EE$5,1,1),0)</f>
        <v>0</v>
      </c>
      <c r="DX13" s="5">
        <f t="shared" ca="1" si="11"/>
        <v>664</v>
      </c>
    </row>
    <row r="14" spans="1:135" s="5" customFormat="1" x14ac:dyDescent="0.2">
      <c r="A14" s="5">
        <f t="shared" ca="1" si="3"/>
        <v>0</v>
      </c>
      <c r="B14" s="5">
        <f ca="1">COUNTBLANK(OFFSET(Demand!$I23,0,(COLUMN(A11)-1)*5,1,1))</f>
        <v>0</v>
      </c>
      <c r="C14" s="5">
        <f ca="1">COUNTBLANK(OFFSET(Demand!$I23,0,(COLUMN(B11)-1)*5,1,1))</f>
        <v>0</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120</v>
      </c>
      <c r="O14" s="5">
        <f ca="1">SUM(OFFSET(Demand!$E23,0,(COLUMN(B11)-1)*5,1,3))*O$2</f>
        <v>560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680</v>
      </c>
      <c r="Y14" s="5">
        <f t="shared" ca="1" si="5"/>
        <v>680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680</v>
      </c>
      <c r="AM14" s="5">
        <f t="shared" ca="1" si="9"/>
        <v>0</v>
      </c>
      <c r="AN14" s="5" t="str">
        <f>IF(Demand!BE23="Yes","Yes","")</f>
        <v/>
      </c>
      <c r="AP14" s="36" t="str">
        <f ca="1">Demand!B23</f>
        <v xml:space="preserve"> </v>
      </c>
      <c r="AQ14" s="5" t="str">
        <f ca="1">IF(TEXT(Demand!D23,"MMM")&lt;&gt;TEXT(Demand!D22,"MMM"),TEXT(Demand!D23,"MMM"),"")</f>
        <v>Jun</v>
      </c>
      <c r="AT14" s="5">
        <f t="shared" ca="1" si="12"/>
        <v>80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f t="shared" ca="1" si="22"/>
        <v>0</v>
      </c>
      <c r="BQ14">
        <f ca="1">IF($AN14="",OFFSET(Demand!$A$13,ROW(A11)-1,4+((QUOTIENT(COLUMN(BQ$2)-69,3))*5)+MOD(COLUMN(BQ$2),3),1,1),"")</f>
        <v>0</v>
      </c>
      <c r="BR14">
        <f ca="1">IF($AN14="",OFFSET(Demand!$A$13,ROW(B11)-1,4+((QUOTIENT(COLUMN(BR$2)-69,3))*5)+MOD(COLUMN(BR$2),3),1,1),"")</f>
        <v>2</v>
      </c>
      <c r="BS14">
        <f ca="1">IF($AN14="",OFFSET(Demand!$A$13,ROW(C11)-1,4+((QUOTIENT(COLUMN(BS$2)-69,3))*5)+MOD(COLUMN(BS$2),3),1,1),"")</f>
        <v>2</v>
      </c>
      <c r="BT14">
        <f ca="1">IF($AN14="",OFFSET(Demand!$A$13,ROW(D11)-1,4+((QUOTIENT(COLUMN(BT$2)-69,3))*5)+MOD(COLUMN(BT$2),3),1,1),"")</f>
        <v>0</v>
      </c>
      <c r="BU14">
        <f ca="1">IF($AN14="",OFFSET(Demand!$A$13,ROW(E11)-1,4+((QUOTIENT(COLUMN(BU$2)-69,3))*5)+MOD(COLUMN(BU$2),3),1,1),"")</f>
        <v>0</v>
      </c>
      <c r="BV14">
        <f ca="1">IF($AN14="",OFFSET(Demand!$A$13,ROW(F11)-1,4+((QUOTIENT(COLUMN(BV$2)-69,3))*5)+MOD(COLUMN(BV$2),3),1,1),"")</f>
        <v>14</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f ca="1">VLOOKUP(IF($DM14&lt;53,$DM14,52),'Summary Calculations (hide)'!$D$15:$F$67,2,0)</f>
        <v>551.5</v>
      </c>
      <c r="DP14" s="5">
        <f ca="1">VLOOKUP(IF($DM14&lt;53,$DM14,52),'Summary Calculations (hide)'!$D$15:$F$67,3,0)</f>
        <v>664</v>
      </c>
      <c r="DQ14" s="5">
        <f ca="1">IF(AND(DN14&gt;='Demand adjustments for Covid'!$F$12,DN14&lt;'Demand adjustments for Covid'!$F$17),'Demand adjustments for Covid'!$F$13,DO14)</f>
        <v>551.5</v>
      </c>
      <c r="DR14" s="5">
        <f t="shared" si="7"/>
        <v>1</v>
      </c>
      <c r="DS14" s="5">
        <f ca="1">IF('Demand adjustments for Covid'!$F$9="Yes",IF(DR14=0,DQ14,((SUM(DR$4:DR14)-1)*$EE$8)+'Demand adjustments for Covid'!F$13),'Demand background (hide)'!DO14)</f>
        <v>551.5</v>
      </c>
      <c r="DT14" s="5">
        <f ca="1">IF('Demand adjustments for Covid'!$F$9="Yes",IF(OR(AND(DN14&gt;='Demand adjustments for Covid'!$F$12,DN14&lt;'Demand adjustments for Covid'!$F$17),DR14=1),DS14+3,DP14),'Demand background (hide)'!DP14)</f>
        <v>664</v>
      </c>
      <c r="DU14" s="5">
        <f ca="1">IF(DS14&lt;='Demand adjustments for Covid'!$F$17,DO14-DS14,0)</f>
        <v>0</v>
      </c>
      <c r="DV14" s="5">
        <f ca="1">IF(AND(ROW(A11)&gt;$EE$5,ROW(A11)&lt;=$EA$5),OFFSET('Demand adjustments for Covid'!$F$35,0,ROW(A11)-'Demand background (hide)'!$EE$5,1,1),0)</f>
        <v>0</v>
      </c>
      <c r="DW14" s="5">
        <f ca="1">IF(AND(ROW(A11)&gt;$EE$5,ROW(A11)&lt;=$EA$5),OFFSET('Demand adjustments for Covid'!$F$36,0,ROW(A11)-'Demand background (hide)'!$EE$5,1,1),0)</f>
        <v>0</v>
      </c>
      <c r="DX14" s="5">
        <f t="shared" ca="1" si="11"/>
        <v>664</v>
      </c>
    </row>
    <row r="15" spans="1:135" s="5" customFormat="1" x14ac:dyDescent="0.2">
      <c r="A15" s="5">
        <f t="shared" ca="1" si="3"/>
        <v>0</v>
      </c>
      <c r="B15" s="5">
        <f ca="1">COUNTBLANK(OFFSET(Demand!$I24,0,(COLUMN(A12)-1)*5,1,1))</f>
        <v>0</v>
      </c>
      <c r="C15" s="5">
        <f ca="1">COUNTBLANK(OFFSET(Demand!$I24,0,(COLUMN(B12)-1)*5,1,1))</f>
        <v>0</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150</v>
      </c>
      <c r="O15" s="5">
        <f ca="1">SUM(OFFSET(Demand!$E24,0,(COLUMN(B12)-1)*5,1,3))*O$2</f>
        <v>200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350</v>
      </c>
      <c r="Y15" s="5">
        <f t="shared" ca="1" si="5"/>
        <v>350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350</v>
      </c>
      <c r="AM15" s="5">
        <f t="shared" ca="1" si="9"/>
        <v>0</v>
      </c>
      <c r="AN15" s="5" t="str">
        <f>IF(Demand!BE24="Yes","Yes","")</f>
        <v/>
      </c>
      <c r="AP15" s="36" t="str">
        <f ca="1">Demand!B24</f>
        <v xml:space="preserve"> </v>
      </c>
      <c r="AQ15" s="5" t="str">
        <f ca="1">IF(TEXT(Demand!D24,"MMM")&lt;&gt;TEXT(Demand!D23,"MMM"),TEXT(Demand!D24,"MMM"),"")</f>
        <v/>
      </c>
      <c r="AT15" s="5">
        <f t="shared" ca="1" si="12"/>
        <v>330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f t="shared" ca="1" si="22"/>
        <v>0</v>
      </c>
      <c r="BQ15">
        <f ca="1">IF($AN15="",OFFSET(Demand!$A$13,ROW(A12)-1,4+((QUOTIENT(COLUMN(BQ$2)-69,3))*5)+MOD(COLUMN(BQ$2),3),1,1),"")</f>
        <v>0</v>
      </c>
      <c r="BR15">
        <f ca="1">IF($AN15="",OFFSET(Demand!$A$13,ROW(B12)-1,4+((QUOTIENT(COLUMN(BR$2)-69,3))*5)+MOD(COLUMN(BR$2),3),1,1),"")</f>
        <v>2</v>
      </c>
      <c r="BS15">
        <f ca="1">IF($AN15="",OFFSET(Demand!$A$13,ROW(C12)-1,4+((QUOTIENT(COLUMN(BS$2)-69,3))*5)+MOD(COLUMN(BS$2),3),1,1),"")</f>
        <v>3</v>
      </c>
      <c r="BT15">
        <f ca="1">IF($AN15="",OFFSET(Demand!$A$13,ROW(D12)-1,4+((QUOTIENT(COLUMN(BT$2)-69,3))*5)+MOD(COLUMN(BT$2),3),1,1),"")</f>
        <v>0</v>
      </c>
      <c r="BU15">
        <f ca="1">IF($AN15="",OFFSET(Demand!$A$13,ROW(E12)-1,4+((QUOTIENT(COLUMN(BU$2)-69,3))*5)+MOD(COLUMN(BU$2),3),1,1),"")</f>
        <v>2</v>
      </c>
      <c r="BV15">
        <f ca="1">IF($AN15="",OFFSET(Demand!$A$13,ROW(F12)-1,4+((QUOTIENT(COLUMN(BV$2)-69,3))*5)+MOD(COLUMN(BV$2),3),1,1),"")</f>
        <v>3</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f ca="1">VLOOKUP(IF($DM15&lt;53,$DM15,52),'Summary Calculations (hide)'!$D$15:$F$67,2,0)</f>
        <v>551.5</v>
      </c>
      <c r="DP15" s="5">
        <f ca="1">VLOOKUP(IF($DM15&lt;53,$DM15,52),'Summary Calculations (hide)'!$D$15:$F$67,3,0)</f>
        <v>664</v>
      </c>
      <c r="DQ15" s="5">
        <f ca="1">IF(AND(DN15&gt;='Demand adjustments for Covid'!$F$12,DN15&lt;'Demand adjustments for Covid'!$F$17),'Demand adjustments for Covid'!$F$13,DO15)</f>
        <v>551.5</v>
      </c>
      <c r="DR15" s="5">
        <f t="shared" si="7"/>
        <v>1</v>
      </c>
      <c r="DS15" s="5">
        <f ca="1">IF('Demand adjustments for Covid'!$F$9="Yes",IF(DR15=0,DQ15,((SUM(DR$4:DR15)-1)*$EE$8)+'Demand adjustments for Covid'!F$13),'Demand background (hide)'!DO15)</f>
        <v>551.5</v>
      </c>
      <c r="DT15" s="5">
        <f ca="1">IF('Demand adjustments for Covid'!$F$9="Yes",IF(OR(AND(DN15&gt;='Demand adjustments for Covid'!$F$12,DN15&lt;'Demand adjustments for Covid'!$F$17),DR15=1),DS15+3,DP15),'Demand background (hide)'!DP15)</f>
        <v>664</v>
      </c>
      <c r="DU15" s="5">
        <f ca="1">IF(DS15&lt;='Demand adjustments for Covid'!$F$17,DO15-DS15,0)</f>
        <v>0</v>
      </c>
      <c r="DV15" s="5">
        <f ca="1">IF(AND(ROW(A12)&gt;$EE$5,ROW(A12)&lt;=$EA$5),OFFSET('Demand adjustments for Covid'!$F$35,0,ROW(A12)-'Demand background (hide)'!$EE$5,1,1),0)</f>
        <v>0</v>
      </c>
      <c r="DW15" s="5">
        <f ca="1">IF(AND(ROW(A12)&gt;$EE$5,ROW(A12)&lt;=$EA$5),OFFSET('Demand adjustments for Covid'!$F$36,0,ROW(A12)-'Demand background (hide)'!$EE$5,1,1),0)</f>
        <v>0</v>
      </c>
      <c r="DX15" s="5">
        <f t="shared" ca="1" si="11"/>
        <v>664</v>
      </c>
    </row>
    <row r="16" spans="1:135" s="5" customFormat="1" x14ac:dyDescent="0.2">
      <c r="A16" s="5">
        <f t="shared" ca="1" si="3"/>
        <v>0</v>
      </c>
      <c r="B16" s="5">
        <f ca="1">COUNTBLANK(OFFSET(Demand!$I25,0,(COLUMN(A13)-1)*5,1,1))</f>
        <v>0</v>
      </c>
      <c r="C16" s="5">
        <f ca="1">COUNTBLANK(OFFSET(Demand!$I25,0,(COLUMN(B13)-1)*5,1,1))</f>
        <v>0</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280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400</v>
      </c>
      <c r="Y16" s="5">
        <f t="shared" ca="1" si="5"/>
        <v>400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400</v>
      </c>
      <c r="AM16" s="5">
        <f t="shared" ca="1" si="9"/>
        <v>0</v>
      </c>
      <c r="AN16" s="5" t="str">
        <f>IF(Demand!BE25="Yes","Yes","")</f>
        <v/>
      </c>
      <c r="AP16" s="36" t="str">
        <f ca="1">Demand!B25</f>
        <v xml:space="preserve"> </v>
      </c>
      <c r="AQ16" s="5" t="str">
        <f ca="1">IF(TEXT(Demand!D25,"MMM")&lt;&gt;TEXT(Demand!D24,"MMM"),TEXT(Demand!D25,"MMM"),"")</f>
        <v/>
      </c>
      <c r="AT16" s="5">
        <f t="shared" ca="1" si="12"/>
        <v>50</v>
      </c>
      <c r="BB16" s="5" t="s">
        <v>24</v>
      </c>
      <c r="BC16" s="46">
        <f ca="1">BJ16/$BM16</f>
        <v>0</v>
      </c>
      <c r="BD16" s="46">
        <f ca="1">BK16/$BM16</f>
        <v>0.21756021756021757</v>
      </c>
      <c r="BE16" s="46">
        <f ca="1">BL16/$BM16</f>
        <v>0.78243978243978241</v>
      </c>
      <c r="BF16" s="5">
        <f t="shared" ref="BF16:BM16" ca="1" si="31">SUM(OFFSET(BF$6,0,0,Num_Modalities,1))</f>
        <v>0</v>
      </c>
      <c r="BG16" s="5">
        <f t="shared" ca="1" si="31"/>
        <v>150</v>
      </c>
      <c r="BH16" s="5">
        <f t="shared" ca="1" si="31"/>
        <v>546</v>
      </c>
      <c r="BI16" s="5">
        <f t="shared" ca="1" si="31"/>
        <v>696</v>
      </c>
      <c r="BJ16" s="5">
        <f t="shared" ca="1" si="31"/>
        <v>0</v>
      </c>
      <c r="BK16" s="5">
        <f t="shared" ca="1" si="31"/>
        <v>5600</v>
      </c>
      <c r="BL16" s="5">
        <f t="shared" ca="1" si="31"/>
        <v>20140</v>
      </c>
      <c r="BM16" s="5">
        <f t="shared" ca="1" si="31"/>
        <v>25740</v>
      </c>
      <c r="BN16" s="5">
        <f ca="1">IF(BI16=0,1,BM16/BI16)</f>
        <v>36.982758620689658</v>
      </c>
      <c r="BQ16">
        <f ca="1">IF($AN16="",OFFSET(Demand!$A$13,ROW(A13)-1,4+((QUOTIENT(COLUMN(BQ$2)-69,3))*5)+MOD(COLUMN(BQ$2),3),1,1),"")</f>
        <v>0</v>
      </c>
      <c r="BR16">
        <f ca="1">IF($AN16="",OFFSET(Demand!$A$13,ROW(B13)-1,4+((QUOTIENT(COLUMN(BR$2)-69,3))*5)+MOD(COLUMN(BR$2),3),1,1),"")</f>
        <v>2</v>
      </c>
      <c r="BS16">
        <f ca="1">IF($AN16="",OFFSET(Demand!$A$13,ROW(C13)-1,4+((QUOTIENT(COLUMN(BS$2)-69,3))*5)+MOD(COLUMN(BS$2),3),1,1),"")</f>
        <v>2</v>
      </c>
      <c r="BT16">
        <f ca="1">IF($AN16="",OFFSET(Demand!$A$13,ROW(D13)-1,4+((QUOTIENT(COLUMN(BT$2)-69,3))*5)+MOD(COLUMN(BT$2),3),1,1),"")</f>
        <v>0</v>
      </c>
      <c r="BU16">
        <f ca="1">IF($AN16="",OFFSET(Demand!$A$13,ROW(E13)-1,4+((QUOTIENT(COLUMN(BU$2)-69,3))*5)+MOD(COLUMN(BU$2),3),1,1),"")</f>
        <v>0</v>
      </c>
      <c r="BV16">
        <f ca="1">IF($AN16="",OFFSET(Demand!$A$13,ROW(F13)-1,4+((QUOTIENT(COLUMN(BV$2)-69,3))*5)+MOD(COLUMN(BV$2),3),1,1),"")</f>
        <v>7</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f ca="1">VLOOKUP(IF($DM16&lt;53,$DM16,52),'Summary Calculations (hide)'!$D$15:$F$67,2,0)</f>
        <v>551.5</v>
      </c>
      <c r="DP16" s="5">
        <f ca="1">VLOOKUP(IF($DM16&lt;53,$DM16,52),'Summary Calculations (hide)'!$D$15:$F$67,3,0)</f>
        <v>664</v>
      </c>
      <c r="DQ16" s="5">
        <f ca="1">IF(AND(DN16&gt;='Demand adjustments for Covid'!$F$12,DN16&lt;'Demand adjustments for Covid'!$F$17),'Demand adjustments for Covid'!$F$13,DO16)</f>
        <v>551.5</v>
      </c>
      <c r="DR16" s="5">
        <f t="shared" si="7"/>
        <v>1</v>
      </c>
      <c r="DS16" s="5">
        <f ca="1">IF('Demand adjustments for Covid'!$F$9="Yes",IF(DR16=0,DQ16,((SUM(DR$4:DR16)-1)*$EE$8)+'Demand adjustments for Covid'!F$13),'Demand background (hide)'!DO16)</f>
        <v>551.5</v>
      </c>
      <c r="DT16" s="5">
        <f ca="1">IF('Demand adjustments for Covid'!$F$9="Yes",IF(OR(AND(DN16&gt;='Demand adjustments for Covid'!$F$12,DN16&lt;'Demand adjustments for Covid'!$F$17),DR16=1),DS16+3,DP16),'Demand background (hide)'!DP16)</f>
        <v>664</v>
      </c>
      <c r="DU16" s="5">
        <f ca="1">IF(DS16&lt;='Demand adjustments for Covid'!$F$17,DO16-DS16,0)</f>
        <v>0</v>
      </c>
      <c r="DV16" s="5">
        <f ca="1">IF(AND(ROW(A13)&gt;$EE$5,ROW(A13)&lt;=$EA$5),OFFSET('Demand adjustments for Covid'!$F$35,0,ROW(A13)-'Demand background (hide)'!$EE$5,1,1),0)</f>
        <v>0</v>
      </c>
      <c r="DW16" s="5">
        <f ca="1">IF(AND(ROW(A13)&gt;$EE$5,ROW(A13)&lt;=$EA$5),OFFSET('Demand adjustments for Covid'!$F$36,0,ROW(A13)-'Demand background (hide)'!$EE$5,1,1),0)</f>
        <v>0</v>
      </c>
      <c r="DX16" s="5">
        <f t="shared" ca="1" si="11"/>
        <v>664</v>
      </c>
    </row>
    <row r="17" spans="1:128" s="5" customFormat="1" x14ac:dyDescent="0.2">
      <c r="A17" s="5">
        <f t="shared" ca="1" si="3"/>
        <v>0</v>
      </c>
      <c r="B17" s="5">
        <f ca="1">COUNTBLANK(OFFSET(Demand!$I26,0,(COLUMN(A14)-1)*5,1,1))</f>
        <v>0</v>
      </c>
      <c r="C17" s="5">
        <f ca="1">COUNTBLANK(OFFSET(Demand!$I26,0,(COLUMN(B14)-1)*5,1,1))</f>
        <v>0</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150</v>
      </c>
      <c r="O17" s="5">
        <f ca="1">SUM(OFFSET(Demand!$E26,0,(COLUMN(B14)-1)*5,1,3))*O$2</f>
        <v>520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670</v>
      </c>
      <c r="Y17" s="5">
        <f t="shared" ca="1" si="5"/>
        <v>670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670</v>
      </c>
      <c r="AM17" s="5">
        <f t="shared" ca="1" si="9"/>
        <v>0</v>
      </c>
      <c r="AN17" s="5" t="str">
        <f>IF(Demand!BE26="Yes","Yes","")</f>
        <v/>
      </c>
      <c r="AP17" s="36" t="str">
        <f ca="1">Demand!B26</f>
        <v xml:space="preserve"> </v>
      </c>
      <c r="AQ17" s="5" t="str">
        <f ca="1">IF(TEXT(Demand!D26,"MMM")&lt;&gt;TEXT(Demand!D25,"MMM"),TEXT(Demand!D26,"MMM"),"")</f>
        <v/>
      </c>
      <c r="AT17" s="5">
        <f t="shared" ca="1" si="12"/>
        <v>270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1</v>
      </c>
      <c r="BS17">
        <f ca="1">IF($AN17="",OFFSET(Demand!$A$13,ROW(C14)-1,4+((QUOTIENT(COLUMN(BS$2)-69,3))*5)+MOD(COLUMN(BS$2),3),1,1),"")</f>
        <v>4</v>
      </c>
      <c r="BT17">
        <f ca="1">IF($AN17="",OFFSET(Demand!$A$13,ROW(D14)-1,4+((QUOTIENT(COLUMN(BT$2)-69,3))*5)+MOD(COLUMN(BT$2),3),1,1),"")</f>
        <v>0</v>
      </c>
      <c r="BU17">
        <f ca="1">IF($AN17="",OFFSET(Demand!$A$13,ROW(E14)-1,4+((QUOTIENT(COLUMN(BU$2)-69,3))*5)+MOD(COLUMN(BU$2),3),1,1),"")</f>
        <v>3</v>
      </c>
      <c r="BV17">
        <f ca="1">IF($AN17="",OFFSET(Demand!$A$13,ROW(F14)-1,4+((QUOTIENT(COLUMN(BV$2)-69,3))*5)+MOD(COLUMN(BV$2),3),1,1),"")</f>
        <v>10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f ca="1">VLOOKUP(IF($DM17&lt;53,$DM17,52),'Summary Calculations (hide)'!$D$15:$F$67,2,0)</f>
        <v>551.5</v>
      </c>
      <c r="DP17" s="5">
        <f ca="1">VLOOKUP(IF($DM17&lt;53,$DM17,52),'Summary Calculations (hide)'!$D$15:$F$67,3,0)</f>
        <v>664</v>
      </c>
      <c r="DQ17" s="5">
        <f ca="1">IF(AND(DN17&gt;='Demand adjustments for Covid'!$F$12,DN17&lt;'Demand adjustments for Covid'!$F$17),'Demand adjustments for Covid'!$F$13,DO17)</f>
        <v>551.5</v>
      </c>
      <c r="DR17" s="5">
        <f t="shared" si="7"/>
        <v>1</v>
      </c>
      <c r="DS17" s="5">
        <f ca="1">IF('Demand adjustments for Covid'!$F$9="Yes",IF(DR17=0,DQ17,((SUM(DR$4:DR17)-1)*$EE$8)+'Demand adjustments for Covid'!F$13),'Demand background (hide)'!DO17)</f>
        <v>551.5</v>
      </c>
      <c r="DT17" s="5">
        <f ca="1">IF('Demand adjustments for Covid'!$F$9="Yes",IF(OR(AND(DN17&gt;='Demand adjustments for Covid'!$F$12,DN17&lt;'Demand adjustments for Covid'!$F$17),DR17=1),DS17+3,DP17),'Demand background (hide)'!DP17)</f>
        <v>664</v>
      </c>
      <c r="DU17" s="5">
        <f ca="1">IF(DS17&lt;='Demand adjustments for Covid'!$F$17,DO17-DS17,0)</f>
        <v>0</v>
      </c>
      <c r="DV17" s="5">
        <f ca="1">IF(AND(ROW(A14)&gt;$EE$5,ROW(A14)&lt;=$EA$5),OFFSET('Demand adjustments for Covid'!$F$35,0,ROW(A14)-'Demand background (hide)'!$EE$5,1,1),0)</f>
        <v>0</v>
      </c>
      <c r="DW17" s="5">
        <f ca="1">IF(AND(ROW(A14)&gt;$EE$5,ROW(A14)&lt;=$EA$5),OFFSET('Demand adjustments for Covid'!$F$36,0,ROW(A14)-'Demand background (hide)'!$EE$5,1,1),0)</f>
        <v>0</v>
      </c>
      <c r="DX17" s="5">
        <f t="shared" ca="1" si="11"/>
        <v>664</v>
      </c>
    </row>
    <row r="18" spans="1:128" s="5" customFormat="1" x14ac:dyDescent="0.2">
      <c r="A18" s="5">
        <f t="shared" ca="1" si="3"/>
        <v>0</v>
      </c>
      <c r="B18" s="5">
        <f ca="1">COUNTBLANK(OFFSET(Demand!$I27,0,(COLUMN(A15)-1)*5,1,1))</f>
        <v>0</v>
      </c>
      <c r="C18" s="5">
        <f ca="1">COUNTBLANK(OFFSET(Demand!$I27,0,(COLUMN(B15)-1)*5,1,1))</f>
        <v>0</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90</v>
      </c>
      <c r="O18" s="5">
        <f ca="1">SUM(OFFSET(Demand!$E27,0,(COLUMN(B15)-1)*5,1,3))*O$2</f>
        <v>440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530</v>
      </c>
      <c r="Y18" s="5">
        <f t="shared" ca="1" si="5"/>
        <v>530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530</v>
      </c>
      <c r="AM18" s="5">
        <f t="shared" ca="1" si="9"/>
        <v>0</v>
      </c>
      <c r="AN18" s="5" t="str">
        <f>IF(Demand!BE27="Yes","Yes","")</f>
        <v/>
      </c>
      <c r="AP18" s="36" t="str">
        <f ca="1">Demand!B27</f>
        <v xml:space="preserve"> </v>
      </c>
      <c r="AQ18" s="5" t="str">
        <f ca="1">IF(TEXT(Demand!D27,"MMM")&lt;&gt;TEXT(Demand!D26,"MMM"),TEXT(Demand!D27,"MMM"),"")</f>
        <v>Jul</v>
      </c>
      <c r="AT18" s="5">
        <f t="shared" ca="1" si="12"/>
        <v>140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2.8846153846153846</v>
      </c>
      <c r="BH18" s="5">
        <f ca="1">BH16/MAX('SPC background (hide)'!$I$5:$I$11)</f>
        <v>10.5</v>
      </c>
      <c r="BI18" s="5">
        <f ca="1">BI16/MAX('SPC background (hide)'!$I$5:$I$11)</f>
        <v>13.384615384615385</v>
      </c>
      <c r="BJ18" s="5">
        <f ca="1">BJ16/MAX('SPC background (hide)'!$I$5:$I$11)</f>
        <v>0</v>
      </c>
      <c r="BK18" s="5">
        <f ca="1">BK16/MAX('SPC background (hide)'!$I$5:$I$11)</f>
        <v>107.69230769230769</v>
      </c>
      <c r="BL18" s="5">
        <f ca="1">BL16/MAX('SPC background (hide)'!$I$5:$I$11)</f>
        <v>387.30769230769232</v>
      </c>
      <c r="BM18" s="5">
        <f ca="1">BM16/MAX('SPC background (hide)'!$I$5:$I$11)</f>
        <v>495</v>
      </c>
      <c r="BQ18">
        <f ca="1">IF($AN18="",OFFSET(Demand!$A$13,ROW(A15)-1,4+((QUOTIENT(COLUMN(BQ$2)-69,3))*5)+MOD(COLUMN(BQ$2),3),1,1),"")</f>
        <v>0</v>
      </c>
      <c r="BR18">
        <f ca="1">IF($AN18="",OFFSET(Demand!$A$13,ROW(B15)-1,4+((QUOTIENT(COLUMN(BR$2)-69,3))*5)+MOD(COLUMN(BR$2),3),1,1),"")</f>
        <v>2</v>
      </c>
      <c r="BS18">
        <f ca="1">IF($AN18="",OFFSET(Demand!$A$13,ROW(C15)-1,4+((QUOTIENT(COLUMN(BS$2)-69,3))*5)+MOD(COLUMN(BS$2),3),1,1),"")</f>
        <v>1</v>
      </c>
      <c r="BT18">
        <f ca="1">IF($AN18="",OFFSET(Demand!$A$13,ROW(D15)-1,4+((QUOTIENT(COLUMN(BT$2)-69,3))*5)+MOD(COLUMN(BT$2),3),1,1),"")</f>
        <v>0</v>
      </c>
      <c r="BU18">
        <f ca="1">IF($AN18="",OFFSET(Demand!$A$13,ROW(E15)-1,4+((QUOTIENT(COLUMN(BU$2)-69,3))*5)+MOD(COLUMN(BU$2),3),1,1),"")</f>
        <v>2</v>
      </c>
      <c r="BV18">
        <f ca="1">IF($AN18="",OFFSET(Demand!$A$13,ROW(F15)-1,4+((QUOTIENT(COLUMN(BV$2)-69,3))*5)+MOD(COLUMN(BV$2),3),1,1),"")</f>
        <v>9</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f ca="1">VLOOKUP(IF($DM18&lt;53,$DM18,52),'Summary Calculations (hide)'!$D$15:$F$67,2,0)</f>
        <v>551.5</v>
      </c>
      <c r="DP18" s="5">
        <f ca="1">VLOOKUP(IF($DM18&lt;53,$DM18,52),'Summary Calculations (hide)'!$D$15:$F$67,3,0)</f>
        <v>664</v>
      </c>
      <c r="DQ18" s="5">
        <f ca="1">IF(AND(DN18&gt;='Demand adjustments for Covid'!$F$12,DN18&lt;'Demand adjustments for Covid'!$F$17),'Demand adjustments for Covid'!$F$13,DO18)</f>
        <v>551.5</v>
      </c>
      <c r="DR18" s="5">
        <f t="shared" si="7"/>
        <v>1</v>
      </c>
      <c r="DS18" s="5">
        <f ca="1">IF('Demand adjustments for Covid'!$F$9="Yes",IF(DR18=0,DQ18,((SUM(DR$4:DR18)-1)*$EE$8)+'Demand adjustments for Covid'!F$13),'Demand background (hide)'!DO18)</f>
        <v>551.5</v>
      </c>
      <c r="DT18" s="5">
        <f ca="1">IF('Demand adjustments for Covid'!$F$9="Yes",IF(OR(AND(DN18&gt;='Demand adjustments for Covid'!$F$12,DN18&lt;'Demand adjustments for Covid'!$F$17),DR18=1),DS18+3,DP18),'Demand background (hide)'!DP18)</f>
        <v>664</v>
      </c>
      <c r="DU18" s="5">
        <f ca="1">IF(DS18&lt;='Demand adjustments for Covid'!$F$17,DO18-DS18,0)</f>
        <v>0</v>
      </c>
      <c r="DV18" s="5">
        <f ca="1">IF(AND(ROW(A15)&gt;$EE$5,ROW(A15)&lt;=$EA$5),OFFSET('Demand adjustments for Covid'!$F$35,0,ROW(A15)-'Demand background (hide)'!$EE$5,1,1),0)</f>
        <v>0</v>
      </c>
      <c r="DW18" s="5">
        <f ca="1">IF(AND(ROW(A15)&gt;$EE$5,ROW(A15)&lt;=$EA$5),OFFSET('Demand adjustments for Covid'!$F$36,0,ROW(A15)-'Demand background (hide)'!$EE$5,1,1),0)</f>
        <v>0</v>
      </c>
      <c r="DX18" s="5">
        <f t="shared" ca="1" si="11"/>
        <v>664</v>
      </c>
    </row>
    <row r="19" spans="1:128" s="5" customFormat="1" x14ac:dyDescent="0.2">
      <c r="A19" s="5">
        <f t="shared" ca="1" si="3"/>
        <v>0</v>
      </c>
      <c r="B19" s="5">
        <f ca="1">COUNTBLANK(OFFSET(Demand!$I28,0,(COLUMN(A16)-1)*5,1,1))</f>
        <v>0</v>
      </c>
      <c r="C19" s="5">
        <f ca="1">COUNTBLANK(OFFSET(Demand!$I28,0,(COLUMN(B16)-1)*5,1,1))</f>
        <v>0</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150</v>
      </c>
      <c r="O19" s="5">
        <f ca="1">SUM(OFFSET(Demand!$E28,0,(COLUMN(B16)-1)*5,1,3))*O$2</f>
        <v>360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510</v>
      </c>
      <c r="Y19" s="5">
        <f t="shared" ca="1" si="5"/>
        <v>510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510</v>
      </c>
      <c r="AM19" s="5">
        <f t="shared" ca="1" si="9"/>
        <v>0</v>
      </c>
      <c r="AN19" s="5" t="str">
        <f>IF(Demand!BE28="Yes","Yes","")</f>
        <v/>
      </c>
      <c r="AP19" s="36" t="str">
        <f ca="1">Demand!B28</f>
        <v xml:space="preserve"> </v>
      </c>
      <c r="AQ19" s="5" t="str">
        <f ca="1">IF(TEXT(Demand!D28,"MMM")&lt;&gt;TEXT(Demand!D27,"MMM"),TEXT(Demand!D28,"MMM"),"")</f>
        <v/>
      </c>
      <c r="AT19" s="5">
        <f t="shared" ca="1" si="12"/>
        <v>20</v>
      </c>
      <c r="AV19" s="5" t="s">
        <v>107</v>
      </c>
      <c r="AW19" s="44" t="str">
        <f ca="1">IFERROR(AW18/1.128,"")</f>
        <v/>
      </c>
      <c r="AX19" s="5" t="str">
        <f ca="1">IFERROR(AX18/1.128,"")</f>
        <v/>
      </c>
      <c r="BQ19">
        <f ca="1">IF($AN19="",OFFSET(Demand!$A$13,ROW(A16)-1,4+((QUOTIENT(COLUMN(BQ$2)-69,3))*5)+MOD(COLUMN(BQ$2),3),1,1),"")</f>
        <v>0</v>
      </c>
      <c r="BR19">
        <f ca="1">IF($AN19="",OFFSET(Demand!$A$13,ROW(B16)-1,4+((QUOTIENT(COLUMN(BR$2)-69,3))*5)+MOD(COLUMN(BR$2),3),1,1),"")</f>
        <v>2</v>
      </c>
      <c r="BS19">
        <f ca="1">IF($AN19="",OFFSET(Demand!$A$13,ROW(C16)-1,4+((QUOTIENT(COLUMN(BS$2)-69,3))*5)+MOD(COLUMN(BS$2),3),1,1),"")</f>
        <v>3</v>
      </c>
      <c r="BT19">
        <f ca="1">IF($AN19="",OFFSET(Demand!$A$13,ROW(D16)-1,4+((QUOTIENT(COLUMN(BT$2)-69,3))*5)+MOD(COLUMN(BT$2),3),1,1),"")</f>
        <v>0</v>
      </c>
      <c r="BU19">
        <f ca="1">IF($AN19="",OFFSET(Demand!$A$13,ROW(E16)-1,4+((QUOTIENT(COLUMN(BU$2)-69,3))*5)+MOD(COLUMN(BU$2),3),1,1),"")</f>
        <v>2</v>
      </c>
      <c r="BV19">
        <f ca="1">IF($AN19="",OFFSET(Demand!$A$13,ROW(F16)-1,4+((QUOTIENT(COLUMN(BV$2)-69,3))*5)+MOD(COLUMN(BV$2),3),1,1),"")</f>
        <v>7</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f ca="1">VLOOKUP(IF($DM19&lt;53,$DM19,52),'Summary Calculations (hide)'!$D$15:$F$67,2,0)</f>
        <v>551.5</v>
      </c>
      <c r="DP19" s="5">
        <f ca="1">VLOOKUP(IF($DM19&lt;53,$DM19,52),'Summary Calculations (hide)'!$D$15:$F$67,3,0)</f>
        <v>664</v>
      </c>
      <c r="DQ19" s="5">
        <f ca="1">IF(AND(DN19&gt;='Demand adjustments for Covid'!$F$12,DN19&lt;'Demand adjustments for Covid'!$F$17),'Demand adjustments for Covid'!$F$13,DO19)</f>
        <v>551.5</v>
      </c>
      <c r="DR19" s="5">
        <f t="shared" si="7"/>
        <v>1</v>
      </c>
      <c r="DS19" s="5">
        <f ca="1">IF('Demand adjustments for Covid'!$F$9="Yes",IF(DR19=0,DQ19,((SUM(DR$4:DR19)-1)*$EE$8)+'Demand adjustments for Covid'!F$13),'Demand background (hide)'!DO19)</f>
        <v>551.5</v>
      </c>
      <c r="DT19" s="5">
        <f ca="1">IF('Demand adjustments for Covid'!$F$9="Yes",IF(OR(AND(DN19&gt;='Demand adjustments for Covid'!$F$12,DN19&lt;'Demand adjustments for Covid'!$F$17),DR19=1),DS19+3,DP19),'Demand background (hide)'!DP19)</f>
        <v>664</v>
      </c>
      <c r="DU19" s="5">
        <f ca="1">IF(DS19&lt;='Demand adjustments for Covid'!$F$17,DO19-DS19,0)</f>
        <v>0</v>
      </c>
      <c r="DV19" s="5">
        <f ca="1">IF(AND(ROW(A16)&gt;$EE$5,ROW(A16)&lt;=$EA$5),OFFSET('Demand adjustments for Covid'!$F$35,0,ROW(A16)-'Demand background (hide)'!$EE$5,1,1),0)</f>
        <v>0</v>
      </c>
      <c r="DW19" s="5">
        <f ca="1">IF(AND(ROW(A16)&gt;$EE$5,ROW(A16)&lt;=$EA$5),OFFSET('Demand adjustments for Covid'!$F$36,0,ROW(A16)-'Demand background (hide)'!$EE$5,1,1),0)</f>
        <v>0</v>
      </c>
      <c r="DX19" s="5">
        <f t="shared" ca="1" si="11"/>
        <v>664</v>
      </c>
    </row>
    <row r="20" spans="1:128" s="5" customFormat="1" x14ac:dyDescent="0.2">
      <c r="A20" s="5">
        <f t="shared" ca="1" si="3"/>
        <v>0</v>
      </c>
      <c r="B20" s="5">
        <f ca="1">COUNTBLANK(OFFSET(Demand!$I29,0,(COLUMN(A17)-1)*5,1,1))</f>
        <v>0</v>
      </c>
      <c r="C20" s="5">
        <f ca="1">COUNTBLANK(OFFSET(Demand!$I29,0,(COLUMN(B17)-1)*5,1,1))</f>
        <v>0</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240</v>
      </c>
      <c r="O20" s="5">
        <f ca="1">SUM(OFFSET(Demand!$E29,0,(COLUMN(B17)-1)*5,1,3))*O$2</f>
        <v>360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600</v>
      </c>
      <c r="Y20" s="5">
        <f t="shared" ca="1" si="5"/>
        <v>600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600</v>
      </c>
      <c r="AM20" s="5">
        <f t="shared" ca="1" si="9"/>
        <v>0</v>
      </c>
      <c r="AN20" s="5" t="str">
        <f>IF(Demand!BE29="Yes","Yes","")</f>
        <v/>
      </c>
      <c r="AP20" s="36" t="str">
        <f ca="1">Demand!B29</f>
        <v xml:space="preserve"> </v>
      </c>
      <c r="AQ20" s="5" t="str">
        <f ca="1">IF(TEXT(Demand!D29,"MMM")&lt;&gt;TEXT(Demand!D28,"MMM"),TEXT(Demand!D29,"MMM"),"")</f>
        <v/>
      </c>
      <c r="AT20" s="5">
        <f t="shared" ca="1" si="12"/>
        <v>90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f ca="1">BJ18/BM18</f>
        <v>0</v>
      </c>
      <c r="BK20" s="46">
        <f ca="1">BK18/BM18</f>
        <v>0.21756021756021757</v>
      </c>
      <c r="BL20" s="46">
        <f ca="1">BL18/BM18</f>
        <v>0.78243978243978252</v>
      </c>
      <c r="BQ20">
        <f ca="1">IF($AN20="",OFFSET(Demand!$A$13,ROW(A17)-1,4+((QUOTIENT(COLUMN(BQ$2)-69,3))*5)+MOD(COLUMN(BQ$2),3),1,1),"")</f>
        <v>0</v>
      </c>
      <c r="BR20">
        <f ca="1">IF($AN20="",OFFSET(Demand!$A$13,ROW(B17)-1,4+((QUOTIENT(COLUMN(BR$2)-69,3))*5)+MOD(COLUMN(BR$2),3),1,1),"")</f>
        <v>2</v>
      </c>
      <c r="BS20">
        <f ca="1">IF($AN20="",OFFSET(Demand!$A$13,ROW(C17)-1,4+((QUOTIENT(COLUMN(BS$2)-69,3))*5)+MOD(COLUMN(BS$2),3),1,1),"")</f>
        <v>6</v>
      </c>
      <c r="BT20">
        <f ca="1">IF($AN20="",OFFSET(Demand!$A$13,ROW(D17)-1,4+((QUOTIENT(COLUMN(BT$2)-69,3))*5)+MOD(COLUMN(BT$2),3),1,1),"")</f>
        <v>0</v>
      </c>
      <c r="BU20">
        <f ca="1">IF($AN20="",OFFSET(Demand!$A$13,ROW(E17)-1,4+((QUOTIENT(COLUMN(BU$2)-69,3))*5)+MOD(COLUMN(BU$2),3),1,1),"")</f>
        <v>2</v>
      </c>
      <c r="BV20">
        <f ca="1">IF($AN20="",OFFSET(Demand!$A$13,ROW(F17)-1,4+((QUOTIENT(COLUMN(BV$2)-69,3))*5)+MOD(COLUMN(BV$2),3),1,1),"")</f>
        <v>7</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f ca="1">VLOOKUP(IF($DM20&lt;53,$DM20,52),'Summary Calculations (hide)'!$D$15:$F$67,2,0)</f>
        <v>551.5</v>
      </c>
      <c r="DP20" s="5">
        <f ca="1">VLOOKUP(IF($DM20&lt;53,$DM20,52),'Summary Calculations (hide)'!$D$15:$F$67,3,0)</f>
        <v>664</v>
      </c>
      <c r="DQ20" s="5">
        <f ca="1">IF(AND(DN20&gt;='Demand adjustments for Covid'!$F$12,DN20&lt;'Demand adjustments for Covid'!$F$17),'Demand adjustments for Covid'!$F$13,DO20)</f>
        <v>551.5</v>
      </c>
      <c r="DR20" s="5">
        <f t="shared" si="7"/>
        <v>1</v>
      </c>
      <c r="DS20" s="5">
        <f ca="1">IF('Demand adjustments for Covid'!$F$9="Yes",IF(DR20=0,DQ20,((SUM(DR$4:DR20)-1)*$EE$8)+'Demand adjustments for Covid'!F$13),'Demand background (hide)'!DO20)</f>
        <v>551.5</v>
      </c>
      <c r="DT20" s="5">
        <f ca="1">IF('Demand adjustments for Covid'!$F$9="Yes",IF(OR(AND(DN20&gt;='Demand adjustments for Covid'!$F$12,DN20&lt;'Demand adjustments for Covid'!$F$17),DR20=1),DS20+3,DP20),'Demand background (hide)'!DP20)</f>
        <v>664</v>
      </c>
      <c r="DU20" s="5">
        <f ca="1">IF(DS20&lt;='Demand adjustments for Covid'!$F$17,DO20-DS20,0)</f>
        <v>0</v>
      </c>
      <c r="DV20" s="5">
        <f ca="1">IF(AND(ROW(A17)&gt;$EE$5,ROW(A17)&lt;=$EA$5),OFFSET('Demand adjustments for Covid'!$F$35,0,ROW(A17)-'Demand background (hide)'!$EE$5,1,1),0)</f>
        <v>0</v>
      </c>
      <c r="DW20" s="5">
        <f ca="1">IF(AND(ROW(A17)&gt;$EE$5,ROW(A17)&lt;=$EA$5),OFFSET('Demand adjustments for Covid'!$F$36,0,ROW(A17)-'Demand background (hide)'!$EE$5,1,1),0)</f>
        <v>0</v>
      </c>
      <c r="DX20" s="5">
        <f t="shared" ca="1" si="11"/>
        <v>664</v>
      </c>
    </row>
    <row r="21" spans="1:128" s="5" customFormat="1" x14ac:dyDescent="0.2">
      <c r="A21" s="5">
        <f t="shared" ca="1" si="3"/>
        <v>0</v>
      </c>
      <c r="B21" s="5">
        <f ca="1">COUNTBLANK(OFFSET(Demand!$I30,0,(COLUMN(A18)-1)*5,1,1))</f>
        <v>0</v>
      </c>
      <c r="C21" s="5">
        <f ca="1">COUNTBLANK(OFFSET(Demand!$I30,0,(COLUMN(B18)-1)*5,1,1))</f>
        <v>0</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120</v>
      </c>
      <c r="O21" s="5">
        <f ca="1">SUM(OFFSET(Demand!$E30,0,(COLUMN(B18)-1)*5,1,3))*O$2</f>
        <v>400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520</v>
      </c>
      <c r="Y21" s="5">
        <f t="shared" ca="1" si="5"/>
        <v>520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520</v>
      </c>
      <c r="AM21" s="5">
        <f t="shared" ca="1" si="9"/>
        <v>0</v>
      </c>
      <c r="AN21" s="5" t="str">
        <f>IF(Demand!BE30="Yes","Yes","")</f>
        <v/>
      </c>
      <c r="AP21" s="36" t="str">
        <f ca="1">Demand!B30</f>
        <v xml:space="preserve"> </v>
      </c>
      <c r="AQ21" s="5" t="str">
        <f ca="1">IF(TEXT(Demand!D30,"MMM")&lt;&gt;TEXT(Demand!D29,"MMM"),TEXT(Demand!D30,"MMM"),"")</f>
        <v/>
      </c>
      <c r="AT21" s="5">
        <f t="shared" ca="1" si="12"/>
        <v>80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2</v>
      </c>
      <c r="BS21">
        <f ca="1">IF($AN21="",OFFSET(Demand!$A$13,ROW(C18)-1,4+((QUOTIENT(COLUMN(BS$2)-69,3))*5)+MOD(COLUMN(BS$2),3),1,1),"")</f>
        <v>2</v>
      </c>
      <c r="BT21">
        <f ca="1">IF($AN21="",OFFSET(Demand!$A$13,ROW(D18)-1,4+((QUOTIENT(COLUMN(BT$2)-69,3))*5)+MOD(COLUMN(BT$2),3),1,1),"")</f>
        <v>0</v>
      </c>
      <c r="BU21">
        <f ca="1">IF($AN21="",OFFSET(Demand!$A$13,ROW(E18)-1,4+((QUOTIENT(COLUMN(BU$2)-69,3))*5)+MOD(COLUMN(BU$2),3),1,1),"")</f>
        <v>1</v>
      </c>
      <c r="BV21">
        <f ca="1">IF($AN21="",OFFSET(Demand!$A$13,ROW(F18)-1,4+((QUOTIENT(COLUMN(BV$2)-69,3))*5)+MOD(COLUMN(BV$2),3),1,1),"")</f>
        <v>9</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f ca="1">VLOOKUP(IF($DM21&lt;53,$DM21,52),'Summary Calculations (hide)'!$D$15:$F$67,2,0)</f>
        <v>551.5</v>
      </c>
      <c r="DP21" s="5">
        <f ca="1">VLOOKUP(IF($DM21&lt;53,$DM21,52),'Summary Calculations (hide)'!$D$15:$F$67,3,0)</f>
        <v>664</v>
      </c>
      <c r="DQ21" s="5">
        <f ca="1">IF(AND(DN21&gt;='Demand adjustments for Covid'!$F$12,DN21&lt;'Demand adjustments for Covid'!$F$17),'Demand adjustments for Covid'!$F$13,DO21)</f>
        <v>551.5</v>
      </c>
      <c r="DR21" s="5">
        <f t="shared" si="7"/>
        <v>1</v>
      </c>
      <c r="DS21" s="5">
        <f ca="1">IF('Demand adjustments for Covid'!$F$9="Yes",IF(DR21=0,DQ21,((SUM(DR$4:DR21)-1)*$EE$8)+'Demand adjustments for Covid'!F$13),'Demand background (hide)'!DO21)</f>
        <v>551.5</v>
      </c>
      <c r="DT21" s="5">
        <f ca="1">IF('Demand adjustments for Covid'!$F$9="Yes",IF(OR(AND(DN21&gt;='Demand adjustments for Covid'!$F$12,DN21&lt;'Demand adjustments for Covid'!$F$17),DR21=1),DS21+3,DP21),'Demand background (hide)'!DP21)</f>
        <v>664</v>
      </c>
      <c r="DU21" s="5">
        <f ca="1">IF(DS21&lt;='Demand adjustments for Covid'!$F$17,DO21-DS21,0)</f>
        <v>0</v>
      </c>
      <c r="DV21" s="5">
        <f ca="1">IF(AND(ROW(A18)&gt;$EE$5,ROW(A18)&lt;=$EA$5),OFFSET('Demand adjustments for Covid'!$F$35,0,ROW(A18)-'Demand background (hide)'!$EE$5,1,1),0)</f>
        <v>0</v>
      </c>
      <c r="DW21" s="5">
        <f ca="1">IF(AND(ROW(A18)&gt;$EE$5,ROW(A18)&lt;=$EA$5),OFFSET('Demand adjustments for Covid'!$F$36,0,ROW(A18)-'Demand background (hide)'!$EE$5,1,1),0)</f>
        <v>0</v>
      </c>
      <c r="DX21" s="5">
        <f t="shared" ca="1" si="11"/>
        <v>664</v>
      </c>
    </row>
    <row r="22" spans="1:128" s="5" customFormat="1" x14ac:dyDescent="0.2">
      <c r="A22" s="5">
        <f t="shared" ca="1" si="3"/>
        <v>0</v>
      </c>
      <c r="B22" s="5">
        <f ca="1">COUNTBLANK(OFFSET(Demand!$I31,0,(COLUMN(A19)-1)*5,1,1))</f>
        <v>0</v>
      </c>
      <c r="C22" s="5">
        <f ca="1">COUNTBLANK(OFFSET(Demand!$I31,0,(COLUMN(B19)-1)*5,1,1))</f>
        <v>0</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240</v>
      </c>
      <c r="O22" s="5">
        <f ca="1">SUM(OFFSET(Demand!$E31,0,(COLUMN(B19)-1)*5,1,3))*O$2</f>
        <v>360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600</v>
      </c>
      <c r="Y22" s="5">
        <f t="shared" ca="1" si="5"/>
        <v>600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600</v>
      </c>
      <c r="AM22" s="5">
        <f t="shared" ca="1" si="9"/>
        <v>0</v>
      </c>
      <c r="AN22" s="5" t="str">
        <f>IF(Demand!BE31="Yes","Yes","")</f>
        <v/>
      </c>
      <c r="AP22" s="36" t="str">
        <f ca="1">Demand!B31</f>
        <v xml:space="preserve"> </v>
      </c>
      <c r="AQ22" s="5" t="str">
        <f ca="1">IF(TEXT(Demand!D31,"MMM")&lt;&gt;TEXT(Demand!D30,"MMM"),TEXT(Demand!D31,"MMM"),"")</f>
        <v>Aug</v>
      </c>
      <c r="AT22" s="5">
        <f t="shared" ca="1" si="12"/>
        <v>80</v>
      </c>
      <c r="BQ22">
        <f ca="1">IF($AN22="",OFFSET(Demand!$A$13,ROW(A19)-1,4+((QUOTIENT(COLUMN(BQ$2)-69,3))*5)+MOD(COLUMN(BQ$2),3),1,1),"")</f>
        <v>0</v>
      </c>
      <c r="BR22">
        <f ca="1">IF($AN22="",OFFSET(Demand!$A$13,ROW(B19)-1,4+((QUOTIENT(COLUMN(BR$2)-69,3))*5)+MOD(COLUMN(BR$2),3),1,1),"")</f>
        <v>1</v>
      </c>
      <c r="BS22">
        <f ca="1">IF($AN22="",OFFSET(Demand!$A$13,ROW(C19)-1,4+((QUOTIENT(COLUMN(BS$2)-69,3))*5)+MOD(COLUMN(BS$2),3),1,1),"")</f>
        <v>7</v>
      </c>
      <c r="BT22">
        <f ca="1">IF($AN22="",OFFSET(Demand!$A$13,ROW(D19)-1,4+((QUOTIENT(COLUMN(BT$2)-69,3))*5)+MOD(COLUMN(BT$2),3),1,1),"")</f>
        <v>0</v>
      </c>
      <c r="BU22">
        <f ca="1">IF($AN22="",OFFSET(Demand!$A$13,ROW(E19)-1,4+((QUOTIENT(COLUMN(BU$2)-69,3))*5)+MOD(COLUMN(BU$2),3),1,1),"")</f>
        <v>1</v>
      </c>
      <c r="BV22">
        <f ca="1">IF($AN22="",OFFSET(Demand!$A$13,ROW(F19)-1,4+((QUOTIENT(COLUMN(BV$2)-69,3))*5)+MOD(COLUMN(BV$2),3),1,1),"")</f>
        <v>8</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f ca="1">VLOOKUP(IF($DM22&lt;53,$DM22,52),'Summary Calculations (hide)'!$D$15:$F$67,2,0)</f>
        <v>551.5</v>
      </c>
      <c r="DP22" s="5">
        <f ca="1">VLOOKUP(IF($DM22&lt;53,$DM22,52),'Summary Calculations (hide)'!$D$15:$F$67,3,0)</f>
        <v>664</v>
      </c>
      <c r="DQ22" s="5">
        <f ca="1">IF(AND(DN22&gt;='Demand adjustments for Covid'!$F$12,DN22&lt;'Demand adjustments for Covid'!$F$17),'Demand adjustments for Covid'!$F$13,DO22)</f>
        <v>551.5</v>
      </c>
      <c r="DR22" s="5">
        <f t="shared" si="7"/>
        <v>1</v>
      </c>
      <c r="DS22" s="5">
        <f ca="1">IF('Demand adjustments for Covid'!$F$9="Yes",IF(DR22=0,DQ22,((SUM(DR$4:DR22)-1)*$EE$8)+'Demand adjustments for Covid'!F$13),'Demand background (hide)'!DO22)</f>
        <v>551.5</v>
      </c>
      <c r="DT22" s="5">
        <f ca="1">IF('Demand adjustments for Covid'!$F$9="Yes",IF(OR(AND(DN22&gt;='Demand adjustments for Covid'!$F$12,DN22&lt;'Demand adjustments for Covid'!$F$17),DR22=1),DS22+3,DP22),'Demand background (hide)'!DP22)</f>
        <v>664</v>
      </c>
      <c r="DU22" s="5">
        <f ca="1">IF(DS22&lt;='Demand adjustments for Covid'!$F$17,DO22-DS22,0)</f>
        <v>0</v>
      </c>
      <c r="DV22" s="5">
        <f ca="1">IF(AND(ROW(A19)&gt;$EE$5,ROW(A19)&lt;=$EA$5),OFFSET('Demand adjustments for Covid'!$F$35,0,ROW(A19)-'Demand background (hide)'!$EE$5,1,1),0)</f>
        <v>0</v>
      </c>
      <c r="DW22" s="5">
        <f ca="1">IF(AND(ROW(A19)&gt;$EE$5,ROW(A19)&lt;=$EA$5),OFFSET('Demand adjustments for Covid'!$F$36,0,ROW(A19)-'Demand background (hide)'!$EE$5,1,1),0)</f>
        <v>0</v>
      </c>
      <c r="DX22" s="5">
        <f t="shared" ca="1" si="11"/>
        <v>664</v>
      </c>
    </row>
    <row r="23" spans="1:128" s="5" customFormat="1" x14ac:dyDescent="0.2">
      <c r="A23" s="5">
        <f t="shared" ca="1" si="3"/>
        <v>0</v>
      </c>
      <c r="B23" s="5">
        <f ca="1">COUNTBLANK(OFFSET(Demand!$I32,0,(COLUMN(A20)-1)*5,1,1))</f>
        <v>0</v>
      </c>
      <c r="C23" s="5">
        <f ca="1">COUNTBLANK(OFFSET(Demand!$I32,0,(COLUMN(B20)-1)*5,1,1))</f>
        <v>0</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150</v>
      </c>
      <c r="O23" s="5">
        <f ca="1">SUM(OFFSET(Demand!$E32,0,(COLUMN(B20)-1)*5,1,3))*O$2</f>
        <v>560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710</v>
      </c>
      <c r="Y23" s="5">
        <f t="shared" ca="1" si="5"/>
        <v>710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710</v>
      </c>
      <c r="AM23" s="5">
        <f t="shared" ca="1" si="9"/>
        <v>0</v>
      </c>
      <c r="AN23" s="5" t="str">
        <f>IF(Demand!BE32="Yes","Yes","")</f>
        <v/>
      </c>
      <c r="AP23" s="36" t="str">
        <f ca="1">Demand!B32</f>
        <v xml:space="preserve"> </v>
      </c>
      <c r="AQ23" s="5" t="str">
        <f ca="1">IF(TEXT(Demand!D32,"MMM")&lt;&gt;TEXT(Demand!D31,"MMM"),TEXT(Demand!D32,"MMM"),"")</f>
        <v/>
      </c>
      <c r="AT23" s="5">
        <f t="shared" ca="1" si="12"/>
        <v>110</v>
      </c>
      <c r="BQ23">
        <f ca="1">IF($AN23="",OFFSET(Demand!$A$13,ROW(A20)-1,4+((QUOTIENT(COLUMN(BQ$2)-69,3))*5)+MOD(COLUMN(BQ$2),3),1,1),"")</f>
        <v>0</v>
      </c>
      <c r="BR23">
        <f ca="1">IF($AN23="",OFFSET(Demand!$A$13,ROW(B20)-1,4+((QUOTIENT(COLUMN(BR$2)-69,3))*5)+MOD(COLUMN(BR$2),3),1,1),"")</f>
        <v>1</v>
      </c>
      <c r="BS23">
        <f ca="1">IF($AN23="",OFFSET(Demand!$A$13,ROW(C20)-1,4+((QUOTIENT(COLUMN(BS$2)-69,3))*5)+MOD(COLUMN(BS$2),3),1,1),"")</f>
        <v>4</v>
      </c>
      <c r="BT23">
        <f ca="1">IF($AN23="",OFFSET(Demand!$A$13,ROW(D20)-1,4+((QUOTIENT(COLUMN(BT$2)-69,3))*5)+MOD(COLUMN(BT$2),3),1,1),"")</f>
        <v>0</v>
      </c>
      <c r="BU23">
        <f ca="1">IF($AN23="",OFFSET(Demand!$A$13,ROW(E20)-1,4+((QUOTIENT(COLUMN(BU$2)-69,3))*5)+MOD(COLUMN(BU$2),3),1,1),"")</f>
        <v>3</v>
      </c>
      <c r="BV23">
        <f ca="1">IF($AN23="",OFFSET(Demand!$A$13,ROW(F20)-1,4+((QUOTIENT(COLUMN(BV$2)-69,3))*5)+MOD(COLUMN(BV$2),3),1,1),"")</f>
        <v>11</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f ca="1">VLOOKUP(IF($DM23&lt;53,$DM23,52),'Summary Calculations (hide)'!$D$15:$F$67,2,0)</f>
        <v>551.5</v>
      </c>
      <c r="DP23" s="5">
        <f ca="1">VLOOKUP(IF($DM23&lt;53,$DM23,52),'Summary Calculations (hide)'!$D$15:$F$67,3,0)</f>
        <v>664</v>
      </c>
      <c r="DQ23" s="5">
        <f ca="1">IF(AND(DN23&gt;='Demand adjustments for Covid'!$F$12,DN23&lt;'Demand adjustments for Covid'!$F$17),'Demand adjustments for Covid'!$F$13,DO23)</f>
        <v>551.5</v>
      </c>
      <c r="DR23" s="5">
        <f t="shared" si="7"/>
        <v>1</v>
      </c>
      <c r="DS23" s="5">
        <f ca="1">IF('Demand adjustments for Covid'!$F$9="Yes",IF(DR23=0,DQ23,((SUM(DR$4:DR23)-1)*$EE$8)+'Demand adjustments for Covid'!F$13),'Demand background (hide)'!DO23)</f>
        <v>551.5</v>
      </c>
      <c r="DT23" s="5">
        <f ca="1">IF('Demand adjustments for Covid'!$F$9="Yes",IF(OR(AND(DN23&gt;='Demand adjustments for Covid'!$F$12,DN23&lt;'Demand adjustments for Covid'!$F$17),DR23=1),DS23+3,DP23),'Demand background (hide)'!DP23)</f>
        <v>664</v>
      </c>
      <c r="DU23" s="5">
        <f ca="1">IF(DS23&lt;='Demand adjustments for Covid'!$F$17,DO23-DS23,0)</f>
        <v>0</v>
      </c>
      <c r="DV23" s="5">
        <f ca="1">IF(AND(ROW(A20)&gt;$EE$5,ROW(A20)&lt;=$EA$5),OFFSET('Demand adjustments for Covid'!$F$35,0,ROW(A20)-'Demand background (hide)'!$EE$5,1,1),0)</f>
        <v>0</v>
      </c>
      <c r="DW23" s="5">
        <f ca="1">IF(AND(ROW(A20)&gt;$EE$5,ROW(A20)&lt;=$EA$5),OFFSET('Demand adjustments for Covid'!$F$36,0,ROW(A20)-'Demand background (hide)'!$EE$5,1,1),0)</f>
        <v>0</v>
      </c>
      <c r="DX23" s="5">
        <f t="shared" ca="1" si="11"/>
        <v>664</v>
      </c>
    </row>
    <row r="24" spans="1:128" s="5" customFormat="1" x14ac:dyDescent="0.2">
      <c r="A24" s="5">
        <f t="shared" ca="1" si="3"/>
        <v>0</v>
      </c>
      <c r="B24" s="5">
        <f ca="1">COUNTBLANK(OFFSET(Demand!$I33,0,(COLUMN(A21)-1)*5,1,1))</f>
        <v>0</v>
      </c>
      <c r="C24" s="5">
        <f ca="1">COUNTBLANK(OFFSET(Demand!$I33,0,(COLUMN(B21)-1)*5,1,1))</f>
        <v>0</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270</v>
      </c>
      <c r="O24" s="5">
        <f ca="1">SUM(OFFSET(Demand!$E33,0,(COLUMN(B21)-1)*5,1,3))*O$2</f>
        <v>400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670</v>
      </c>
      <c r="Y24" s="5">
        <f t="shared" ca="1" si="5"/>
        <v>670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670</v>
      </c>
      <c r="AM24" s="5">
        <f t="shared" ca="1" si="9"/>
        <v>0</v>
      </c>
      <c r="AN24" s="5" t="str">
        <f>IF(Demand!BE33="Yes","Yes","")</f>
        <v/>
      </c>
      <c r="AP24" s="36" t="str">
        <f ca="1">Demand!B33</f>
        <v xml:space="preserve"> </v>
      </c>
      <c r="AQ24" s="5" t="str">
        <f ca="1">IF(TEXT(Demand!D33,"MMM")&lt;&gt;TEXT(Demand!D32,"MMM"),TEXT(Demand!D33,"MMM"),"")</f>
        <v/>
      </c>
      <c r="AT24" s="5">
        <f t="shared" ca="1" si="12"/>
        <v>40</v>
      </c>
      <c r="BQ24">
        <f ca="1">IF($AN24="",OFFSET(Demand!$A$13,ROW(A21)-1,4+((QUOTIENT(COLUMN(BQ$2)-69,3))*5)+MOD(COLUMN(BQ$2),3),1,1),"")</f>
        <v>0</v>
      </c>
      <c r="BR24">
        <f ca="1">IF($AN24="",OFFSET(Demand!$A$13,ROW(B21)-1,4+((QUOTIENT(COLUMN(BR$2)-69,3))*5)+MOD(COLUMN(BR$2),3),1,1),"")</f>
        <v>3</v>
      </c>
      <c r="BS24">
        <f ca="1">IF($AN24="",OFFSET(Demand!$A$13,ROW(C21)-1,4+((QUOTIENT(COLUMN(BS$2)-69,3))*5)+MOD(COLUMN(BS$2),3),1,1),"")</f>
        <v>6</v>
      </c>
      <c r="BT24">
        <f ca="1">IF($AN24="",OFFSET(Demand!$A$13,ROW(D21)-1,4+((QUOTIENT(COLUMN(BT$2)-69,3))*5)+MOD(COLUMN(BT$2),3),1,1),"")</f>
        <v>0</v>
      </c>
      <c r="BU24">
        <f ca="1">IF($AN24="",OFFSET(Demand!$A$13,ROW(E21)-1,4+((QUOTIENT(COLUMN(BU$2)-69,3))*5)+MOD(COLUMN(BU$2),3),1,1),"")</f>
        <v>3</v>
      </c>
      <c r="BV24">
        <f ca="1">IF($AN24="",OFFSET(Demand!$A$13,ROW(F21)-1,4+((QUOTIENT(COLUMN(BV$2)-69,3))*5)+MOD(COLUMN(BV$2),3),1,1),"")</f>
        <v>7</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f ca="1">VLOOKUP(IF($DM24&lt;53,$DM24,52),'Summary Calculations (hide)'!$D$15:$F$67,2,0)</f>
        <v>551.5</v>
      </c>
      <c r="DP24" s="5">
        <f ca="1">VLOOKUP(IF($DM24&lt;53,$DM24,52),'Summary Calculations (hide)'!$D$15:$F$67,3,0)</f>
        <v>664</v>
      </c>
      <c r="DQ24" s="5">
        <f ca="1">IF(AND(DN24&gt;='Demand adjustments for Covid'!$F$12,DN24&lt;'Demand adjustments for Covid'!$F$17),'Demand adjustments for Covid'!$F$13,DO24)</f>
        <v>551.5</v>
      </c>
      <c r="DR24" s="5">
        <f t="shared" si="7"/>
        <v>1</v>
      </c>
      <c r="DS24" s="5">
        <f ca="1">IF('Demand adjustments for Covid'!$F$9="Yes",IF(DR24=0,DQ24,((SUM(DR$4:DR24)-1)*$EE$8)+'Demand adjustments for Covid'!F$13),'Demand background (hide)'!DO24)</f>
        <v>551.5</v>
      </c>
      <c r="DT24" s="5">
        <f ca="1">IF('Demand adjustments for Covid'!$F$9="Yes",IF(OR(AND(DN24&gt;='Demand adjustments for Covid'!$F$12,DN24&lt;'Demand adjustments for Covid'!$F$17),DR24=1),DS24+3,DP24),'Demand background (hide)'!DP24)</f>
        <v>664</v>
      </c>
      <c r="DU24" s="5">
        <f ca="1">IF(DS24&lt;='Demand adjustments for Covid'!$F$17,DO24-DS24,0)</f>
        <v>0</v>
      </c>
      <c r="DV24" s="5">
        <f ca="1">IF(AND(ROW(A21)&gt;$EE$5,ROW(A21)&lt;=$EA$5),OFFSET('Demand adjustments for Covid'!$F$35,0,ROW(A21)-'Demand background (hide)'!$EE$5,1,1),0)</f>
        <v>0</v>
      </c>
      <c r="DW24" s="5">
        <f ca="1">IF(AND(ROW(A21)&gt;$EE$5,ROW(A21)&lt;=$EA$5),OFFSET('Demand adjustments for Covid'!$F$36,0,ROW(A21)-'Demand background (hide)'!$EE$5,1,1),0)</f>
        <v>0</v>
      </c>
      <c r="DX24" s="5">
        <f t="shared" ca="1" si="11"/>
        <v>664</v>
      </c>
    </row>
    <row r="25" spans="1:128" s="5" customFormat="1" x14ac:dyDescent="0.2">
      <c r="A25" s="5">
        <f t="shared" ca="1" si="3"/>
        <v>0</v>
      </c>
      <c r="B25" s="5">
        <f ca="1">COUNTBLANK(OFFSET(Demand!$I34,0,(COLUMN(A22)-1)*5,1,1))</f>
        <v>0</v>
      </c>
      <c r="C25" s="5">
        <f ca="1">COUNTBLANK(OFFSET(Demand!$I34,0,(COLUMN(B22)-1)*5,1,1))</f>
        <v>0</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360</v>
      </c>
      <c r="O25" s="5">
        <f ca="1">SUM(OFFSET(Demand!$E34,0,(COLUMN(B22)-1)*5,1,3))*O$2</f>
        <v>240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600</v>
      </c>
      <c r="Y25" s="5">
        <f t="shared" ca="1" si="5"/>
        <v>600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600</v>
      </c>
      <c r="AM25" s="5">
        <f t="shared" ca="1" si="9"/>
        <v>0</v>
      </c>
      <c r="AN25" s="5" t="str">
        <f>IF(Demand!BE34="Yes","Yes","")</f>
        <v/>
      </c>
      <c r="AP25" s="36" t="str">
        <f ca="1">Demand!B34</f>
        <v xml:space="preserve"> </v>
      </c>
      <c r="AQ25" s="5" t="str">
        <f ca="1">IF(TEXT(Demand!D34,"MMM")&lt;&gt;TEXT(Demand!D33,"MMM"),TEXT(Demand!D34,"MMM"),"")</f>
        <v/>
      </c>
      <c r="AT25" s="5">
        <f t="shared" ca="1" si="12"/>
        <v>70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2</v>
      </c>
      <c r="BS25">
        <f ca="1">IF($AN25="",OFFSET(Demand!$A$13,ROW(C22)-1,4+((QUOTIENT(COLUMN(BS$2)-69,3))*5)+MOD(COLUMN(BS$2),3),1,1),"")</f>
        <v>10</v>
      </c>
      <c r="BT25">
        <f ca="1">IF($AN25="",OFFSET(Demand!$A$13,ROW(D22)-1,4+((QUOTIENT(COLUMN(BT$2)-69,3))*5)+MOD(COLUMN(BT$2),3),1,1),"")</f>
        <v>0</v>
      </c>
      <c r="BU25">
        <f ca="1">IF($AN25="",OFFSET(Demand!$A$13,ROW(E22)-1,4+((QUOTIENT(COLUMN(BU$2)-69,3))*5)+MOD(COLUMN(BU$2),3),1,1),"")</f>
        <v>1</v>
      </c>
      <c r="BV25">
        <f ca="1">IF($AN25="",OFFSET(Demand!$A$13,ROW(F22)-1,4+((QUOTIENT(COLUMN(BV$2)-69,3))*5)+MOD(COLUMN(BV$2),3),1,1),"")</f>
        <v>5</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f ca="1">VLOOKUP(IF($DM25&lt;53,$DM25,52),'Summary Calculations (hide)'!$D$15:$F$67,2,0)</f>
        <v>551.5</v>
      </c>
      <c r="DP25" s="5">
        <f ca="1">VLOOKUP(IF($DM25&lt;53,$DM25,52),'Summary Calculations (hide)'!$D$15:$F$67,3,0)</f>
        <v>664</v>
      </c>
      <c r="DQ25" s="5">
        <f ca="1">IF(AND(DN25&gt;='Demand adjustments for Covid'!$F$12,DN25&lt;'Demand adjustments for Covid'!$F$17),'Demand adjustments for Covid'!$F$13,DO25)</f>
        <v>551.5</v>
      </c>
      <c r="DR25" s="5">
        <f t="shared" si="7"/>
        <v>1</v>
      </c>
      <c r="DS25" s="5">
        <f ca="1">IF('Demand adjustments for Covid'!$F$9="Yes",IF(DR25=0,DQ25,((SUM(DR$4:DR25)-1)*$EE$8)+'Demand adjustments for Covid'!F$13),'Demand background (hide)'!DO25)</f>
        <v>551.5</v>
      </c>
      <c r="DT25" s="5">
        <f ca="1">IF('Demand adjustments for Covid'!$F$9="Yes",IF(OR(AND(DN25&gt;='Demand adjustments for Covid'!$F$12,DN25&lt;'Demand adjustments for Covid'!$F$17),DR25=1),DS25+3,DP25),'Demand background (hide)'!DP25)</f>
        <v>664</v>
      </c>
      <c r="DU25" s="5">
        <f ca="1">IF(DS25&lt;='Demand adjustments for Covid'!$F$17,DO25-DS25,0)</f>
        <v>0</v>
      </c>
      <c r="DV25" s="5">
        <f ca="1">IF(AND(ROW(A22)&gt;$EE$5,ROW(A22)&lt;=$EA$5),OFFSET('Demand adjustments for Covid'!$F$35,0,ROW(A22)-'Demand background (hide)'!$EE$5,1,1),0)</f>
        <v>0</v>
      </c>
      <c r="DW25" s="5">
        <f ca="1">IF(AND(ROW(A22)&gt;$EE$5,ROW(A22)&lt;=$EA$5),OFFSET('Demand adjustments for Covid'!$F$36,0,ROW(A22)-'Demand background (hide)'!$EE$5,1,1),0)</f>
        <v>0</v>
      </c>
      <c r="DX25" s="5">
        <f t="shared" ca="1" si="11"/>
        <v>664</v>
      </c>
    </row>
    <row r="26" spans="1:128" s="5" customFormat="1" x14ac:dyDescent="0.2">
      <c r="A26" s="5">
        <f t="shared" ca="1" si="3"/>
        <v>0</v>
      </c>
      <c r="B26" s="5">
        <f ca="1">COUNTBLANK(OFFSET(Demand!$I35,0,(COLUMN(A23)-1)*5,1,1))</f>
        <v>0</v>
      </c>
      <c r="C26" s="5">
        <f ca="1">COUNTBLANK(OFFSET(Demand!$I35,0,(COLUMN(B23)-1)*5,1,1))</f>
        <v>0</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180</v>
      </c>
      <c r="O26" s="5">
        <f ca="1">SUM(OFFSET(Demand!$E35,0,(COLUMN(B23)-1)*5,1,3))*O$2</f>
        <v>480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660</v>
      </c>
      <c r="Y26" s="5">
        <f t="shared" ca="1" si="5"/>
        <v>660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660</v>
      </c>
      <c r="AM26" s="5">
        <f t="shared" ca="1" si="9"/>
        <v>0</v>
      </c>
      <c r="AN26" s="5" t="str">
        <f>IF(Demand!BE35="Yes","Yes","")</f>
        <v/>
      </c>
      <c r="AP26" s="36" t="str">
        <f ca="1">Demand!B35</f>
        <v xml:space="preserve"> </v>
      </c>
      <c r="AQ26" s="5" t="str">
        <f ca="1">IF(TEXT(Demand!D35,"MMM")&lt;&gt;TEXT(Demand!D34,"MMM"),TEXT(Demand!D35,"MMM"),"")</f>
        <v/>
      </c>
      <c r="AT26" s="5">
        <f t="shared" ca="1" si="12"/>
        <v>60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1</v>
      </c>
      <c r="BS26">
        <f ca="1">IF($AN26="",OFFSET(Demand!$A$13,ROW(C23)-1,4+((QUOTIENT(COLUMN(BS$2)-69,3))*5)+MOD(COLUMN(BS$2),3),1,1),"")</f>
        <v>5</v>
      </c>
      <c r="BT26">
        <f ca="1">IF($AN26="",OFFSET(Demand!$A$13,ROW(D23)-1,4+((QUOTIENT(COLUMN(BT$2)-69,3))*5)+MOD(COLUMN(BT$2),3),1,1),"")</f>
        <v>0</v>
      </c>
      <c r="BU26">
        <f ca="1">IF($AN26="",OFFSET(Demand!$A$13,ROW(E23)-1,4+((QUOTIENT(COLUMN(BU$2)-69,3))*5)+MOD(COLUMN(BU$2),3),1,1),"")</f>
        <v>0</v>
      </c>
      <c r="BV26">
        <f ca="1">IF($AN26="",OFFSET(Demand!$A$13,ROW(F23)-1,4+((QUOTIENT(COLUMN(BV$2)-69,3))*5)+MOD(COLUMN(BV$2),3),1,1),"")</f>
        <v>12</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f ca="1">VLOOKUP(IF($DM26&lt;53,$DM26,52),'Summary Calculations (hide)'!$D$15:$F$67,2,0)</f>
        <v>551.5</v>
      </c>
      <c r="DP26" s="5">
        <f ca="1">VLOOKUP(IF($DM26&lt;53,$DM26,52),'Summary Calculations (hide)'!$D$15:$F$67,3,0)</f>
        <v>664</v>
      </c>
      <c r="DQ26" s="5">
        <f ca="1">IF(AND(DN26&gt;='Demand adjustments for Covid'!$F$12,DN26&lt;'Demand adjustments for Covid'!$F$17),'Demand adjustments for Covid'!$F$13,DO26)</f>
        <v>551.5</v>
      </c>
      <c r="DR26" s="5">
        <f t="shared" si="7"/>
        <v>1</v>
      </c>
      <c r="DS26" s="5">
        <f ca="1">IF('Demand adjustments for Covid'!$F$9="Yes",IF(DR26=0,DQ26,((SUM(DR$4:DR26)-1)*$EE$8)+'Demand adjustments for Covid'!F$13),'Demand background (hide)'!DO26)</f>
        <v>551.5</v>
      </c>
      <c r="DT26" s="5">
        <f ca="1">IF('Demand adjustments for Covid'!$F$9="Yes",IF(OR(AND(DN26&gt;='Demand adjustments for Covid'!$F$12,DN26&lt;'Demand adjustments for Covid'!$F$17),DR26=1),DS26+3,DP26),'Demand background (hide)'!DP26)</f>
        <v>664</v>
      </c>
      <c r="DU26" s="5">
        <f ca="1">IF(DS26&lt;='Demand adjustments for Covid'!$F$17,DO26-DS26,0)</f>
        <v>0</v>
      </c>
      <c r="DV26" s="5">
        <f ca="1">IF(AND(ROW(A23)&gt;$EE$5,ROW(A23)&lt;=$EA$5),OFFSET('Demand adjustments for Covid'!$F$35,0,ROW(A23)-'Demand background (hide)'!$EE$5,1,1),0)</f>
        <v>0</v>
      </c>
      <c r="DW26" s="5">
        <f ca="1">IF(AND(ROW(A23)&gt;$EE$5,ROW(A23)&lt;=$EA$5),OFFSET('Demand adjustments for Covid'!$F$36,0,ROW(A23)-'Demand background (hide)'!$EE$5,1,1),0)</f>
        <v>0</v>
      </c>
      <c r="DX26" s="5">
        <f t="shared" ca="1" si="11"/>
        <v>664</v>
      </c>
    </row>
    <row r="27" spans="1:128" s="5" customFormat="1" x14ac:dyDescent="0.2">
      <c r="A27" s="5">
        <f t="shared" ca="1" si="3"/>
        <v>0</v>
      </c>
      <c r="B27" s="5">
        <f ca="1">COUNTBLANK(OFFSET(Demand!$I36,0,(COLUMN(A24)-1)*5,1,1))</f>
        <v>0</v>
      </c>
      <c r="C27" s="5">
        <f ca="1">COUNTBLANK(OFFSET(Demand!$I36,0,(COLUMN(B24)-1)*5,1,1))</f>
        <v>0</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60</v>
      </c>
      <c r="O27" s="5">
        <f ca="1">SUM(OFFSET(Demand!$E36,0,(COLUMN(B24)-1)*5,1,3))*O$2</f>
        <v>360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420</v>
      </c>
      <c r="Y27" s="5">
        <f t="shared" ca="1" si="5"/>
        <v>420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420</v>
      </c>
      <c r="AM27" s="5">
        <f t="shared" ca="1" si="9"/>
        <v>0</v>
      </c>
      <c r="AN27" s="5" t="str">
        <f>IF(Demand!BE36="Yes","Yes","")</f>
        <v/>
      </c>
      <c r="AP27" s="36" t="str">
        <f ca="1">Demand!B36</f>
        <v xml:space="preserve"> </v>
      </c>
      <c r="AQ27" s="5" t="str">
        <f ca="1">IF(TEXT(Demand!D36,"MMM")&lt;&gt;TEXT(Demand!D35,"MMM"),TEXT(Demand!D36,"MMM"),"")</f>
        <v>Sep</v>
      </c>
      <c r="AT27" s="5">
        <f t="shared" ca="1" si="12"/>
        <v>240</v>
      </c>
      <c r="AV27" s="5" t="s">
        <v>109</v>
      </c>
      <c r="AW27" s="44" t="str">
        <f ca="1">IFERROR(AW26/1.128,"")</f>
        <v/>
      </c>
      <c r="AX27" s="5" t="str">
        <f ca="1">IFERROR(AX26/1.128,"")</f>
        <v/>
      </c>
      <c r="BQ27">
        <f ca="1">IF($AN27="",OFFSET(Demand!$A$13,ROW(A24)-1,4+((QUOTIENT(COLUMN(BQ$2)-69,3))*5)+MOD(COLUMN(BQ$2),3),1,1),"")</f>
        <v>0</v>
      </c>
      <c r="BR27">
        <f ca="1">IF($AN27="",OFFSET(Demand!$A$13,ROW(B24)-1,4+((QUOTIENT(COLUMN(BR$2)-69,3))*5)+MOD(COLUMN(BR$2),3),1,1),"")</f>
        <v>1</v>
      </c>
      <c r="BS27">
        <f ca="1">IF($AN27="",OFFSET(Demand!$A$13,ROW(C24)-1,4+((QUOTIENT(COLUMN(BS$2)-69,3))*5)+MOD(COLUMN(BS$2),3),1,1),"")</f>
        <v>1</v>
      </c>
      <c r="BT27">
        <f ca="1">IF($AN27="",OFFSET(Demand!$A$13,ROW(D24)-1,4+((QUOTIENT(COLUMN(BT$2)-69,3))*5)+MOD(COLUMN(BT$2),3),1,1),"")</f>
        <v>0</v>
      </c>
      <c r="BU27">
        <f ca="1">IF($AN27="",OFFSET(Demand!$A$13,ROW(E24)-1,4+((QUOTIENT(COLUMN(BU$2)-69,3))*5)+MOD(COLUMN(BU$2),3),1,1),"")</f>
        <v>1</v>
      </c>
      <c r="BV27">
        <f ca="1">IF($AN27="",OFFSET(Demand!$A$13,ROW(F24)-1,4+((QUOTIENT(COLUMN(BV$2)-69,3))*5)+MOD(COLUMN(BV$2),3),1,1),"")</f>
        <v>8</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f ca="1">VLOOKUP(IF($DM27&lt;53,$DM27,52),'Summary Calculations (hide)'!$D$15:$F$67,2,0)</f>
        <v>551.5</v>
      </c>
      <c r="DP27" s="5">
        <f ca="1">VLOOKUP(IF($DM27&lt;53,$DM27,52),'Summary Calculations (hide)'!$D$15:$F$67,3,0)</f>
        <v>664</v>
      </c>
      <c r="DQ27" s="5">
        <f ca="1">IF(AND(DN27&gt;='Demand adjustments for Covid'!$F$12,DN27&lt;'Demand adjustments for Covid'!$F$17),'Demand adjustments for Covid'!$F$13,DO27)</f>
        <v>551.5</v>
      </c>
      <c r="DR27" s="5">
        <f t="shared" si="7"/>
        <v>1</v>
      </c>
      <c r="DS27" s="5">
        <f ca="1">IF('Demand adjustments for Covid'!$F$9="Yes",IF(DR27=0,DQ27,((SUM(DR$4:DR27)-1)*$EE$8)+'Demand adjustments for Covid'!F$13),'Demand background (hide)'!DO27)</f>
        <v>551.5</v>
      </c>
      <c r="DT27" s="5">
        <f ca="1">IF('Demand adjustments for Covid'!$F$9="Yes",IF(OR(AND(DN27&gt;='Demand adjustments for Covid'!$F$12,DN27&lt;'Demand adjustments for Covid'!$F$17),DR27=1),DS27+3,DP27),'Demand background (hide)'!DP27)</f>
        <v>664</v>
      </c>
      <c r="DU27" s="5">
        <f ca="1">IF(DS27&lt;='Demand adjustments for Covid'!$F$17,DO27-DS27,0)</f>
        <v>0</v>
      </c>
      <c r="DV27" s="5">
        <f ca="1">IF(AND(ROW(A24)&gt;$EE$5,ROW(A24)&lt;=$EA$5),OFFSET('Demand adjustments for Covid'!$F$35,0,ROW(A24)-'Demand background (hide)'!$EE$5,1,1),0)</f>
        <v>0</v>
      </c>
      <c r="DW27" s="5">
        <f ca="1">IF(AND(ROW(A24)&gt;$EE$5,ROW(A24)&lt;=$EA$5),OFFSET('Demand adjustments for Covid'!$F$36,0,ROW(A24)-'Demand background (hide)'!$EE$5,1,1),0)</f>
        <v>0</v>
      </c>
      <c r="DX27" s="5">
        <f t="shared" ca="1" si="11"/>
        <v>664</v>
      </c>
    </row>
    <row r="28" spans="1:128" s="5" customFormat="1" x14ac:dyDescent="0.2">
      <c r="A28" s="5">
        <f t="shared" ca="1" si="3"/>
        <v>0</v>
      </c>
      <c r="B28" s="5">
        <f ca="1">COUNTBLANK(OFFSET(Demand!$I37,0,(COLUMN(A25)-1)*5,1,1))</f>
        <v>0</v>
      </c>
      <c r="C28" s="5">
        <f ca="1">COUNTBLANK(OFFSET(Demand!$I37,0,(COLUMN(B25)-1)*5,1,1))</f>
        <v>0</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210</v>
      </c>
      <c r="O28" s="5">
        <f ca="1">SUM(OFFSET(Demand!$E37,0,(COLUMN(B25)-1)*5,1,3))*O$2</f>
        <v>520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730</v>
      </c>
      <c r="Y28" s="5">
        <f t="shared" ca="1" si="5"/>
        <v>730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730</v>
      </c>
      <c r="AM28" s="5">
        <f t="shared" ca="1" si="9"/>
        <v>0</v>
      </c>
      <c r="AN28" s="5" t="str">
        <f>IF(Demand!BE37="Yes","Yes","")</f>
        <v/>
      </c>
      <c r="AP28" s="36" t="str">
        <f ca="1">Demand!B37</f>
        <v xml:space="preserve"> </v>
      </c>
      <c r="AQ28" s="5" t="str">
        <f ca="1">IF(TEXT(Demand!D37,"MMM")&lt;&gt;TEXT(Demand!D36,"MMM"),TEXT(Demand!D37,"MMM"),"")</f>
        <v/>
      </c>
      <c r="AT28" s="5">
        <f t="shared" ca="1" si="12"/>
        <v>310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2</v>
      </c>
      <c r="BS28">
        <f ca="1">IF($AN28="",OFFSET(Demand!$A$13,ROW(C25)-1,4+((QUOTIENT(COLUMN(BS$2)-69,3))*5)+MOD(COLUMN(BS$2),3),1,1),"")</f>
        <v>5</v>
      </c>
      <c r="BT28">
        <f ca="1">IF($AN28="",OFFSET(Demand!$A$13,ROW(D25)-1,4+((QUOTIENT(COLUMN(BT$2)-69,3))*5)+MOD(COLUMN(BT$2),3),1,1),"")</f>
        <v>0</v>
      </c>
      <c r="BU28">
        <f ca="1">IF($AN28="",OFFSET(Demand!$A$13,ROW(E25)-1,4+((QUOTIENT(COLUMN(BU$2)-69,3))*5)+MOD(COLUMN(BU$2),3),1,1),"")</f>
        <v>6</v>
      </c>
      <c r="BV28">
        <f ca="1">IF($AN28="",OFFSET(Demand!$A$13,ROW(F25)-1,4+((QUOTIENT(COLUMN(BV$2)-69,3))*5)+MOD(COLUMN(BV$2),3),1,1),"")</f>
        <v>7</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f ca="1">VLOOKUP(IF($DM28&lt;53,$DM28,52),'Summary Calculations (hide)'!$D$15:$F$67,2,0)</f>
        <v>551.5</v>
      </c>
      <c r="DP28" s="5">
        <f ca="1">VLOOKUP(IF($DM28&lt;53,$DM28,52),'Summary Calculations (hide)'!$D$15:$F$67,3,0)</f>
        <v>664</v>
      </c>
      <c r="DQ28" s="5">
        <f ca="1">IF(AND(DN28&gt;='Demand adjustments for Covid'!$F$12,DN28&lt;'Demand adjustments for Covid'!$F$17),'Demand adjustments for Covid'!$F$13,DO28)</f>
        <v>551.5</v>
      </c>
      <c r="DR28" s="5">
        <f t="shared" si="7"/>
        <v>1</v>
      </c>
      <c r="DS28" s="5">
        <f ca="1">IF('Demand adjustments for Covid'!$F$9="Yes",IF(DR28=0,DQ28,((SUM(DR$4:DR28)-1)*$EE$8)+'Demand adjustments for Covid'!F$13),'Demand background (hide)'!DO28)</f>
        <v>551.5</v>
      </c>
      <c r="DT28" s="5">
        <f ca="1">IF('Demand adjustments for Covid'!$F$9="Yes",IF(OR(AND(DN28&gt;='Demand adjustments for Covid'!$F$12,DN28&lt;'Demand adjustments for Covid'!$F$17),DR28=1),DS28+3,DP28),'Demand background (hide)'!DP28)</f>
        <v>664</v>
      </c>
      <c r="DU28" s="5">
        <f ca="1">IF(DS28&lt;='Demand adjustments for Covid'!$F$17,DO28-DS28,0)</f>
        <v>0</v>
      </c>
      <c r="DV28" s="5">
        <f ca="1">IF(AND(ROW(A25)&gt;$EE$5,ROW(A25)&lt;=$EA$5),OFFSET('Demand adjustments for Covid'!$F$35,0,ROW(A25)-'Demand background (hide)'!$EE$5,1,1),0)</f>
        <v>0</v>
      </c>
      <c r="DW28" s="5">
        <f ca="1">IF(AND(ROW(A25)&gt;$EE$5,ROW(A25)&lt;=$EA$5),OFFSET('Demand adjustments for Covid'!$F$36,0,ROW(A25)-'Demand background (hide)'!$EE$5,1,1),0)</f>
        <v>0</v>
      </c>
      <c r="DX28" s="5">
        <f t="shared" ca="1" si="11"/>
        <v>664</v>
      </c>
    </row>
    <row r="29" spans="1:128" s="5" customFormat="1" x14ac:dyDescent="0.2">
      <c r="A29" s="5">
        <f t="shared" ca="1" si="3"/>
        <v>0</v>
      </c>
      <c r="B29" s="5">
        <f ca="1">COUNTBLANK(OFFSET(Demand!$I38,0,(COLUMN(A26)-1)*5,1,1))</f>
        <v>0</v>
      </c>
      <c r="C29" s="5">
        <f ca="1">COUNTBLANK(OFFSET(Demand!$I38,0,(COLUMN(B26)-1)*5,1,1))</f>
        <v>0</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150</v>
      </c>
      <c r="O29" s="5">
        <f ca="1">SUM(OFFSET(Demand!$E38,0,(COLUMN(B26)-1)*5,1,3))*O$2</f>
        <v>520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670</v>
      </c>
      <c r="Y29" s="5">
        <f t="shared" ca="1" si="5"/>
        <v>670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670</v>
      </c>
      <c r="AM29" s="5">
        <f t="shared" ca="1" si="9"/>
        <v>0</v>
      </c>
      <c r="AN29" s="5" t="str">
        <f>IF(Demand!BE38="Yes","Yes","")</f>
        <v/>
      </c>
      <c r="AP29" s="36" t="str">
        <f ca="1">Demand!B38</f>
        <v xml:space="preserve"> </v>
      </c>
      <c r="AQ29" s="5" t="str">
        <f ca="1">IF(TEXT(Demand!D38,"MMM")&lt;&gt;TEXT(Demand!D37,"MMM"),TEXT(Demand!D38,"MMM"),"")</f>
        <v/>
      </c>
      <c r="AT29" s="5">
        <f t="shared" ca="1" si="12"/>
        <v>60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1</v>
      </c>
      <c r="BS29">
        <f ca="1">IF($AN29="",OFFSET(Demand!$A$13,ROW(C26)-1,4+((QUOTIENT(COLUMN(BS$2)-69,3))*5)+MOD(COLUMN(BS$2),3),1,1),"")</f>
        <v>4</v>
      </c>
      <c r="BT29">
        <f ca="1">IF($AN29="",OFFSET(Demand!$A$13,ROW(D26)-1,4+((QUOTIENT(COLUMN(BT$2)-69,3))*5)+MOD(COLUMN(BT$2),3),1,1),"")</f>
        <v>0</v>
      </c>
      <c r="BU29">
        <f ca="1">IF($AN29="",OFFSET(Demand!$A$13,ROW(E26)-1,4+((QUOTIENT(COLUMN(BU$2)-69,3))*5)+MOD(COLUMN(BU$2),3),1,1),"")</f>
        <v>2</v>
      </c>
      <c r="BV29">
        <f ca="1">IF($AN29="",OFFSET(Demand!$A$13,ROW(F26)-1,4+((QUOTIENT(COLUMN(BV$2)-69,3))*5)+MOD(COLUMN(BV$2),3),1,1),"")</f>
        <v>11</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f ca="1">VLOOKUP(IF($DM29&lt;53,$DM29,52),'Summary Calculations (hide)'!$D$15:$F$67,2,0)</f>
        <v>551.5</v>
      </c>
      <c r="DP29" s="5">
        <f ca="1">VLOOKUP(IF($DM29&lt;53,$DM29,52),'Summary Calculations (hide)'!$D$15:$F$67,3,0)</f>
        <v>664</v>
      </c>
      <c r="DQ29" s="5">
        <f ca="1">IF(AND(DN29&gt;='Demand adjustments for Covid'!$F$12,DN29&lt;'Demand adjustments for Covid'!$F$17),'Demand adjustments for Covid'!$F$13,DO29)</f>
        <v>551.5</v>
      </c>
      <c r="DR29" s="5">
        <f t="shared" si="7"/>
        <v>1</v>
      </c>
      <c r="DS29" s="5">
        <f ca="1">IF('Demand adjustments for Covid'!$F$9="Yes",IF(DR29=0,DQ29,((SUM(DR$4:DR29)-1)*$EE$8)+'Demand adjustments for Covid'!F$13),'Demand background (hide)'!DO29)</f>
        <v>551.5</v>
      </c>
      <c r="DT29" s="5">
        <f ca="1">IF('Demand adjustments for Covid'!$F$9="Yes",IF(OR(AND(DN29&gt;='Demand adjustments for Covid'!$F$12,DN29&lt;'Demand adjustments for Covid'!$F$17),DR29=1),DS29+3,DP29),'Demand background (hide)'!DP29)</f>
        <v>664</v>
      </c>
      <c r="DU29" s="5">
        <f ca="1">IF(DS29&lt;='Demand adjustments for Covid'!$F$17,DO29-DS29,0)</f>
        <v>0</v>
      </c>
      <c r="DV29" s="5">
        <f ca="1">IF(AND(ROW(A26)&gt;$EE$5,ROW(A26)&lt;=$EA$5),OFFSET('Demand adjustments for Covid'!$F$35,0,ROW(A26)-'Demand background (hide)'!$EE$5,1,1),0)</f>
        <v>0</v>
      </c>
      <c r="DW29" s="5">
        <f ca="1">IF(AND(ROW(A26)&gt;$EE$5,ROW(A26)&lt;=$EA$5),OFFSET('Demand adjustments for Covid'!$F$36,0,ROW(A26)-'Demand background (hide)'!$EE$5,1,1),0)</f>
        <v>0</v>
      </c>
      <c r="DX29" s="5">
        <f t="shared" ca="1" si="11"/>
        <v>664</v>
      </c>
    </row>
    <row r="30" spans="1:128" s="5" customFormat="1" x14ac:dyDescent="0.2">
      <c r="A30" s="5">
        <f t="shared" ca="1" si="3"/>
        <v>0</v>
      </c>
      <c r="B30" s="5">
        <f ca="1">COUNTBLANK(OFFSET(Demand!$I39,0,(COLUMN(A27)-1)*5,1,1))</f>
        <v>0</v>
      </c>
      <c r="C30" s="5">
        <f ca="1">COUNTBLANK(OFFSET(Demand!$I39,0,(COLUMN(B27)-1)*5,1,1))</f>
        <v>0</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60</v>
      </c>
      <c r="O30" s="5">
        <f ca="1">SUM(OFFSET(Demand!$E39,0,(COLUMN(B27)-1)*5,1,3))*O$2</f>
        <v>520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580</v>
      </c>
      <c r="Y30" s="5">
        <f t="shared" ca="1" si="5"/>
        <v>580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580</v>
      </c>
      <c r="AM30" s="5">
        <f t="shared" ca="1" si="9"/>
        <v>0</v>
      </c>
      <c r="AN30" s="5" t="str">
        <f>IF(Demand!BE39="Yes","Yes","")</f>
        <v/>
      </c>
      <c r="AP30" s="36" t="str">
        <f ca="1">Demand!B39</f>
        <v xml:space="preserve"> </v>
      </c>
      <c r="AQ30" s="5" t="str">
        <f ca="1">IF(TEXT(Demand!D39,"MMM")&lt;&gt;TEXT(Demand!D38,"MMM"),TEXT(Demand!D39,"MMM"),"")</f>
        <v/>
      </c>
      <c r="AT30" s="5">
        <f t="shared" ca="1" si="12"/>
        <v>90</v>
      </c>
      <c r="BQ30">
        <f ca="1">IF($AN30="",OFFSET(Demand!$A$13,ROW(A27)-1,4+((QUOTIENT(COLUMN(BQ$2)-69,3))*5)+MOD(COLUMN(BQ$2),3),1,1),"")</f>
        <v>0</v>
      </c>
      <c r="BR30">
        <f ca="1">IF($AN30="",OFFSET(Demand!$A$13,ROW(B27)-1,4+((QUOTIENT(COLUMN(BR$2)-69,3))*5)+MOD(COLUMN(BR$2),3),1,1),"")</f>
        <v>0</v>
      </c>
      <c r="BS30">
        <f ca="1">IF($AN30="",OFFSET(Demand!$A$13,ROW(C27)-1,4+((QUOTIENT(COLUMN(BS$2)-69,3))*5)+MOD(COLUMN(BS$2),3),1,1),"")</f>
        <v>2</v>
      </c>
      <c r="BT30">
        <f ca="1">IF($AN30="",OFFSET(Demand!$A$13,ROW(D27)-1,4+((QUOTIENT(COLUMN(BT$2)-69,3))*5)+MOD(COLUMN(BT$2),3),1,1),"")</f>
        <v>0</v>
      </c>
      <c r="BU30">
        <f ca="1">IF($AN30="",OFFSET(Demand!$A$13,ROW(E27)-1,4+((QUOTIENT(COLUMN(BU$2)-69,3))*5)+MOD(COLUMN(BU$2),3),1,1),"")</f>
        <v>4</v>
      </c>
      <c r="BV30">
        <f ca="1">IF($AN30="",OFFSET(Demand!$A$13,ROW(F27)-1,4+((QUOTIENT(COLUMN(BV$2)-69,3))*5)+MOD(COLUMN(BV$2),3),1,1),"")</f>
        <v>9</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f ca="1">VLOOKUP(IF($DM30&lt;53,$DM30,52),'Summary Calculations (hide)'!$D$15:$F$67,2,0)</f>
        <v>551.5</v>
      </c>
      <c r="DP30" s="5">
        <f ca="1">VLOOKUP(IF($DM30&lt;53,$DM30,52),'Summary Calculations (hide)'!$D$15:$F$67,3,0)</f>
        <v>664</v>
      </c>
      <c r="DQ30" s="5">
        <f ca="1">IF(AND(DN30&gt;='Demand adjustments for Covid'!$F$12,DN30&lt;'Demand adjustments for Covid'!$F$17),'Demand adjustments for Covid'!$F$13,DO30)</f>
        <v>551.5</v>
      </c>
      <c r="DR30" s="5">
        <f t="shared" si="7"/>
        <v>1</v>
      </c>
      <c r="DS30" s="5">
        <f ca="1">IF('Demand adjustments for Covid'!$F$9="Yes",IF(DR30=0,DQ30,((SUM(DR$4:DR30)-1)*$EE$8)+'Demand adjustments for Covid'!F$13),'Demand background (hide)'!DO30)</f>
        <v>551.5</v>
      </c>
      <c r="DT30" s="5">
        <f ca="1">IF('Demand adjustments for Covid'!$F$9="Yes",IF(OR(AND(DN30&gt;='Demand adjustments for Covid'!$F$12,DN30&lt;'Demand adjustments for Covid'!$F$17),DR30=1),DS30+3,DP30),'Demand background (hide)'!DP30)</f>
        <v>664</v>
      </c>
      <c r="DU30" s="5">
        <f ca="1">IF(DS30&lt;='Demand adjustments for Covid'!$F$17,DO30-DS30,0)</f>
        <v>0</v>
      </c>
      <c r="DV30" s="5">
        <f ca="1">IF(AND(ROW(A27)&gt;$EE$5,ROW(A27)&lt;=$EA$5),OFFSET('Demand adjustments for Covid'!$F$35,0,ROW(A27)-'Demand background (hide)'!$EE$5,1,1),0)</f>
        <v>0</v>
      </c>
      <c r="DW30" s="5">
        <f ca="1">IF(AND(ROW(A27)&gt;$EE$5,ROW(A27)&lt;=$EA$5),OFFSET('Demand adjustments for Covid'!$F$36,0,ROW(A27)-'Demand background (hide)'!$EE$5,1,1),0)</f>
        <v>0</v>
      </c>
      <c r="DX30" s="5">
        <f t="shared" ca="1" si="11"/>
        <v>664</v>
      </c>
    </row>
    <row r="31" spans="1:128" s="5" customFormat="1" x14ac:dyDescent="0.2">
      <c r="A31" s="5">
        <f t="shared" ca="1" si="3"/>
        <v>0</v>
      </c>
      <c r="B31" s="5">
        <f ca="1">COUNTBLANK(OFFSET(Demand!$I40,0,(COLUMN(A28)-1)*5,1,1))</f>
        <v>0</v>
      </c>
      <c r="C31" s="5">
        <f ca="1">COUNTBLANK(OFFSET(Demand!$I40,0,(COLUMN(B28)-1)*5,1,1))</f>
        <v>0</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90</v>
      </c>
      <c r="O31" s="5">
        <f ca="1">SUM(OFFSET(Demand!$E40,0,(COLUMN(B28)-1)*5,1,3))*O$2</f>
        <v>200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290</v>
      </c>
      <c r="Y31" s="5">
        <f t="shared" ca="1" si="5"/>
        <v>290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290</v>
      </c>
      <c r="AM31" s="5">
        <f t="shared" ca="1" si="9"/>
        <v>0</v>
      </c>
      <c r="AN31" s="5" t="str">
        <f>IF(Demand!BE40="Yes","Yes","")</f>
        <v/>
      </c>
      <c r="AP31" s="36" t="str">
        <f ca="1">Demand!B40</f>
        <v xml:space="preserve"> </v>
      </c>
      <c r="AQ31" s="5" t="str">
        <f ca="1">IF(TEXT(Demand!D40,"MMM")&lt;&gt;TEXT(Demand!D39,"MMM"),TEXT(Demand!D40,"MMM"),"")</f>
        <v>Oct</v>
      </c>
      <c r="AT31" s="5">
        <f t="shared" ca="1" si="12"/>
        <v>290</v>
      </c>
      <c r="BQ31">
        <f ca="1">IF($AN31="",OFFSET(Demand!$A$13,ROW(A28)-1,4+((QUOTIENT(COLUMN(BQ$2)-69,3))*5)+MOD(COLUMN(BQ$2),3),1,1),"")</f>
        <v>0</v>
      </c>
      <c r="BR31">
        <f ca="1">IF($AN31="",OFFSET(Demand!$A$13,ROW(B28)-1,4+((QUOTIENT(COLUMN(BR$2)-69,3))*5)+MOD(COLUMN(BR$2),3),1,1),"")</f>
        <v>0</v>
      </c>
      <c r="BS31">
        <f ca="1">IF($AN31="",OFFSET(Demand!$A$13,ROW(C28)-1,4+((QUOTIENT(COLUMN(BS$2)-69,3))*5)+MOD(COLUMN(BS$2),3),1,1),"")</f>
        <v>3</v>
      </c>
      <c r="BT31">
        <f ca="1">IF($AN31="",OFFSET(Demand!$A$13,ROW(D28)-1,4+((QUOTIENT(COLUMN(BT$2)-69,3))*5)+MOD(COLUMN(BT$2),3),1,1),"")</f>
        <v>0</v>
      </c>
      <c r="BU31">
        <f ca="1">IF($AN31="",OFFSET(Demand!$A$13,ROW(E28)-1,4+((QUOTIENT(COLUMN(BU$2)-69,3))*5)+MOD(COLUMN(BU$2),3),1,1),"")</f>
        <v>2</v>
      </c>
      <c r="BV31">
        <f ca="1">IF($AN31="",OFFSET(Demand!$A$13,ROW(F28)-1,4+((QUOTIENT(COLUMN(BV$2)-69,3))*5)+MOD(COLUMN(BV$2),3),1,1),"")</f>
        <v>3</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f ca="1">VLOOKUP(IF($DM31&lt;53,$DM31,52),'Summary Calculations (hide)'!$D$15:$F$67,2,0)</f>
        <v>551.5</v>
      </c>
      <c r="DP31" s="5">
        <f ca="1">VLOOKUP(IF($DM31&lt;53,$DM31,52),'Summary Calculations (hide)'!$D$15:$F$67,3,0)</f>
        <v>664</v>
      </c>
      <c r="DQ31" s="5">
        <f ca="1">IF(AND(DN31&gt;='Demand adjustments for Covid'!$F$12,DN31&lt;'Demand adjustments for Covid'!$F$17),'Demand adjustments for Covid'!$F$13,DO31)</f>
        <v>551.5</v>
      </c>
      <c r="DR31" s="5">
        <f t="shared" si="7"/>
        <v>0</v>
      </c>
      <c r="DS31" s="5">
        <f ca="1">IF('Demand adjustments for Covid'!$F$9="Yes",IF(DR31=0,DQ31,((SUM(DR$4:DR31)-1)*$EE$8)+'Demand adjustments for Covid'!F$13),'Demand background (hide)'!DO31)</f>
        <v>551.5</v>
      </c>
      <c r="DT31" s="5">
        <f ca="1">IF('Demand adjustments for Covid'!$F$9="Yes",IF(OR(AND(DN31&gt;='Demand adjustments for Covid'!$F$12,DN31&lt;'Demand adjustments for Covid'!$F$17),DR31=1),DS31+3,DP31),'Demand background (hide)'!DP31)</f>
        <v>664</v>
      </c>
      <c r="DU31" s="5">
        <f ca="1">IF(DS31&lt;='Demand adjustments for Covid'!$F$17,DO31-DS31,0)</f>
        <v>0</v>
      </c>
      <c r="DV31" s="5">
        <f ca="1">IF(AND(ROW(A28)&gt;$EE$5,ROW(A28)&lt;=$EA$5),OFFSET('Demand adjustments for Covid'!$F$35,0,ROW(A28)-'Demand background (hide)'!$EE$5,1,1),0)</f>
        <v>200</v>
      </c>
      <c r="DW31" s="5">
        <f ca="1">IF(AND(ROW(A28)&gt;$EE$5,ROW(A28)&lt;=$EA$5),OFFSET('Demand adjustments for Covid'!$F$36,0,ROW(A28)-'Demand background (hide)'!$EE$5,1,1),0)</f>
        <v>300</v>
      </c>
      <c r="DX31" s="5">
        <f t="shared" ca="1" si="11"/>
        <v>1164</v>
      </c>
    </row>
    <row r="32" spans="1:128" s="5" customFormat="1" x14ac:dyDescent="0.2">
      <c r="A32" s="5">
        <f t="shared" ca="1" si="3"/>
        <v>0</v>
      </c>
      <c r="B32" s="5">
        <f ca="1">COUNTBLANK(OFFSET(Demand!$I41,0,(COLUMN(A29)-1)*5,1,1))</f>
        <v>0</v>
      </c>
      <c r="C32" s="5">
        <f ca="1">COUNTBLANK(OFFSET(Demand!$I41,0,(COLUMN(B29)-1)*5,1,1))</f>
        <v>0</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90</v>
      </c>
      <c r="O32" s="5">
        <f ca="1">SUM(OFFSET(Demand!$E41,0,(COLUMN(B29)-1)*5,1,3))*O$2</f>
        <v>440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530</v>
      </c>
      <c r="Y32" s="5">
        <f t="shared" ca="1" si="5"/>
        <v>530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530</v>
      </c>
      <c r="AM32" s="5">
        <f t="shared" ca="1" si="9"/>
        <v>0</v>
      </c>
      <c r="AN32" s="5" t="str">
        <f>IF(Demand!BE41="Yes","Yes","")</f>
        <v/>
      </c>
      <c r="AP32" s="36" t="str">
        <f ca="1">Demand!B41</f>
        <v xml:space="preserve"> </v>
      </c>
      <c r="AQ32" s="5" t="str">
        <f ca="1">IF(TEXT(Demand!D41,"MMM")&lt;&gt;TEXT(Demand!D40,"MMM"),TEXT(Demand!D41,"MMM"),"")</f>
        <v/>
      </c>
      <c r="AT32" s="5">
        <f t="shared" ca="1" si="12"/>
        <v>240</v>
      </c>
      <c r="BQ32">
        <f ca="1">IF($AN32="",OFFSET(Demand!$A$13,ROW(A29)-1,4+((QUOTIENT(COLUMN(BQ$2)-69,3))*5)+MOD(COLUMN(BQ$2),3),1,1),"")</f>
        <v>0</v>
      </c>
      <c r="BR32">
        <f ca="1">IF($AN32="",OFFSET(Demand!$A$13,ROW(B29)-1,4+((QUOTIENT(COLUMN(BR$2)-69,3))*5)+MOD(COLUMN(BR$2),3),1,1),"")</f>
        <v>0</v>
      </c>
      <c r="BS32">
        <f ca="1">IF($AN32="",OFFSET(Demand!$A$13,ROW(C29)-1,4+((QUOTIENT(COLUMN(BS$2)-69,3))*5)+MOD(COLUMN(BS$2),3),1,1),"")</f>
        <v>3</v>
      </c>
      <c r="BT32">
        <f ca="1">IF($AN32="",OFFSET(Demand!$A$13,ROW(D29)-1,4+((QUOTIENT(COLUMN(BT$2)-69,3))*5)+MOD(COLUMN(BT$2),3),1,1),"")</f>
        <v>0</v>
      </c>
      <c r="BU32">
        <f ca="1">IF($AN32="",OFFSET(Demand!$A$13,ROW(E29)-1,4+((QUOTIENT(COLUMN(BU$2)-69,3))*5)+MOD(COLUMN(BU$2),3),1,1),"")</f>
        <v>0</v>
      </c>
      <c r="BV32">
        <f ca="1">IF($AN32="",OFFSET(Demand!$A$13,ROW(F29)-1,4+((QUOTIENT(COLUMN(BV$2)-69,3))*5)+MOD(COLUMN(BV$2),3),1,1),"")</f>
        <v>11</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f ca="1">VLOOKUP(IF($DM32&lt;53,$DM32,52),'Summary Calculations (hide)'!$D$15:$F$67,2,0)</f>
        <v>551.5</v>
      </c>
      <c r="DP32" s="5">
        <f ca="1">VLOOKUP(IF($DM32&lt;53,$DM32,52),'Summary Calculations (hide)'!$D$15:$F$67,3,0)</f>
        <v>664</v>
      </c>
      <c r="DQ32" s="5">
        <f ca="1">IF(AND(DN32&gt;='Demand adjustments for Covid'!$F$12,DN32&lt;'Demand adjustments for Covid'!$F$17),'Demand adjustments for Covid'!$F$13,DO32)</f>
        <v>551.5</v>
      </c>
      <c r="DR32" s="5">
        <f t="shared" si="7"/>
        <v>0</v>
      </c>
      <c r="DS32" s="5">
        <f ca="1">IF('Demand adjustments for Covid'!$F$9="Yes",IF(DR32=0,DQ32,((SUM(DR$4:DR32)-1)*$EE$8)+'Demand adjustments for Covid'!F$13),'Demand background (hide)'!DO32)</f>
        <v>551.5</v>
      </c>
      <c r="DT32" s="5">
        <f ca="1">IF('Demand adjustments for Covid'!$F$9="Yes",IF(OR(AND(DN32&gt;='Demand adjustments for Covid'!$F$12,DN32&lt;'Demand adjustments for Covid'!$F$17),DR32=1),DS32+3,DP32),'Demand background (hide)'!DP32)</f>
        <v>664</v>
      </c>
      <c r="DU32" s="5">
        <f ca="1">IF(DS32&lt;='Demand adjustments for Covid'!$F$17,DO32-DS32,0)</f>
        <v>0</v>
      </c>
      <c r="DV32" s="5">
        <f ca="1">IF(AND(ROW(A29)&gt;$EE$5,ROW(A29)&lt;=$EA$5),OFFSET('Demand adjustments for Covid'!$F$35,0,ROW(A29)-'Demand background (hide)'!$EE$5,1,1),0)</f>
        <v>200</v>
      </c>
      <c r="DW32" s="5">
        <f ca="1">IF(AND(ROW(A29)&gt;$EE$5,ROW(A29)&lt;=$EA$5),OFFSET('Demand adjustments for Covid'!$F$36,0,ROW(A29)-'Demand background (hide)'!$EE$5,1,1),0)</f>
        <v>300</v>
      </c>
      <c r="DX32" s="5">
        <f t="shared" ca="1" si="11"/>
        <v>1164</v>
      </c>
    </row>
    <row r="33" spans="1:128" s="5" customFormat="1" x14ac:dyDescent="0.2">
      <c r="A33" s="5">
        <f t="shared" ca="1" si="3"/>
        <v>0</v>
      </c>
      <c r="B33" s="5">
        <f ca="1">COUNTBLANK(OFFSET(Demand!$I42,0,(COLUMN(A30)-1)*5,1,1))</f>
        <v>0</v>
      </c>
      <c r="C33" s="5">
        <f ca="1">COUNTBLANK(OFFSET(Demand!$I42,0,(COLUMN(B30)-1)*5,1,1))</f>
        <v>0</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120</v>
      </c>
      <c r="O33" s="5">
        <f ca="1">SUM(OFFSET(Demand!$E42,0,(COLUMN(B30)-1)*5,1,3))*O$2</f>
        <v>200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320</v>
      </c>
      <c r="Y33" s="5">
        <f t="shared" ca="1" si="5"/>
        <v>320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320</v>
      </c>
      <c r="AM33" s="5">
        <f t="shared" ca="1" si="9"/>
        <v>0</v>
      </c>
      <c r="AN33" s="5" t="str">
        <f>IF(Demand!BE42="Yes","Yes","")</f>
        <v/>
      </c>
      <c r="AP33" s="36" t="str">
        <f ca="1">Demand!B42</f>
        <v xml:space="preserve"> </v>
      </c>
      <c r="AQ33" s="5" t="str">
        <f ca="1">IF(TEXT(Demand!D42,"MMM")&lt;&gt;TEXT(Demand!D41,"MMM"),TEXT(Demand!D42,"MMM"),"")</f>
        <v/>
      </c>
      <c r="AT33" s="5">
        <f t="shared" ca="1" si="12"/>
        <v>210</v>
      </c>
      <c r="BQ33">
        <f ca="1">IF($AN33="",OFFSET(Demand!$A$13,ROW(A30)-1,4+((QUOTIENT(COLUMN(BQ$2)-69,3))*5)+MOD(COLUMN(BQ$2),3),1,1),"")</f>
        <v>0</v>
      </c>
      <c r="BR33">
        <f ca="1">IF($AN33="",OFFSET(Demand!$A$13,ROW(B30)-1,4+((QUOTIENT(COLUMN(BR$2)-69,3))*5)+MOD(COLUMN(BR$2),3),1,1),"")</f>
        <v>2</v>
      </c>
      <c r="BS33">
        <f ca="1">IF($AN33="",OFFSET(Demand!$A$13,ROW(C30)-1,4+((QUOTIENT(COLUMN(BS$2)-69,3))*5)+MOD(COLUMN(BS$2),3),1,1),"")</f>
        <v>2</v>
      </c>
      <c r="BT33">
        <f ca="1">IF($AN33="",OFFSET(Demand!$A$13,ROW(D30)-1,4+((QUOTIENT(COLUMN(BT$2)-69,3))*5)+MOD(COLUMN(BT$2),3),1,1),"")</f>
        <v>0</v>
      </c>
      <c r="BU33">
        <f ca="1">IF($AN33="",OFFSET(Demand!$A$13,ROW(E30)-1,4+((QUOTIENT(COLUMN(BU$2)-69,3))*5)+MOD(COLUMN(BU$2),3),1,1),"")</f>
        <v>0</v>
      </c>
      <c r="BV33">
        <f ca="1">IF($AN33="",OFFSET(Demand!$A$13,ROW(F30)-1,4+((QUOTIENT(COLUMN(BV$2)-69,3))*5)+MOD(COLUMN(BV$2),3),1,1),"")</f>
        <v>5</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f ca="1">VLOOKUP(IF($DM33&lt;53,$DM33,52),'Summary Calculations (hide)'!$D$15:$F$67,2,0)</f>
        <v>551.5</v>
      </c>
      <c r="DP33" s="5">
        <f ca="1">VLOOKUP(IF($DM33&lt;53,$DM33,52),'Summary Calculations (hide)'!$D$15:$F$67,3,0)</f>
        <v>664</v>
      </c>
      <c r="DQ33" s="5">
        <f ca="1">IF(AND(DN33&gt;='Demand adjustments for Covid'!$F$12,DN33&lt;'Demand adjustments for Covid'!$F$17),'Demand adjustments for Covid'!$F$13,DO33)</f>
        <v>551.5</v>
      </c>
      <c r="DR33" s="5">
        <f t="shared" si="7"/>
        <v>0</v>
      </c>
      <c r="DS33" s="5">
        <f ca="1">IF('Demand adjustments for Covid'!$F$9="Yes",IF(DR33=0,DQ33,((SUM(DR$4:DR33)-1)*$EE$8)+'Demand adjustments for Covid'!F$13),'Demand background (hide)'!DO33)</f>
        <v>551.5</v>
      </c>
      <c r="DT33" s="5">
        <f ca="1">IF('Demand adjustments for Covid'!$F$9="Yes",IF(OR(AND(DN33&gt;='Demand adjustments for Covid'!$F$12,DN33&lt;'Demand adjustments for Covid'!$F$17),DR33=1),DS33+3,DP33),'Demand background (hide)'!DP33)</f>
        <v>664</v>
      </c>
      <c r="DU33" s="5">
        <f ca="1">IF(DS33&lt;='Demand adjustments for Covid'!$F$17,DO33-DS33,0)</f>
        <v>0</v>
      </c>
      <c r="DV33" s="5">
        <f ca="1">IF(AND(ROW(A30)&gt;$EE$5,ROW(A30)&lt;=$EA$5),OFFSET('Demand adjustments for Covid'!$F$35,0,ROW(A30)-'Demand background (hide)'!$EE$5,1,1),0)</f>
        <v>200</v>
      </c>
      <c r="DW33" s="5">
        <f ca="1">IF(AND(ROW(A30)&gt;$EE$5,ROW(A30)&lt;=$EA$5),OFFSET('Demand adjustments for Covid'!$F$36,0,ROW(A30)-'Demand background (hide)'!$EE$5,1,1),0)</f>
        <v>300</v>
      </c>
      <c r="DX33" s="5">
        <f t="shared" ca="1" si="11"/>
        <v>1164</v>
      </c>
    </row>
    <row r="34" spans="1:128" s="5" customFormat="1" x14ac:dyDescent="0.2">
      <c r="A34" s="5">
        <f t="shared" ca="1" si="3"/>
        <v>0</v>
      </c>
      <c r="B34" s="5">
        <f ca="1">COUNTBLANK(OFFSET(Demand!$I43,0,(COLUMN(A31)-1)*5,1,1))</f>
        <v>0</v>
      </c>
      <c r="C34" s="5">
        <f ca="1">COUNTBLANK(OFFSET(Demand!$I43,0,(COLUMN(B31)-1)*5,1,1))</f>
        <v>0</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90</v>
      </c>
      <c r="O34" s="5">
        <f ca="1">SUM(OFFSET(Demand!$E43,0,(COLUMN(B31)-1)*5,1,3))*O$2</f>
        <v>640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730</v>
      </c>
      <c r="Y34" s="5">
        <f t="shared" ca="1" si="5"/>
        <v>730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730</v>
      </c>
      <c r="AM34" s="5">
        <f t="shared" ca="1" si="9"/>
        <v>0</v>
      </c>
      <c r="AN34" s="5" t="str">
        <f>IF(Demand!BE43="Yes","Yes","")</f>
        <v/>
      </c>
      <c r="AP34" s="36" t="str">
        <f ca="1">Demand!B43</f>
        <v xml:space="preserve"> </v>
      </c>
      <c r="AQ34" s="5" t="str">
        <f ca="1">IF(TEXT(Demand!D43,"MMM")&lt;&gt;TEXT(Demand!D42,"MMM"),TEXT(Demand!D43,"MMM"),"")</f>
        <v/>
      </c>
      <c r="AT34" s="5">
        <f t="shared" ca="1" si="12"/>
        <v>410</v>
      </c>
      <c r="BQ34">
        <f ca="1">IF($AN34="",OFFSET(Demand!$A$13,ROW(A31)-1,4+((QUOTIENT(COLUMN(BQ$2)-69,3))*5)+MOD(COLUMN(BQ$2),3),1,1),"")</f>
        <v>0</v>
      </c>
      <c r="BR34">
        <f ca="1">IF($AN34="",OFFSET(Demand!$A$13,ROW(B31)-1,4+((QUOTIENT(COLUMN(BR$2)-69,3))*5)+MOD(COLUMN(BR$2),3),1,1),"")</f>
        <v>1</v>
      </c>
      <c r="BS34">
        <f ca="1">IF($AN34="",OFFSET(Demand!$A$13,ROW(C31)-1,4+((QUOTIENT(COLUMN(BS$2)-69,3))*5)+MOD(COLUMN(BS$2),3),1,1),"")</f>
        <v>2</v>
      </c>
      <c r="BT34">
        <f ca="1">IF($AN34="",OFFSET(Demand!$A$13,ROW(D31)-1,4+((QUOTIENT(COLUMN(BT$2)-69,3))*5)+MOD(COLUMN(BT$2),3),1,1),"")</f>
        <v>0</v>
      </c>
      <c r="BU34">
        <f ca="1">IF($AN34="",OFFSET(Demand!$A$13,ROW(E31)-1,4+((QUOTIENT(COLUMN(BU$2)-69,3))*5)+MOD(COLUMN(BU$2),3),1,1),"")</f>
        <v>2</v>
      </c>
      <c r="BV34">
        <f ca="1">IF($AN34="",OFFSET(Demand!$A$13,ROW(F31)-1,4+((QUOTIENT(COLUMN(BV$2)-69,3))*5)+MOD(COLUMN(BV$2),3),1,1),"")</f>
        <v>14</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f ca="1">VLOOKUP(IF($DM34&lt;53,$DM34,52),'Summary Calculations (hide)'!$D$15:$F$67,2,0)</f>
        <v>551.5</v>
      </c>
      <c r="DP34" s="5">
        <f ca="1">VLOOKUP(IF($DM34&lt;53,$DM34,52),'Summary Calculations (hide)'!$D$15:$F$67,3,0)</f>
        <v>664</v>
      </c>
      <c r="DQ34" s="5">
        <f ca="1">IF(AND(DN34&gt;='Demand adjustments for Covid'!$F$12,DN34&lt;'Demand adjustments for Covid'!$F$17),'Demand adjustments for Covid'!$F$13,DO34)</f>
        <v>551.5</v>
      </c>
      <c r="DR34" s="5">
        <f t="shared" si="7"/>
        <v>0</v>
      </c>
      <c r="DS34" s="5">
        <f ca="1">IF('Demand adjustments for Covid'!$F$9="Yes",IF(DR34=0,DQ34,((SUM(DR$4:DR34)-1)*$EE$8)+'Demand adjustments for Covid'!F$13),'Demand background (hide)'!DO34)</f>
        <v>551.5</v>
      </c>
      <c r="DT34" s="5">
        <f ca="1">IF('Demand adjustments for Covid'!$F$9="Yes",IF(OR(AND(DN34&gt;='Demand adjustments for Covid'!$F$12,DN34&lt;'Demand adjustments for Covid'!$F$17),DR34=1),DS34+3,DP34),'Demand background (hide)'!DP34)</f>
        <v>664</v>
      </c>
      <c r="DU34" s="5">
        <f ca="1">IF(DS34&lt;='Demand adjustments for Covid'!$F$17,DO34-DS34,0)</f>
        <v>0</v>
      </c>
      <c r="DV34" s="5">
        <f ca="1">IF(AND(ROW(A31)&gt;$EE$5,ROW(A31)&lt;=$EA$5),OFFSET('Demand adjustments for Covid'!$F$35,0,ROW(A31)-'Demand background (hide)'!$EE$5,1,1),0)</f>
        <v>200</v>
      </c>
      <c r="DW34" s="5">
        <f ca="1">IF(AND(ROW(A31)&gt;$EE$5,ROW(A31)&lt;=$EA$5),OFFSET('Demand adjustments for Covid'!$F$36,0,ROW(A31)-'Demand background (hide)'!$EE$5,1,1),0)</f>
        <v>300</v>
      </c>
      <c r="DX34" s="5">
        <f t="shared" ca="1" si="11"/>
        <v>1164</v>
      </c>
    </row>
    <row r="35" spans="1:128" s="5" customFormat="1" x14ac:dyDescent="0.2">
      <c r="A35" s="5">
        <f t="shared" ca="1" si="3"/>
        <v>0</v>
      </c>
      <c r="B35" s="5">
        <f ca="1">COUNTBLANK(OFFSET(Demand!$I44,0,(COLUMN(A32)-1)*5,1,1))</f>
        <v>0</v>
      </c>
      <c r="C35" s="5">
        <f ca="1">COUNTBLANK(OFFSET(Demand!$I44,0,(COLUMN(B32)-1)*5,1,1))</f>
        <v>0</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180</v>
      </c>
      <c r="O35" s="5">
        <f ca="1">SUM(OFFSET(Demand!$E44,0,(COLUMN(B32)-1)*5,1,3))*O$2</f>
        <v>400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580</v>
      </c>
      <c r="Y35" s="5">
        <f t="shared" ca="1" si="5"/>
        <v>580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580</v>
      </c>
      <c r="AM35" s="5">
        <f t="shared" ca="1" si="9"/>
        <v>0</v>
      </c>
      <c r="AN35" s="5" t="str">
        <f>IF(Demand!BE44="Yes","Yes","")</f>
        <v/>
      </c>
      <c r="AP35" s="36" t="str">
        <f ca="1">Demand!B44</f>
        <v xml:space="preserve"> </v>
      </c>
      <c r="AQ35" s="5" t="str">
        <f ca="1">IF(TEXT(Demand!D44,"MMM")&lt;&gt;TEXT(Demand!D43,"MMM"),TEXT(Demand!D44,"MMM"),"")</f>
        <v/>
      </c>
      <c r="AT35" s="5">
        <f t="shared" ca="1" si="12"/>
        <v>150</v>
      </c>
      <c r="BQ35">
        <f ca="1">IF($AN35="",OFFSET(Demand!$A$13,ROW(A32)-1,4+((QUOTIENT(COLUMN(BQ$2)-69,3))*5)+MOD(COLUMN(BQ$2),3),1,1),"")</f>
        <v>0</v>
      </c>
      <c r="BR35">
        <f ca="1">IF($AN35="",OFFSET(Demand!$A$13,ROW(B32)-1,4+((QUOTIENT(COLUMN(BR$2)-69,3))*5)+MOD(COLUMN(BR$2),3),1,1),"")</f>
        <v>0</v>
      </c>
      <c r="BS35">
        <f ca="1">IF($AN35="",OFFSET(Demand!$A$13,ROW(C32)-1,4+((QUOTIENT(COLUMN(BS$2)-69,3))*5)+MOD(COLUMN(BS$2),3),1,1),"")</f>
        <v>6</v>
      </c>
      <c r="BT35">
        <f ca="1">IF($AN35="",OFFSET(Demand!$A$13,ROW(D32)-1,4+((QUOTIENT(COLUMN(BT$2)-69,3))*5)+MOD(COLUMN(BT$2),3),1,1),"")</f>
        <v>0</v>
      </c>
      <c r="BU35">
        <f ca="1">IF($AN35="",OFFSET(Demand!$A$13,ROW(E32)-1,4+((QUOTIENT(COLUMN(BU$2)-69,3))*5)+MOD(COLUMN(BU$2),3),1,1),"")</f>
        <v>2</v>
      </c>
      <c r="BV35">
        <f ca="1">IF($AN35="",OFFSET(Demand!$A$13,ROW(F32)-1,4+((QUOTIENT(COLUMN(BV$2)-69,3))*5)+MOD(COLUMN(BV$2),3),1,1),"")</f>
        <v>8</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f ca="1">VLOOKUP(IF($DM35&lt;53,$DM35,52),'Summary Calculations (hide)'!$D$15:$F$67,2,0)</f>
        <v>551.5</v>
      </c>
      <c r="DP35" s="5">
        <f ca="1">VLOOKUP(IF($DM35&lt;53,$DM35,52),'Summary Calculations (hide)'!$D$15:$F$67,3,0)</f>
        <v>664</v>
      </c>
      <c r="DQ35" s="5">
        <f ca="1">IF(AND(DN35&gt;='Demand adjustments for Covid'!$F$12,DN35&lt;'Demand adjustments for Covid'!$F$17),'Demand adjustments for Covid'!$F$13,DO35)</f>
        <v>551.5</v>
      </c>
      <c r="DR35" s="5">
        <f t="shared" si="7"/>
        <v>0</v>
      </c>
      <c r="DS35" s="5">
        <f ca="1">IF('Demand adjustments for Covid'!$F$9="Yes",IF(DR35=0,DQ35,((SUM(DR$4:DR35)-1)*$EE$8)+'Demand adjustments for Covid'!F$13),'Demand background (hide)'!DO35)</f>
        <v>551.5</v>
      </c>
      <c r="DT35" s="5">
        <f ca="1">IF('Demand adjustments for Covid'!$F$9="Yes",IF(OR(AND(DN35&gt;='Demand adjustments for Covid'!$F$12,DN35&lt;'Demand adjustments for Covid'!$F$17),DR35=1),DS35+3,DP35),'Demand background (hide)'!DP35)</f>
        <v>664</v>
      </c>
      <c r="DU35" s="5">
        <f ca="1">IF(DS35&lt;='Demand adjustments for Covid'!$F$17,DO35-DS35,0)</f>
        <v>0</v>
      </c>
      <c r="DV35" s="5">
        <f ca="1">IF(AND(ROW(A32)&gt;$EE$5,ROW(A32)&lt;=$EA$5),OFFSET('Demand adjustments for Covid'!$F$35,0,ROW(A32)-'Demand background (hide)'!$EE$5,1,1),0)</f>
        <v>200</v>
      </c>
      <c r="DW35" s="5">
        <f ca="1">IF(AND(ROW(A32)&gt;$EE$5,ROW(A32)&lt;=$EA$5),OFFSET('Demand adjustments for Covid'!$F$36,0,ROW(A32)-'Demand background (hide)'!$EE$5,1,1),0)</f>
        <v>300</v>
      </c>
      <c r="DX35" s="5">
        <f t="shared" ca="1" si="11"/>
        <v>1164</v>
      </c>
    </row>
    <row r="36" spans="1:128" s="5" customFormat="1" x14ac:dyDescent="0.2">
      <c r="A36" s="5">
        <f t="shared" ref="A36:A55" ca="1" si="32">SUM(OFFSET(B36,0,0,1,Num_Modalities))</f>
        <v>0</v>
      </c>
      <c r="B36" s="5">
        <f ca="1">COUNTBLANK(OFFSET(Demand!$I45,0,(COLUMN(A33)-1)*5,1,1))</f>
        <v>0</v>
      </c>
      <c r="C36" s="5">
        <f ca="1">COUNTBLANK(OFFSET(Demand!$I45,0,(COLUMN(B33)-1)*5,1,1))</f>
        <v>0</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210</v>
      </c>
      <c r="O36" s="5">
        <f ca="1">SUM(OFFSET(Demand!$E45,0,(COLUMN(B33)-1)*5,1,3))*O$2</f>
        <v>240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450</v>
      </c>
      <c r="Y36" s="5">
        <f t="shared" ca="1" si="5"/>
        <v>450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450</v>
      </c>
      <c r="AM36" s="5">
        <f t="shared" ca="1" si="9"/>
        <v>0</v>
      </c>
      <c r="AN36" s="5" t="str">
        <f>IF(Demand!BE45="Yes","Yes","")</f>
        <v/>
      </c>
      <c r="AP36" s="36" t="str">
        <f ca="1">Demand!B45</f>
        <v xml:space="preserve"> </v>
      </c>
      <c r="AQ36" s="5" t="str">
        <f ca="1">IF(TEXT(Demand!D45,"MMM")&lt;&gt;TEXT(Demand!D44,"MMM"),TEXT(Demand!D45,"MMM"),"")</f>
        <v>Nov</v>
      </c>
      <c r="AT36" s="5">
        <f t="shared" ca="1" si="12"/>
        <v>130</v>
      </c>
      <c r="BQ36">
        <f ca="1">IF($AN36="",OFFSET(Demand!$A$13,ROW(A33)-1,4+((QUOTIENT(COLUMN(BQ$2)-69,3))*5)+MOD(COLUMN(BQ$2),3),1,1),"")</f>
        <v>0</v>
      </c>
      <c r="BR36">
        <f ca="1">IF($AN36="",OFFSET(Demand!$A$13,ROW(B33)-1,4+((QUOTIENT(COLUMN(BR$2)-69,3))*5)+MOD(COLUMN(BR$2),3),1,1),"")</f>
        <v>0</v>
      </c>
      <c r="BS36">
        <f ca="1">IF($AN36="",OFFSET(Demand!$A$13,ROW(C33)-1,4+((QUOTIENT(COLUMN(BS$2)-69,3))*5)+MOD(COLUMN(BS$2),3),1,1),"")</f>
        <v>7</v>
      </c>
      <c r="BT36">
        <f ca="1">IF($AN36="",OFFSET(Demand!$A$13,ROW(D33)-1,4+((QUOTIENT(COLUMN(BT$2)-69,3))*5)+MOD(COLUMN(BT$2),3),1,1),"")</f>
        <v>0</v>
      </c>
      <c r="BU36">
        <f ca="1">IF($AN36="",OFFSET(Demand!$A$13,ROW(E33)-1,4+((QUOTIENT(COLUMN(BU$2)-69,3))*5)+MOD(COLUMN(BU$2),3),1,1),"")</f>
        <v>3</v>
      </c>
      <c r="BV36">
        <f ca="1">IF($AN36="",OFFSET(Demand!$A$13,ROW(F33)-1,4+((QUOTIENT(COLUMN(BV$2)-69,3))*5)+MOD(COLUMN(BV$2),3),1,1),"")</f>
        <v>3</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f ca="1">VLOOKUP(IF($DM36&lt;53,$DM36,52),'Summary Calculations (hide)'!$D$15:$F$67,2,0)</f>
        <v>551.5</v>
      </c>
      <c r="DP36" s="5">
        <f ca="1">VLOOKUP(IF($DM36&lt;53,$DM36,52),'Summary Calculations (hide)'!$D$15:$F$67,3,0)</f>
        <v>664</v>
      </c>
      <c r="DQ36" s="5">
        <f ca="1">IF(AND(DN36&gt;='Demand adjustments for Covid'!$F$12,DN36&lt;'Demand adjustments for Covid'!$F$17),'Demand adjustments for Covid'!$F$13,DO36)</f>
        <v>551.5</v>
      </c>
      <c r="DR36" s="5">
        <f t="shared" ref="DR36:DR55" si="33">IF(AND(ROW(A33)&gt;=$EE$4,ROW(A33)&lt;=$EE$5),1,0)</f>
        <v>0</v>
      </c>
      <c r="DS36" s="5">
        <f ca="1">IF('Demand adjustments for Covid'!$F$9="Yes",IF(DR36=0,DQ36,((SUM(DR$4:DR36)-1)*$EE$8)+'Demand adjustments for Covid'!F$13),'Demand background (hide)'!DO36)</f>
        <v>551.5</v>
      </c>
      <c r="DT36" s="5">
        <f ca="1">IF('Demand adjustments for Covid'!$F$9="Yes",IF(OR(AND(DN36&gt;='Demand adjustments for Covid'!$F$12,DN36&lt;'Demand adjustments for Covid'!$F$17),DR36=1),DS36+3,DP36),'Demand background (hide)'!DP36)</f>
        <v>664</v>
      </c>
      <c r="DU36" s="5">
        <f ca="1">IF(DS36&lt;='Demand adjustments for Covid'!$F$17,DO36-DS36,0)</f>
        <v>0</v>
      </c>
      <c r="DV36" s="5">
        <f ca="1">IF(AND(ROW(A33)&gt;$EE$5,ROW(A33)&lt;=$EA$5),OFFSET('Demand adjustments for Covid'!$F$35,0,ROW(A33)-'Demand background (hide)'!$EE$5,1,1),0)</f>
        <v>200</v>
      </c>
      <c r="DW36" s="5">
        <f ca="1">IF(AND(ROW(A33)&gt;$EE$5,ROW(A33)&lt;=$EA$5),OFFSET('Demand adjustments for Covid'!$F$36,0,ROW(A33)-'Demand background (hide)'!$EE$5,1,1),0)</f>
        <v>300</v>
      </c>
      <c r="DX36" s="5">
        <f t="shared" ca="1" si="11"/>
        <v>1164</v>
      </c>
    </row>
    <row r="37" spans="1:128" s="5" customFormat="1" x14ac:dyDescent="0.2">
      <c r="A37" s="5">
        <f t="shared" ca="1" si="32"/>
        <v>0</v>
      </c>
      <c r="B37" s="5">
        <f ca="1">COUNTBLANK(OFFSET(Demand!$I46,0,(COLUMN(A34)-1)*5,1,1))</f>
        <v>0</v>
      </c>
      <c r="C37" s="5">
        <f ca="1">COUNTBLANK(OFFSET(Demand!$I46,0,(COLUMN(B34)-1)*5,1,1))</f>
        <v>0</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180</v>
      </c>
      <c r="O37" s="5">
        <f ca="1">SUM(OFFSET(Demand!$E46,0,(COLUMN(B34)-1)*5,1,3))*O$2</f>
        <v>280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460</v>
      </c>
      <c r="Y37" s="5">
        <f t="shared" ca="1" si="5"/>
        <v>460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460</v>
      </c>
      <c r="AM37" s="5">
        <f t="shared" ca="1" si="9"/>
        <v>0</v>
      </c>
      <c r="AN37" s="5" t="str">
        <f>IF(Demand!BE46="Yes","Yes","")</f>
        <v/>
      </c>
      <c r="AP37" s="36" t="str">
        <f ca="1">Demand!B46</f>
        <v xml:space="preserve"> </v>
      </c>
      <c r="AQ37" s="5" t="str">
        <f ca="1">IF(TEXT(Demand!D46,"MMM")&lt;&gt;TEXT(Demand!D45,"MMM"),TEXT(Demand!D46,"MMM"),"")</f>
        <v/>
      </c>
      <c r="AT37" s="5">
        <f t="shared" ca="1" si="12"/>
        <v>10</v>
      </c>
      <c r="BQ37">
        <f ca="1">IF($AN37="",OFFSET(Demand!$A$13,ROW(A34)-1,4+((QUOTIENT(COLUMN(BQ$2)-69,3))*5)+MOD(COLUMN(BQ$2),3),1,1),"")</f>
        <v>0</v>
      </c>
      <c r="BR37">
        <f ca="1">IF($AN37="",OFFSET(Demand!$A$13,ROW(B34)-1,4+((QUOTIENT(COLUMN(BR$2)-69,3))*5)+MOD(COLUMN(BR$2),3),1,1),"")</f>
        <v>3</v>
      </c>
      <c r="BS37">
        <f ca="1">IF($AN37="",OFFSET(Demand!$A$13,ROW(C34)-1,4+((QUOTIENT(COLUMN(BS$2)-69,3))*5)+MOD(COLUMN(BS$2),3),1,1),"")</f>
        <v>3</v>
      </c>
      <c r="BT37">
        <f ca="1">IF($AN37="",OFFSET(Demand!$A$13,ROW(D34)-1,4+((QUOTIENT(COLUMN(BT$2)-69,3))*5)+MOD(COLUMN(BT$2),3),1,1),"")</f>
        <v>0</v>
      </c>
      <c r="BU37">
        <f ca="1">IF($AN37="",OFFSET(Demand!$A$13,ROW(E34)-1,4+((QUOTIENT(COLUMN(BU$2)-69,3))*5)+MOD(COLUMN(BU$2),3),1,1),"")</f>
        <v>0</v>
      </c>
      <c r="BV37">
        <f ca="1">IF($AN37="",OFFSET(Demand!$A$13,ROW(F34)-1,4+((QUOTIENT(COLUMN(BV$2)-69,3))*5)+MOD(COLUMN(BV$2),3),1,1),"")</f>
        <v>7</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f ca="1">VLOOKUP(IF($DM37&lt;53,$DM37,52),'Summary Calculations (hide)'!$D$15:$F$67,2,0)</f>
        <v>551.5</v>
      </c>
      <c r="DP37" s="5">
        <f ca="1">VLOOKUP(IF($DM37&lt;53,$DM37,52),'Summary Calculations (hide)'!$D$15:$F$67,3,0)</f>
        <v>664</v>
      </c>
      <c r="DQ37" s="5">
        <f ca="1">IF(AND(DN37&gt;='Demand adjustments for Covid'!$F$12,DN37&lt;'Demand adjustments for Covid'!$F$17),'Demand adjustments for Covid'!$F$13,DO37)</f>
        <v>551.5</v>
      </c>
      <c r="DR37" s="5">
        <f t="shared" si="33"/>
        <v>0</v>
      </c>
      <c r="DS37" s="5">
        <f ca="1">IF('Demand adjustments for Covid'!$F$9="Yes",IF(DR37=0,DQ37,((SUM(DR$4:DR37)-1)*$EE$8)+'Demand adjustments for Covid'!F$13),'Demand background (hide)'!DO37)</f>
        <v>551.5</v>
      </c>
      <c r="DT37" s="5">
        <f ca="1">IF('Demand adjustments for Covid'!$F$9="Yes",IF(OR(AND(DN37&gt;='Demand adjustments for Covid'!$F$12,DN37&lt;'Demand adjustments for Covid'!$F$17),DR37=1),DS37+3,DP37),'Demand background (hide)'!DP37)</f>
        <v>664</v>
      </c>
      <c r="DU37" s="5">
        <f ca="1">IF(DS37&lt;='Demand adjustments for Covid'!$F$17,DO37-DS37,0)</f>
        <v>0</v>
      </c>
      <c r="DV37" s="5">
        <f ca="1">IF(AND(ROW(A34)&gt;$EE$5,ROW(A34)&lt;=$EA$5),OFFSET('Demand adjustments for Covid'!$F$35,0,ROW(A34)-'Demand background (hide)'!$EE$5,1,1),0)</f>
        <v>200</v>
      </c>
      <c r="DW37" s="5">
        <f ca="1">IF(AND(ROW(A34)&gt;$EE$5,ROW(A34)&lt;=$EA$5),OFFSET('Demand adjustments for Covid'!$F$36,0,ROW(A34)-'Demand background (hide)'!$EE$5,1,1),0)</f>
        <v>300</v>
      </c>
      <c r="DX37" s="5">
        <f t="shared" ca="1" si="11"/>
        <v>1164</v>
      </c>
    </row>
    <row r="38" spans="1:128" s="5" customFormat="1" x14ac:dyDescent="0.2">
      <c r="A38" s="5">
        <f t="shared" ca="1" si="32"/>
        <v>0</v>
      </c>
      <c r="B38" s="5">
        <f ca="1">COUNTBLANK(OFFSET(Demand!$I47,0,(COLUMN(A35)-1)*5,1,1))</f>
        <v>0</v>
      </c>
      <c r="C38" s="5">
        <f ca="1">COUNTBLANK(OFFSET(Demand!$I47,0,(COLUMN(B35)-1)*5,1,1))</f>
        <v>0</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180</v>
      </c>
      <c r="O38" s="5">
        <f ca="1">SUM(OFFSET(Demand!$E47,0,(COLUMN(B35)-1)*5,1,3))*O$2</f>
        <v>520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700</v>
      </c>
      <c r="Y38" s="5">
        <f t="shared" ca="1" si="5"/>
        <v>700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700</v>
      </c>
      <c r="AM38" s="5">
        <f t="shared" ca="1" si="9"/>
        <v>0</v>
      </c>
      <c r="AN38" s="5" t="str">
        <f>IF(Demand!BE47="Yes","Yes","")</f>
        <v/>
      </c>
      <c r="AP38" s="36" t="str">
        <f ca="1">Demand!B47</f>
        <v xml:space="preserve"> </v>
      </c>
      <c r="AQ38" s="5" t="str">
        <f ca="1">IF(TEXT(Demand!D47,"MMM")&lt;&gt;TEXT(Demand!D46,"MMM"),TEXT(Demand!D47,"MMM"),"")</f>
        <v/>
      </c>
      <c r="AT38" s="5">
        <f t="shared" ca="1" si="12"/>
        <v>240</v>
      </c>
      <c r="BQ38">
        <f ca="1">IF($AN38="",OFFSET(Demand!$A$13,ROW(A35)-1,4+((QUOTIENT(COLUMN(BQ$2)-69,3))*5)+MOD(COLUMN(BQ$2),3),1,1),"")</f>
        <v>0</v>
      </c>
      <c r="BR38">
        <f ca="1">IF($AN38="",OFFSET(Demand!$A$13,ROW(B35)-1,4+((QUOTIENT(COLUMN(BR$2)-69,3))*5)+MOD(COLUMN(BR$2),3),1,1),"")</f>
        <v>1</v>
      </c>
      <c r="BS38">
        <f ca="1">IF($AN38="",OFFSET(Demand!$A$13,ROW(C35)-1,4+((QUOTIENT(COLUMN(BS$2)-69,3))*5)+MOD(COLUMN(BS$2),3),1,1),"")</f>
        <v>5</v>
      </c>
      <c r="BT38">
        <f ca="1">IF($AN38="",OFFSET(Demand!$A$13,ROW(D35)-1,4+((QUOTIENT(COLUMN(BT$2)-69,3))*5)+MOD(COLUMN(BT$2),3),1,1),"")</f>
        <v>0</v>
      </c>
      <c r="BU38">
        <f ca="1">IF($AN38="",OFFSET(Demand!$A$13,ROW(E35)-1,4+((QUOTIENT(COLUMN(BU$2)-69,3))*5)+MOD(COLUMN(BU$2),3),1,1),"")</f>
        <v>2</v>
      </c>
      <c r="BV38">
        <f ca="1">IF($AN38="",OFFSET(Demand!$A$13,ROW(F35)-1,4+((QUOTIENT(COLUMN(BV$2)-69,3))*5)+MOD(COLUMN(BV$2),3),1,1),"")</f>
        <v>11</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f ca="1">VLOOKUP(IF($DM38&lt;53,$DM38,52),'Summary Calculations (hide)'!$D$15:$F$67,2,0)</f>
        <v>551.5</v>
      </c>
      <c r="DP38" s="5">
        <f ca="1">VLOOKUP(IF($DM38&lt;53,$DM38,52),'Summary Calculations (hide)'!$D$15:$F$67,3,0)</f>
        <v>664</v>
      </c>
      <c r="DQ38" s="5">
        <f ca="1">IF(AND(DN38&gt;='Demand adjustments for Covid'!$F$12,DN38&lt;'Demand adjustments for Covid'!$F$17),'Demand adjustments for Covid'!$F$13,DO38)</f>
        <v>551.5</v>
      </c>
      <c r="DR38" s="5">
        <f t="shared" si="33"/>
        <v>0</v>
      </c>
      <c r="DS38" s="5">
        <f ca="1">IF('Demand adjustments for Covid'!$F$9="Yes",IF(DR38=0,DQ38,((SUM(DR$4:DR38)-1)*$EE$8)+'Demand adjustments for Covid'!F$13),'Demand background (hide)'!DO38)</f>
        <v>551.5</v>
      </c>
      <c r="DT38" s="5">
        <f ca="1">IF('Demand adjustments for Covid'!$F$9="Yes",IF(OR(AND(DN38&gt;='Demand adjustments for Covid'!$F$12,DN38&lt;'Demand adjustments for Covid'!$F$17),DR38=1),DS38+3,DP38),'Demand background (hide)'!DP38)</f>
        <v>664</v>
      </c>
      <c r="DU38" s="5">
        <f ca="1">IF(DS38&lt;='Demand adjustments for Covid'!$F$17,DO38-DS38,0)</f>
        <v>0</v>
      </c>
      <c r="DV38" s="5">
        <f ca="1">IF(AND(ROW(A35)&gt;$EE$5,ROW(A35)&lt;=$EA$5),OFFSET('Demand adjustments for Covid'!$F$35,0,ROW(A35)-'Demand background (hide)'!$EE$5,1,1),0)</f>
        <v>200</v>
      </c>
      <c r="DW38" s="5">
        <f ca="1">IF(AND(ROW(A35)&gt;$EE$5,ROW(A35)&lt;=$EA$5),OFFSET('Demand adjustments for Covid'!$F$36,0,ROW(A35)-'Demand background (hide)'!$EE$5,1,1),0)</f>
        <v>300</v>
      </c>
      <c r="DX38" s="5">
        <f t="shared" ca="1" si="11"/>
        <v>1164</v>
      </c>
    </row>
    <row r="39" spans="1:128" s="5" customFormat="1" x14ac:dyDescent="0.2">
      <c r="A39" s="5">
        <f t="shared" ca="1" si="32"/>
        <v>0</v>
      </c>
      <c r="B39" s="5">
        <f ca="1">COUNTBLANK(OFFSET(Demand!$I48,0,(COLUMN(A36)-1)*5,1,1))</f>
        <v>0</v>
      </c>
      <c r="C39" s="5">
        <f ca="1">COUNTBLANK(OFFSET(Demand!$I48,0,(COLUMN(B36)-1)*5,1,1))</f>
        <v>0</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90</v>
      </c>
      <c r="O39" s="5">
        <f ca="1">SUM(OFFSET(Demand!$E48,0,(COLUMN(B36)-1)*5,1,3))*O$2</f>
        <v>480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570</v>
      </c>
      <c r="Y39" s="5">
        <f t="shared" ca="1" si="5"/>
        <v>570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570</v>
      </c>
      <c r="AM39" s="5">
        <f t="shared" ca="1" si="9"/>
        <v>0</v>
      </c>
      <c r="AN39" s="5" t="str">
        <f>IF(Demand!BE48="Yes","Yes","")</f>
        <v/>
      </c>
      <c r="AP39" s="36" t="str">
        <f ca="1">Demand!B48</f>
        <v xml:space="preserve"> </v>
      </c>
      <c r="AQ39" s="5" t="str">
        <f ca="1">IF(TEXT(Demand!D48,"MMM")&lt;&gt;TEXT(Demand!D47,"MMM"),TEXT(Demand!D48,"MMM"),"")</f>
        <v/>
      </c>
      <c r="AT39" s="5">
        <f t="shared" ca="1" si="12"/>
        <v>130</v>
      </c>
      <c r="BQ39">
        <f ca="1">IF($AN39="",OFFSET(Demand!$A$13,ROW(A36)-1,4+((QUOTIENT(COLUMN(BQ$2)-69,3))*5)+MOD(COLUMN(BQ$2),3),1,1),"")</f>
        <v>0</v>
      </c>
      <c r="BR39">
        <f ca="1">IF($AN39="",OFFSET(Demand!$A$13,ROW(B36)-1,4+((QUOTIENT(COLUMN(BR$2)-69,3))*5)+MOD(COLUMN(BR$2),3),1,1),"")</f>
        <v>0</v>
      </c>
      <c r="BS39">
        <f ca="1">IF($AN39="",OFFSET(Demand!$A$13,ROW(C36)-1,4+((QUOTIENT(COLUMN(BS$2)-69,3))*5)+MOD(COLUMN(BS$2),3),1,1),"")</f>
        <v>3</v>
      </c>
      <c r="BT39">
        <f ca="1">IF($AN39="",OFFSET(Demand!$A$13,ROW(D36)-1,4+((QUOTIENT(COLUMN(BT$2)-69,3))*5)+MOD(COLUMN(BT$2),3),1,1),"")</f>
        <v>0</v>
      </c>
      <c r="BU39">
        <f ca="1">IF($AN39="",OFFSET(Demand!$A$13,ROW(E36)-1,4+((QUOTIENT(COLUMN(BU$2)-69,3))*5)+MOD(COLUMN(BU$2),3),1,1),"")</f>
        <v>3</v>
      </c>
      <c r="BV39">
        <f ca="1">IF($AN39="",OFFSET(Demand!$A$13,ROW(F36)-1,4+((QUOTIENT(COLUMN(BV$2)-69,3))*5)+MOD(COLUMN(BV$2),3),1,1),"")</f>
        <v>9</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f ca="1">VLOOKUP(IF($DM39&lt;53,$DM39,52),'Summary Calculations (hide)'!$D$15:$F$67,2,0)</f>
        <v>551.5</v>
      </c>
      <c r="DP39" s="5">
        <f ca="1">VLOOKUP(IF($DM39&lt;53,$DM39,52),'Summary Calculations (hide)'!$D$15:$F$67,3,0)</f>
        <v>664</v>
      </c>
      <c r="DQ39" s="5">
        <f ca="1">IF(AND(DN39&gt;='Demand adjustments for Covid'!$F$12,DN39&lt;'Demand adjustments for Covid'!$F$17),'Demand adjustments for Covid'!$F$13,DO39)</f>
        <v>551.5</v>
      </c>
      <c r="DR39" s="5">
        <f t="shared" si="33"/>
        <v>0</v>
      </c>
      <c r="DS39" s="5">
        <f ca="1">IF('Demand adjustments for Covid'!$F$9="Yes",IF(DR39=0,DQ39,((SUM(DR$4:DR39)-1)*$EE$8)+'Demand adjustments for Covid'!F$13),'Demand background (hide)'!DO39)</f>
        <v>551.5</v>
      </c>
      <c r="DT39" s="5">
        <f ca="1">IF('Demand adjustments for Covid'!$F$9="Yes",IF(OR(AND(DN39&gt;='Demand adjustments for Covid'!$F$12,DN39&lt;'Demand adjustments for Covid'!$F$17),DR39=1),DS39+3,DP39),'Demand background (hide)'!DP39)</f>
        <v>664</v>
      </c>
      <c r="DU39" s="5">
        <f ca="1">IF(DS39&lt;='Demand adjustments for Covid'!$F$17,DO39-DS39,0)</f>
        <v>0</v>
      </c>
      <c r="DV39" s="5">
        <f ca="1">IF(AND(ROW(A36)&gt;$EE$5,ROW(A36)&lt;=$EA$5),OFFSET('Demand adjustments for Covid'!$F$35,0,ROW(A36)-'Demand background (hide)'!$EE$5,1,1),0)</f>
        <v>200</v>
      </c>
      <c r="DW39" s="5">
        <f ca="1">IF(AND(ROW(A36)&gt;$EE$5,ROW(A36)&lt;=$EA$5),OFFSET('Demand adjustments for Covid'!$F$36,0,ROW(A36)-'Demand background (hide)'!$EE$5,1,1),0)</f>
        <v>300</v>
      </c>
      <c r="DX39" s="5">
        <f t="shared" ca="1" si="11"/>
        <v>1164</v>
      </c>
    </row>
    <row r="40" spans="1:128" s="5" customFormat="1" x14ac:dyDescent="0.2">
      <c r="A40" s="5">
        <f t="shared" ca="1" si="32"/>
        <v>0</v>
      </c>
      <c r="B40" s="5">
        <f ca="1">COUNTBLANK(OFFSET(Demand!$I49,0,(COLUMN(A37)-1)*5,1,1))</f>
        <v>0</v>
      </c>
      <c r="C40" s="5">
        <f ca="1">COUNTBLANK(OFFSET(Demand!$I49,0,(COLUMN(B37)-1)*5,1,1))</f>
        <v>0</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120</v>
      </c>
      <c r="O40" s="5">
        <f ca="1">SUM(OFFSET(Demand!$E49,0,(COLUMN(B37)-1)*5,1,3))*O$2</f>
        <v>480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600</v>
      </c>
      <c r="Y40" s="5">
        <f t="shared" ca="1" si="5"/>
        <v>600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600</v>
      </c>
      <c r="AM40" s="5">
        <f t="shared" ca="1" si="9"/>
        <v>0</v>
      </c>
      <c r="AN40" s="5" t="str">
        <f>IF(Demand!BE49="Yes","Yes","")</f>
        <v/>
      </c>
      <c r="AP40" s="36" t="str">
        <f ca="1">Demand!B49</f>
        <v xml:space="preserve"> </v>
      </c>
      <c r="AQ40" s="5" t="str">
        <f ca="1">IF(TEXT(Demand!D49,"MMM")&lt;&gt;TEXT(Demand!D48,"MMM"),TEXT(Demand!D49,"MMM"),"")</f>
        <v>Dec</v>
      </c>
      <c r="AT40" s="5">
        <f t="shared" ca="1" si="12"/>
        <v>30</v>
      </c>
      <c r="BQ40">
        <f ca="1">IF($AN40="",OFFSET(Demand!$A$13,ROW(A37)-1,4+((QUOTIENT(COLUMN(BQ$2)-69,3))*5)+MOD(COLUMN(BQ$2),3),1,1),"")</f>
        <v>0</v>
      </c>
      <c r="BR40">
        <f ca="1">IF($AN40="",OFFSET(Demand!$A$13,ROW(B37)-1,4+((QUOTIENT(COLUMN(BR$2)-69,3))*5)+MOD(COLUMN(BR$2),3),1,1),"")</f>
        <v>1</v>
      </c>
      <c r="BS40">
        <f ca="1">IF($AN40="",OFFSET(Demand!$A$13,ROW(C37)-1,4+((QUOTIENT(COLUMN(BS$2)-69,3))*5)+MOD(COLUMN(BS$2),3),1,1),"")</f>
        <v>3</v>
      </c>
      <c r="BT40">
        <f ca="1">IF($AN40="",OFFSET(Demand!$A$13,ROW(D37)-1,4+((QUOTIENT(COLUMN(BT$2)-69,3))*5)+MOD(COLUMN(BT$2),3),1,1),"")</f>
        <v>0</v>
      </c>
      <c r="BU40">
        <f ca="1">IF($AN40="",OFFSET(Demand!$A$13,ROW(E37)-1,4+((QUOTIENT(COLUMN(BU$2)-69,3))*5)+MOD(COLUMN(BU$2),3),1,1),"")</f>
        <v>1</v>
      </c>
      <c r="BV40">
        <f ca="1">IF($AN40="",OFFSET(Demand!$A$13,ROW(F37)-1,4+((QUOTIENT(COLUMN(BV$2)-69,3))*5)+MOD(COLUMN(BV$2),3),1,1),"")</f>
        <v>11</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f ca="1">VLOOKUP(IF($DM40&lt;53,$DM40,52),'Summary Calculations (hide)'!$D$15:$F$67,2,0)</f>
        <v>551.5</v>
      </c>
      <c r="DP40" s="5">
        <f ca="1">VLOOKUP(IF($DM40&lt;53,$DM40,52),'Summary Calculations (hide)'!$D$15:$F$67,3,0)</f>
        <v>664</v>
      </c>
      <c r="DQ40" s="5">
        <f ca="1">IF(AND(DN40&gt;='Demand adjustments for Covid'!$F$12,DN40&lt;'Demand adjustments for Covid'!$F$17),'Demand adjustments for Covid'!$F$13,DO40)</f>
        <v>551.5</v>
      </c>
      <c r="DR40" s="5">
        <f t="shared" si="33"/>
        <v>0</v>
      </c>
      <c r="DS40" s="5">
        <f ca="1">IF('Demand adjustments for Covid'!$F$9="Yes",IF(DR40=0,DQ40,((SUM(DR$4:DR40)-1)*$EE$8)+'Demand adjustments for Covid'!F$13),'Demand background (hide)'!DO40)</f>
        <v>551.5</v>
      </c>
      <c r="DT40" s="5">
        <f ca="1">IF('Demand adjustments for Covid'!$F$9="Yes",IF(OR(AND(DN40&gt;='Demand adjustments for Covid'!$F$12,DN40&lt;'Demand adjustments for Covid'!$F$17),DR40=1),DS40+3,DP40),'Demand background (hide)'!DP40)</f>
        <v>664</v>
      </c>
      <c r="DU40" s="5">
        <f ca="1">IF(DS40&lt;='Demand adjustments for Covid'!$F$17,DO40-DS40,0)</f>
        <v>0</v>
      </c>
      <c r="DV40" s="5">
        <f ca="1">IF(AND(ROW(A37)&gt;$EE$5,ROW(A37)&lt;=$EA$5),OFFSET('Demand adjustments for Covid'!$F$35,0,ROW(A37)-'Demand background (hide)'!$EE$5,1,1),0)</f>
        <v>200</v>
      </c>
      <c r="DW40" s="5">
        <f ca="1">IF(AND(ROW(A37)&gt;$EE$5,ROW(A37)&lt;=$EA$5),OFFSET('Demand adjustments for Covid'!$F$36,0,ROW(A37)-'Demand background (hide)'!$EE$5,1,1),0)</f>
        <v>300</v>
      </c>
      <c r="DX40" s="5">
        <f t="shared" ca="1" si="11"/>
        <v>1164</v>
      </c>
    </row>
    <row r="41" spans="1:128" s="5" customFormat="1" x14ac:dyDescent="0.2">
      <c r="A41" s="5">
        <f t="shared" ca="1" si="32"/>
        <v>0</v>
      </c>
      <c r="B41" s="5">
        <f ca="1">COUNTBLANK(OFFSET(Demand!$I50,0,(COLUMN(A38)-1)*5,1,1))</f>
        <v>0</v>
      </c>
      <c r="C41" s="5">
        <f ca="1">COUNTBLANK(OFFSET(Demand!$I50,0,(COLUMN(B38)-1)*5,1,1))</f>
        <v>0</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30</v>
      </c>
      <c r="O41" s="5">
        <f ca="1">SUM(OFFSET(Demand!$E50,0,(COLUMN(B38)-1)*5,1,3))*O$2</f>
        <v>480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510</v>
      </c>
      <c r="Y41" s="5">
        <f t="shared" ca="1" si="5"/>
        <v>510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510</v>
      </c>
      <c r="AM41" s="5">
        <f t="shared" ca="1" si="9"/>
        <v>0</v>
      </c>
      <c r="AN41" s="5" t="str">
        <f>IF(Demand!BE50="Yes","Yes","")</f>
        <v/>
      </c>
      <c r="AP41" s="36" t="str">
        <f ca="1">Demand!B50</f>
        <v xml:space="preserve"> </v>
      </c>
      <c r="AQ41" s="5" t="str">
        <f ca="1">IF(TEXT(Demand!D50,"MMM")&lt;&gt;TEXT(Demand!D49,"MMM"),TEXT(Demand!D50,"MMM"),"")</f>
        <v/>
      </c>
      <c r="AT41" s="5">
        <f t="shared" ca="1" si="12"/>
        <v>90</v>
      </c>
      <c r="BQ41">
        <f ca="1">IF($AN41="",OFFSET(Demand!$A$13,ROW(A38)-1,4+((QUOTIENT(COLUMN(BQ$2)-69,3))*5)+MOD(COLUMN(BQ$2),3),1,1),"")</f>
        <v>0</v>
      </c>
      <c r="BR41">
        <f ca="1">IF($AN41="",OFFSET(Demand!$A$13,ROW(B38)-1,4+((QUOTIENT(COLUMN(BR$2)-69,3))*5)+MOD(COLUMN(BR$2),3),1,1),"")</f>
        <v>0</v>
      </c>
      <c r="BS41">
        <f ca="1">IF($AN41="",OFFSET(Demand!$A$13,ROW(C38)-1,4+((QUOTIENT(COLUMN(BS$2)-69,3))*5)+MOD(COLUMN(BS$2),3),1,1),"")</f>
        <v>1</v>
      </c>
      <c r="BT41">
        <f ca="1">IF($AN41="",OFFSET(Demand!$A$13,ROW(D38)-1,4+((QUOTIENT(COLUMN(BT$2)-69,3))*5)+MOD(COLUMN(BT$2),3),1,1),"")</f>
        <v>0</v>
      </c>
      <c r="BU41">
        <f ca="1">IF($AN41="",OFFSET(Demand!$A$13,ROW(E38)-1,4+((QUOTIENT(COLUMN(BU$2)-69,3))*5)+MOD(COLUMN(BU$2),3),1,1),"")</f>
        <v>5</v>
      </c>
      <c r="BV41">
        <f ca="1">IF($AN41="",OFFSET(Demand!$A$13,ROW(F38)-1,4+((QUOTIENT(COLUMN(BV$2)-69,3))*5)+MOD(COLUMN(BV$2),3),1,1),"")</f>
        <v>7</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f ca="1">VLOOKUP(IF($DM41&lt;53,$DM41,52),'Summary Calculations (hide)'!$D$15:$F$67,2,0)</f>
        <v>551.5</v>
      </c>
      <c r="DP41" s="5">
        <f ca="1">VLOOKUP(IF($DM41&lt;53,$DM41,52),'Summary Calculations (hide)'!$D$15:$F$67,3,0)</f>
        <v>664</v>
      </c>
      <c r="DQ41" s="5">
        <f ca="1">IF(AND(DN41&gt;='Demand adjustments for Covid'!$F$12,DN41&lt;'Demand adjustments for Covid'!$F$17),'Demand adjustments for Covid'!$F$13,DO41)</f>
        <v>551.5</v>
      </c>
      <c r="DR41" s="5">
        <f t="shared" si="33"/>
        <v>0</v>
      </c>
      <c r="DS41" s="5">
        <f ca="1">IF('Demand adjustments for Covid'!$F$9="Yes",IF(DR41=0,DQ41,((SUM(DR$4:DR41)-1)*$EE$8)+'Demand adjustments for Covid'!F$13),'Demand background (hide)'!DO41)</f>
        <v>551.5</v>
      </c>
      <c r="DT41" s="5">
        <f ca="1">IF('Demand adjustments for Covid'!$F$9="Yes",IF(OR(AND(DN41&gt;='Demand adjustments for Covid'!$F$12,DN41&lt;'Demand adjustments for Covid'!$F$17),DR41=1),DS41+3,DP41),'Demand background (hide)'!DP41)</f>
        <v>664</v>
      </c>
      <c r="DU41" s="5">
        <f ca="1">IF(DS41&lt;='Demand adjustments for Covid'!$F$17,DO41-DS41,0)</f>
        <v>0</v>
      </c>
      <c r="DV41" s="5">
        <f ca="1">IF(AND(ROW(A38)&gt;$EE$5,ROW(A38)&lt;=$EA$5),OFFSET('Demand adjustments for Covid'!$F$35,0,ROW(A38)-'Demand background (hide)'!$EE$5,1,1),0)</f>
        <v>0</v>
      </c>
      <c r="DW41" s="5">
        <f ca="1">IF(AND(ROW(A38)&gt;$EE$5,ROW(A38)&lt;=$EA$5),OFFSET('Demand adjustments for Covid'!$F$36,0,ROW(A38)-'Demand background (hide)'!$EE$5,1,1),0)</f>
        <v>0</v>
      </c>
      <c r="DX41" s="5">
        <f t="shared" ca="1" si="11"/>
        <v>664</v>
      </c>
    </row>
    <row r="42" spans="1:128" s="5" customFormat="1" x14ac:dyDescent="0.2">
      <c r="A42" s="5">
        <f t="shared" ca="1" si="32"/>
        <v>0</v>
      </c>
      <c r="B42" s="5">
        <f ca="1">COUNTBLANK(OFFSET(Demand!$I51,0,(COLUMN(A39)-1)*5,1,1))</f>
        <v>0</v>
      </c>
      <c r="C42" s="5">
        <f ca="1">COUNTBLANK(OFFSET(Demand!$I51,0,(COLUMN(B39)-1)*5,1,1))</f>
        <v>0</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60</v>
      </c>
      <c r="O42" s="5">
        <f ca="1">SUM(OFFSET(Demand!$E51,0,(COLUMN(B39)-1)*5,1,3))*O$2</f>
        <v>240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300</v>
      </c>
      <c r="Y42" s="5">
        <f t="shared" ca="1" si="5"/>
        <v>300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300</v>
      </c>
      <c r="AM42" s="5">
        <f t="shared" ca="1" si="9"/>
        <v>0</v>
      </c>
      <c r="AN42" s="5" t="str">
        <f>IF(Demand!BE51="Yes","Yes","")</f>
        <v/>
      </c>
      <c r="AP42" s="36" t="str">
        <f ca="1">Demand!B51</f>
        <v xml:space="preserve"> </v>
      </c>
      <c r="AQ42" s="5" t="str">
        <f ca="1">IF(TEXT(Demand!D51,"MMM")&lt;&gt;TEXT(Demand!D50,"MMM"),TEXT(Demand!D51,"MMM"),"")</f>
        <v/>
      </c>
      <c r="AT42" s="5">
        <f t="shared" ca="1" si="12"/>
        <v>210</v>
      </c>
      <c r="BQ42">
        <f ca="1">IF($AN42="",OFFSET(Demand!$A$13,ROW(A39)-1,4+((QUOTIENT(COLUMN(BQ$2)-69,3))*5)+MOD(COLUMN(BQ$2),3),1,1),"")</f>
        <v>0</v>
      </c>
      <c r="BR42">
        <f ca="1">IF($AN42="",OFFSET(Demand!$A$13,ROW(B39)-1,4+((QUOTIENT(COLUMN(BR$2)-69,3))*5)+MOD(COLUMN(BR$2),3),1,1),"")</f>
        <v>0</v>
      </c>
      <c r="BS42">
        <f ca="1">IF($AN42="",OFFSET(Demand!$A$13,ROW(C39)-1,4+((QUOTIENT(COLUMN(BS$2)-69,3))*5)+MOD(COLUMN(BS$2),3),1,1),"")</f>
        <v>2</v>
      </c>
      <c r="BT42">
        <f ca="1">IF($AN42="",OFFSET(Demand!$A$13,ROW(D39)-1,4+((QUOTIENT(COLUMN(BT$2)-69,3))*5)+MOD(COLUMN(BT$2),3),1,1),"")</f>
        <v>0</v>
      </c>
      <c r="BU42">
        <f ca="1">IF($AN42="",OFFSET(Demand!$A$13,ROW(E39)-1,4+((QUOTIENT(COLUMN(BU$2)-69,3))*5)+MOD(COLUMN(BU$2),3),1,1),"")</f>
        <v>2</v>
      </c>
      <c r="BV42">
        <f ca="1">IF($AN42="",OFFSET(Demand!$A$13,ROW(F39)-1,4+((QUOTIENT(COLUMN(BV$2)-69,3))*5)+MOD(COLUMN(BV$2),3),1,1),"")</f>
        <v>4</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f ca="1">VLOOKUP(IF($DM42&lt;53,$DM42,52),'Summary Calculations (hide)'!$D$15:$F$67,2,0)</f>
        <v>551.5</v>
      </c>
      <c r="DP42" s="5">
        <f ca="1">VLOOKUP(IF($DM42&lt;53,$DM42,52),'Summary Calculations (hide)'!$D$15:$F$67,3,0)</f>
        <v>664</v>
      </c>
      <c r="DQ42" s="5">
        <f ca="1">IF(AND(DN42&gt;='Demand adjustments for Covid'!$F$12,DN42&lt;'Demand adjustments for Covid'!$F$17),'Demand adjustments for Covid'!$F$13,DO42)</f>
        <v>551.5</v>
      </c>
      <c r="DR42" s="5">
        <f t="shared" si="33"/>
        <v>0</v>
      </c>
      <c r="DS42" s="5">
        <f ca="1">IF('Demand adjustments for Covid'!$F$9="Yes",IF(DR42=0,DQ42,((SUM(DR$4:DR42)-1)*$EE$8)+'Demand adjustments for Covid'!F$13),'Demand background (hide)'!DO42)</f>
        <v>551.5</v>
      </c>
      <c r="DT42" s="5">
        <f ca="1">IF('Demand adjustments for Covid'!$F$9="Yes",IF(OR(AND(DN42&gt;='Demand adjustments for Covid'!$F$12,DN42&lt;'Demand adjustments for Covid'!$F$17),DR42=1),DS42+3,DP42),'Demand background (hide)'!DP42)</f>
        <v>664</v>
      </c>
      <c r="DU42" s="5">
        <f ca="1">IF(DS42&lt;='Demand adjustments for Covid'!$F$17,DO42-DS42,0)</f>
        <v>0</v>
      </c>
      <c r="DV42" s="5">
        <f ca="1">IF(AND(ROW(A39)&gt;$EE$5,ROW(A39)&lt;=$EA$5),OFFSET('Demand adjustments for Covid'!$F$35,0,ROW(A39)-'Demand background (hide)'!$EE$5,1,1),0)</f>
        <v>0</v>
      </c>
      <c r="DW42" s="5">
        <f ca="1">IF(AND(ROW(A39)&gt;$EE$5,ROW(A39)&lt;=$EA$5),OFFSET('Demand adjustments for Covid'!$F$36,0,ROW(A39)-'Demand background (hide)'!$EE$5,1,1),0)</f>
        <v>0</v>
      </c>
      <c r="DX42" s="5">
        <f t="shared" ca="1" si="11"/>
        <v>664</v>
      </c>
    </row>
    <row r="43" spans="1:128" s="5" customFormat="1" x14ac:dyDescent="0.2">
      <c r="A43" s="5">
        <f t="shared" ca="1" si="32"/>
        <v>0</v>
      </c>
      <c r="B43" s="5">
        <f ca="1">COUNTBLANK(OFFSET(Demand!$I52,0,(COLUMN(A40)-1)*5,1,1))</f>
        <v>0</v>
      </c>
      <c r="C43" s="5">
        <f ca="1">COUNTBLANK(OFFSET(Demand!$I52,0,(COLUMN(B40)-1)*5,1,1))</f>
        <v>0</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210</v>
      </c>
      <c r="O43" s="5">
        <f ca="1">SUM(OFFSET(Demand!$E52,0,(COLUMN(B40)-1)*5,1,3))*O$2</f>
        <v>560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770</v>
      </c>
      <c r="Y43" s="5">
        <f t="shared" ca="1" si="5"/>
        <v>770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770</v>
      </c>
      <c r="AM43" s="5">
        <f t="shared" ca="1" si="9"/>
        <v>0</v>
      </c>
      <c r="AN43" s="5" t="str">
        <f>IF(Demand!BE52="Yes","Yes","")</f>
        <v/>
      </c>
      <c r="AP43" s="36" t="str">
        <f ca="1">Demand!B52</f>
        <v xml:space="preserve"> </v>
      </c>
      <c r="AQ43" s="5" t="str">
        <f ca="1">IF(TEXT(Demand!D52,"MMM")&lt;&gt;TEXT(Demand!D51,"MMM"),TEXT(Demand!D52,"MMM"),"")</f>
        <v/>
      </c>
      <c r="AT43" s="5">
        <f t="shared" ca="1" si="12"/>
        <v>470</v>
      </c>
      <c r="BQ43">
        <f ca="1">IF($AN43="",OFFSET(Demand!$A$13,ROW(A40)-1,4+((QUOTIENT(COLUMN(BQ$2)-69,3))*5)+MOD(COLUMN(BQ$2),3),1,1),"")</f>
        <v>0</v>
      </c>
      <c r="BR43">
        <f ca="1">IF($AN43="",OFFSET(Demand!$A$13,ROW(B40)-1,4+((QUOTIENT(COLUMN(BR$2)-69,3))*5)+MOD(COLUMN(BR$2),3),1,1),"")</f>
        <v>0</v>
      </c>
      <c r="BS43">
        <f ca="1">IF($AN43="",OFFSET(Demand!$A$13,ROW(C40)-1,4+((QUOTIENT(COLUMN(BS$2)-69,3))*5)+MOD(COLUMN(BS$2),3),1,1),"")</f>
        <v>7</v>
      </c>
      <c r="BT43">
        <f ca="1">IF($AN43="",OFFSET(Demand!$A$13,ROW(D40)-1,4+((QUOTIENT(COLUMN(BT$2)-69,3))*5)+MOD(COLUMN(BT$2),3),1,1),"")</f>
        <v>0</v>
      </c>
      <c r="BU43">
        <f ca="1">IF($AN43="",OFFSET(Demand!$A$13,ROW(E40)-1,4+((QUOTIENT(COLUMN(BU$2)-69,3))*5)+MOD(COLUMN(BU$2),3),1,1),"")</f>
        <v>1</v>
      </c>
      <c r="BV43">
        <f ca="1">IF($AN43="",OFFSET(Demand!$A$13,ROW(F40)-1,4+((QUOTIENT(COLUMN(BV$2)-69,3))*5)+MOD(COLUMN(BV$2),3),1,1),"")</f>
        <v>13</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f ca="1">VLOOKUP(IF($DM43&lt;53,$DM43,52),'Summary Calculations (hide)'!$D$15:$F$67,2,0)</f>
        <v>551.5</v>
      </c>
      <c r="DP43" s="5">
        <f ca="1">VLOOKUP(IF($DM43&lt;53,$DM43,52),'Summary Calculations (hide)'!$D$15:$F$67,3,0)</f>
        <v>664</v>
      </c>
      <c r="DQ43" s="5">
        <f ca="1">IF(AND(DN43&gt;='Demand adjustments for Covid'!$F$12,DN43&lt;'Demand adjustments for Covid'!$F$17),'Demand adjustments for Covid'!$F$13,DO43)</f>
        <v>551.5</v>
      </c>
      <c r="DR43" s="5">
        <f t="shared" si="33"/>
        <v>0</v>
      </c>
      <c r="DS43" s="5">
        <f ca="1">IF('Demand adjustments for Covid'!$F$9="Yes",IF(DR43=0,DQ43,((SUM(DR$4:DR43)-1)*$EE$8)+'Demand adjustments for Covid'!F$13),'Demand background (hide)'!DO43)</f>
        <v>551.5</v>
      </c>
      <c r="DT43" s="5">
        <f ca="1">IF('Demand adjustments for Covid'!$F$9="Yes",IF(OR(AND(DN43&gt;='Demand adjustments for Covid'!$F$12,DN43&lt;'Demand adjustments for Covid'!$F$17),DR43=1),DS43+3,DP43),'Demand background (hide)'!DP43)</f>
        <v>664</v>
      </c>
      <c r="DU43" s="5">
        <f ca="1">IF(DS43&lt;='Demand adjustments for Covid'!$F$17,DO43-DS43,0)</f>
        <v>0</v>
      </c>
      <c r="DV43" s="5">
        <f ca="1">IF(AND(ROW(A40)&gt;$EE$5,ROW(A40)&lt;=$EA$5),OFFSET('Demand adjustments for Covid'!$F$35,0,ROW(A40)-'Demand background (hide)'!$EE$5,1,1),0)</f>
        <v>0</v>
      </c>
      <c r="DW43" s="5">
        <f ca="1">IF(AND(ROW(A40)&gt;$EE$5,ROW(A40)&lt;=$EA$5),OFFSET('Demand adjustments for Covid'!$F$36,0,ROW(A40)-'Demand background (hide)'!$EE$5,1,1),0)</f>
        <v>0</v>
      </c>
      <c r="DX43" s="5">
        <f t="shared" ca="1" si="11"/>
        <v>664</v>
      </c>
    </row>
    <row r="44" spans="1:128" s="5" customFormat="1" x14ac:dyDescent="0.2">
      <c r="A44" s="5">
        <f t="shared" ca="1" si="32"/>
        <v>0</v>
      </c>
      <c r="B44" s="5">
        <f ca="1">COUNTBLANK(OFFSET(Demand!$I53,0,(COLUMN(A41)-1)*5,1,1))</f>
        <v>0</v>
      </c>
      <c r="C44" s="5">
        <f ca="1">COUNTBLANK(OFFSET(Demand!$I53,0,(COLUMN(B41)-1)*5,1,1))</f>
        <v>0</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30</v>
      </c>
      <c r="O44" s="5">
        <f ca="1">SUM(OFFSET(Demand!$E53,0,(COLUMN(B41)-1)*5,1,3))*O$2</f>
        <v>480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510</v>
      </c>
      <c r="Y44" s="5">
        <f t="shared" ca="1" si="5"/>
        <v>510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510</v>
      </c>
      <c r="AM44" s="5">
        <f t="shared" ca="1" si="9"/>
        <v>0</v>
      </c>
      <c r="AN44" s="5" t="str">
        <f>IF(Demand!BE53="Yes","Yes","")</f>
        <v/>
      </c>
      <c r="AP44" s="36">
        <f ca="1">Demand!B53</f>
        <v>2017</v>
      </c>
      <c r="AQ44" s="5" t="str">
        <f ca="1">IF(TEXT(Demand!D53,"MMM")&lt;&gt;TEXT(Demand!D52,"MMM"),TEXT(Demand!D53,"MMM"),"")</f>
        <v>Jan</v>
      </c>
      <c r="AT44" s="5">
        <f t="shared" ca="1" si="12"/>
        <v>260</v>
      </c>
      <c r="BQ44">
        <f ca="1">IF($AN44="",OFFSET(Demand!$A$13,ROW(A41)-1,4+((QUOTIENT(COLUMN(BQ$2)-69,3))*5)+MOD(COLUMN(BQ$2),3),1,1),"")</f>
        <v>0</v>
      </c>
      <c r="BR44">
        <f ca="1">IF($AN44="",OFFSET(Demand!$A$13,ROW(B41)-1,4+((QUOTIENT(COLUMN(BR$2)-69,3))*5)+MOD(COLUMN(BR$2),3),1,1),"")</f>
        <v>0</v>
      </c>
      <c r="BS44">
        <f ca="1">IF($AN44="",OFFSET(Demand!$A$13,ROW(C41)-1,4+((QUOTIENT(COLUMN(BS$2)-69,3))*5)+MOD(COLUMN(BS$2),3),1,1),"")</f>
        <v>1</v>
      </c>
      <c r="BT44">
        <f ca="1">IF($AN44="",OFFSET(Demand!$A$13,ROW(D41)-1,4+((QUOTIENT(COLUMN(BT$2)-69,3))*5)+MOD(COLUMN(BT$2),3),1,1),"")</f>
        <v>0</v>
      </c>
      <c r="BU44">
        <f ca="1">IF($AN44="",OFFSET(Demand!$A$13,ROW(E41)-1,4+((QUOTIENT(COLUMN(BU$2)-69,3))*5)+MOD(COLUMN(BU$2),3),1,1),"")</f>
        <v>4</v>
      </c>
      <c r="BV44">
        <f ca="1">IF($AN44="",OFFSET(Demand!$A$13,ROW(F41)-1,4+((QUOTIENT(COLUMN(BV$2)-69,3))*5)+MOD(COLUMN(BV$2),3),1,1),"")</f>
        <v>8</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f ca="1">VLOOKUP(IF($DM44&lt;53,$DM44,52),'Summary Calculations (hide)'!$D$15:$F$67,2,0)</f>
        <v>551.5</v>
      </c>
      <c r="DP44" s="5">
        <f ca="1">VLOOKUP(IF($DM44&lt;53,$DM44,52),'Summary Calculations (hide)'!$D$15:$F$67,3,0)</f>
        <v>664</v>
      </c>
      <c r="DQ44" s="5">
        <f ca="1">IF(AND(DN44&gt;='Demand adjustments for Covid'!$F$12,DN44&lt;'Demand adjustments for Covid'!$F$17),'Demand adjustments for Covid'!$F$13,DO44)</f>
        <v>551.5</v>
      </c>
      <c r="DR44" s="5">
        <f t="shared" si="33"/>
        <v>0</v>
      </c>
      <c r="DS44" s="5">
        <f ca="1">IF('Demand adjustments for Covid'!$F$9="Yes",IF(DR44=0,DQ44,((SUM(DR$4:DR44)-1)*$EE$8)+'Demand adjustments for Covid'!F$13),'Demand background (hide)'!DO44)</f>
        <v>551.5</v>
      </c>
      <c r="DT44" s="5">
        <f ca="1">IF('Demand adjustments for Covid'!$F$9="Yes",IF(OR(AND(DN44&gt;='Demand adjustments for Covid'!$F$12,DN44&lt;'Demand adjustments for Covid'!$F$17),DR44=1),DS44+3,DP44),'Demand background (hide)'!DP44)</f>
        <v>664</v>
      </c>
      <c r="DU44" s="5">
        <f ca="1">IF(DS44&lt;='Demand adjustments for Covid'!$F$17,DO44-DS44,0)</f>
        <v>0</v>
      </c>
      <c r="DV44" s="5">
        <f ca="1">IF(AND(ROW(A41)&gt;$EE$5,ROW(A41)&lt;=$EA$5),OFFSET('Demand adjustments for Covid'!$F$35,0,ROW(A41)-'Demand background (hide)'!$EE$5,1,1),0)</f>
        <v>0</v>
      </c>
      <c r="DW44" s="5">
        <f ca="1">IF(AND(ROW(A41)&gt;$EE$5,ROW(A41)&lt;=$EA$5),OFFSET('Demand adjustments for Covid'!$F$36,0,ROW(A41)-'Demand background (hide)'!$EE$5,1,1),0)</f>
        <v>0</v>
      </c>
      <c r="DX44" s="5">
        <f t="shared" ca="1" si="11"/>
        <v>664</v>
      </c>
    </row>
    <row r="45" spans="1:128" s="5" customFormat="1" x14ac:dyDescent="0.2">
      <c r="A45" s="5">
        <f t="shared" ca="1" si="32"/>
        <v>0</v>
      </c>
      <c r="B45" s="5">
        <f ca="1">COUNTBLANK(OFFSET(Demand!$I54,0,(COLUMN(A42)-1)*5,1,1))</f>
        <v>0</v>
      </c>
      <c r="C45" s="5">
        <f ca="1">COUNTBLANK(OFFSET(Demand!$I54,0,(COLUMN(B42)-1)*5,1,1))</f>
        <v>0</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120</v>
      </c>
      <c r="O45" s="5">
        <f ca="1">SUM(OFFSET(Demand!$E54,0,(COLUMN(B42)-1)*5,1,3))*O$2</f>
        <v>320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440</v>
      </c>
      <c r="Y45" s="5">
        <f t="shared" ca="1" si="5"/>
        <v>440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440</v>
      </c>
      <c r="AM45" s="5">
        <f t="shared" ca="1" si="9"/>
        <v>0</v>
      </c>
      <c r="AN45" s="5" t="str">
        <f>IF(Demand!BE54="Yes","Yes","")</f>
        <v/>
      </c>
      <c r="AP45" s="36" t="str">
        <f ca="1">Demand!B54</f>
        <v xml:space="preserve"> </v>
      </c>
      <c r="AQ45" s="5" t="str">
        <f ca="1">IF(TEXT(Demand!D54,"MMM")&lt;&gt;TEXT(Demand!D53,"MMM"),TEXT(Demand!D54,"MMM"),"")</f>
        <v/>
      </c>
      <c r="AT45" s="5">
        <f t="shared" ca="1" si="12"/>
        <v>70</v>
      </c>
      <c r="BQ45">
        <f ca="1">IF($AN45="",OFFSET(Demand!$A$13,ROW(A42)-1,4+((QUOTIENT(COLUMN(BQ$2)-69,3))*5)+MOD(COLUMN(BQ$2),3),1,1),"")</f>
        <v>0</v>
      </c>
      <c r="BR45">
        <f ca="1">IF($AN45="",OFFSET(Demand!$A$13,ROW(B42)-1,4+((QUOTIENT(COLUMN(BR$2)-69,3))*5)+MOD(COLUMN(BR$2),3),1,1),"")</f>
        <v>0</v>
      </c>
      <c r="BS45">
        <f ca="1">IF($AN45="",OFFSET(Demand!$A$13,ROW(C42)-1,4+((QUOTIENT(COLUMN(BS$2)-69,3))*5)+MOD(COLUMN(BS$2),3),1,1),"")</f>
        <v>4</v>
      </c>
      <c r="BT45">
        <f ca="1">IF($AN45="",OFFSET(Demand!$A$13,ROW(D42)-1,4+((QUOTIENT(COLUMN(BT$2)-69,3))*5)+MOD(COLUMN(BT$2),3),1,1),"")</f>
        <v>0</v>
      </c>
      <c r="BU45">
        <f ca="1">IF($AN45="",OFFSET(Demand!$A$13,ROW(E42)-1,4+((QUOTIENT(COLUMN(BU$2)-69,3))*5)+MOD(COLUMN(BU$2),3),1,1),"")</f>
        <v>2</v>
      </c>
      <c r="BV45">
        <f ca="1">IF($AN45="",OFFSET(Demand!$A$13,ROW(F42)-1,4+((QUOTIENT(COLUMN(BV$2)-69,3))*5)+MOD(COLUMN(BV$2),3),1,1),"")</f>
        <v>6</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f ca="1">VLOOKUP(IF($DM45&lt;53,$DM45,52),'Summary Calculations (hide)'!$D$15:$F$67,2,0)</f>
        <v>551.5</v>
      </c>
      <c r="DP45" s="5">
        <f ca="1">VLOOKUP(IF($DM45&lt;53,$DM45,52),'Summary Calculations (hide)'!$D$15:$F$67,3,0)</f>
        <v>664</v>
      </c>
      <c r="DQ45" s="5">
        <f ca="1">IF(AND(DN45&gt;='Demand adjustments for Covid'!$F$12,DN45&lt;'Demand adjustments for Covid'!$F$17),'Demand adjustments for Covid'!$F$13,DO45)</f>
        <v>551.5</v>
      </c>
      <c r="DR45" s="5">
        <f t="shared" si="33"/>
        <v>0</v>
      </c>
      <c r="DS45" s="5">
        <f ca="1">IF('Demand adjustments for Covid'!$F$9="Yes",IF(DR45=0,DQ45,((SUM(DR$4:DR45)-1)*$EE$8)+'Demand adjustments for Covid'!F$13),'Demand background (hide)'!DO45)</f>
        <v>551.5</v>
      </c>
      <c r="DT45" s="5">
        <f ca="1">IF('Demand adjustments for Covid'!$F$9="Yes",IF(OR(AND(DN45&gt;='Demand adjustments for Covid'!$F$12,DN45&lt;'Demand adjustments for Covid'!$F$17),DR45=1),DS45+3,DP45),'Demand background (hide)'!DP45)</f>
        <v>664</v>
      </c>
      <c r="DU45" s="5">
        <f ca="1">IF(DS45&lt;='Demand adjustments for Covid'!$F$17,DO45-DS45,0)</f>
        <v>0</v>
      </c>
      <c r="DV45" s="5">
        <f ca="1">IF(AND(ROW(A42)&gt;$EE$5,ROW(A42)&lt;=$EA$5),OFFSET('Demand adjustments for Covid'!$F$35,0,ROW(A42)-'Demand background (hide)'!$EE$5,1,1),0)</f>
        <v>0</v>
      </c>
      <c r="DW45" s="5">
        <f ca="1">IF(AND(ROW(A42)&gt;$EE$5,ROW(A42)&lt;=$EA$5),OFFSET('Demand adjustments for Covid'!$F$36,0,ROW(A42)-'Demand background (hide)'!$EE$5,1,1),0)</f>
        <v>0</v>
      </c>
      <c r="DX45" s="5">
        <f t="shared" ca="1" si="11"/>
        <v>664</v>
      </c>
    </row>
    <row r="46" spans="1:128" s="5" customFormat="1" x14ac:dyDescent="0.2">
      <c r="A46" s="5">
        <f t="shared" ca="1" si="32"/>
        <v>0</v>
      </c>
      <c r="B46" s="5">
        <f ca="1">COUNTBLANK(OFFSET(Demand!$I55,0,(COLUMN(A43)-1)*5,1,1))</f>
        <v>0</v>
      </c>
      <c r="C46" s="5">
        <f ca="1">COUNTBLANK(OFFSET(Demand!$I55,0,(COLUMN(B43)-1)*5,1,1))</f>
        <v>0</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330</v>
      </c>
      <c r="O46" s="5">
        <f ca="1">SUM(OFFSET(Demand!$E55,0,(COLUMN(B43)-1)*5,1,3))*O$2</f>
        <v>320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650</v>
      </c>
      <c r="Y46" s="5">
        <f t="shared" ca="1" si="5"/>
        <v>650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650</v>
      </c>
      <c r="AM46" s="5">
        <f t="shared" ca="1" si="9"/>
        <v>0</v>
      </c>
      <c r="AN46" s="5" t="str">
        <f>IF(Demand!BE55="Yes","Yes","")</f>
        <v/>
      </c>
      <c r="AP46" s="36" t="str">
        <f ca="1">Demand!B55</f>
        <v xml:space="preserve"> </v>
      </c>
      <c r="AQ46" s="5" t="str">
        <f ca="1">IF(TEXT(Demand!D55,"MMM")&lt;&gt;TEXT(Demand!D54,"MMM"),TEXT(Demand!D55,"MMM"),"")</f>
        <v/>
      </c>
      <c r="AT46" s="5">
        <f t="shared" ca="1" si="12"/>
        <v>210</v>
      </c>
      <c r="BQ46">
        <f ca="1">IF($AN46="",OFFSET(Demand!$A$13,ROW(A43)-1,4+((QUOTIENT(COLUMN(BQ$2)-69,3))*5)+MOD(COLUMN(BQ$2),3),1,1),"")</f>
        <v>0</v>
      </c>
      <c r="BR46">
        <f ca="1">IF($AN46="",OFFSET(Demand!$A$13,ROW(B43)-1,4+((QUOTIENT(COLUMN(BR$2)-69,3))*5)+MOD(COLUMN(BR$2),3),1,1),"")</f>
        <v>2</v>
      </c>
      <c r="BS46">
        <f ca="1">IF($AN46="",OFFSET(Demand!$A$13,ROW(C43)-1,4+((QUOTIENT(COLUMN(BS$2)-69,3))*5)+MOD(COLUMN(BS$2),3),1,1),"")</f>
        <v>9</v>
      </c>
      <c r="BT46">
        <f ca="1">IF($AN46="",OFFSET(Demand!$A$13,ROW(D43)-1,4+((QUOTIENT(COLUMN(BT$2)-69,3))*5)+MOD(COLUMN(BT$2),3),1,1),"")</f>
        <v>0</v>
      </c>
      <c r="BU46">
        <f ca="1">IF($AN46="",OFFSET(Demand!$A$13,ROW(E43)-1,4+((QUOTIENT(COLUMN(BU$2)-69,3))*5)+MOD(COLUMN(BU$2),3),1,1),"")</f>
        <v>2</v>
      </c>
      <c r="BV46">
        <f ca="1">IF($AN46="",OFFSET(Demand!$A$13,ROW(F43)-1,4+((QUOTIENT(COLUMN(BV$2)-69,3))*5)+MOD(COLUMN(BV$2),3),1,1),"")</f>
        <v>6</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f ca="1">VLOOKUP(IF($DM46&lt;53,$DM46,52),'Summary Calculations (hide)'!$D$15:$F$67,2,0)</f>
        <v>551.5</v>
      </c>
      <c r="DP46" s="5">
        <f ca="1">VLOOKUP(IF($DM46&lt;53,$DM46,52),'Summary Calculations (hide)'!$D$15:$F$67,3,0)</f>
        <v>664</v>
      </c>
      <c r="DQ46" s="5">
        <f ca="1">IF(AND(DN46&gt;='Demand adjustments for Covid'!$F$12,DN46&lt;'Demand adjustments for Covid'!$F$17),'Demand adjustments for Covid'!$F$13,DO46)</f>
        <v>551.5</v>
      </c>
      <c r="DR46" s="5">
        <f t="shared" si="33"/>
        <v>0</v>
      </c>
      <c r="DS46" s="5">
        <f ca="1">IF('Demand adjustments for Covid'!$F$9="Yes",IF(DR46=0,DQ46,((SUM(DR$4:DR46)-1)*$EE$8)+'Demand adjustments for Covid'!F$13),'Demand background (hide)'!DO46)</f>
        <v>551.5</v>
      </c>
      <c r="DT46" s="5">
        <f ca="1">IF('Demand adjustments for Covid'!$F$9="Yes",IF(OR(AND(DN46&gt;='Demand adjustments for Covid'!$F$12,DN46&lt;'Demand adjustments for Covid'!$F$17),DR46=1),DS46+3,DP46),'Demand background (hide)'!DP46)</f>
        <v>664</v>
      </c>
      <c r="DU46" s="5">
        <f ca="1">IF(DS46&lt;='Demand adjustments for Covid'!$F$17,DO46-DS46,0)</f>
        <v>0</v>
      </c>
      <c r="DV46" s="5">
        <f ca="1">IF(AND(ROW(A43)&gt;$EE$5,ROW(A43)&lt;=$EA$5),OFFSET('Demand adjustments for Covid'!$F$35,0,ROW(A43)-'Demand background (hide)'!$EE$5,1,1),0)</f>
        <v>0</v>
      </c>
      <c r="DW46" s="5">
        <f ca="1">IF(AND(ROW(A43)&gt;$EE$5,ROW(A43)&lt;=$EA$5),OFFSET('Demand adjustments for Covid'!$F$36,0,ROW(A43)-'Demand background (hide)'!$EE$5,1,1),0)</f>
        <v>0</v>
      </c>
      <c r="DX46" s="5">
        <f t="shared" ca="1" si="11"/>
        <v>664</v>
      </c>
    </row>
    <row r="47" spans="1:128" s="5" customFormat="1" x14ac:dyDescent="0.2">
      <c r="A47" s="5">
        <f t="shared" ca="1" si="32"/>
        <v>0</v>
      </c>
      <c r="B47" s="5">
        <f ca="1">COUNTBLANK(OFFSET(Demand!$I56,0,(COLUMN(A44)-1)*5,1,1))</f>
        <v>0</v>
      </c>
      <c r="C47" s="5">
        <f ca="1">COUNTBLANK(OFFSET(Demand!$I56,0,(COLUMN(B44)-1)*5,1,1))</f>
        <v>0</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60</v>
      </c>
      <c r="O47" s="5">
        <f ca="1">SUM(OFFSET(Demand!$E56,0,(COLUMN(B44)-1)*5,1,3))*O$2</f>
        <v>560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620</v>
      </c>
      <c r="Y47" s="5">
        <f t="shared" ca="1" si="5"/>
        <v>620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620</v>
      </c>
      <c r="AM47" s="5">
        <f t="shared" ca="1" si="9"/>
        <v>0</v>
      </c>
      <c r="AN47" s="5" t="str">
        <f>IF(Demand!BE56="Yes","Yes","")</f>
        <v/>
      </c>
      <c r="AP47" s="36" t="str">
        <f ca="1">Demand!B56</f>
        <v xml:space="preserve"> </v>
      </c>
      <c r="AQ47" s="5" t="str">
        <f ca="1">IF(TEXT(Demand!D56,"MMM")&lt;&gt;TEXT(Demand!D55,"MMM"),TEXT(Demand!D56,"MMM"),"")</f>
        <v/>
      </c>
      <c r="AT47" s="5">
        <f t="shared" ca="1" si="12"/>
        <v>30</v>
      </c>
      <c r="BQ47">
        <f ca="1">IF($AN47="",OFFSET(Demand!$A$13,ROW(A44)-1,4+((QUOTIENT(COLUMN(BQ$2)-69,3))*5)+MOD(COLUMN(BQ$2),3),1,1),"")</f>
        <v>0</v>
      </c>
      <c r="BR47">
        <f ca="1">IF($AN47="",OFFSET(Demand!$A$13,ROW(B44)-1,4+((QUOTIENT(COLUMN(BR$2)-69,3))*5)+MOD(COLUMN(BR$2),3),1,1),"")</f>
        <v>0</v>
      </c>
      <c r="BS47">
        <f ca="1">IF($AN47="",OFFSET(Demand!$A$13,ROW(C44)-1,4+((QUOTIENT(COLUMN(BS$2)-69,3))*5)+MOD(COLUMN(BS$2),3),1,1),"")</f>
        <v>2</v>
      </c>
      <c r="BT47">
        <f ca="1">IF($AN47="",OFFSET(Demand!$A$13,ROW(D44)-1,4+((QUOTIENT(COLUMN(BT$2)-69,3))*5)+MOD(COLUMN(BT$2),3),1,1),"")</f>
        <v>0</v>
      </c>
      <c r="BU47">
        <f ca="1">IF($AN47="",OFFSET(Demand!$A$13,ROW(E44)-1,4+((QUOTIENT(COLUMN(BU$2)-69,3))*5)+MOD(COLUMN(BU$2),3),1,1),"")</f>
        <v>5</v>
      </c>
      <c r="BV47">
        <f ca="1">IF($AN47="",OFFSET(Demand!$A$13,ROW(F44)-1,4+((QUOTIENT(COLUMN(BV$2)-69,3))*5)+MOD(COLUMN(BV$2),3),1,1),"")</f>
        <v>9</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f ca="1">VLOOKUP(IF($DM47&lt;53,$DM47,52),'Summary Calculations (hide)'!$D$15:$F$67,2,0)</f>
        <v>551.5</v>
      </c>
      <c r="DP47" s="5">
        <f ca="1">VLOOKUP(IF($DM47&lt;53,$DM47,52),'Summary Calculations (hide)'!$D$15:$F$67,3,0)</f>
        <v>664</v>
      </c>
      <c r="DQ47" s="5">
        <f ca="1">IF(AND(DN47&gt;='Demand adjustments for Covid'!$F$12,DN47&lt;'Demand adjustments for Covid'!$F$17),'Demand adjustments for Covid'!$F$13,DO47)</f>
        <v>551.5</v>
      </c>
      <c r="DR47" s="5">
        <f t="shared" si="33"/>
        <v>0</v>
      </c>
      <c r="DS47" s="5">
        <f ca="1">IF('Demand adjustments for Covid'!$F$9="Yes",IF(DR47=0,DQ47,((SUM(DR$4:DR47)-1)*$EE$8)+'Demand adjustments for Covid'!F$13),'Demand background (hide)'!DO47)</f>
        <v>551.5</v>
      </c>
      <c r="DT47" s="5">
        <f ca="1">IF('Demand adjustments for Covid'!$F$9="Yes",IF(OR(AND(DN47&gt;='Demand adjustments for Covid'!$F$12,DN47&lt;'Demand adjustments for Covid'!$F$17),DR47=1),DS47+3,DP47),'Demand background (hide)'!DP47)</f>
        <v>664</v>
      </c>
      <c r="DU47" s="5">
        <f ca="1">IF(DS47&lt;='Demand adjustments for Covid'!$F$17,DO47-DS47,0)</f>
        <v>0</v>
      </c>
      <c r="DV47" s="5">
        <f ca="1">IF(AND(ROW(A44)&gt;$EE$5,ROW(A44)&lt;=$EA$5),OFFSET('Demand adjustments for Covid'!$F$35,0,ROW(A44)-'Demand background (hide)'!$EE$5,1,1),0)</f>
        <v>0</v>
      </c>
      <c r="DW47" s="5">
        <f ca="1">IF(AND(ROW(A44)&gt;$EE$5,ROW(A44)&lt;=$EA$5),OFFSET('Demand adjustments for Covid'!$F$36,0,ROW(A44)-'Demand background (hide)'!$EE$5,1,1),0)</f>
        <v>0</v>
      </c>
      <c r="DX47" s="5">
        <f t="shared" ca="1" si="11"/>
        <v>664</v>
      </c>
    </row>
    <row r="48" spans="1:128" s="5" customFormat="1" x14ac:dyDescent="0.2">
      <c r="A48" s="5">
        <f t="shared" ca="1" si="32"/>
        <v>0</v>
      </c>
      <c r="B48" s="5">
        <f ca="1">COUNTBLANK(OFFSET(Demand!$I57,0,(COLUMN(A45)-1)*5,1,1))</f>
        <v>0</v>
      </c>
      <c r="C48" s="5">
        <f ca="1">COUNTBLANK(OFFSET(Demand!$I57,0,(COLUMN(B45)-1)*5,1,1))</f>
        <v>0</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120</v>
      </c>
      <c r="O48" s="5">
        <f ca="1">SUM(OFFSET(Demand!$E57,0,(COLUMN(B45)-1)*5,1,3))*O$2</f>
        <v>200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320</v>
      </c>
      <c r="Y48" s="5">
        <f t="shared" ca="1" si="5"/>
        <v>320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320</v>
      </c>
      <c r="AM48" s="5">
        <f t="shared" ca="1" si="9"/>
        <v>0</v>
      </c>
      <c r="AN48" s="5" t="str">
        <f>IF(Demand!BE57="Yes","Yes","")</f>
        <v/>
      </c>
      <c r="AP48" s="36" t="str">
        <f ca="1">Demand!B57</f>
        <v xml:space="preserve"> </v>
      </c>
      <c r="AQ48" s="5" t="str">
        <f ca="1">IF(TEXT(Demand!D57,"MMM")&lt;&gt;TEXT(Demand!D56,"MMM"),TEXT(Demand!D57,"MMM"),"")</f>
        <v/>
      </c>
      <c r="AT48" s="5">
        <f t="shared" ca="1" si="12"/>
        <v>300</v>
      </c>
      <c r="BQ48">
        <f ca="1">IF($AN48="",OFFSET(Demand!$A$13,ROW(A45)-1,4+((QUOTIENT(COLUMN(BQ$2)-69,3))*5)+MOD(COLUMN(BQ$2),3),1,1),"")</f>
        <v>0</v>
      </c>
      <c r="BR48">
        <f ca="1">IF($AN48="",OFFSET(Demand!$A$13,ROW(B45)-1,4+((QUOTIENT(COLUMN(BR$2)-69,3))*5)+MOD(COLUMN(BR$2),3),1,1),"")</f>
        <v>2</v>
      </c>
      <c r="BS48">
        <f ca="1">IF($AN48="",OFFSET(Demand!$A$13,ROW(C45)-1,4+((QUOTIENT(COLUMN(BS$2)-69,3))*5)+MOD(COLUMN(BS$2),3),1,1),"")</f>
        <v>2</v>
      </c>
      <c r="BT48">
        <f ca="1">IF($AN48="",OFFSET(Demand!$A$13,ROW(D45)-1,4+((QUOTIENT(COLUMN(BT$2)-69,3))*5)+MOD(COLUMN(BT$2),3),1,1),"")</f>
        <v>0</v>
      </c>
      <c r="BU48">
        <f ca="1">IF($AN48="",OFFSET(Demand!$A$13,ROW(E45)-1,4+((QUOTIENT(COLUMN(BU$2)-69,3))*5)+MOD(COLUMN(BU$2),3),1,1),"")</f>
        <v>0</v>
      </c>
      <c r="BV48">
        <f ca="1">IF($AN48="",OFFSET(Demand!$A$13,ROW(F45)-1,4+((QUOTIENT(COLUMN(BV$2)-69,3))*5)+MOD(COLUMN(BV$2),3),1,1),"")</f>
        <v>5</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f ca="1">VLOOKUP(IF($DM48&lt;53,$DM48,52),'Summary Calculations (hide)'!$D$15:$F$67,2,0)</f>
        <v>551.5</v>
      </c>
      <c r="DP48" s="5">
        <f ca="1">VLOOKUP(IF($DM48&lt;53,$DM48,52),'Summary Calculations (hide)'!$D$15:$F$67,3,0)</f>
        <v>664</v>
      </c>
      <c r="DQ48" s="5">
        <f ca="1">IF(AND(DN48&gt;='Demand adjustments for Covid'!$F$12,DN48&lt;'Demand adjustments for Covid'!$F$17),'Demand adjustments for Covid'!$F$13,DO48)</f>
        <v>551.5</v>
      </c>
      <c r="DR48" s="5">
        <f t="shared" si="33"/>
        <v>0</v>
      </c>
      <c r="DS48" s="5">
        <f ca="1">IF('Demand adjustments for Covid'!$F$9="Yes",IF(DR48=0,DQ48,((SUM(DR$4:DR48)-1)*$EE$8)+'Demand adjustments for Covid'!F$13),'Demand background (hide)'!DO48)</f>
        <v>551.5</v>
      </c>
      <c r="DT48" s="5">
        <f ca="1">IF('Demand adjustments for Covid'!$F$9="Yes",IF(OR(AND(DN48&gt;='Demand adjustments for Covid'!$F$12,DN48&lt;'Demand adjustments for Covid'!$F$17),DR48=1),DS48+3,DP48),'Demand background (hide)'!DP48)</f>
        <v>664</v>
      </c>
      <c r="DU48" s="5">
        <f ca="1">IF(DS48&lt;='Demand adjustments for Covid'!$F$17,DO48-DS48,0)</f>
        <v>0</v>
      </c>
      <c r="DV48" s="5">
        <f ca="1">IF(AND(ROW(A45)&gt;$EE$5,ROW(A45)&lt;=$EA$5),OFFSET('Demand adjustments for Covid'!$F$35,0,ROW(A45)-'Demand background (hide)'!$EE$5,1,1),0)</f>
        <v>0</v>
      </c>
      <c r="DW48" s="5">
        <f ca="1">IF(AND(ROW(A45)&gt;$EE$5,ROW(A45)&lt;=$EA$5),OFFSET('Demand adjustments for Covid'!$F$36,0,ROW(A45)-'Demand background (hide)'!$EE$5,1,1),0)</f>
        <v>0</v>
      </c>
      <c r="DX48" s="5">
        <f t="shared" ca="1" si="11"/>
        <v>664</v>
      </c>
    </row>
    <row r="49" spans="1:132" s="5" customFormat="1" x14ac:dyDescent="0.2">
      <c r="A49" s="5">
        <f t="shared" ca="1" si="32"/>
        <v>0</v>
      </c>
      <c r="B49" s="5">
        <f ca="1">COUNTBLANK(OFFSET(Demand!$I58,0,(COLUMN(A46)-1)*5,1,1))</f>
        <v>0</v>
      </c>
      <c r="C49" s="5">
        <f ca="1">COUNTBLANK(OFFSET(Demand!$I58,0,(COLUMN(B46)-1)*5,1,1))</f>
        <v>0</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90</v>
      </c>
      <c r="O49" s="5">
        <f ca="1">SUM(OFFSET(Demand!$E58,0,(COLUMN(B46)-1)*5,1,3))*O$2</f>
        <v>360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450</v>
      </c>
      <c r="Y49" s="5">
        <f t="shared" ca="1" si="5"/>
        <v>450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450</v>
      </c>
      <c r="AM49" s="5">
        <f t="shared" ca="1" si="9"/>
        <v>0</v>
      </c>
      <c r="AN49" s="5" t="str">
        <f>IF(Demand!BE58="Yes","Yes","")</f>
        <v/>
      </c>
      <c r="AP49" s="36" t="str">
        <f ca="1">Demand!B58</f>
        <v xml:space="preserve"> </v>
      </c>
      <c r="AQ49" s="5" t="str">
        <f ca="1">IF(TEXT(Demand!D58,"MMM")&lt;&gt;TEXT(Demand!D57,"MMM"),TEXT(Demand!D58,"MMM"),"")</f>
        <v>Feb</v>
      </c>
      <c r="AT49" s="5">
        <f t="shared" ca="1" si="12"/>
        <v>130</v>
      </c>
      <c r="BQ49">
        <f ca="1">IF($AN49="",OFFSET(Demand!$A$13,ROW(A46)-1,4+((QUOTIENT(COLUMN(BQ$2)-69,3))*5)+MOD(COLUMN(BQ$2),3),1,1),"")</f>
        <v>0</v>
      </c>
      <c r="BR49">
        <f ca="1">IF($AN49="",OFFSET(Demand!$A$13,ROW(B46)-1,4+((QUOTIENT(COLUMN(BR$2)-69,3))*5)+MOD(COLUMN(BR$2),3),1,1),"")</f>
        <v>1</v>
      </c>
      <c r="BS49">
        <f ca="1">IF($AN49="",OFFSET(Demand!$A$13,ROW(C46)-1,4+((QUOTIENT(COLUMN(BS$2)-69,3))*5)+MOD(COLUMN(BS$2),3),1,1),"")</f>
        <v>2</v>
      </c>
      <c r="BT49">
        <f ca="1">IF($AN49="",OFFSET(Demand!$A$13,ROW(D46)-1,4+((QUOTIENT(COLUMN(BT$2)-69,3))*5)+MOD(COLUMN(BT$2),3),1,1),"")</f>
        <v>0</v>
      </c>
      <c r="BU49">
        <f ca="1">IF($AN49="",OFFSET(Demand!$A$13,ROW(E46)-1,4+((QUOTIENT(COLUMN(BU$2)-69,3))*5)+MOD(COLUMN(BU$2),3),1,1),"")</f>
        <v>2</v>
      </c>
      <c r="BV49">
        <f ca="1">IF($AN49="",OFFSET(Demand!$A$13,ROW(F46)-1,4+((QUOTIENT(COLUMN(BV$2)-69,3))*5)+MOD(COLUMN(BV$2),3),1,1),"")</f>
        <v>7</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f ca="1">VLOOKUP(IF($DM49&lt;53,$DM49,52),'Summary Calculations (hide)'!$D$15:$F$67,2,0)</f>
        <v>551.5</v>
      </c>
      <c r="DP49" s="5">
        <f ca="1">VLOOKUP(IF($DM49&lt;53,$DM49,52),'Summary Calculations (hide)'!$D$15:$F$67,3,0)</f>
        <v>664</v>
      </c>
      <c r="DQ49" s="5">
        <f ca="1">IF(AND(DN49&gt;='Demand adjustments for Covid'!$F$12,DN49&lt;'Demand adjustments for Covid'!$F$17),'Demand adjustments for Covid'!$F$13,DO49)</f>
        <v>551.5</v>
      </c>
      <c r="DR49" s="5">
        <f t="shared" si="33"/>
        <v>0</v>
      </c>
      <c r="DS49" s="5">
        <f ca="1">IF('Demand adjustments for Covid'!$F$9="Yes",IF(DR49=0,DQ49,((SUM(DR$4:DR49)-1)*$EE$8)+'Demand adjustments for Covid'!F$13),'Demand background (hide)'!DO49)</f>
        <v>551.5</v>
      </c>
      <c r="DT49" s="5">
        <f ca="1">IF('Demand adjustments for Covid'!$F$9="Yes",IF(OR(AND(DN49&gt;='Demand adjustments for Covid'!$F$12,DN49&lt;'Demand adjustments for Covid'!$F$17),DR49=1),DS49+3,DP49),'Demand background (hide)'!DP49)</f>
        <v>664</v>
      </c>
      <c r="DU49" s="5">
        <f ca="1">IF(DS49&lt;='Demand adjustments for Covid'!$F$17,DO49-DS49,0)</f>
        <v>0</v>
      </c>
      <c r="DV49" s="5">
        <f ca="1">IF(AND(ROW(A46)&gt;$EE$5,ROW(A46)&lt;=$EA$5),OFFSET('Demand adjustments for Covid'!$F$35,0,ROW(A46)-'Demand background (hide)'!$EE$5,1,1),0)</f>
        <v>0</v>
      </c>
      <c r="DW49" s="5">
        <f ca="1">IF(AND(ROW(A46)&gt;$EE$5,ROW(A46)&lt;=$EA$5),OFFSET('Demand adjustments for Covid'!$F$36,0,ROW(A46)-'Demand background (hide)'!$EE$5,1,1),0)</f>
        <v>0</v>
      </c>
      <c r="DX49" s="5">
        <f t="shared" ca="1" si="11"/>
        <v>664</v>
      </c>
    </row>
    <row r="50" spans="1:132" s="5" customFormat="1" x14ac:dyDescent="0.2">
      <c r="A50" s="5">
        <f t="shared" ca="1" si="32"/>
        <v>0</v>
      </c>
      <c r="B50" s="5">
        <f ca="1">COUNTBLANK(OFFSET(Demand!$I59,0,(COLUMN(A47)-1)*5,1,1))</f>
        <v>0</v>
      </c>
      <c r="C50" s="5">
        <f ca="1">COUNTBLANK(OFFSET(Demand!$I59,0,(COLUMN(B47)-1)*5,1,1))</f>
        <v>0</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120</v>
      </c>
      <c r="O50" s="5">
        <f ca="1">SUM(OFFSET(Demand!$E59,0,(COLUMN(B47)-1)*5,1,3))*O$2</f>
        <v>360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480</v>
      </c>
      <c r="Y50" s="5">
        <f t="shared" ca="1" si="5"/>
        <v>480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480</v>
      </c>
      <c r="AM50" s="5">
        <f t="shared" ca="1" si="9"/>
        <v>0</v>
      </c>
      <c r="AN50" s="5" t="str">
        <f>IF(Demand!BE59="Yes","Yes","")</f>
        <v/>
      </c>
      <c r="AP50" s="36" t="str">
        <f ca="1">Demand!B59</f>
        <v xml:space="preserve"> </v>
      </c>
      <c r="AQ50" s="5" t="str">
        <f ca="1">IF(TEXT(Demand!D59,"MMM")&lt;&gt;TEXT(Demand!D58,"MMM"),TEXT(Demand!D59,"MMM"),"")</f>
        <v/>
      </c>
      <c r="AT50" s="5">
        <f t="shared" ca="1" si="12"/>
        <v>30</v>
      </c>
      <c r="BQ50">
        <f ca="1">IF($AN50="",OFFSET(Demand!$A$13,ROW(A47)-1,4+((QUOTIENT(COLUMN(BQ$2)-69,3))*5)+MOD(COLUMN(BQ$2),3),1,1),"")</f>
        <v>0</v>
      </c>
      <c r="BR50">
        <f ca="1">IF($AN50="",OFFSET(Demand!$A$13,ROW(B47)-1,4+((QUOTIENT(COLUMN(BR$2)-69,3))*5)+MOD(COLUMN(BR$2),3),1,1),"")</f>
        <v>0</v>
      </c>
      <c r="BS50">
        <f ca="1">IF($AN50="",OFFSET(Demand!$A$13,ROW(C47)-1,4+((QUOTIENT(COLUMN(BS$2)-69,3))*5)+MOD(COLUMN(BS$2),3),1,1),"")</f>
        <v>4</v>
      </c>
      <c r="BT50">
        <f ca="1">IF($AN50="",OFFSET(Demand!$A$13,ROW(D47)-1,4+((QUOTIENT(COLUMN(BT$2)-69,3))*5)+MOD(COLUMN(BT$2),3),1,1),"")</f>
        <v>0</v>
      </c>
      <c r="BU50">
        <f ca="1">IF($AN50="",OFFSET(Demand!$A$13,ROW(E47)-1,4+((QUOTIENT(COLUMN(BU$2)-69,3))*5)+MOD(COLUMN(BU$2),3),1,1),"")</f>
        <v>2</v>
      </c>
      <c r="BV50">
        <f ca="1">IF($AN50="",OFFSET(Demand!$A$13,ROW(F47)-1,4+((QUOTIENT(COLUMN(BV$2)-69,3))*5)+MOD(COLUMN(BV$2),3),1,1),"")</f>
        <v>7</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f ca="1">VLOOKUP(IF($DM50&lt;53,$DM50,52),'Summary Calculations (hide)'!$D$15:$F$67,2,0)</f>
        <v>551.5</v>
      </c>
      <c r="DP50" s="5">
        <f ca="1">VLOOKUP(IF($DM50&lt;53,$DM50,52),'Summary Calculations (hide)'!$D$15:$F$67,3,0)</f>
        <v>664</v>
      </c>
      <c r="DQ50" s="5">
        <f ca="1">IF(AND(DN50&gt;='Demand adjustments for Covid'!$F$12,DN50&lt;'Demand adjustments for Covid'!$F$17),'Demand adjustments for Covid'!$F$13,DO50)</f>
        <v>551.5</v>
      </c>
      <c r="DR50" s="5">
        <f t="shared" si="33"/>
        <v>0</v>
      </c>
      <c r="DS50" s="5">
        <f ca="1">IF('Demand adjustments for Covid'!$F$9="Yes",IF(DR50=0,DQ50,((SUM(DR$4:DR50)-1)*$EE$8)+'Demand adjustments for Covid'!F$13),'Demand background (hide)'!DO50)</f>
        <v>551.5</v>
      </c>
      <c r="DT50" s="5">
        <f ca="1">IF('Demand adjustments for Covid'!$F$9="Yes",IF(OR(AND(DN50&gt;='Demand adjustments for Covid'!$F$12,DN50&lt;'Demand adjustments for Covid'!$F$17),DR50=1),DS50+3,DP50),'Demand background (hide)'!DP50)</f>
        <v>664</v>
      </c>
      <c r="DU50" s="5">
        <f ca="1">IF(DS50&lt;='Demand adjustments for Covid'!$F$17,DO50-DS50,0)</f>
        <v>0</v>
      </c>
      <c r="DV50" s="5">
        <f ca="1">IF(AND(ROW(A47)&gt;$EE$5,ROW(A47)&lt;=$EA$5),OFFSET('Demand adjustments for Covid'!$F$35,0,ROW(A47)-'Demand background (hide)'!$EE$5,1,1),0)</f>
        <v>0</v>
      </c>
      <c r="DW50" s="5">
        <f ca="1">IF(AND(ROW(A47)&gt;$EE$5,ROW(A47)&lt;=$EA$5),OFFSET('Demand adjustments for Covid'!$F$36,0,ROW(A47)-'Demand background (hide)'!$EE$5,1,1),0)</f>
        <v>0</v>
      </c>
      <c r="DX50" s="5">
        <f t="shared" ca="1" si="11"/>
        <v>664</v>
      </c>
    </row>
    <row r="51" spans="1:132" s="5" customFormat="1" x14ac:dyDescent="0.2">
      <c r="A51" s="5">
        <f t="shared" ca="1" si="32"/>
        <v>0</v>
      </c>
      <c r="B51" s="5">
        <f ca="1">COUNTBLANK(OFFSET(Demand!$I60,0,(COLUMN(A48)-1)*5,1,1))</f>
        <v>0</v>
      </c>
      <c r="C51" s="5">
        <f ca="1">COUNTBLANK(OFFSET(Demand!$I60,0,(COLUMN(B48)-1)*5,1,1))</f>
        <v>0</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150</v>
      </c>
      <c r="O51" s="5">
        <f ca="1">SUM(OFFSET(Demand!$E60,0,(COLUMN(B48)-1)*5,1,3))*O$2</f>
        <v>640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790</v>
      </c>
      <c r="Y51" s="5">
        <f t="shared" ca="1" si="5"/>
        <v>790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790</v>
      </c>
      <c r="AM51" s="5">
        <f t="shared" ca="1" si="9"/>
        <v>0</v>
      </c>
      <c r="AN51" s="5" t="str">
        <f>IF(Demand!BE60="Yes","Yes","")</f>
        <v/>
      </c>
      <c r="AP51" s="36" t="str">
        <f ca="1">Demand!B60</f>
        <v xml:space="preserve"> </v>
      </c>
      <c r="AQ51" s="5" t="str">
        <f ca="1">IF(TEXT(Demand!D60,"MMM")&lt;&gt;TEXT(Demand!D59,"MMM"),TEXT(Demand!D60,"MMM"),"")</f>
        <v/>
      </c>
      <c r="AT51" s="5">
        <f t="shared" ca="1" si="12"/>
        <v>310</v>
      </c>
      <c r="BQ51">
        <f ca="1">IF($AN51="",OFFSET(Demand!$A$13,ROW(A48)-1,4+((QUOTIENT(COLUMN(BQ$2)-69,3))*5)+MOD(COLUMN(BQ$2),3),1,1),"")</f>
        <v>0</v>
      </c>
      <c r="BR51">
        <f ca="1">IF($AN51="",OFFSET(Demand!$A$13,ROW(B48)-1,4+((QUOTIENT(COLUMN(BR$2)-69,3))*5)+MOD(COLUMN(BR$2),3),1,1),"")</f>
        <v>3</v>
      </c>
      <c r="BS51">
        <f ca="1">IF($AN51="",OFFSET(Demand!$A$13,ROW(C48)-1,4+((QUOTIENT(COLUMN(BS$2)-69,3))*5)+MOD(COLUMN(BS$2),3),1,1),"")</f>
        <v>2</v>
      </c>
      <c r="BT51">
        <f ca="1">IF($AN51="",OFFSET(Demand!$A$13,ROW(D48)-1,4+((QUOTIENT(COLUMN(BT$2)-69,3))*5)+MOD(COLUMN(BT$2),3),1,1),"")</f>
        <v>0</v>
      </c>
      <c r="BU51">
        <f ca="1">IF($AN51="",OFFSET(Demand!$A$13,ROW(E48)-1,4+((QUOTIENT(COLUMN(BU$2)-69,3))*5)+MOD(COLUMN(BU$2),3),1,1),"")</f>
        <v>4</v>
      </c>
      <c r="BV51">
        <f ca="1">IF($AN51="",OFFSET(Demand!$A$13,ROW(F48)-1,4+((QUOTIENT(COLUMN(BV$2)-69,3))*5)+MOD(COLUMN(BV$2),3),1,1),"")</f>
        <v>12</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f ca="1">VLOOKUP(IF($DM51&lt;53,$DM51,52),'Summary Calculations (hide)'!$D$15:$F$67,2,0)</f>
        <v>551.5</v>
      </c>
      <c r="DP51" s="5">
        <f ca="1">VLOOKUP(IF($DM51&lt;53,$DM51,52),'Summary Calculations (hide)'!$D$15:$F$67,3,0)</f>
        <v>664</v>
      </c>
      <c r="DQ51" s="5">
        <f ca="1">IF(AND(DN51&gt;='Demand adjustments for Covid'!$F$12,DN51&lt;'Demand adjustments for Covid'!$F$17),'Demand adjustments for Covid'!$F$13,DO51)</f>
        <v>551.5</v>
      </c>
      <c r="DR51" s="5">
        <f t="shared" si="33"/>
        <v>0</v>
      </c>
      <c r="DS51" s="5">
        <f ca="1">IF('Demand adjustments for Covid'!$F$9="Yes",IF(DR51=0,DQ51,((SUM(DR$4:DR51)-1)*$EE$8)+'Demand adjustments for Covid'!F$13),'Demand background (hide)'!DO51)</f>
        <v>551.5</v>
      </c>
      <c r="DT51" s="5">
        <f ca="1">IF('Demand adjustments for Covid'!$F$9="Yes",IF(OR(AND(DN51&gt;='Demand adjustments for Covid'!$F$12,DN51&lt;'Demand adjustments for Covid'!$F$17),DR51=1),DS51+3,DP51),'Demand background (hide)'!DP51)</f>
        <v>664</v>
      </c>
      <c r="DU51" s="5">
        <f ca="1">IF(DS51&lt;='Demand adjustments for Covid'!$F$17,DO51-DS51,0)</f>
        <v>0</v>
      </c>
      <c r="DV51" s="5">
        <f ca="1">IF(AND(ROW(A48)&gt;$EE$5,ROW(A48)&lt;=$EA$5),OFFSET('Demand adjustments for Covid'!$F$35,0,ROW(A48)-'Demand background (hide)'!$EE$5,1,1),0)</f>
        <v>0</v>
      </c>
      <c r="DW51" s="5">
        <f ca="1">IF(AND(ROW(A48)&gt;$EE$5,ROW(A48)&lt;=$EA$5),OFFSET('Demand adjustments for Covid'!$F$36,0,ROW(A48)-'Demand background (hide)'!$EE$5,1,1),0)</f>
        <v>0</v>
      </c>
      <c r="DX51" s="5">
        <f t="shared" ca="1" si="11"/>
        <v>664</v>
      </c>
    </row>
    <row r="52" spans="1:132" s="5" customFormat="1" x14ac:dyDescent="0.2">
      <c r="A52" s="5">
        <f t="shared" ca="1" si="32"/>
        <v>0</v>
      </c>
      <c r="B52" s="5">
        <f ca="1">COUNTBLANK(OFFSET(Demand!$I61,0,(COLUMN(A49)-1)*5,1,1))</f>
        <v>0</v>
      </c>
      <c r="C52" s="5">
        <f ca="1">COUNTBLANK(OFFSET(Demand!$I61,0,(COLUMN(B49)-1)*5,1,1))</f>
        <v>0</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90</v>
      </c>
      <c r="O52" s="5">
        <f ca="1">SUM(OFFSET(Demand!$E61,0,(COLUMN(B49)-1)*5,1,3))*O$2</f>
        <v>240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330</v>
      </c>
      <c r="Y52" s="5">
        <f t="shared" ca="1" si="5"/>
        <v>330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330</v>
      </c>
      <c r="AM52" s="5">
        <f t="shared" ca="1" si="9"/>
        <v>0</v>
      </c>
      <c r="AN52" s="5" t="str">
        <f>IF(Demand!BE61="Yes","Yes","")</f>
        <v/>
      </c>
      <c r="AP52" s="36" t="str">
        <f ca="1">Demand!B61</f>
        <v xml:space="preserve"> </v>
      </c>
      <c r="AQ52" s="5" t="str">
        <f ca="1">IF(TEXT(Demand!D61,"MMM")&lt;&gt;TEXT(Demand!D60,"MMM"),TEXT(Demand!D61,"MMM"),"")</f>
        <v/>
      </c>
      <c r="AT52" s="5">
        <f t="shared" ca="1" si="12"/>
        <v>460</v>
      </c>
      <c r="BQ52">
        <f ca="1">IF($AN52="",OFFSET(Demand!$A$13,ROW(A49)-1,4+((QUOTIENT(COLUMN(BQ$2)-69,3))*5)+MOD(COLUMN(BQ$2),3),1,1),"")</f>
        <v>0</v>
      </c>
      <c r="BR52">
        <f ca="1">IF($AN52="",OFFSET(Demand!$A$13,ROW(B49)-1,4+((QUOTIENT(COLUMN(BR$2)-69,3))*5)+MOD(COLUMN(BR$2),3),1,1),"")</f>
        <v>0</v>
      </c>
      <c r="BS52">
        <f ca="1">IF($AN52="",OFFSET(Demand!$A$13,ROW(C49)-1,4+((QUOTIENT(COLUMN(BS$2)-69,3))*5)+MOD(COLUMN(BS$2),3),1,1),"")</f>
        <v>3</v>
      </c>
      <c r="BT52">
        <f ca="1">IF($AN52="",OFFSET(Demand!$A$13,ROW(D49)-1,4+((QUOTIENT(COLUMN(BT$2)-69,3))*5)+MOD(COLUMN(BT$2),3),1,1),"")</f>
        <v>0</v>
      </c>
      <c r="BU52">
        <f ca="1">IF($AN52="",OFFSET(Demand!$A$13,ROW(E49)-1,4+((QUOTIENT(COLUMN(BU$2)-69,3))*5)+MOD(COLUMN(BU$2),3),1,1),"")</f>
        <v>1</v>
      </c>
      <c r="BV52">
        <f ca="1">IF($AN52="",OFFSET(Demand!$A$13,ROW(F49)-1,4+((QUOTIENT(COLUMN(BV$2)-69,3))*5)+MOD(COLUMN(BV$2),3),1,1),"")</f>
        <v>5</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f ca="1">VLOOKUP(IF($DM52&lt;53,$DM52,52),'Summary Calculations (hide)'!$D$15:$F$67,2,0)</f>
        <v>551.5</v>
      </c>
      <c r="DP52" s="5">
        <f ca="1">VLOOKUP(IF($DM52&lt;53,$DM52,52),'Summary Calculations (hide)'!$D$15:$F$67,3,0)</f>
        <v>664</v>
      </c>
      <c r="DQ52" s="5">
        <f ca="1">IF(AND(DN52&gt;='Demand adjustments for Covid'!$F$12,DN52&lt;'Demand adjustments for Covid'!$F$17),'Demand adjustments for Covid'!$F$13,DO52)</f>
        <v>551.5</v>
      </c>
      <c r="DR52" s="5">
        <f t="shared" si="33"/>
        <v>0</v>
      </c>
      <c r="DS52" s="5">
        <f ca="1">IF('Demand adjustments for Covid'!$F$9="Yes",IF(DR52=0,DQ52,((SUM(DR$4:DR52)-1)*$EE$8)+'Demand adjustments for Covid'!F$13),'Demand background (hide)'!DO52)</f>
        <v>551.5</v>
      </c>
      <c r="DT52" s="5">
        <f ca="1">IF('Demand adjustments for Covid'!$F$9="Yes",IF(OR(AND(DN52&gt;='Demand adjustments for Covid'!$F$12,DN52&lt;'Demand adjustments for Covid'!$F$17),DR52=1),DS52+3,DP52),'Demand background (hide)'!DP52)</f>
        <v>664</v>
      </c>
      <c r="DU52" s="5">
        <f ca="1">IF(DS52&lt;='Demand adjustments for Covid'!$F$17,DO52-DS52,0)</f>
        <v>0</v>
      </c>
      <c r="DV52" s="5">
        <f ca="1">IF(AND(ROW(A49)&gt;$EE$5,ROW(A49)&lt;=$EA$5),OFFSET('Demand adjustments for Covid'!$F$35,0,ROW(A49)-'Demand background (hide)'!$EE$5,1,1),0)</f>
        <v>0</v>
      </c>
      <c r="DW52" s="5">
        <f ca="1">IF(AND(ROW(A49)&gt;$EE$5,ROW(A49)&lt;=$EA$5),OFFSET('Demand adjustments for Covid'!$F$36,0,ROW(A49)-'Demand background (hide)'!$EE$5,1,1),0)</f>
        <v>0</v>
      </c>
      <c r="DX52" s="5">
        <f t="shared" ca="1" si="11"/>
        <v>664</v>
      </c>
    </row>
    <row r="53" spans="1:132" s="5" customFormat="1" x14ac:dyDescent="0.2">
      <c r="A53" s="5">
        <f t="shared" ca="1" si="32"/>
        <v>0</v>
      </c>
      <c r="B53" s="5">
        <f ca="1">COUNTBLANK(OFFSET(Demand!$I62,0,(COLUMN(A50)-1)*5,1,1))</f>
        <v>0</v>
      </c>
      <c r="C53" s="5">
        <f ca="1">COUNTBLANK(OFFSET(Demand!$I62,0,(COLUMN(B50)-1)*5,1,1))</f>
        <v>0</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150</v>
      </c>
      <c r="O53" s="5">
        <f ca="1">SUM(OFFSET(Demand!$E62,0,(COLUMN(B50)-1)*5,1,3))*O$2</f>
        <v>440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590</v>
      </c>
      <c r="Y53" s="5">
        <f t="shared" ca="1" si="5"/>
        <v>590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590</v>
      </c>
      <c r="AM53" s="5">
        <f t="shared" ca="1" si="9"/>
        <v>0</v>
      </c>
      <c r="AN53" s="5" t="str">
        <f>IF(Demand!BE62="Yes","Yes","")</f>
        <v/>
      </c>
      <c r="AP53" s="36" t="str">
        <f ca="1">Demand!B62</f>
        <v xml:space="preserve"> </v>
      </c>
      <c r="AQ53" s="5" t="str">
        <f ca="1">IF(TEXT(Demand!D62,"MMM")&lt;&gt;TEXT(Demand!D61,"MMM"),TEXT(Demand!D62,"MMM"),"")</f>
        <v>Mar</v>
      </c>
      <c r="AT53" s="5">
        <f t="shared" ca="1" si="12"/>
        <v>260</v>
      </c>
      <c r="BQ53">
        <f ca="1">IF($AN53="",OFFSET(Demand!$A$13,ROW(A50)-1,4+((QUOTIENT(COLUMN(BQ$2)-69,3))*5)+MOD(COLUMN(BQ$2),3),1,1),"")</f>
        <v>0</v>
      </c>
      <c r="BR53">
        <f ca="1">IF($AN53="",OFFSET(Demand!$A$13,ROW(B50)-1,4+((QUOTIENT(COLUMN(BR$2)-69,3))*5)+MOD(COLUMN(BR$2),3),1,1),"")</f>
        <v>1</v>
      </c>
      <c r="BS53">
        <f ca="1">IF($AN53="",OFFSET(Demand!$A$13,ROW(C50)-1,4+((QUOTIENT(COLUMN(BS$2)-69,3))*5)+MOD(COLUMN(BS$2),3),1,1),"")</f>
        <v>4</v>
      </c>
      <c r="BT53">
        <f ca="1">IF($AN53="",OFFSET(Demand!$A$13,ROW(D50)-1,4+((QUOTIENT(COLUMN(BT$2)-69,3))*5)+MOD(COLUMN(BT$2),3),1,1),"")</f>
        <v>0</v>
      </c>
      <c r="BU53">
        <f ca="1">IF($AN53="",OFFSET(Demand!$A$13,ROW(E50)-1,4+((QUOTIENT(COLUMN(BU$2)-69,3))*5)+MOD(COLUMN(BU$2),3),1,1),"")</f>
        <v>3</v>
      </c>
      <c r="BV53">
        <f ca="1">IF($AN53="",OFFSET(Demand!$A$13,ROW(F50)-1,4+((QUOTIENT(COLUMN(BV$2)-69,3))*5)+MOD(COLUMN(BV$2),3),1,1),"")</f>
        <v>8</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f ca="1">VLOOKUP(IF($DM53&lt;53,$DM53,52),'Summary Calculations (hide)'!$D$15:$F$67,2,0)</f>
        <v>551.5</v>
      </c>
      <c r="DP53" s="5">
        <f ca="1">VLOOKUP(IF($DM53&lt;53,$DM53,52),'Summary Calculations (hide)'!$D$15:$F$67,3,0)</f>
        <v>664</v>
      </c>
      <c r="DQ53" s="5">
        <f ca="1">IF(AND(DN53&gt;='Demand adjustments for Covid'!$F$12,DN53&lt;'Demand adjustments for Covid'!$F$17),'Demand adjustments for Covid'!$F$13,DO53)</f>
        <v>551.5</v>
      </c>
      <c r="DR53" s="5">
        <f t="shared" si="33"/>
        <v>0</v>
      </c>
      <c r="DS53" s="5">
        <f ca="1">IF('Demand adjustments for Covid'!$F$9="Yes",IF(DR53=0,DQ53,((SUM(DR$4:DR53)-1)*$EE$8)+'Demand adjustments for Covid'!F$13),'Demand background (hide)'!DO53)</f>
        <v>551.5</v>
      </c>
      <c r="DT53" s="5">
        <f ca="1">IF('Demand adjustments for Covid'!$F$9="Yes",IF(OR(AND(DN53&gt;='Demand adjustments for Covid'!$F$12,DN53&lt;'Demand adjustments for Covid'!$F$17),DR53=1),DS53+3,DP53),'Demand background (hide)'!DP53)</f>
        <v>664</v>
      </c>
      <c r="DU53" s="5">
        <f ca="1">IF(DS53&lt;='Demand adjustments for Covid'!$F$17,DO53-DS53,0)</f>
        <v>0</v>
      </c>
      <c r="DV53" s="5">
        <f ca="1">IF(AND(ROW(A50)&gt;$EE$5,ROW(A50)&lt;=$EA$5),OFFSET('Demand adjustments for Covid'!$F$35,0,ROW(A50)-'Demand background (hide)'!$EE$5,1,1),0)</f>
        <v>0</v>
      </c>
      <c r="DW53" s="5">
        <f ca="1">IF(AND(ROW(A50)&gt;$EE$5,ROW(A50)&lt;=$EA$5),OFFSET('Demand adjustments for Covid'!$F$36,0,ROW(A50)-'Demand background (hide)'!$EE$5,1,1),0)</f>
        <v>0</v>
      </c>
      <c r="DX53" s="5">
        <f t="shared" ca="1" si="11"/>
        <v>664</v>
      </c>
    </row>
    <row r="54" spans="1:132" s="5" customFormat="1" x14ac:dyDescent="0.2">
      <c r="A54" s="5">
        <f t="shared" ca="1" si="32"/>
        <v>0</v>
      </c>
      <c r="B54" s="5">
        <f ca="1">COUNTBLANK(OFFSET(Demand!$I63,0,(COLUMN(A51)-1)*5,1,1))</f>
        <v>0</v>
      </c>
      <c r="C54" s="5">
        <f ca="1">COUNTBLANK(OFFSET(Demand!$I63,0,(COLUMN(B51)-1)*5,1,1))</f>
        <v>0</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60</v>
      </c>
      <c r="O54" s="5">
        <f ca="1">SUM(OFFSET(Demand!$E63,0,(COLUMN(B51)-1)*5,1,3))*O$2</f>
        <v>360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420</v>
      </c>
      <c r="Y54" s="5">
        <f t="shared" ca="1" si="5"/>
        <v>420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420</v>
      </c>
      <c r="AM54" s="5">
        <f t="shared" ca="1" si="9"/>
        <v>0</v>
      </c>
      <c r="AN54" s="5" t="str">
        <f>IF(Demand!BE63="Yes","Yes","")</f>
        <v/>
      </c>
      <c r="AP54" s="36" t="str">
        <f ca="1">Demand!B63</f>
        <v xml:space="preserve"> </v>
      </c>
      <c r="AQ54" s="5" t="str">
        <f ca="1">IF(TEXT(Demand!D63,"MMM")&lt;&gt;TEXT(Demand!D62,"MMM"),TEXT(Demand!D63,"MMM"),"")</f>
        <v/>
      </c>
      <c r="AT54" s="5">
        <f t="shared" ca="1" si="12"/>
        <v>170</v>
      </c>
      <c r="BQ54">
        <f ca="1">IF($AN54="",OFFSET(Demand!$A$13,ROW(A51)-1,4+((QUOTIENT(COLUMN(BQ$2)-69,3))*5)+MOD(COLUMN(BQ$2),3),1,1),"")</f>
        <v>0</v>
      </c>
      <c r="BR54">
        <f ca="1">IF($AN54="",OFFSET(Demand!$A$13,ROW(B51)-1,4+((QUOTIENT(COLUMN(BR$2)-69,3))*5)+MOD(COLUMN(BR$2),3),1,1),"")</f>
        <v>1</v>
      </c>
      <c r="BS54">
        <f ca="1">IF($AN54="",OFFSET(Demand!$A$13,ROW(C51)-1,4+((QUOTIENT(COLUMN(BS$2)-69,3))*5)+MOD(COLUMN(BS$2),3),1,1),"")</f>
        <v>1</v>
      </c>
      <c r="BT54">
        <f ca="1">IF($AN54="",OFFSET(Demand!$A$13,ROW(D51)-1,4+((QUOTIENT(COLUMN(BT$2)-69,3))*5)+MOD(COLUMN(BT$2),3),1,1),"")</f>
        <v>0</v>
      </c>
      <c r="BU54">
        <f ca="1">IF($AN54="",OFFSET(Demand!$A$13,ROW(E51)-1,4+((QUOTIENT(COLUMN(BU$2)-69,3))*5)+MOD(COLUMN(BU$2),3),1,1),"")</f>
        <v>1</v>
      </c>
      <c r="BV54">
        <f ca="1">IF($AN54="",OFFSET(Demand!$A$13,ROW(F51)-1,4+((QUOTIENT(COLUMN(BV$2)-69,3))*5)+MOD(COLUMN(BV$2),3),1,1),"")</f>
        <v>8</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f ca="1">VLOOKUP(IF($DM54&lt;53,$DM54,52),'Summary Calculations (hide)'!$D$15:$F$67,2,0)</f>
        <v>551.5</v>
      </c>
      <c r="DP54" s="5">
        <f ca="1">VLOOKUP(IF($DM54&lt;53,$DM54,52),'Summary Calculations (hide)'!$D$15:$F$67,3,0)</f>
        <v>664</v>
      </c>
      <c r="DQ54" s="5">
        <f ca="1">IF(AND(DN54&gt;='Demand adjustments for Covid'!$F$12,DN54&lt;'Demand adjustments for Covid'!$F$17),'Demand adjustments for Covid'!$F$13,DO54)</f>
        <v>551.5</v>
      </c>
      <c r="DR54" s="5">
        <f t="shared" si="33"/>
        <v>0</v>
      </c>
      <c r="DS54" s="5">
        <f ca="1">IF('Demand adjustments for Covid'!$F$9="Yes",IF(DR54=0,DQ54,((SUM(DR$4:DR54)-1)*$EE$8)+'Demand adjustments for Covid'!F$13),'Demand background (hide)'!DO54)</f>
        <v>551.5</v>
      </c>
      <c r="DT54" s="5">
        <f ca="1">IF('Demand adjustments for Covid'!$F$9="Yes",IF(OR(AND(DN54&gt;='Demand adjustments for Covid'!$F$12,DN54&lt;'Demand adjustments for Covid'!$F$17),DR54=1),DS54+3,DP54),'Demand background (hide)'!DP54)</f>
        <v>664</v>
      </c>
      <c r="DU54" s="5">
        <f ca="1">IF(DS54&lt;='Demand adjustments for Covid'!$F$17,DO54-DS54,0)</f>
        <v>0</v>
      </c>
      <c r="DV54" s="5">
        <f ca="1">IF(AND(ROW(A51)&gt;$EE$5,ROW(A51)&lt;=$EA$5),OFFSET('Demand adjustments for Covid'!$F$35,0,ROW(A51)-'Demand background (hide)'!$EE$5,1,1),0)</f>
        <v>0</v>
      </c>
      <c r="DW54" s="5">
        <f ca="1">IF(AND(ROW(A51)&gt;$EE$5,ROW(A51)&lt;=$EA$5),OFFSET('Demand adjustments for Covid'!$F$36,0,ROW(A51)-'Demand background (hide)'!$EE$5,1,1),0)</f>
        <v>0</v>
      </c>
      <c r="DX54" s="5">
        <f t="shared" ca="1" si="11"/>
        <v>664</v>
      </c>
    </row>
    <row r="55" spans="1:132" s="5" customFormat="1" x14ac:dyDescent="0.2">
      <c r="A55" s="5">
        <f t="shared" ca="1" si="32"/>
        <v>0</v>
      </c>
      <c r="B55" s="5">
        <f ca="1">COUNTBLANK(OFFSET(Demand!$I64,0,(COLUMN(A52)-1)*5,1,1))</f>
        <v>0</v>
      </c>
      <c r="C55" s="5">
        <f ca="1">COUNTBLANK(OFFSET(Demand!$I64,0,(COLUMN(B52)-1)*5,1,1))</f>
        <v>0</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60</v>
      </c>
      <c r="O55" s="5">
        <f ca="1">SUM(OFFSET(Demand!$E64,0,(COLUMN(B52)-1)*5,1,3))*O$2</f>
        <v>720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780</v>
      </c>
      <c r="Y55" s="5">
        <f t="shared" ca="1" si="5"/>
        <v>780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780</v>
      </c>
      <c r="AM55" s="5">
        <f t="shared" ca="1" si="9"/>
        <v>0</v>
      </c>
      <c r="AN55" s="5" t="str">
        <f>IF(Demand!BE64="Yes","Yes","")</f>
        <v/>
      </c>
      <c r="AP55" s="36" t="str">
        <f ca="1">Demand!B64</f>
        <v xml:space="preserve"> </v>
      </c>
      <c r="AQ55" s="5" t="str">
        <f ca="1">IF(TEXT(Demand!D64,"MMM")&lt;&gt;TEXT(Demand!D63,"MMM"),TEXT(Demand!D64,"MMM"),"")</f>
        <v/>
      </c>
      <c r="AT55" s="5">
        <f t="shared" ca="1" si="12"/>
        <v>360</v>
      </c>
      <c r="BQ55">
        <f ca="1">IF($AN55="",OFFSET(Demand!$A$13,ROW(A52)-1,4+((QUOTIENT(COLUMN(BQ$2)-69,3))*5)+MOD(COLUMN(BQ$2),3),1,1),"")</f>
        <v>0</v>
      </c>
      <c r="BR55">
        <f ca="1">IF($AN55="",OFFSET(Demand!$A$13,ROW(B52)-1,4+((QUOTIENT(COLUMN(BR$2)-69,3))*5)+MOD(COLUMN(BR$2),3),1,1),"")</f>
        <v>1</v>
      </c>
      <c r="BS55">
        <f ca="1">IF($AN55="",OFFSET(Demand!$A$13,ROW(C52)-1,4+((QUOTIENT(COLUMN(BS$2)-69,3))*5)+MOD(COLUMN(BS$2),3),1,1),"")</f>
        <v>1</v>
      </c>
      <c r="BT55">
        <f ca="1">IF($AN55="",OFFSET(Demand!$A$13,ROW(D52)-1,4+((QUOTIENT(COLUMN(BT$2)-69,3))*5)+MOD(COLUMN(BT$2),3),1,1),"")</f>
        <v>0</v>
      </c>
      <c r="BU55">
        <f ca="1">IF($AN55="",OFFSET(Demand!$A$13,ROW(E52)-1,4+((QUOTIENT(COLUMN(BU$2)-69,3))*5)+MOD(COLUMN(BU$2),3),1,1),"")</f>
        <v>3</v>
      </c>
      <c r="BV55">
        <f ca="1">IF($AN55="",OFFSET(Demand!$A$13,ROW(F52)-1,4+((QUOTIENT(COLUMN(BV$2)-69,3))*5)+MOD(COLUMN(BV$2),3),1,1),"")</f>
        <v>15</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f ca="1">VLOOKUP(IF($DM55&lt;53,$DM55,52),'Summary Calculations (hide)'!$D$15:$F$67,2,0)</f>
        <v>551.5</v>
      </c>
      <c r="DP55" s="5">
        <f ca="1">VLOOKUP(IF($DM55&lt;53,$DM55,52),'Summary Calculations (hide)'!$D$15:$F$67,3,0)</f>
        <v>664</v>
      </c>
      <c r="DQ55" s="5">
        <f ca="1">IF(AND(DN55&gt;='Demand adjustments for Covid'!$F$12,DN55&lt;'Demand adjustments for Covid'!$F$17),'Demand adjustments for Covid'!$F$13,DO55)</f>
        <v>551.5</v>
      </c>
      <c r="DR55" s="5">
        <f t="shared" si="33"/>
        <v>0</v>
      </c>
      <c r="DS55" s="5">
        <f ca="1">IF('Demand adjustments for Covid'!$F$9="Yes",IF(DR55=0,DQ55,((SUM(DR$4:DR55)-1)*$EE$8)+'Demand adjustments for Covid'!F$13),'Demand background (hide)'!DO55)</f>
        <v>551.5</v>
      </c>
      <c r="DT55" s="5">
        <f ca="1">IF('Demand adjustments for Covid'!$F$9="Yes",IF(OR(AND(DN55&gt;='Demand adjustments for Covid'!$F$12,DN55&lt;'Demand adjustments for Covid'!$F$17),DR55=1),DS55+3,DP55),'Demand background (hide)'!DP55)</f>
        <v>664</v>
      </c>
      <c r="DU55" s="5">
        <f ca="1">IF(DS55&lt;='Demand adjustments for Covid'!$F$17,DO55-DS55,0)</f>
        <v>0</v>
      </c>
      <c r="DV55" s="5">
        <f ca="1">IF(AND(ROW(A52)&gt;$EE$5,ROW(A52)&lt;=$EA$5),OFFSET('Demand adjustments for Covid'!$F$35,0,ROW(A52)-'Demand background (hide)'!$EE$5,1,1),0)</f>
        <v>0</v>
      </c>
      <c r="DW55" s="5">
        <f ca="1">IF(AND(ROW(A52)&gt;$EE$5,ROW(A52)&lt;=$EA$5),OFFSET('Demand adjustments for Covid'!$F$36,0,ROW(A52)-'Demand background (hide)'!$EE$5,1,1),0)</f>
        <v>0</v>
      </c>
      <c r="DX55" s="5">
        <f t="shared" ca="1" si="11"/>
        <v>664</v>
      </c>
    </row>
    <row r="56" spans="1:132" x14ac:dyDescent="0.2">
      <c r="A56" s="5">
        <f t="shared" ref="A56:A119" ca="1" si="34">SUM(OFFSET(B56,0,0,1,Num_Modalities))</f>
        <v>0</v>
      </c>
      <c r="B56" s="5">
        <f ca="1">COUNTBLANK(OFFSET(Demand!$I65,0,(COLUMN(A53)-1)*5,1,1))</f>
        <v>0</v>
      </c>
      <c r="C56" s="5">
        <f ca="1">COUNTBLANK(OFFSET(Demand!$I65,0,(COLUMN(B53)-1)*5,1,1))</f>
        <v>0</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90</v>
      </c>
      <c r="O56" s="5">
        <f ca="1">SUM(OFFSET(Demand!$E65,0,(COLUMN(B53)-1)*5,1,3))*O$2</f>
        <v>280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370</v>
      </c>
      <c r="Y56">
        <f t="shared" ca="1" si="5"/>
        <v>370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370</v>
      </c>
      <c r="AM56" s="5">
        <f t="shared" ca="1" si="9"/>
        <v>0</v>
      </c>
      <c r="AN56" s="5" t="str">
        <f>IF(Demand!BE65="Yes","Yes","")</f>
        <v/>
      </c>
      <c r="AP56" s="36" t="str">
        <f ca="1">Demand!B65</f>
        <v xml:space="preserve"> </v>
      </c>
      <c r="AQ56" t="str">
        <f ca="1">IF(TEXT(Demand!D65,"MMM")&lt;&gt;TEXT(Demand!D64,"MMM"),TEXT(Demand!D65,"MMM"),"")</f>
        <v/>
      </c>
      <c r="AT56" s="5">
        <f t="shared" ca="1" si="12"/>
        <v>410</v>
      </c>
      <c r="BQ56">
        <f ca="1">IF($AN56="",OFFSET(Demand!$A$13,ROW(A53)-1,4+((QUOTIENT(COLUMN(BQ$2)-69,3))*5)+MOD(COLUMN(BQ$2),3),1,1),"")</f>
        <v>0</v>
      </c>
      <c r="BR56">
        <f ca="1">IF($AN56="",OFFSET(Demand!$A$13,ROW(B53)-1,4+((QUOTIENT(COLUMN(BR$2)-69,3))*5)+MOD(COLUMN(BR$2),3),1,1),"")</f>
        <v>1</v>
      </c>
      <c r="BS56">
        <f ca="1">IF($AN56="",OFFSET(Demand!$A$13,ROW(C53)-1,4+((QUOTIENT(COLUMN(BS$2)-69,3))*5)+MOD(COLUMN(BS$2),3),1,1),"")</f>
        <v>2</v>
      </c>
      <c r="BT56">
        <f ca="1">IF($AN56="",OFFSET(Demand!$A$13,ROW(D53)-1,4+((QUOTIENT(COLUMN(BT$2)-69,3))*5)+MOD(COLUMN(BT$2),3),1,1),"")</f>
        <v>0</v>
      </c>
      <c r="BU56">
        <f ca="1">IF($AN56="",OFFSET(Demand!$A$13,ROW(E53)-1,4+((QUOTIENT(COLUMN(BU$2)-69,3))*5)+MOD(COLUMN(BU$2),3),1,1),"")</f>
        <v>0</v>
      </c>
      <c r="BV56">
        <f ca="1">IF($AN56="",OFFSET(Demand!$A$13,ROW(F53)-1,4+((QUOTIENT(COLUMN(BV$2)-69,3))*5)+MOD(COLUMN(BV$2),3),1,1),"")</f>
        <v>7</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f ca="1">VLOOKUP(IF($DM56&lt;53,$DM56,52),'Summary Calculations (hide)'!$D$15:$F$67,2,0)</f>
        <v>551.5</v>
      </c>
      <c r="DP56" s="5">
        <f ca="1">VLOOKUP(IF($DM56&lt;53,$DM56,52),'Summary Calculations (hide)'!$D$15:$F$67,3,0)</f>
        <v>664</v>
      </c>
      <c r="DQ56" s="5">
        <f ca="1">IF(AND(DN56&gt;='Demand adjustments for Covid'!$F$12,DN56&lt;'Demand adjustments for Covid'!$F$17),'Demand adjustments for Covid'!$F$13,DO56)</f>
        <v>551.5</v>
      </c>
      <c r="DR56" s="5">
        <f t="shared" ref="DR56" si="35">IF(AND(ROW(A53)&gt;=$EE$4,ROW(A53)&lt;=$EE$5),1,0)</f>
        <v>0</v>
      </c>
      <c r="DS56" s="5">
        <f ca="1">IF('Demand adjustments for Covid'!$F$9="Yes",IF(DR56=0,DQ56,((SUM(DR$4:DR56)-1)*$EE$8)+'Demand adjustments for Covid'!F$13),'Demand background (hide)'!DO56)</f>
        <v>551.5</v>
      </c>
      <c r="DT56" s="5">
        <f ca="1">IF('Demand adjustments for Covid'!$F$9="Yes",IF(OR(AND(DN56&gt;='Demand adjustments for Covid'!$F$12,DN56&lt;'Demand adjustments for Covid'!$F$17),DR56=1),DS56+3,DP56),'Demand background (hide)'!DP56)</f>
        <v>664</v>
      </c>
      <c r="DU56" s="5">
        <f ca="1">IF(DS56&lt;='Demand adjustments for Covid'!$F$17,DO56-DS56,0)</f>
        <v>0</v>
      </c>
      <c r="DV56" s="5">
        <f ca="1">IF(AND(ROW(A53)&gt;$EE$5,ROW(A53)&lt;=$EA$5),OFFSET('Demand adjustments for Covid'!$F$35,0,ROW(A53)-'Demand background (hide)'!$EE$5,1,1),0)</f>
        <v>0</v>
      </c>
      <c r="DW56" s="5">
        <f ca="1">IF(AND(ROW(A53)&gt;$EE$5,ROW(A53)&lt;=$EA$5),OFFSET('Demand adjustments for Covid'!$F$36,0,ROW(A53)-'Demand background (hide)'!$EE$5,1,1),0)</f>
        <v>0</v>
      </c>
      <c r="DX56" s="5">
        <f t="shared" ref="DX56" ca="1" si="36">SUM(DV56:DW56,DT56)</f>
        <v>664</v>
      </c>
      <c r="DY56" s="5"/>
      <c r="DZ56" s="5"/>
      <c r="EA56" s="5"/>
      <c r="EB56" s="5"/>
    </row>
    <row r="57" spans="1:132" x14ac:dyDescent="0.2">
      <c r="A57" s="5">
        <f t="shared" ca="1" si="34"/>
        <v>0</v>
      </c>
      <c r="B57" s="5">
        <f ca="1">COUNTBLANK(OFFSET(Demand!$I66,0,(COLUMN(A54)-1)*5,1,1))</f>
        <v>0</v>
      </c>
      <c r="C57" s="5">
        <f ca="1">COUNTBLANK(OFFSET(Demand!$I66,0,(COLUMN(B54)-1)*5,1,1))</f>
        <v>0</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90</v>
      </c>
      <c r="O57" s="5">
        <f ca="1">SUM(OFFSET(Demand!$E66,0,(COLUMN(B54)-1)*5,1,3))*O$2</f>
        <v>360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450</v>
      </c>
      <c r="Y57">
        <f t="shared" ca="1" si="5"/>
        <v>450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450</v>
      </c>
      <c r="AM57" s="5">
        <f t="shared" ca="1" si="9"/>
        <v>0</v>
      </c>
      <c r="AN57" s="5" t="str">
        <f>IF(Demand!BE66="Yes","Yes","")</f>
        <v/>
      </c>
      <c r="AP57" s="36" t="str">
        <f ca="1">Demand!B66</f>
        <v xml:space="preserve"> </v>
      </c>
      <c r="AQ57" t="str">
        <f ca="1">IF(TEXT(Demand!D66,"MMM")&lt;&gt;TEXT(Demand!D65,"MMM"),TEXT(Demand!D66,"MMM"),"")</f>
        <v>Apr</v>
      </c>
      <c r="AT57" s="5">
        <f t="shared" ca="1" si="12"/>
        <v>80</v>
      </c>
      <c r="BQ57">
        <f ca="1">IF($AN57="",OFFSET(Demand!$A$13,ROW(A54)-1,4+((QUOTIENT(COLUMN(BQ$2)-69,3))*5)+MOD(COLUMN(BQ$2),3),1,1),"")</f>
        <v>0</v>
      </c>
      <c r="BR57">
        <f ca="1">IF($AN57="",OFFSET(Demand!$A$13,ROW(B54)-1,4+((QUOTIENT(COLUMN(BR$2)-69,3))*5)+MOD(COLUMN(BR$2),3),1,1),"")</f>
        <v>0</v>
      </c>
      <c r="BS57">
        <f ca="1">IF($AN57="",OFFSET(Demand!$A$13,ROW(C54)-1,4+((QUOTIENT(COLUMN(BS$2)-69,3))*5)+MOD(COLUMN(BS$2),3),1,1),"")</f>
        <v>3</v>
      </c>
      <c r="BT57">
        <f ca="1">IF($AN57="",OFFSET(Demand!$A$13,ROW(D54)-1,4+((QUOTIENT(COLUMN(BT$2)-69,3))*5)+MOD(COLUMN(BT$2),3),1,1),"")</f>
        <v>0</v>
      </c>
      <c r="BU57">
        <f ca="1">IF($AN57="",OFFSET(Demand!$A$13,ROW(E54)-1,4+((QUOTIENT(COLUMN(BU$2)-69,3))*5)+MOD(COLUMN(BU$2),3),1,1),"")</f>
        <v>2</v>
      </c>
      <c r="BV57">
        <f ca="1">IF($AN57="",OFFSET(Demand!$A$13,ROW(F54)-1,4+((QUOTIENT(COLUMN(BV$2)-69,3))*5)+MOD(COLUMN(BV$2),3),1,1),"")</f>
        <v>7</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0</v>
      </c>
      <c r="B58" s="5">
        <f ca="1">COUNTBLANK(OFFSET(Demand!$I67,0,(COLUMN(A55)-1)*5,1,1))</f>
        <v>0</v>
      </c>
      <c r="C58" s="5">
        <f ca="1">COUNTBLANK(OFFSET(Demand!$I67,0,(COLUMN(B55)-1)*5,1,1))</f>
        <v>0</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150</v>
      </c>
      <c r="O58" s="5">
        <f ca="1">SUM(OFFSET(Demand!$E67,0,(COLUMN(B55)-1)*5,1,3))*O$2</f>
        <v>280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430</v>
      </c>
      <c r="Y58">
        <f t="shared" ca="1" si="5"/>
        <v>430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430</v>
      </c>
      <c r="AM58" s="5">
        <f t="shared" ca="1" si="9"/>
        <v>0</v>
      </c>
      <c r="AN58" s="5" t="str">
        <f>IF(Demand!BE67="Yes","Yes","")</f>
        <v/>
      </c>
      <c r="AP58" s="36" t="str">
        <f ca="1">Demand!B67</f>
        <v xml:space="preserve"> </v>
      </c>
      <c r="AQ58" t="str">
        <f ca="1">IF(TEXT(Demand!D67,"MMM")&lt;&gt;TEXT(Demand!D66,"MMM"),TEXT(Demand!D67,"MMM"),"")</f>
        <v/>
      </c>
      <c r="AT58" s="5">
        <f t="shared" ca="1" si="12"/>
        <v>20</v>
      </c>
      <c r="BQ58">
        <f ca="1">IF($AN58="",OFFSET(Demand!$A$13,ROW(A55)-1,4+((QUOTIENT(COLUMN(BQ$2)-69,3))*5)+MOD(COLUMN(BQ$2),3),1,1),"")</f>
        <v>0</v>
      </c>
      <c r="BR58">
        <f ca="1">IF($AN58="",OFFSET(Demand!$A$13,ROW(B55)-1,4+((QUOTIENT(COLUMN(BR$2)-69,3))*5)+MOD(COLUMN(BR$2),3),1,1),"")</f>
        <v>2</v>
      </c>
      <c r="BS58">
        <f ca="1">IF($AN58="",OFFSET(Demand!$A$13,ROW(C55)-1,4+((QUOTIENT(COLUMN(BS$2)-69,3))*5)+MOD(COLUMN(BS$2),3),1,1),"")</f>
        <v>3</v>
      </c>
      <c r="BT58">
        <f ca="1">IF($AN58="",OFFSET(Demand!$A$13,ROW(D55)-1,4+((QUOTIENT(COLUMN(BT$2)-69,3))*5)+MOD(COLUMN(BT$2),3),1,1),"")</f>
        <v>0</v>
      </c>
      <c r="BU58">
        <f ca="1">IF($AN58="",OFFSET(Demand!$A$13,ROW(E55)-1,4+((QUOTIENT(COLUMN(BU$2)-69,3))*5)+MOD(COLUMN(BU$2),3),1,1),"")</f>
        <v>1</v>
      </c>
      <c r="BV58">
        <f ca="1">IF($AN58="",OFFSET(Demand!$A$13,ROW(F55)-1,4+((QUOTIENT(COLUMN(BV$2)-69,3))*5)+MOD(COLUMN(BV$2),3),1,1),"")</f>
        <v>6</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0</v>
      </c>
      <c r="B59" s="5">
        <f ca="1">COUNTBLANK(OFFSET(Demand!$I68,0,(COLUMN(A56)-1)*5,1,1))</f>
        <v>0</v>
      </c>
      <c r="C59" s="5">
        <f ca="1">COUNTBLANK(OFFSET(Demand!$I68,0,(COLUMN(B56)-1)*5,1,1))</f>
        <v>0</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180</v>
      </c>
      <c r="O59" s="5">
        <f ca="1">SUM(OFFSET(Demand!$E68,0,(COLUMN(B56)-1)*5,1,3))*O$2</f>
        <v>440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620</v>
      </c>
      <c r="Y59">
        <f t="shared" ca="1" si="5"/>
        <v>620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620</v>
      </c>
      <c r="AM59" s="5">
        <f t="shared" ca="1" si="9"/>
        <v>0</v>
      </c>
      <c r="AN59" s="5" t="str">
        <f>IF(Demand!BE68="Yes","Yes","")</f>
        <v/>
      </c>
      <c r="AP59" s="36" t="str">
        <f ca="1">Demand!B68</f>
        <v xml:space="preserve"> </v>
      </c>
      <c r="AQ59" t="str">
        <f ca="1">IF(TEXT(Demand!D68,"MMM")&lt;&gt;TEXT(Demand!D67,"MMM"),TEXT(Demand!D68,"MMM"),"")</f>
        <v/>
      </c>
      <c r="AT59" s="5">
        <f t="shared" ca="1" si="12"/>
        <v>190</v>
      </c>
      <c r="BQ59">
        <f ca="1">IF($AN59="",OFFSET(Demand!$A$13,ROW(A56)-1,4+((QUOTIENT(COLUMN(BQ$2)-69,3))*5)+MOD(COLUMN(BQ$2),3),1,1),"")</f>
        <v>0</v>
      </c>
      <c r="BR59">
        <f ca="1">IF($AN59="",OFFSET(Demand!$A$13,ROW(B56)-1,4+((QUOTIENT(COLUMN(BR$2)-69,3))*5)+MOD(COLUMN(BR$2),3),1,1),"")</f>
        <v>1</v>
      </c>
      <c r="BS59">
        <f ca="1">IF($AN59="",OFFSET(Demand!$A$13,ROW(C56)-1,4+((QUOTIENT(COLUMN(BS$2)-69,3))*5)+MOD(COLUMN(BS$2),3),1,1),"")</f>
        <v>5</v>
      </c>
      <c r="BT59">
        <f ca="1">IF($AN59="",OFFSET(Demand!$A$13,ROW(D56)-1,4+((QUOTIENT(COLUMN(BT$2)-69,3))*5)+MOD(COLUMN(BT$2),3),1,1),"")</f>
        <v>0</v>
      </c>
      <c r="BU59">
        <f ca="1">IF($AN59="",OFFSET(Demand!$A$13,ROW(E56)-1,4+((QUOTIENT(COLUMN(BU$2)-69,3))*5)+MOD(COLUMN(BU$2),3),1,1),"")</f>
        <v>0</v>
      </c>
      <c r="BV59">
        <f ca="1">IF($AN59="",OFFSET(Demand!$A$13,ROW(F56)-1,4+((QUOTIENT(COLUMN(BV$2)-69,3))*5)+MOD(COLUMN(BV$2),3),1,1),"")</f>
        <v>11</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0</v>
      </c>
      <c r="B60" s="5">
        <f ca="1">COUNTBLANK(OFFSET(Demand!$I69,0,(COLUMN(A57)-1)*5,1,1))</f>
        <v>0</v>
      </c>
      <c r="C60" s="5">
        <f ca="1">COUNTBLANK(OFFSET(Demand!$I69,0,(COLUMN(B57)-1)*5,1,1))</f>
        <v>0</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150</v>
      </c>
      <c r="O60" s="5">
        <f ca="1">SUM(OFFSET(Demand!$E69,0,(COLUMN(B57)-1)*5,1,3))*O$2</f>
        <v>280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430</v>
      </c>
      <c r="Y60">
        <f t="shared" ca="1" si="5"/>
        <v>430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430</v>
      </c>
      <c r="AM60" s="5">
        <f t="shared" ca="1" si="9"/>
        <v>0</v>
      </c>
      <c r="AN60" s="5" t="str">
        <f>IF(Demand!BE69="Yes","Yes","")</f>
        <v/>
      </c>
      <c r="AP60" s="36" t="str">
        <f ca="1">Demand!B69</f>
        <v xml:space="preserve"> </v>
      </c>
      <c r="AQ60" t="str">
        <f ca="1">IF(TEXT(Demand!D69,"MMM")&lt;&gt;TEXT(Demand!D68,"MMM"),TEXT(Demand!D69,"MMM"),"")</f>
        <v/>
      </c>
      <c r="AT60" s="5">
        <f t="shared" ca="1" si="12"/>
        <v>190</v>
      </c>
      <c r="BQ60">
        <f ca="1">IF($AN60="",OFFSET(Demand!$A$13,ROW(A57)-1,4+((QUOTIENT(COLUMN(BQ$2)-69,3))*5)+MOD(COLUMN(BQ$2),3),1,1),"")</f>
        <v>0</v>
      </c>
      <c r="BR60">
        <f ca="1">IF($AN60="",OFFSET(Demand!$A$13,ROW(B57)-1,4+((QUOTIENT(COLUMN(BR$2)-69,3))*5)+MOD(COLUMN(BR$2),3),1,1),"")</f>
        <v>2</v>
      </c>
      <c r="BS60">
        <f ca="1">IF($AN60="",OFFSET(Demand!$A$13,ROW(C57)-1,4+((QUOTIENT(COLUMN(BS$2)-69,3))*5)+MOD(COLUMN(BS$2),3),1,1),"")</f>
        <v>3</v>
      </c>
      <c r="BT60">
        <f ca="1">IF($AN60="",OFFSET(Demand!$A$13,ROW(D57)-1,4+((QUOTIENT(COLUMN(BT$2)-69,3))*5)+MOD(COLUMN(BT$2),3),1,1),"")</f>
        <v>0</v>
      </c>
      <c r="BU60">
        <f ca="1">IF($AN60="",OFFSET(Demand!$A$13,ROW(E57)-1,4+((QUOTIENT(COLUMN(BU$2)-69,3))*5)+MOD(COLUMN(BU$2),3),1,1),"")</f>
        <v>1</v>
      </c>
      <c r="BV60">
        <f ca="1">IF($AN60="",OFFSET(Demand!$A$13,ROW(F57)-1,4+((QUOTIENT(COLUMN(BV$2)-69,3))*5)+MOD(COLUMN(BV$2),3),1,1),"")</f>
        <v>6</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0</v>
      </c>
      <c r="B61" s="5">
        <f ca="1">COUNTBLANK(OFFSET(Demand!$I70,0,(COLUMN(A58)-1)*5,1,1))</f>
        <v>0</v>
      </c>
      <c r="C61" s="5">
        <f ca="1">COUNTBLANK(OFFSET(Demand!$I70,0,(COLUMN(B58)-1)*5,1,1))</f>
        <v>0</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180</v>
      </c>
      <c r="O61" s="5">
        <f ca="1">SUM(OFFSET(Demand!$E70,0,(COLUMN(B58)-1)*5,1,3))*O$2</f>
        <v>440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620</v>
      </c>
      <c r="Y61">
        <f t="shared" ca="1" si="5"/>
        <v>620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620</v>
      </c>
      <c r="AM61" s="5">
        <f t="shared" ca="1" si="9"/>
        <v>0</v>
      </c>
      <c r="AN61" s="5" t="str">
        <f>IF(Demand!BE70="Yes","Yes","")</f>
        <v/>
      </c>
      <c r="AP61" s="36" t="str">
        <f ca="1">Demand!B70</f>
        <v xml:space="preserve"> </v>
      </c>
      <c r="AQ61" t="str">
        <f ca="1">IF(TEXT(Demand!D70,"MMM")&lt;&gt;TEXT(Demand!D69,"MMM"),TEXT(Demand!D70,"MMM"),"")</f>
        <v>May</v>
      </c>
      <c r="AT61" s="5">
        <f t="shared" ca="1" si="12"/>
        <v>190</v>
      </c>
      <c r="BQ61">
        <f ca="1">IF($AN61="",OFFSET(Demand!$A$13,ROW(A58)-1,4+((QUOTIENT(COLUMN(BQ$2)-69,3))*5)+MOD(COLUMN(BQ$2),3),1,1),"")</f>
        <v>0</v>
      </c>
      <c r="BR61">
        <f ca="1">IF($AN61="",OFFSET(Demand!$A$13,ROW(B58)-1,4+((QUOTIENT(COLUMN(BR$2)-69,3))*5)+MOD(COLUMN(BR$2),3),1,1),"")</f>
        <v>0</v>
      </c>
      <c r="BS61">
        <f ca="1">IF($AN61="",OFFSET(Demand!$A$13,ROW(C58)-1,4+((QUOTIENT(COLUMN(BS$2)-69,3))*5)+MOD(COLUMN(BS$2),3),1,1),"")</f>
        <v>6</v>
      </c>
      <c r="BT61">
        <f ca="1">IF($AN61="",OFFSET(Demand!$A$13,ROW(D58)-1,4+((QUOTIENT(COLUMN(BT$2)-69,3))*5)+MOD(COLUMN(BT$2),3),1,1),"")</f>
        <v>0</v>
      </c>
      <c r="BU61">
        <f ca="1">IF($AN61="",OFFSET(Demand!$A$13,ROW(E58)-1,4+((QUOTIENT(COLUMN(BU$2)-69,3))*5)+MOD(COLUMN(BU$2),3),1,1),"")</f>
        <v>4</v>
      </c>
      <c r="BV61">
        <f ca="1">IF($AN61="",OFFSET(Demand!$A$13,ROW(F58)-1,4+((QUOTIENT(COLUMN(BV$2)-69,3))*5)+MOD(COLUMN(BV$2),3),1,1),"")</f>
        <v>7</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0</v>
      </c>
      <c r="B62" s="5">
        <f ca="1">COUNTBLANK(OFFSET(Demand!$I71,0,(COLUMN(A59)-1)*5,1,1))</f>
        <v>0</v>
      </c>
      <c r="C62" s="5">
        <f ca="1">COUNTBLANK(OFFSET(Demand!$I71,0,(COLUMN(B59)-1)*5,1,1))</f>
        <v>0</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150</v>
      </c>
      <c r="O62" s="5">
        <f ca="1">SUM(OFFSET(Demand!$E71,0,(COLUMN(B59)-1)*5,1,3))*O$2</f>
        <v>120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270</v>
      </c>
      <c r="Y62">
        <f t="shared" ca="1" si="5"/>
        <v>270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270</v>
      </c>
      <c r="AM62" s="5">
        <f t="shared" ca="1" si="9"/>
        <v>0</v>
      </c>
      <c r="AN62" s="5" t="str">
        <f>IF(Demand!BE71="Yes","Yes","")</f>
        <v/>
      </c>
      <c r="AP62" s="36" t="str">
        <f ca="1">Demand!B71</f>
        <v xml:space="preserve"> </v>
      </c>
      <c r="AQ62" t="str">
        <f ca="1">IF(TEXT(Demand!D71,"MMM")&lt;&gt;TEXT(Demand!D70,"MMM"),TEXT(Demand!D71,"MMM"),"")</f>
        <v/>
      </c>
      <c r="AT62" s="5">
        <f t="shared" ca="1" si="12"/>
        <v>350</v>
      </c>
      <c r="BQ62">
        <f ca="1">IF($AN62="",OFFSET(Demand!$A$13,ROW(A59)-1,4+((QUOTIENT(COLUMN(BQ$2)-69,3))*5)+MOD(COLUMN(BQ$2),3),1,1),"")</f>
        <v>0</v>
      </c>
      <c r="BR62">
        <f ca="1">IF($AN62="",OFFSET(Demand!$A$13,ROW(B59)-1,4+((QUOTIENT(COLUMN(BR$2)-69,3))*5)+MOD(COLUMN(BR$2),3),1,1),"")</f>
        <v>0</v>
      </c>
      <c r="BS62">
        <f ca="1">IF($AN62="",OFFSET(Demand!$A$13,ROW(C59)-1,4+((QUOTIENT(COLUMN(BS$2)-69,3))*5)+MOD(COLUMN(BS$2),3),1,1),"")</f>
        <v>5</v>
      </c>
      <c r="BT62">
        <f ca="1">IF($AN62="",OFFSET(Demand!$A$13,ROW(D59)-1,4+((QUOTIENT(COLUMN(BT$2)-69,3))*5)+MOD(COLUMN(BT$2),3),1,1),"")</f>
        <v>0</v>
      </c>
      <c r="BU62">
        <f ca="1">IF($AN62="",OFFSET(Demand!$A$13,ROW(E59)-1,4+((QUOTIENT(COLUMN(BU$2)-69,3))*5)+MOD(COLUMN(BU$2),3),1,1),"")</f>
        <v>1</v>
      </c>
      <c r="BV62">
        <f ca="1">IF($AN62="",OFFSET(Demand!$A$13,ROW(F59)-1,4+((QUOTIENT(COLUMN(BV$2)-69,3))*5)+MOD(COLUMN(BV$2),3),1,1),"")</f>
        <v>2</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0</v>
      </c>
      <c r="B63" s="5">
        <f ca="1">COUNTBLANK(OFFSET(Demand!$I72,0,(COLUMN(A60)-1)*5,1,1))</f>
        <v>0</v>
      </c>
      <c r="C63" s="5">
        <f ca="1">COUNTBLANK(OFFSET(Demand!$I72,0,(COLUMN(B60)-1)*5,1,1))</f>
        <v>0</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30</v>
      </c>
      <c r="O63" s="5">
        <f ca="1">SUM(OFFSET(Demand!$E72,0,(COLUMN(B60)-1)*5,1,3))*O$2</f>
        <v>480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510</v>
      </c>
      <c r="Y63">
        <f t="shared" ca="1" si="5"/>
        <v>510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510</v>
      </c>
      <c r="AM63" s="5">
        <f t="shared" ca="1" si="9"/>
        <v>0</v>
      </c>
      <c r="AN63" s="5" t="str">
        <f>IF(Demand!BE72="Yes","Yes","")</f>
        <v/>
      </c>
      <c r="AP63" s="36" t="str">
        <f ca="1">Demand!B72</f>
        <v xml:space="preserve"> </v>
      </c>
      <c r="AQ63" t="str">
        <f ca="1">IF(TEXT(Demand!D72,"MMM")&lt;&gt;TEXT(Demand!D71,"MMM"),TEXT(Demand!D72,"MMM"),"")</f>
        <v/>
      </c>
      <c r="AT63" s="5">
        <f t="shared" ca="1" si="12"/>
        <v>240</v>
      </c>
      <c r="BQ63">
        <f ca="1">IF($AN63="",OFFSET(Demand!$A$13,ROW(A60)-1,4+((QUOTIENT(COLUMN(BQ$2)-69,3))*5)+MOD(COLUMN(BQ$2),3),1,1),"")</f>
        <v>0</v>
      </c>
      <c r="BR63">
        <f ca="1">IF($AN63="",OFFSET(Demand!$A$13,ROW(B60)-1,4+((QUOTIENT(COLUMN(BR$2)-69,3))*5)+MOD(COLUMN(BR$2),3),1,1),"")</f>
        <v>0</v>
      </c>
      <c r="BS63">
        <f ca="1">IF($AN63="",OFFSET(Demand!$A$13,ROW(C60)-1,4+((QUOTIENT(COLUMN(BS$2)-69,3))*5)+MOD(COLUMN(BS$2),3),1,1),"")</f>
        <v>1</v>
      </c>
      <c r="BT63">
        <f ca="1">IF($AN63="",OFFSET(Demand!$A$13,ROW(D60)-1,4+((QUOTIENT(COLUMN(BT$2)-69,3))*5)+MOD(COLUMN(BT$2),3),1,1),"")</f>
        <v>0</v>
      </c>
      <c r="BU63">
        <f ca="1">IF($AN63="",OFFSET(Demand!$A$13,ROW(E60)-1,4+((QUOTIENT(COLUMN(BU$2)-69,3))*5)+MOD(COLUMN(BU$2),3),1,1),"")</f>
        <v>3</v>
      </c>
      <c r="BV63">
        <f ca="1">IF($AN63="",OFFSET(Demand!$A$13,ROW(F60)-1,4+((QUOTIENT(COLUMN(BV$2)-69,3))*5)+MOD(COLUMN(BV$2),3),1,1),"")</f>
        <v>9</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0</v>
      </c>
      <c r="B64" s="5">
        <f ca="1">COUNTBLANK(OFFSET(Demand!$I73,0,(COLUMN(A61)-1)*5,1,1))</f>
        <v>0</v>
      </c>
      <c r="C64" s="5">
        <f ca="1">COUNTBLANK(OFFSET(Demand!$I73,0,(COLUMN(B61)-1)*5,1,1))</f>
        <v>0</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120</v>
      </c>
      <c r="O64" s="5">
        <f ca="1">SUM(OFFSET(Demand!$E73,0,(COLUMN(B61)-1)*5,1,3))*O$2</f>
        <v>160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280</v>
      </c>
      <c r="Y64">
        <f t="shared" ca="1" si="5"/>
        <v>280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280</v>
      </c>
      <c r="AM64" s="5">
        <f t="shared" ca="1" si="9"/>
        <v>0</v>
      </c>
      <c r="AN64" s="5" t="str">
        <f>IF(Demand!BE73="Yes","Yes","")</f>
        <v/>
      </c>
      <c r="AP64" s="36" t="str">
        <f ca="1">Demand!B73</f>
        <v xml:space="preserve"> </v>
      </c>
      <c r="AQ64" t="str">
        <f ca="1">IF(TEXT(Demand!D73,"MMM")&lt;&gt;TEXT(Demand!D72,"MMM"),TEXT(Demand!D73,"MMM"),"")</f>
        <v/>
      </c>
      <c r="AT64" s="5">
        <f t="shared" ca="1" si="12"/>
        <v>230</v>
      </c>
      <c r="BQ64">
        <f ca="1">IF($AN64="",OFFSET(Demand!$A$13,ROW(A61)-1,4+((QUOTIENT(COLUMN(BQ$2)-69,3))*5)+MOD(COLUMN(BQ$2),3),1,1),"")</f>
        <v>0</v>
      </c>
      <c r="BR64">
        <f ca="1">IF($AN64="",OFFSET(Demand!$A$13,ROW(B61)-1,4+((QUOTIENT(COLUMN(BR$2)-69,3))*5)+MOD(COLUMN(BR$2),3),1,1),"")</f>
        <v>0</v>
      </c>
      <c r="BS64">
        <f ca="1">IF($AN64="",OFFSET(Demand!$A$13,ROW(C61)-1,4+((QUOTIENT(COLUMN(BS$2)-69,3))*5)+MOD(COLUMN(BS$2),3),1,1),"")</f>
        <v>4</v>
      </c>
      <c r="BT64">
        <f ca="1">IF($AN64="",OFFSET(Demand!$A$13,ROW(D61)-1,4+((QUOTIENT(COLUMN(BT$2)-69,3))*5)+MOD(COLUMN(BT$2),3),1,1),"")</f>
        <v>0</v>
      </c>
      <c r="BU64">
        <f ca="1">IF($AN64="",OFFSET(Demand!$A$13,ROW(E61)-1,4+((QUOTIENT(COLUMN(BU$2)-69,3))*5)+MOD(COLUMN(BU$2),3),1,1),"")</f>
        <v>2</v>
      </c>
      <c r="BV64">
        <f ca="1">IF($AN64="",OFFSET(Demand!$A$13,ROW(F61)-1,4+((QUOTIENT(COLUMN(BV$2)-69,3))*5)+MOD(COLUMN(BV$2),3),1,1),"")</f>
        <v>2</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0</v>
      </c>
      <c r="B65" s="5">
        <f ca="1">COUNTBLANK(OFFSET(Demand!$I74,0,(COLUMN(A62)-1)*5,1,1))</f>
        <v>0</v>
      </c>
      <c r="C65" s="5">
        <f ca="1">COUNTBLANK(OFFSET(Demand!$I74,0,(COLUMN(B62)-1)*5,1,1))</f>
        <v>0</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120</v>
      </c>
      <c r="O65" s="5">
        <f ca="1">SUM(OFFSET(Demand!$E74,0,(COLUMN(B62)-1)*5,1,3))*O$2</f>
        <v>600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720</v>
      </c>
      <c r="Y65">
        <f t="shared" ca="1" si="5"/>
        <v>720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720</v>
      </c>
      <c r="AM65" s="5">
        <f t="shared" ca="1" si="9"/>
        <v>0</v>
      </c>
      <c r="AN65" s="5" t="str">
        <f>IF(Demand!BE74="Yes","Yes","")</f>
        <v/>
      </c>
      <c r="AP65" s="36" t="str">
        <f ca="1">Demand!B74</f>
        <v xml:space="preserve"> </v>
      </c>
      <c r="AQ65" t="str">
        <f ca="1">IF(TEXT(Demand!D74,"MMM")&lt;&gt;TEXT(Demand!D73,"MMM"),TEXT(Demand!D74,"MMM"),"")</f>
        <v/>
      </c>
      <c r="AT65" s="5">
        <f t="shared" ca="1" si="12"/>
        <v>440</v>
      </c>
      <c r="BQ65">
        <f ca="1">IF($AN65="",OFFSET(Demand!$A$13,ROW(A62)-1,4+((QUOTIENT(COLUMN(BQ$2)-69,3))*5)+MOD(COLUMN(BQ$2),3),1,1),"")</f>
        <v>0</v>
      </c>
      <c r="BR65">
        <f ca="1">IF($AN65="",OFFSET(Demand!$A$13,ROW(B62)-1,4+((QUOTIENT(COLUMN(BR$2)-69,3))*5)+MOD(COLUMN(BR$2),3),1,1),"")</f>
        <v>1</v>
      </c>
      <c r="BS65">
        <f ca="1">IF($AN65="",OFFSET(Demand!$A$13,ROW(C62)-1,4+((QUOTIENT(COLUMN(BS$2)-69,3))*5)+MOD(COLUMN(BS$2),3),1,1),"")</f>
        <v>3</v>
      </c>
      <c r="BT65">
        <f ca="1">IF($AN65="",OFFSET(Demand!$A$13,ROW(D62)-1,4+((QUOTIENT(COLUMN(BT$2)-69,3))*5)+MOD(COLUMN(BT$2),3),1,1),"")</f>
        <v>0</v>
      </c>
      <c r="BU65">
        <f ca="1">IF($AN65="",OFFSET(Demand!$A$13,ROW(E62)-1,4+((QUOTIENT(COLUMN(BU$2)-69,3))*5)+MOD(COLUMN(BU$2),3),1,1),"")</f>
        <v>5</v>
      </c>
      <c r="BV65">
        <f ca="1">IF($AN65="",OFFSET(Demand!$A$13,ROW(F62)-1,4+((QUOTIENT(COLUMN(BV$2)-69,3))*5)+MOD(COLUMN(BV$2),3),1,1),"")</f>
        <v>10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0</v>
      </c>
      <c r="B66" s="5">
        <f ca="1">COUNTBLANK(OFFSET(Demand!$I75,0,(COLUMN(A63)-1)*5,1,1))</f>
        <v>0</v>
      </c>
      <c r="C66" s="5">
        <f ca="1">COUNTBLANK(OFFSET(Demand!$I75,0,(COLUMN(B63)-1)*5,1,1))</f>
        <v>0</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150</v>
      </c>
      <c r="O66" s="5">
        <f ca="1">SUM(OFFSET(Demand!$E75,0,(COLUMN(B63)-1)*5,1,3))*O$2</f>
        <v>120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270</v>
      </c>
      <c r="Y66">
        <f t="shared" ca="1" si="5"/>
        <v>270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270</v>
      </c>
      <c r="AM66" s="5">
        <f t="shared" ca="1" si="9"/>
        <v>0</v>
      </c>
      <c r="AN66" s="5" t="str">
        <f>IF(Demand!BE75="Yes","Yes","")</f>
        <v/>
      </c>
      <c r="AP66" s="36" t="str">
        <f ca="1">Demand!B75</f>
        <v xml:space="preserve"> </v>
      </c>
      <c r="AQ66" t="str">
        <f ca="1">IF(TEXT(Demand!D75,"MMM")&lt;&gt;TEXT(Demand!D74,"MMM"),TEXT(Demand!D75,"MMM"),"")</f>
        <v>Jun</v>
      </c>
      <c r="AT66" s="5">
        <f t="shared" ca="1" si="12"/>
        <v>450</v>
      </c>
      <c r="BQ66">
        <f ca="1">IF($AN66="",OFFSET(Demand!$A$13,ROW(A63)-1,4+((QUOTIENT(COLUMN(BQ$2)-69,3))*5)+MOD(COLUMN(BQ$2),3),1,1),"")</f>
        <v>0</v>
      </c>
      <c r="BR66">
        <f ca="1">IF($AN66="",OFFSET(Demand!$A$13,ROW(B63)-1,4+((QUOTIENT(COLUMN(BR$2)-69,3))*5)+MOD(COLUMN(BR$2),3),1,1),"")</f>
        <v>0</v>
      </c>
      <c r="BS66">
        <f ca="1">IF($AN66="",OFFSET(Demand!$A$13,ROW(C63)-1,4+((QUOTIENT(COLUMN(BS$2)-69,3))*5)+MOD(COLUMN(BS$2),3),1,1),"")</f>
        <v>5</v>
      </c>
      <c r="BT66">
        <f ca="1">IF($AN66="",OFFSET(Demand!$A$13,ROW(D63)-1,4+((QUOTIENT(COLUMN(BT$2)-69,3))*5)+MOD(COLUMN(BT$2),3),1,1),"")</f>
        <v>0</v>
      </c>
      <c r="BU66">
        <f ca="1">IF($AN66="",OFFSET(Demand!$A$13,ROW(E63)-1,4+((QUOTIENT(COLUMN(BU$2)-69,3))*5)+MOD(COLUMN(BU$2),3),1,1),"")</f>
        <v>1</v>
      </c>
      <c r="BV66">
        <f ca="1">IF($AN66="",OFFSET(Demand!$A$13,ROW(F63)-1,4+((QUOTIENT(COLUMN(BV$2)-69,3))*5)+MOD(COLUMN(BV$2),3),1,1),"")</f>
        <v>2</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0</v>
      </c>
      <c r="B67" s="5">
        <f ca="1">COUNTBLANK(OFFSET(Demand!$I76,0,(COLUMN(A64)-1)*5,1,1))</f>
        <v>0</v>
      </c>
      <c r="C67" s="5">
        <f ca="1">COUNTBLANK(OFFSET(Demand!$I76,0,(COLUMN(B64)-1)*5,1,1))</f>
        <v>0</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150</v>
      </c>
      <c r="O67" s="5">
        <f ca="1">SUM(OFFSET(Demand!$E76,0,(COLUMN(B64)-1)*5,1,3))*O$2</f>
        <v>240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390</v>
      </c>
      <c r="Y67">
        <f t="shared" ca="1" si="5"/>
        <v>390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390</v>
      </c>
      <c r="AM67" s="5">
        <f t="shared" ca="1" si="9"/>
        <v>0</v>
      </c>
      <c r="AN67" s="5" t="str">
        <f>IF(Demand!BE76="Yes","Yes","")</f>
        <v/>
      </c>
      <c r="AP67" s="36" t="str">
        <f ca="1">Demand!B76</f>
        <v xml:space="preserve"> </v>
      </c>
      <c r="AQ67" t="str">
        <f ca="1">IF(TEXT(Demand!D76,"MMM")&lt;&gt;TEXT(Demand!D75,"MMM"),TEXT(Demand!D76,"MMM"),"")</f>
        <v/>
      </c>
      <c r="AT67" s="5">
        <f t="shared" ca="1" si="12"/>
        <v>120</v>
      </c>
      <c r="BQ67">
        <f ca="1">IF($AN67="",OFFSET(Demand!$A$13,ROW(A64)-1,4+((QUOTIENT(COLUMN(BQ$2)-69,3))*5)+MOD(COLUMN(BQ$2),3),1,1),"")</f>
        <v>0</v>
      </c>
      <c r="BR67">
        <f ca="1">IF($AN67="",OFFSET(Demand!$A$13,ROW(B64)-1,4+((QUOTIENT(COLUMN(BR$2)-69,3))*5)+MOD(COLUMN(BR$2),3),1,1),"")</f>
        <v>1</v>
      </c>
      <c r="BS67">
        <f ca="1">IF($AN67="",OFFSET(Demand!$A$13,ROW(C64)-1,4+((QUOTIENT(COLUMN(BS$2)-69,3))*5)+MOD(COLUMN(BS$2),3),1,1),"")</f>
        <v>4</v>
      </c>
      <c r="BT67">
        <f ca="1">IF($AN67="",OFFSET(Demand!$A$13,ROW(D64)-1,4+((QUOTIENT(COLUMN(BT$2)-69,3))*5)+MOD(COLUMN(BT$2),3),1,1),"")</f>
        <v>0</v>
      </c>
      <c r="BU67">
        <f ca="1">IF($AN67="",OFFSET(Demand!$A$13,ROW(E64)-1,4+((QUOTIENT(COLUMN(BU$2)-69,3))*5)+MOD(COLUMN(BU$2),3),1,1),"")</f>
        <v>4</v>
      </c>
      <c r="BV67">
        <f ca="1">IF($AN67="",OFFSET(Demand!$A$13,ROW(F64)-1,4+((QUOTIENT(COLUMN(BV$2)-69,3))*5)+MOD(COLUMN(BV$2),3),1,1),"")</f>
        <v>2</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0</v>
      </c>
      <c r="B68" s="5">
        <f ca="1">COUNTBLANK(OFFSET(Demand!$I77,0,(COLUMN(A65)-1)*5,1,1))</f>
        <v>0</v>
      </c>
      <c r="C68" s="5">
        <f ca="1">COUNTBLANK(OFFSET(Demand!$I77,0,(COLUMN(B65)-1)*5,1,1))</f>
        <v>0</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180</v>
      </c>
      <c r="O68" s="5">
        <f ca="1">SUM(OFFSET(Demand!$E77,0,(COLUMN(B65)-1)*5,1,3))*O$2</f>
        <v>320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500</v>
      </c>
      <c r="Y68">
        <f t="shared" ref="Y68:Y131" ca="1" si="38">SUM(OFFSET(N68,0,0,1,Num_Modalities))</f>
        <v>500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500</v>
      </c>
      <c r="AM68" s="5">
        <f t="shared" ca="1" si="9"/>
        <v>0</v>
      </c>
      <c r="AN68" s="5" t="str">
        <f>IF(Demand!BE77="Yes","Yes","")</f>
        <v/>
      </c>
      <c r="AP68" s="36" t="str">
        <f ca="1">Demand!B77</f>
        <v xml:space="preserve"> </v>
      </c>
      <c r="AQ68" t="str">
        <f ca="1">IF(TEXT(Demand!D77,"MMM")&lt;&gt;TEXT(Demand!D76,"MMM"),TEXT(Demand!D77,"MMM"),"")</f>
        <v/>
      </c>
      <c r="AT68" s="5">
        <f t="shared" ca="1" si="12"/>
        <v>110</v>
      </c>
      <c r="BQ68">
        <f ca="1">IF($AN68="",OFFSET(Demand!$A$13,ROW(A65)-1,4+((QUOTIENT(COLUMN(BQ$2)-69,3))*5)+MOD(COLUMN(BQ$2),3),1,1),"")</f>
        <v>0</v>
      </c>
      <c r="BR68">
        <f ca="1">IF($AN68="",OFFSET(Demand!$A$13,ROW(B65)-1,4+((QUOTIENT(COLUMN(BR$2)-69,3))*5)+MOD(COLUMN(BR$2),3),1,1),"")</f>
        <v>2</v>
      </c>
      <c r="BS68">
        <f ca="1">IF($AN68="",OFFSET(Demand!$A$13,ROW(C65)-1,4+((QUOTIENT(COLUMN(BS$2)-69,3))*5)+MOD(COLUMN(BS$2),3),1,1),"")</f>
        <v>4</v>
      </c>
      <c r="BT68">
        <f ca="1">IF($AN68="",OFFSET(Demand!$A$13,ROW(D65)-1,4+((QUOTIENT(COLUMN(BT$2)-69,3))*5)+MOD(COLUMN(BT$2),3),1,1),"")</f>
        <v>0</v>
      </c>
      <c r="BU68">
        <f ca="1">IF($AN68="",OFFSET(Demand!$A$13,ROW(E65)-1,4+((QUOTIENT(COLUMN(BU$2)-69,3))*5)+MOD(COLUMN(BU$2),3),1,1),"")</f>
        <v>3</v>
      </c>
      <c r="BV68">
        <f ca="1">IF($AN68="",OFFSET(Demand!$A$13,ROW(F65)-1,4+((QUOTIENT(COLUMN(BV$2)-69,3))*5)+MOD(COLUMN(BV$2),3),1,1),"")</f>
        <v>5</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0</v>
      </c>
      <c r="B69" s="5">
        <f ca="1">COUNTBLANK(OFFSET(Demand!$I78,0,(COLUMN(A66)-1)*5,1,1))</f>
        <v>0</v>
      </c>
      <c r="C69" s="5">
        <f ca="1">COUNTBLANK(OFFSET(Demand!$I78,0,(COLUMN(B66)-1)*5,1,1))</f>
        <v>0</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30</v>
      </c>
      <c r="O69" s="5">
        <f ca="1">SUM(OFFSET(Demand!$E78,0,(COLUMN(B66)-1)*5,1,3))*O$2</f>
        <v>280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310</v>
      </c>
      <c r="Y69">
        <f t="shared" ca="1" si="38"/>
        <v>310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310</v>
      </c>
      <c r="AM69" s="5">
        <f t="shared" ref="AM69:AM132" ca="1" si="41">IF(AN69&lt;&gt;"","",AJ69)</f>
        <v>0</v>
      </c>
      <c r="AN69" s="5" t="str">
        <f>IF(Demand!BE78="Yes","Yes","")</f>
        <v/>
      </c>
      <c r="AP69" s="36" t="str">
        <f ca="1">Demand!B78</f>
        <v xml:space="preserve"> </v>
      </c>
      <c r="AQ69" t="str">
        <f ca="1">IF(TEXT(Demand!D78,"MMM")&lt;&gt;TEXT(Demand!D77,"MMM"),TEXT(Demand!D78,"MMM"),"")</f>
        <v/>
      </c>
      <c r="AT69" s="5">
        <f t="shared" ca="1" si="12"/>
        <v>190</v>
      </c>
      <c r="BQ69">
        <f ca="1">IF($AN69="",OFFSET(Demand!$A$13,ROW(A66)-1,4+((QUOTIENT(COLUMN(BQ$2)-69,3))*5)+MOD(COLUMN(BQ$2),3),1,1),"")</f>
        <v>0</v>
      </c>
      <c r="BR69">
        <f ca="1">IF($AN69="",OFFSET(Demand!$A$13,ROW(B66)-1,4+((QUOTIENT(COLUMN(BR$2)-69,3))*5)+MOD(COLUMN(BR$2),3),1,1),"")</f>
        <v>1</v>
      </c>
      <c r="BS69">
        <f ca="1">IF($AN69="",OFFSET(Demand!$A$13,ROW(C66)-1,4+((QUOTIENT(COLUMN(BS$2)-69,3))*5)+MOD(COLUMN(BS$2),3),1,1),"")</f>
        <v>0</v>
      </c>
      <c r="BT69">
        <f ca="1">IF($AN69="",OFFSET(Demand!$A$13,ROW(D66)-1,4+((QUOTIENT(COLUMN(BT$2)-69,3))*5)+MOD(COLUMN(BT$2),3),1,1),"")</f>
        <v>0</v>
      </c>
      <c r="BU69">
        <f ca="1">IF($AN69="",OFFSET(Demand!$A$13,ROW(E66)-1,4+((QUOTIENT(COLUMN(BU$2)-69,3))*5)+MOD(COLUMN(BU$2),3),1,1),"")</f>
        <v>1</v>
      </c>
      <c r="BV69">
        <f ca="1">IF($AN69="",OFFSET(Demand!$A$13,ROW(F66)-1,4+((QUOTIENT(COLUMN(BV$2)-69,3))*5)+MOD(COLUMN(BV$2),3),1,1),"")</f>
        <v>6</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0</v>
      </c>
      <c r="B70" s="5">
        <f ca="1">COUNTBLANK(OFFSET(Demand!$I79,0,(COLUMN(A67)-1)*5,1,1))</f>
        <v>0</v>
      </c>
      <c r="C70" s="5">
        <f ca="1">COUNTBLANK(OFFSET(Demand!$I79,0,(COLUMN(B67)-1)*5,1,1))</f>
        <v>0</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60</v>
      </c>
      <c r="O70" s="5">
        <f ca="1">SUM(OFFSET(Demand!$E79,0,(COLUMN(B67)-1)*5,1,3))*O$2</f>
        <v>760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820</v>
      </c>
      <c r="Y70">
        <f t="shared" ca="1" si="38"/>
        <v>820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820</v>
      </c>
      <c r="AM70" s="5">
        <f t="shared" ca="1" si="41"/>
        <v>0</v>
      </c>
      <c r="AN70" s="5" t="str">
        <f>IF(Demand!BE79="Yes","Yes","")</f>
        <v/>
      </c>
      <c r="AP70" s="36" t="str">
        <f ca="1">Demand!B79</f>
        <v xml:space="preserve"> </v>
      </c>
      <c r="AQ70" t="str">
        <f ca="1">IF(TEXT(Demand!D79,"MMM")&lt;&gt;TEXT(Demand!D78,"MMM"),TEXT(Demand!D79,"MMM"),"")</f>
        <v>Jul</v>
      </c>
      <c r="AT70" s="5">
        <f t="shared" ref="AT70:AT133" ca="1" si="42">IF(OR(AL70="",AL69=""),"",ABS(AL70-AL69))</f>
        <v>510</v>
      </c>
      <c r="BQ70">
        <f ca="1">IF($AN70="",OFFSET(Demand!$A$13,ROW(A67)-1,4+((QUOTIENT(COLUMN(BQ$2)-69,3))*5)+MOD(COLUMN(BQ$2),3),1,1),"")</f>
        <v>0</v>
      </c>
      <c r="BR70">
        <f ca="1">IF($AN70="",OFFSET(Demand!$A$13,ROW(B67)-1,4+((QUOTIENT(COLUMN(BR$2)-69,3))*5)+MOD(COLUMN(BR$2),3),1,1),"")</f>
        <v>0</v>
      </c>
      <c r="BS70">
        <f ca="1">IF($AN70="",OFFSET(Demand!$A$13,ROW(C67)-1,4+((QUOTIENT(COLUMN(BS$2)-69,3))*5)+MOD(COLUMN(BS$2),3),1,1),"")</f>
        <v>2</v>
      </c>
      <c r="BT70">
        <f ca="1">IF($AN70="",OFFSET(Demand!$A$13,ROW(D67)-1,4+((QUOTIENT(COLUMN(BT$2)-69,3))*5)+MOD(COLUMN(BT$2),3),1,1),"")</f>
        <v>0</v>
      </c>
      <c r="BU70">
        <f ca="1">IF($AN70="",OFFSET(Demand!$A$13,ROW(E67)-1,4+((QUOTIENT(COLUMN(BU$2)-69,3))*5)+MOD(COLUMN(BU$2),3),1,1),"")</f>
        <v>4</v>
      </c>
      <c r="BV70">
        <f ca="1">IF($AN70="",OFFSET(Demand!$A$13,ROW(F67)-1,4+((QUOTIENT(COLUMN(BV$2)-69,3))*5)+MOD(COLUMN(BV$2),3),1,1),"")</f>
        <v>15</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0</v>
      </c>
      <c r="B71" s="5">
        <f ca="1">COUNTBLANK(OFFSET(Demand!$I80,0,(COLUMN(A68)-1)*5,1,1))</f>
        <v>0</v>
      </c>
      <c r="C71" s="5">
        <f ca="1">COUNTBLANK(OFFSET(Demand!$I80,0,(COLUMN(B68)-1)*5,1,1))</f>
        <v>0</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120</v>
      </c>
      <c r="O71" s="5">
        <f ca="1">SUM(OFFSET(Demand!$E80,0,(COLUMN(B68)-1)*5,1,3))*O$2</f>
        <v>520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640</v>
      </c>
      <c r="Y71">
        <f t="shared" ca="1" si="38"/>
        <v>640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640</v>
      </c>
      <c r="AM71" s="5">
        <f t="shared" ca="1" si="41"/>
        <v>0</v>
      </c>
      <c r="AN71" s="5" t="str">
        <f>IF(Demand!BE80="Yes","Yes","")</f>
        <v/>
      </c>
      <c r="AP71" s="36" t="str">
        <f ca="1">Demand!B80</f>
        <v xml:space="preserve"> </v>
      </c>
      <c r="AQ71" t="str">
        <f ca="1">IF(TEXT(Demand!D80,"MMM")&lt;&gt;TEXT(Demand!D79,"MMM"),TEXT(Demand!D80,"MMM"),"")</f>
        <v/>
      </c>
      <c r="AT71" s="5">
        <f t="shared" ca="1" si="42"/>
        <v>180</v>
      </c>
      <c r="BQ71">
        <f ca="1">IF($AN71="",OFFSET(Demand!$A$13,ROW(A68)-1,4+((QUOTIENT(COLUMN(BQ$2)-69,3))*5)+MOD(COLUMN(BQ$2),3),1,1),"")</f>
        <v>0</v>
      </c>
      <c r="BR71">
        <f ca="1">IF($AN71="",OFFSET(Demand!$A$13,ROW(B68)-1,4+((QUOTIENT(COLUMN(BR$2)-69,3))*5)+MOD(COLUMN(BR$2),3),1,1),"")</f>
        <v>0</v>
      </c>
      <c r="BS71">
        <f ca="1">IF($AN71="",OFFSET(Demand!$A$13,ROW(C68)-1,4+((QUOTIENT(COLUMN(BS$2)-69,3))*5)+MOD(COLUMN(BS$2),3),1,1),"")</f>
        <v>4</v>
      </c>
      <c r="BT71">
        <f ca="1">IF($AN71="",OFFSET(Demand!$A$13,ROW(D68)-1,4+((QUOTIENT(COLUMN(BT$2)-69,3))*5)+MOD(COLUMN(BT$2),3),1,1),"")</f>
        <v>0</v>
      </c>
      <c r="BU71">
        <f ca="1">IF($AN71="",OFFSET(Demand!$A$13,ROW(E68)-1,4+((QUOTIENT(COLUMN(BU$2)-69,3))*5)+MOD(COLUMN(BU$2),3),1,1),"")</f>
        <v>4</v>
      </c>
      <c r="BV71">
        <f ca="1">IF($AN71="",OFFSET(Demand!$A$13,ROW(F68)-1,4+((QUOTIENT(COLUMN(BV$2)-69,3))*5)+MOD(COLUMN(BV$2),3),1,1),"")</f>
        <v>9</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0</v>
      </c>
      <c r="B72" s="5">
        <f ca="1">COUNTBLANK(OFFSET(Demand!$I81,0,(COLUMN(A69)-1)*5,1,1))</f>
        <v>0</v>
      </c>
      <c r="C72" s="5">
        <f ca="1">COUNTBLANK(OFFSET(Demand!$I81,0,(COLUMN(B69)-1)*5,1,1))</f>
        <v>0</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180</v>
      </c>
      <c r="O72" s="5">
        <f ca="1">SUM(OFFSET(Demand!$E81,0,(COLUMN(B69)-1)*5,1,3))*O$2</f>
        <v>280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460</v>
      </c>
      <c r="Y72">
        <f t="shared" ca="1" si="38"/>
        <v>460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460</v>
      </c>
      <c r="AM72" s="5">
        <f t="shared" ca="1" si="41"/>
        <v>0</v>
      </c>
      <c r="AN72" s="5" t="str">
        <f>IF(Demand!BE81="Yes","Yes","")</f>
        <v/>
      </c>
      <c r="AP72" s="36" t="str">
        <f ca="1">Demand!B81</f>
        <v xml:space="preserve"> </v>
      </c>
      <c r="AQ72" t="str">
        <f ca="1">IF(TEXT(Demand!D81,"MMM")&lt;&gt;TEXT(Demand!D80,"MMM"),TEXT(Demand!D81,"MMM"),"")</f>
        <v/>
      </c>
      <c r="AT72" s="5">
        <f t="shared" ca="1" si="42"/>
        <v>180</v>
      </c>
      <c r="BQ72">
        <f ca="1">IF($AN72="",OFFSET(Demand!$A$13,ROW(A69)-1,4+((QUOTIENT(COLUMN(BQ$2)-69,3))*5)+MOD(COLUMN(BQ$2),3),1,1),"")</f>
        <v>0</v>
      </c>
      <c r="BR72">
        <f ca="1">IF($AN72="",OFFSET(Demand!$A$13,ROW(B69)-1,4+((QUOTIENT(COLUMN(BR$2)-69,3))*5)+MOD(COLUMN(BR$2),3),1,1),"")</f>
        <v>2</v>
      </c>
      <c r="BS72">
        <f ca="1">IF($AN72="",OFFSET(Demand!$A$13,ROW(C69)-1,4+((QUOTIENT(COLUMN(BS$2)-69,3))*5)+MOD(COLUMN(BS$2),3),1,1),"")</f>
        <v>4</v>
      </c>
      <c r="BT72">
        <f ca="1">IF($AN72="",OFFSET(Demand!$A$13,ROW(D69)-1,4+((QUOTIENT(COLUMN(BT$2)-69,3))*5)+MOD(COLUMN(BT$2),3),1,1),"")</f>
        <v>0</v>
      </c>
      <c r="BU72">
        <f ca="1">IF($AN72="",OFFSET(Demand!$A$13,ROW(E69)-1,4+((QUOTIENT(COLUMN(BU$2)-69,3))*5)+MOD(COLUMN(BU$2),3),1,1),"")</f>
        <v>0</v>
      </c>
      <c r="BV72">
        <f ca="1">IF($AN72="",OFFSET(Demand!$A$13,ROW(F69)-1,4+((QUOTIENT(COLUMN(BV$2)-69,3))*5)+MOD(COLUMN(BV$2),3),1,1),"")</f>
        <v>7</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0</v>
      </c>
      <c r="B73" s="5">
        <f ca="1">COUNTBLANK(OFFSET(Demand!$I82,0,(COLUMN(A70)-1)*5,1,1))</f>
        <v>0</v>
      </c>
      <c r="C73" s="5">
        <f ca="1">COUNTBLANK(OFFSET(Demand!$I82,0,(COLUMN(B70)-1)*5,1,1))</f>
        <v>0</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210</v>
      </c>
      <c r="O73" s="5">
        <f ca="1">SUM(OFFSET(Demand!$E82,0,(COLUMN(B70)-1)*5,1,3))*O$2</f>
        <v>560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770</v>
      </c>
      <c r="Y73">
        <f t="shared" ca="1" si="38"/>
        <v>770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770</v>
      </c>
      <c r="AM73" s="5">
        <f t="shared" ca="1" si="41"/>
        <v>0</v>
      </c>
      <c r="AN73" s="5" t="str">
        <f>IF(Demand!BE82="Yes","Yes","")</f>
        <v/>
      </c>
      <c r="AP73" s="36" t="str">
        <f ca="1">Demand!B82</f>
        <v xml:space="preserve"> </v>
      </c>
      <c r="AQ73" t="str">
        <f ca="1">IF(TEXT(Demand!D82,"MMM")&lt;&gt;TEXT(Demand!D81,"MMM"),TEXT(Demand!D82,"MMM"),"")</f>
        <v/>
      </c>
      <c r="AT73" s="5">
        <f t="shared" ca="1" si="42"/>
        <v>310</v>
      </c>
      <c r="BQ73">
        <f ca="1">IF($AN73="",OFFSET(Demand!$A$13,ROW(A70)-1,4+((QUOTIENT(COLUMN(BQ$2)-69,3))*5)+MOD(COLUMN(BQ$2),3),1,1),"")</f>
        <v>0</v>
      </c>
      <c r="BR73">
        <f ca="1">IF($AN73="",OFFSET(Demand!$A$13,ROW(B70)-1,4+((QUOTIENT(COLUMN(BR$2)-69,3))*5)+MOD(COLUMN(BR$2),3),1,1),"")</f>
        <v>3</v>
      </c>
      <c r="BS73">
        <f ca="1">IF($AN73="",OFFSET(Demand!$A$13,ROW(C70)-1,4+((QUOTIENT(COLUMN(BS$2)-69,3))*5)+MOD(COLUMN(BS$2),3),1,1),"")</f>
        <v>4</v>
      </c>
      <c r="BT73">
        <f ca="1">IF($AN73="",OFFSET(Demand!$A$13,ROW(D70)-1,4+((QUOTIENT(COLUMN(BT$2)-69,3))*5)+MOD(COLUMN(BT$2),3),1,1),"")</f>
        <v>0</v>
      </c>
      <c r="BU73">
        <f ca="1">IF($AN73="",OFFSET(Demand!$A$13,ROW(E70)-1,4+((QUOTIENT(COLUMN(BU$2)-69,3))*5)+MOD(COLUMN(BU$2),3),1,1),"")</f>
        <v>3</v>
      </c>
      <c r="BV73">
        <f ca="1">IF($AN73="",OFFSET(Demand!$A$13,ROW(F70)-1,4+((QUOTIENT(COLUMN(BV$2)-69,3))*5)+MOD(COLUMN(BV$2),3),1,1),"")</f>
        <v>11</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0</v>
      </c>
      <c r="B74" s="5">
        <f ca="1">COUNTBLANK(OFFSET(Demand!$I83,0,(COLUMN(A71)-1)*5,1,1))</f>
        <v>0</v>
      </c>
      <c r="C74" s="5">
        <f ca="1">COUNTBLANK(OFFSET(Demand!$I83,0,(COLUMN(B71)-1)*5,1,1))</f>
        <v>0</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30</v>
      </c>
      <c r="O74" s="5">
        <f ca="1">SUM(OFFSET(Demand!$E83,0,(COLUMN(B71)-1)*5,1,3))*O$2</f>
        <v>400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430</v>
      </c>
      <c r="Y74">
        <f t="shared" ca="1" si="38"/>
        <v>430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430</v>
      </c>
      <c r="AM74" s="5">
        <f t="shared" ca="1" si="41"/>
        <v>0</v>
      </c>
      <c r="AN74" s="5" t="str">
        <f>IF(Demand!BE83="Yes","Yes","")</f>
        <v/>
      </c>
      <c r="AP74" s="36" t="str">
        <f ca="1">Demand!B83</f>
        <v xml:space="preserve"> </v>
      </c>
      <c r="AQ74" t="str">
        <f ca="1">IF(TEXT(Demand!D83,"MMM")&lt;&gt;TEXT(Demand!D82,"MMM"),TEXT(Demand!D83,"MMM"),"")</f>
        <v/>
      </c>
      <c r="AT74" s="5">
        <f t="shared" ca="1" si="42"/>
        <v>340</v>
      </c>
      <c r="BQ74">
        <f ca="1">IF($AN74="",OFFSET(Demand!$A$13,ROW(A71)-1,4+((QUOTIENT(COLUMN(BQ$2)-69,3))*5)+MOD(COLUMN(BQ$2),3),1,1),"")</f>
        <v>0</v>
      </c>
      <c r="BR74">
        <f ca="1">IF($AN74="",OFFSET(Demand!$A$13,ROW(B71)-1,4+((QUOTIENT(COLUMN(BR$2)-69,3))*5)+MOD(COLUMN(BR$2),3),1,1),"")</f>
        <v>0</v>
      </c>
      <c r="BS74">
        <f ca="1">IF($AN74="",OFFSET(Demand!$A$13,ROW(C71)-1,4+((QUOTIENT(COLUMN(BS$2)-69,3))*5)+MOD(COLUMN(BS$2),3),1,1),"")</f>
        <v>1</v>
      </c>
      <c r="BT74">
        <f ca="1">IF($AN74="",OFFSET(Demand!$A$13,ROW(D71)-1,4+((QUOTIENT(COLUMN(BT$2)-69,3))*5)+MOD(COLUMN(BT$2),3),1,1),"")</f>
        <v>0</v>
      </c>
      <c r="BU74">
        <f ca="1">IF($AN74="",OFFSET(Demand!$A$13,ROW(E71)-1,4+((QUOTIENT(COLUMN(BU$2)-69,3))*5)+MOD(COLUMN(BU$2),3),1,1),"")</f>
        <v>1</v>
      </c>
      <c r="BV74">
        <f ca="1">IF($AN74="",OFFSET(Demand!$A$13,ROW(F71)-1,4+((QUOTIENT(COLUMN(BV$2)-69,3))*5)+MOD(COLUMN(BV$2),3),1,1),"")</f>
        <v>9</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0</v>
      </c>
      <c r="B75" s="5">
        <f ca="1">COUNTBLANK(OFFSET(Demand!$I84,0,(COLUMN(A72)-1)*5,1,1))</f>
        <v>0</v>
      </c>
      <c r="C75" s="5">
        <f ca="1">COUNTBLANK(OFFSET(Demand!$I84,0,(COLUMN(B72)-1)*5,1,1))</f>
        <v>0</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90</v>
      </c>
      <c r="O75" s="5">
        <f ca="1">SUM(OFFSET(Demand!$E84,0,(COLUMN(B72)-1)*5,1,3))*O$2</f>
        <v>400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490</v>
      </c>
      <c r="Y75">
        <f t="shared" ca="1" si="38"/>
        <v>490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490</v>
      </c>
      <c r="AM75" s="5">
        <f t="shared" ca="1" si="41"/>
        <v>0</v>
      </c>
      <c r="AN75" s="5" t="str">
        <f>IF(Demand!BE84="Yes","Yes","")</f>
        <v/>
      </c>
      <c r="AP75" s="36" t="str">
        <f ca="1">Demand!B84</f>
        <v xml:space="preserve"> </v>
      </c>
      <c r="AQ75" t="str">
        <f ca="1">IF(TEXT(Demand!D84,"MMM")&lt;&gt;TEXT(Demand!D83,"MMM"),TEXT(Demand!D84,"MMM"),"")</f>
        <v>Aug</v>
      </c>
      <c r="AT75" s="5">
        <f t="shared" ca="1" si="42"/>
        <v>60</v>
      </c>
      <c r="BQ75">
        <f ca="1">IF($AN75="",OFFSET(Demand!$A$13,ROW(A72)-1,4+((QUOTIENT(COLUMN(BQ$2)-69,3))*5)+MOD(COLUMN(BQ$2),3),1,1),"")</f>
        <v>0</v>
      </c>
      <c r="BR75">
        <f ca="1">IF($AN75="",OFFSET(Demand!$A$13,ROW(B72)-1,4+((QUOTIENT(COLUMN(BR$2)-69,3))*5)+MOD(COLUMN(BR$2),3),1,1),"")</f>
        <v>0</v>
      </c>
      <c r="BS75">
        <f ca="1">IF($AN75="",OFFSET(Demand!$A$13,ROW(C72)-1,4+((QUOTIENT(COLUMN(BS$2)-69,3))*5)+MOD(COLUMN(BS$2),3),1,1),"")</f>
        <v>3</v>
      </c>
      <c r="BT75">
        <f ca="1">IF($AN75="",OFFSET(Demand!$A$13,ROW(D72)-1,4+((QUOTIENT(COLUMN(BT$2)-69,3))*5)+MOD(COLUMN(BT$2),3),1,1),"")</f>
        <v>0</v>
      </c>
      <c r="BU75">
        <f ca="1">IF($AN75="",OFFSET(Demand!$A$13,ROW(E72)-1,4+((QUOTIENT(COLUMN(BU$2)-69,3))*5)+MOD(COLUMN(BU$2),3),1,1),"")</f>
        <v>1</v>
      </c>
      <c r="BV75">
        <f ca="1">IF($AN75="",OFFSET(Demand!$A$13,ROW(F72)-1,4+((QUOTIENT(COLUMN(BV$2)-69,3))*5)+MOD(COLUMN(BV$2),3),1,1),"")</f>
        <v>9</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0</v>
      </c>
      <c r="B76" s="5">
        <f ca="1">COUNTBLANK(OFFSET(Demand!$I85,0,(COLUMN(A73)-1)*5,1,1))</f>
        <v>0</v>
      </c>
      <c r="C76" s="5">
        <f ca="1">COUNTBLANK(OFFSET(Demand!$I85,0,(COLUMN(B73)-1)*5,1,1))</f>
        <v>0</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120</v>
      </c>
      <c r="O76" s="5">
        <f ca="1">SUM(OFFSET(Demand!$E85,0,(COLUMN(B73)-1)*5,1,3))*O$2</f>
        <v>480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600</v>
      </c>
      <c r="Y76">
        <f t="shared" ca="1" si="38"/>
        <v>600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600</v>
      </c>
      <c r="AM76" s="5">
        <f t="shared" ca="1" si="41"/>
        <v>0</v>
      </c>
      <c r="AN76" s="5" t="str">
        <f>IF(Demand!BE85="Yes","Yes","")</f>
        <v/>
      </c>
      <c r="AP76" s="36" t="str">
        <f ca="1">Demand!B85</f>
        <v xml:space="preserve"> </v>
      </c>
      <c r="AQ76" t="str">
        <f ca="1">IF(TEXT(Demand!D85,"MMM")&lt;&gt;TEXT(Demand!D84,"MMM"),TEXT(Demand!D85,"MMM"),"")</f>
        <v/>
      </c>
      <c r="AT76" s="5">
        <f t="shared" ca="1" si="42"/>
        <v>110</v>
      </c>
      <c r="BQ76">
        <f ca="1">IF($AN76="",OFFSET(Demand!$A$13,ROW(A73)-1,4+((QUOTIENT(COLUMN(BQ$2)-69,3))*5)+MOD(COLUMN(BQ$2),3),1,1),"")</f>
        <v>0</v>
      </c>
      <c r="BR76">
        <f ca="1">IF($AN76="",OFFSET(Demand!$A$13,ROW(B73)-1,4+((QUOTIENT(COLUMN(BR$2)-69,3))*5)+MOD(COLUMN(BR$2),3),1,1),"")</f>
        <v>2</v>
      </c>
      <c r="BS76">
        <f ca="1">IF($AN76="",OFFSET(Demand!$A$13,ROW(C73)-1,4+((QUOTIENT(COLUMN(BS$2)-69,3))*5)+MOD(COLUMN(BS$2),3),1,1),"")</f>
        <v>2</v>
      </c>
      <c r="BT76">
        <f ca="1">IF($AN76="",OFFSET(Demand!$A$13,ROW(D73)-1,4+((QUOTIENT(COLUMN(BT$2)-69,3))*5)+MOD(COLUMN(BT$2),3),1,1),"")</f>
        <v>0</v>
      </c>
      <c r="BU76">
        <f ca="1">IF($AN76="",OFFSET(Demand!$A$13,ROW(E73)-1,4+((QUOTIENT(COLUMN(BU$2)-69,3))*5)+MOD(COLUMN(BU$2),3),1,1),"")</f>
        <v>1</v>
      </c>
      <c r="BV76">
        <f ca="1">IF($AN76="",OFFSET(Demand!$A$13,ROW(F73)-1,4+((QUOTIENT(COLUMN(BV$2)-69,3))*5)+MOD(COLUMN(BV$2),3),1,1),"")</f>
        <v>11</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0</v>
      </c>
      <c r="B77" s="5">
        <f ca="1">COUNTBLANK(OFFSET(Demand!$I86,0,(COLUMN(A74)-1)*5,1,1))</f>
        <v>0</v>
      </c>
      <c r="C77" s="5">
        <f ca="1">COUNTBLANK(OFFSET(Demand!$I86,0,(COLUMN(B74)-1)*5,1,1))</f>
        <v>0</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150</v>
      </c>
      <c r="O77" s="5">
        <f ca="1">SUM(OFFSET(Demand!$E86,0,(COLUMN(B74)-1)*5,1,3))*O$2</f>
        <v>440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590</v>
      </c>
      <c r="Y77">
        <f t="shared" ca="1" si="38"/>
        <v>590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590</v>
      </c>
      <c r="AM77" s="5">
        <f t="shared" ca="1" si="41"/>
        <v>0</v>
      </c>
      <c r="AN77" s="5" t="str">
        <f>IF(Demand!BE86="Yes","Yes","")</f>
        <v/>
      </c>
      <c r="AP77" s="36" t="str">
        <f ca="1">Demand!B86</f>
        <v xml:space="preserve"> </v>
      </c>
      <c r="AQ77" t="str">
        <f ca="1">IF(TEXT(Demand!D86,"MMM")&lt;&gt;TEXT(Demand!D85,"MMM"),TEXT(Demand!D86,"MMM"),"")</f>
        <v/>
      </c>
      <c r="AT77" s="5">
        <f t="shared" ca="1" si="42"/>
        <v>10</v>
      </c>
      <c r="BQ77">
        <f ca="1">IF($AN77="",OFFSET(Demand!$A$13,ROW(A74)-1,4+((QUOTIENT(COLUMN(BQ$2)-69,3))*5)+MOD(COLUMN(BQ$2),3),1,1),"")</f>
        <v>0</v>
      </c>
      <c r="BR77">
        <f ca="1">IF($AN77="",OFFSET(Demand!$A$13,ROW(B74)-1,4+((QUOTIENT(COLUMN(BR$2)-69,3))*5)+MOD(COLUMN(BR$2),3),1,1),"")</f>
        <v>1</v>
      </c>
      <c r="BS77">
        <f ca="1">IF($AN77="",OFFSET(Demand!$A$13,ROW(C74)-1,4+((QUOTIENT(COLUMN(BS$2)-69,3))*5)+MOD(COLUMN(BS$2),3),1,1),"")</f>
        <v>4</v>
      </c>
      <c r="BT77">
        <f ca="1">IF($AN77="",OFFSET(Demand!$A$13,ROW(D74)-1,4+((QUOTIENT(COLUMN(BT$2)-69,3))*5)+MOD(COLUMN(BT$2),3),1,1),"")</f>
        <v>0</v>
      </c>
      <c r="BU77">
        <f ca="1">IF($AN77="",OFFSET(Demand!$A$13,ROW(E74)-1,4+((QUOTIENT(COLUMN(BU$2)-69,3))*5)+MOD(COLUMN(BU$2),3),1,1),"")</f>
        <v>3</v>
      </c>
      <c r="BV77">
        <f ca="1">IF($AN77="",OFFSET(Demand!$A$13,ROW(F74)-1,4+((QUOTIENT(COLUMN(BV$2)-69,3))*5)+MOD(COLUMN(BV$2),3),1,1),"")</f>
        <v>8</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0</v>
      </c>
      <c r="B78" s="5">
        <f ca="1">COUNTBLANK(OFFSET(Demand!$I87,0,(COLUMN(A75)-1)*5,1,1))</f>
        <v>0</v>
      </c>
      <c r="C78" s="5">
        <f ca="1">COUNTBLANK(OFFSET(Demand!$I87,0,(COLUMN(B75)-1)*5,1,1))</f>
        <v>0</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210</v>
      </c>
      <c r="O78" s="5">
        <f ca="1">SUM(OFFSET(Demand!$E87,0,(COLUMN(B75)-1)*5,1,3))*O$2</f>
        <v>520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730</v>
      </c>
      <c r="Y78">
        <f t="shared" ca="1" si="38"/>
        <v>730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730</v>
      </c>
      <c r="AM78" s="5">
        <f t="shared" ca="1" si="41"/>
        <v>0</v>
      </c>
      <c r="AN78" s="5" t="str">
        <f>IF(Demand!BE87="Yes","Yes","")</f>
        <v/>
      </c>
      <c r="AP78" s="36" t="str">
        <f ca="1">Demand!B87</f>
        <v xml:space="preserve"> </v>
      </c>
      <c r="AQ78" t="str">
        <f ca="1">IF(TEXT(Demand!D87,"MMM")&lt;&gt;TEXT(Demand!D86,"MMM"),TEXT(Demand!D87,"MMM"),"")</f>
        <v/>
      </c>
      <c r="AT78" s="5">
        <f t="shared" ca="1" si="42"/>
        <v>140</v>
      </c>
      <c r="BQ78">
        <f ca="1">IF($AN78="",OFFSET(Demand!$A$13,ROW(A75)-1,4+((QUOTIENT(COLUMN(BQ$2)-69,3))*5)+MOD(COLUMN(BQ$2),3),1,1),"")</f>
        <v>0</v>
      </c>
      <c r="BR78">
        <f ca="1">IF($AN78="",OFFSET(Demand!$A$13,ROW(B75)-1,4+((QUOTIENT(COLUMN(BR$2)-69,3))*5)+MOD(COLUMN(BR$2),3),1,1),"")</f>
        <v>3</v>
      </c>
      <c r="BS78">
        <f ca="1">IF($AN78="",OFFSET(Demand!$A$13,ROW(C75)-1,4+((QUOTIENT(COLUMN(BS$2)-69,3))*5)+MOD(COLUMN(BS$2),3),1,1),"")</f>
        <v>4</v>
      </c>
      <c r="BT78">
        <f ca="1">IF($AN78="",OFFSET(Demand!$A$13,ROW(D75)-1,4+((QUOTIENT(COLUMN(BT$2)-69,3))*5)+MOD(COLUMN(BT$2),3),1,1),"")</f>
        <v>0</v>
      </c>
      <c r="BU78">
        <f ca="1">IF($AN78="",OFFSET(Demand!$A$13,ROW(E75)-1,4+((QUOTIENT(COLUMN(BU$2)-69,3))*5)+MOD(COLUMN(BU$2),3),1,1),"")</f>
        <v>2</v>
      </c>
      <c r="BV78">
        <f ca="1">IF($AN78="",OFFSET(Demand!$A$13,ROW(F75)-1,4+((QUOTIENT(COLUMN(BV$2)-69,3))*5)+MOD(COLUMN(BV$2),3),1,1),"")</f>
        <v>11</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0</v>
      </c>
      <c r="B79" s="5">
        <f ca="1">COUNTBLANK(OFFSET(Demand!$I88,0,(COLUMN(A76)-1)*5,1,1))</f>
        <v>0</v>
      </c>
      <c r="C79" s="5">
        <f ca="1">COUNTBLANK(OFFSET(Demand!$I88,0,(COLUMN(B76)-1)*5,1,1))</f>
        <v>0</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180</v>
      </c>
      <c r="O79" s="5">
        <f ca="1">SUM(OFFSET(Demand!$E88,0,(COLUMN(B76)-1)*5,1,3))*O$2</f>
        <v>320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500</v>
      </c>
      <c r="Y79">
        <f t="shared" ca="1" si="38"/>
        <v>500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500</v>
      </c>
      <c r="AM79" s="5">
        <f t="shared" ca="1" si="41"/>
        <v>0</v>
      </c>
      <c r="AN79" s="5" t="str">
        <f>IF(Demand!BE88="Yes","Yes","")</f>
        <v/>
      </c>
      <c r="AP79" s="36" t="str">
        <f ca="1">Demand!B88</f>
        <v xml:space="preserve"> </v>
      </c>
      <c r="AQ79" t="str">
        <f ca="1">IF(TEXT(Demand!D88,"MMM")&lt;&gt;TEXT(Demand!D87,"MMM"),TEXT(Demand!D88,"MMM"),"")</f>
        <v>Sep</v>
      </c>
      <c r="AT79" s="5">
        <f t="shared" ca="1" si="42"/>
        <v>230</v>
      </c>
      <c r="BQ79">
        <f ca="1">IF($AN79="",OFFSET(Demand!$A$13,ROW(A76)-1,4+((QUOTIENT(COLUMN(BQ$2)-69,3))*5)+MOD(COLUMN(BQ$2),3),1,1),"")</f>
        <v>0</v>
      </c>
      <c r="BR79">
        <f ca="1">IF($AN79="",OFFSET(Demand!$A$13,ROW(B76)-1,4+((QUOTIENT(COLUMN(BR$2)-69,3))*5)+MOD(COLUMN(BR$2),3),1,1),"")</f>
        <v>2</v>
      </c>
      <c r="BS79">
        <f ca="1">IF($AN79="",OFFSET(Demand!$A$13,ROW(C76)-1,4+((QUOTIENT(COLUMN(BS$2)-69,3))*5)+MOD(COLUMN(BS$2),3),1,1),"")</f>
        <v>4</v>
      </c>
      <c r="BT79">
        <f ca="1">IF($AN79="",OFFSET(Demand!$A$13,ROW(D76)-1,4+((QUOTIENT(COLUMN(BT$2)-69,3))*5)+MOD(COLUMN(BT$2),3),1,1),"")</f>
        <v>0</v>
      </c>
      <c r="BU79">
        <f ca="1">IF($AN79="",OFFSET(Demand!$A$13,ROW(E76)-1,4+((QUOTIENT(COLUMN(BU$2)-69,3))*5)+MOD(COLUMN(BU$2),3),1,1),"")</f>
        <v>2</v>
      </c>
      <c r="BV79">
        <f ca="1">IF($AN79="",OFFSET(Demand!$A$13,ROW(F76)-1,4+((QUOTIENT(COLUMN(BV$2)-69,3))*5)+MOD(COLUMN(BV$2),3),1,1),"")</f>
        <v>6</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0</v>
      </c>
      <c r="B80" s="5">
        <f ca="1">COUNTBLANK(OFFSET(Demand!$I89,0,(COLUMN(A77)-1)*5,1,1))</f>
        <v>0</v>
      </c>
      <c r="C80" s="5">
        <f ca="1">COUNTBLANK(OFFSET(Demand!$I89,0,(COLUMN(B77)-1)*5,1,1))</f>
        <v>0</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300</v>
      </c>
      <c r="O80" s="5">
        <f ca="1">SUM(OFFSET(Demand!$E89,0,(COLUMN(B77)-1)*5,1,3))*O$2</f>
        <v>400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700</v>
      </c>
      <c r="Y80">
        <f t="shared" ca="1" si="38"/>
        <v>700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700</v>
      </c>
      <c r="AM80" s="5">
        <f t="shared" ca="1" si="41"/>
        <v>0</v>
      </c>
      <c r="AN80" s="5" t="str">
        <f>IF(Demand!BE89="Yes","Yes","")</f>
        <v/>
      </c>
      <c r="AP80" s="36" t="str">
        <f ca="1">Demand!B89</f>
        <v xml:space="preserve"> </v>
      </c>
      <c r="AQ80" t="str">
        <f ca="1">IF(TEXT(Demand!D89,"MMM")&lt;&gt;TEXT(Demand!D88,"MMM"),TEXT(Demand!D89,"MMM"),"")</f>
        <v/>
      </c>
      <c r="AT80" s="5">
        <f t="shared" ca="1" si="42"/>
        <v>200</v>
      </c>
      <c r="BQ80">
        <f ca="1">IF($AN80="",OFFSET(Demand!$A$13,ROW(A77)-1,4+((QUOTIENT(COLUMN(BQ$2)-69,3))*5)+MOD(COLUMN(BQ$2),3),1,1),"")</f>
        <v>0</v>
      </c>
      <c r="BR80">
        <f ca="1">IF($AN80="",OFFSET(Demand!$A$13,ROW(B77)-1,4+((QUOTIENT(COLUMN(BR$2)-69,3))*5)+MOD(COLUMN(BR$2),3),1,1),"")</f>
        <v>1</v>
      </c>
      <c r="BS80">
        <f ca="1">IF($AN80="",OFFSET(Demand!$A$13,ROW(C77)-1,4+((QUOTIENT(COLUMN(BS$2)-69,3))*5)+MOD(COLUMN(BS$2),3),1,1),"")</f>
        <v>9</v>
      </c>
      <c r="BT80">
        <f ca="1">IF($AN80="",OFFSET(Demand!$A$13,ROW(D77)-1,4+((QUOTIENT(COLUMN(BT$2)-69,3))*5)+MOD(COLUMN(BT$2),3),1,1),"")</f>
        <v>0</v>
      </c>
      <c r="BU80">
        <f ca="1">IF($AN80="",OFFSET(Demand!$A$13,ROW(E77)-1,4+((QUOTIENT(COLUMN(BU$2)-69,3))*5)+MOD(COLUMN(BU$2),3),1,1),"")</f>
        <v>3</v>
      </c>
      <c r="BV80">
        <f ca="1">IF($AN80="",OFFSET(Demand!$A$13,ROW(F77)-1,4+((QUOTIENT(COLUMN(BV$2)-69,3))*5)+MOD(COLUMN(BV$2),3),1,1),"")</f>
        <v>7</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0</v>
      </c>
      <c r="B81" s="5">
        <f ca="1">COUNTBLANK(OFFSET(Demand!$I90,0,(COLUMN(A78)-1)*5,1,1))</f>
        <v>0</v>
      </c>
      <c r="C81" s="5">
        <f ca="1">COUNTBLANK(OFFSET(Demand!$I90,0,(COLUMN(B78)-1)*5,1,1))</f>
        <v>0</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120</v>
      </c>
      <c r="O81" s="5">
        <f ca="1">SUM(OFFSET(Demand!$E90,0,(COLUMN(B78)-1)*5,1,3))*O$2</f>
        <v>400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520</v>
      </c>
      <c r="Y81">
        <f t="shared" ca="1" si="38"/>
        <v>520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520</v>
      </c>
      <c r="AM81" s="5">
        <f t="shared" ca="1" si="41"/>
        <v>0</v>
      </c>
      <c r="AN81" s="5" t="str">
        <f>IF(Demand!BE90="Yes","Yes","")</f>
        <v/>
      </c>
      <c r="AP81" s="36" t="str">
        <f ca="1">Demand!B90</f>
        <v xml:space="preserve"> </v>
      </c>
      <c r="AQ81" t="str">
        <f ca="1">IF(TEXT(Demand!D90,"MMM")&lt;&gt;TEXT(Demand!D89,"MMM"),TEXT(Demand!D90,"MMM"),"")</f>
        <v/>
      </c>
      <c r="AT81" s="5">
        <f t="shared" ca="1" si="42"/>
        <v>180</v>
      </c>
      <c r="BQ81">
        <f ca="1">IF($AN81="",OFFSET(Demand!$A$13,ROW(A78)-1,4+((QUOTIENT(COLUMN(BQ$2)-69,3))*5)+MOD(COLUMN(BQ$2),3),1,1),"")</f>
        <v>0</v>
      </c>
      <c r="BR81">
        <f ca="1">IF($AN81="",OFFSET(Demand!$A$13,ROW(B78)-1,4+((QUOTIENT(COLUMN(BR$2)-69,3))*5)+MOD(COLUMN(BR$2),3),1,1),"")</f>
        <v>1</v>
      </c>
      <c r="BS81">
        <f ca="1">IF($AN81="",OFFSET(Demand!$A$13,ROW(C78)-1,4+((QUOTIENT(COLUMN(BS$2)-69,3))*5)+MOD(COLUMN(BS$2),3),1,1),"")</f>
        <v>3</v>
      </c>
      <c r="BT81">
        <f ca="1">IF($AN81="",OFFSET(Demand!$A$13,ROW(D78)-1,4+((QUOTIENT(COLUMN(BT$2)-69,3))*5)+MOD(COLUMN(BT$2),3),1,1),"")</f>
        <v>0</v>
      </c>
      <c r="BU81">
        <f ca="1">IF($AN81="",OFFSET(Demand!$A$13,ROW(E78)-1,4+((QUOTIENT(COLUMN(BU$2)-69,3))*5)+MOD(COLUMN(BU$2),3),1,1),"")</f>
        <v>2</v>
      </c>
      <c r="BV81">
        <f ca="1">IF($AN81="",OFFSET(Demand!$A$13,ROW(F78)-1,4+((QUOTIENT(COLUMN(BV$2)-69,3))*5)+MOD(COLUMN(BV$2),3),1,1),"")</f>
        <v>8</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0</v>
      </c>
      <c r="B82" s="5">
        <f ca="1">COUNTBLANK(OFFSET(Demand!$I91,0,(COLUMN(A79)-1)*5,1,1))</f>
        <v>0</v>
      </c>
      <c r="C82" s="5">
        <f ca="1">COUNTBLANK(OFFSET(Demand!$I91,0,(COLUMN(B79)-1)*5,1,1))</f>
        <v>0</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240</v>
      </c>
      <c r="O82" s="5">
        <f ca="1">SUM(OFFSET(Demand!$E91,0,(COLUMN(B79)-1)*5,1,3))*O$2</f>
        <v>320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560</v>
      </c>
      <c r="Y82">
        <f t="shared" ca="1" si="38"/>
        <v>560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560</v>
      </c>
      <c r="AM82" s="5">
        <f t="shared" ca="1" si="41"/>
        <v>0</v>
      </c>
      <c r="AN82" s="5" t="str">
        <f>IF(Demand!BE91="Yes","Yes","")</f>
        <v/>
      </c>
      <c r="AP82" s="36" t="str">
        <f ca="1">Demand!B91</f>
        <v xml:space="preserve"> </v>
      </c>
      <c r="AQ82" t="str">
        <f ca="1">IF(TEXT(Demand!D91,"MMM")&lt;&gt;TEXT(Demand!D90,"MMM"),TEXT(Demand!D91,"MMM"),"")</f>
        <v/>
      </c>
      <c r="AT82" s="5">
        <f t="shared" ca="1" si="42"/>
        <v>40</v>
      </c>
      <c r="BQ82">
        <f ca="1">IF($AN82="",OFFSET(Demand!$A$13,ROW(A79)-1,4+((QUOTIENT(COLUMN(BQ$2)-69,3))*5)+MOD(COLUMN(BQ$2),3),1,1),"")</f>
        <v>0</v>
      </c>
      <c r="BR82">
        <f ca="1">IF($AN82="",OFFSET(Demand!$A$13,ROW(B79)-1,4+((QUOTIENT(COLUMN(BR$2)-69,3))*5)+MOD(COLUMN(BR$2),3),1,1),"")</f>
        <v>2</v>
      </c>
      <c r="BS82">
        <f ca="1">IF($AN82="",OFFSET(Demand!$A$13,ROW(C79)-1,4+((QUOTIENT(COLUMN(BS$2)-69,3))*5)+MOD(COLUMN(BS$2),3),1,1),"")</f>
        <v>6</v>
      </c>
      <c r="BT82">
        <f ca="1">IF($AN82="",OFFSET(Demand!$A$13,ROW(D79)-1,4+((QUOTIENT(COLUMN(BT$2)-69,3))*5)+MOD(COLUMN(BT$2),3),1,1),"")</f>
        <v>0</v>
      </c>
      <c r="BU82">
        <f ca="1">IF($AN82="",OFFSET(Demand!$A$13,ROW(E79)-1,4+((QUOTIENT(COLUMN(BU$2)-69,3))*5)+MOD(COLUMN(BU$2),3),1,1),"")</f>
        <v>1</v>
      </c>
      <c r="BV82">
        <f ca="1">IF($AN82="",OFFSET(Demand!$A$13,ROW(F79)-1,4+((QUOTIENT(COLUMN(BV$2)-69,3))*5)+MOD(COLUMN(BV$2),3),1,1),"")</f>
        <v>7</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0</v>
      </c>
      <c r="B83" s="5">
        <f ca="1">COUNTBLANK(OFFSET(Demand!$I92,0,(COLUMN(A80)-1)*5,1,1))</f>
        <v>0</v>
      </c>
      <c r="C83" s="5">
        <f ca="1">COUNTBLANK(OFFSET(Demand!$I92,0,(COLUMN(B80)-1)*5,1,1))</f>
        <v>0</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90</v>
      </c>
      <c r="O83" s="5">
        <f ca="1">SUM(OFFSET(Demand!$E92,0,(COLUMN(B80)-1)*5,1,3))*O$2</f>
        <v>400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490</v>
      </c>
      <c r="Y83">
        <f t="shared" ca="1" si="38"/>
        <v>490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490</v>
      </c>
      <c r="AM83" s="5">
        <f t="shared" ca="1" si="41"/>
        <v>0</v>
      </c>
      <c r="AN83" s="5" t="str">
        <f>IF(Demand!BE92="Yes","Yes","")</f>
        <v/>
      </c>
      <c r="AP83" s="36" t="str">
        <f ca="1">Demand!B92</f>
        <v xml:space="preserve"> </v>
      </c>
      <c r="AQ83" t="str">
        <f ca="1">IF(TEXT(Demand!D92,"MMM")&lt;&gt;TEXT(Demand!D91,"MMM"),TEXT(Demand!D92,"MMM"),"")</f>
        <v>Oct</v>
      </c>
      <c r="AT83" s="5">
        <f t="shared" ca="1" si="42"/>
        <v>70</v>
      </c>
      <c r="BQ83">
        <f ca="1">IF($AN83="",OFFSET(Demand!$A$13,ROW(A80)-1,4+((QUOTIENT(COLUMN(BQ$2)-69,3))*5)+MOD(COLUMN(BQ$2),3),1,1),"")</f>
        <v>0</v>
      </c>
      <c r="BR83">
        <f ca="1">IF($AN83="",OFFSET(Demand!$A$13,ROW(B80)-1,4+((QUOTIENT(COLUMN(BR$2)-69,3))*5)+MOD(COLUMN(BR$2),3),1,1),"")</f>
        <v>0</v>
      </c>
      <c r="BS83">
        <f ca="1">IF($AN83="",OFFSET(Demand!$A$13,ROW(C80)-1,4+((QUOTIENT(COLUMN(BS$2)-69,3))*5)+MOD(COLUMN(BS$2),3),1,1),"")</f>
        <v>3</v>
      </c>
      <c r="BT83">
        <f ca="1">IF($AN83="",OFFSET(Demand!$A$13,ROW(D80)-1,4+((QUOTIENT(COLUMN(BT$2)-69,3))*5)+MOD(COLUMN(BT$2),3),1,1),"")</f>
        <v>0</v>
      </c>
      <c r="BU83">
        <f ca="1">IF($AN83="",OFFSET(Demand!$A$13,ROW(E80)-1,4+((QUOTIENT(COLUMN(BU$2)-69,3))*5)+MOD(COLUMN(BU$2),3),1,1),"")</f>
        <v>2</v>
      </c>
      <c r="BV83">
        <f ca="1">IF($AN83="",OFFSET(Demand!$A$13,ROW(F80)-1,4+((QUOTIENT(COLUMN(BV$2)-69,3))*5)+MOD(COLUMN(BV$2),3),1,1),"")</f>
        <v>8</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0</v>
      </c>
      <c r="B84" s="5">
        <f ca="1">COUNTBLANK(OFFSET(Demand!$I93,0,(COLUMN(A81)-1)*5,1,1))</f>
        <v>0</v>
      </c>
      <c r="C84" s="5">
        <f ca="1">COUNTBLANK(OFFSET(Demand!$I93,0,(COLUMN(B81)-1)*5,1,1))</f>
        <v>0</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120</v>
      </c>
      <c r="O84" s="5">
        <f ca="1">SUM(OFFSET(Demand!$E93,0,(COLUMN(B81)-1)*5,1,3))*O$2</f>
        <v>200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320</v>
      </c>
      <c r="Y84">
        <f t="shared" ca="1" si="38"/>
        <v>320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320</v>
      </c>
      <c r="AM84" s="5">
        <f t="shared" ca="1" si="41"/>
        <v>0</v>
      </c>
      <c r="AN84" s="5" t="str">
        <f>IF(Demand!BE93="Yes","Yes","")</f>
        <v/>
      </c>
      <c r="AP84" s="36" t="str">
        <f ca="1">Demand!B93</f>
        <v xml:space="preserve"> </v>
      </c>
      <c r="AQ84" t="str">
        <f ca="1">IF(TEXT(Demand!D93,"MMM")&lt;&gt;TEXT(Demand!D92,"MMM"),TEXT(Demand!D93,"MMM"),"")</f>
        <v/>
      </c>
      <c r="AT84" s="5">
        <f t="shared" ca="1" si="42"/>
        <v>170</v>
      </c>
      <c r="BQ84">
        <f ca="1">IF($AN84="",OFFSET(Demand!$A$13,ROW(A81)-1,4+((QUOTIENT(COLUMN(BQ$2)-69,3))*5)+MOD(COLUMN(BQ$2),3),1,1),"")</f>
        <v>0</v>
      </c>
      <c r="BR84">
        <f ca="1">IF($AN84="",OFFSET(Demand!$A$13,ROW(B81)-1,4+((QUOTIENT(COLUMN(BR$2)-69,3))*5)+MOD(COLUMN(BR$2),3),1,1),"")</f>
        <v>0</v>
      </c>
      <c r="BS84">
        <f ca="1">IF($AN84="",OFFSET(Demand!$A$13,ROW(C81)-1,4+((QUOTIENT(COLUMN(BS$2)-69,3))*5)+MOD(COLUMN(BS$2),3),1,1),"")</f>
        <v>4</v>
      </c>
      <c r="BT84">
        <f ca="1">IF($AN84="",OFFSET(Demand!$A$13,ROW(D81)-1,4+((QUOTIENT(COLUMN(BT$2)-69,3))*5)+MOD(COLUMN(BT$2),3),1,1),"")</f>
        <v>0</v>
      </c>
      <c r="BU84">
        <f ca="1">IF($AN84="",OFFSET(Demand!$A$13,ROW(E81)-1,4+((QUOTIENT(COLUMN(BU$2)-69,3))*5)+MOD(COLUMN(BU$2),3),1,1),"")</f>
        <v>2</v>
      </c>
      <c r="BV84">
        <f ca="1">IF($AN84="",OFFSET(Demand!$A$13,ROW(F81)-1,4+((QUOTIENT(COLUMN(BV$2)-69,3))*5)+MOD(COLUMN(BV$2),3),1,1),"")</f>
        <v>3</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0</v>
      </c>
      <c r="B85" s="5">
        <f ca="1">COUNTBLANK(OFFSET(Demand!$I94,0,(COLUMN(A82)-1)*5,1,1))</f>
        <v>0</v>
      </c>
      <c r="C85" s="5">
        <f ca="1">COUNTBLANK(OFFSET(Demand!$I94,0,(COLUMN(B82)-1)*5,1,1))</f>
        <v>0</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150</v>
      </c>
      <c r="O85" s="5">
        <f ca="1">SUM(OFFSET(Demand!$E94,0,(COLUMN(B82)-1)*5,1,3))*O$2</f>
        <v>320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470</v>
      </c>
      <c r="Y85">
        <f t="shared" ca="1" si="38"/>
        <v>470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470</v>
      </c>
      <c r="AM85" s="5">
        <f t="shared" ca="1" si="41"/>
        <v>0</v>
      </c>
      <c r="AN85" s="5" t="str">
        <f>IF(Demand!BE94="Yes","Yes","")</f>
        <v/>
      </c>
      <c r="AP85" s="36" t="str">
        <f ca="1">Demand!B94</f>
        <v xml:space="preserve"> </v>
      </c>
      <c r="AQ85" t="str">
        <f ca="1">IF(TEXT(Demand!D94,"MMM")&lt;&gt;TEXT(Demand!D93,"MMM"),TEXT(Demand!D94,"MMM"),"")</f>
        <v/>
      </c>
      <c r="AT85" s="5">
        <f t="shared" ca="1" si="42"/>
        <v>150</v>
      </c>
      <c r="BQ85">
        <f ca="1">IF($AN85="",OFFSET(Demand!$A$13,ROW(A82)-1,4+((QUOTIENT(COLUMN(BQ$2)-69,3))*5)+MOD(COLUMN(BQ$2),3),1,1),"")</f>
        <v>0</v>
      </c>
      <c r="BR85">
        <f ca="1">IF($AN85="",OFFSET(Demand!$A$13,ROW(B82)-1,4+((QUOTIENT(COLUMN(BR$2)-69,3))*5)+MOD(COLUMN(BR$2),3),1,1),"")</f>
        <v>2</v>
      </c>
      <c r="BS85">
        <f ca="1">IF($AN85="",OFFSET(Demand!$A$13,ROW(C82)-1,4+((QUOTIENT(COLUMN(BS$2)-69,3))*5)+MOD(COLUMN(BS$2),3),1,1),"")</f>
        <v>3</v>
      </c>
      <c r="BT85">
        <f ca="1">IF($AN85="",OFFSET(Demand!$A$13,ROW(D82)-1,4+((QUOTIENT(COLUMN(BT$2)-69,3))*5)+MOD(COLUMN(BT$2),3),1,1),"")</f>
        <v>0</v>
      </c>
      <c r="BU85">
        <f ca="1">IF($AN85="",OFFSET(Demand!$A$13,ROW(E82)-1,4+((QUOTIENT(COLUMN(BU$2)-69,3))*5)+MOD(COLUMN(BU$2),3),1,1),"")</f>
        <v>1</v>
      </c>
      <c r="BV85">
        <f ca="1">IF($AN85="",OFFSET(Demand!$A$13,ROW(F82)-1,4+((QUOTIENT(COLUMN(BV$2)-69,3))*5)+MOD(COLUMN(BV$2),3),1,1),"")</f>
        <v>7</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0</v>
      </c>
      <c r="B86" s="5">
        <f ca="1">COUNTBLANK(OFFSET(Demand!$I95,0,(COLUMN(A83)-1)*5,1,1))</f>
        <v>0</v>
      </c>
      <c r="C86" s="5">
        <f ca="1">COUNTBLANK(OFFSET(Demand!$I95,0,(COLUMN(B83)-1)*5,1,1))</f>
        <v>0</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180</v>
      </c>
      <c r="O86" s="5">
        <f ca="1">SUM(OFFSET(Demand!$E95,0,(COLUMN(B83)-1)*5,1,3))*O$2</f>
        <v>360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540</v>
      </c>
      <c r="Y86">
        <f t="shared" ca="1" si="38"/>
        <v>540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540</v>
      </c>
      <c r="AM86" s="5">
        <f t="shared" ca="1" si="41"/>
        <v>0</v>
      </c>
      <c r="AN86" s="5" t="str">
        <f>IF(Demand!BE95="Yes","Yes","")</f>
        <v/>
      </c>
      <c r="AP86" s="36" t="str">
        <f ca="1">Demand!B95</f>
        <v xml:space="preserve"> </v>
      </c>
      <c r="AQ86" t="str">
        <f ca="1">IF(TEXT(Demand!D95,"MMM")&lt;&gt;TEXT(Demand!D94,"MMM"),TEXT(Demand!D95,"MMM"),"")</f>
        <v/>
      </c>
      <c r="AT86" s="5">
        <f t="shared" ca="1" si="42"/>
        <v>70</v>
      </c>
      <c r="BQ86">
        <f ca="1">IF($AN86="",OFFSET(Demand!$A$13,ROW(A83)-1,4+((QUOTIENT(COLUMN(BQ$2)-69,3))*5)+MOD(COLUMN(BQ$2),3),1,1),"")</f>
        <v>0</v>
      </c>
      <c r="BR86">
        <f ca="1">IF($AN86="",OFFSET(Demand!$A$13,ROW(B83)-1,4+((QUOTIENT(COLUMN(BR$2)-69,3))*5)+MOD(COLUMN(BR$2),3),1,1),"")</f>
        <v>1</v>
      </c>
      <c r="BS86">
        <f ca="1">IF($AN86="",OFFSET(Demand!$A$13,ROW(C83)-1,4+((QUOTIENT(COLUMN(BS$2)-69,3))*5)+MOD(COLUMN(BS$2),3),1,1),"")</f>
        <v>5</v>
      </c>
      <c r="BT86">
        <f ca="1">IF($AN86="",OFFSET(Demand!$A$13,ROW(D83)-1,4+((QUOTIENT(COLUMN(BT$2)-69,3))*5)+MOD(COLUMN(BT$2),3),1,1),"")</f>
        <v>0</v>
      </c>
      <c r="BU86">
        <f ca="1">IF($AN86="",OFFSET(Demand!$A$13,ROW(E83)-1,4+((QUOTIENT(COLUMN(BU$2)-69,3))*5)+MOD(COLUMN(BU$2),3),1,1),"")</f>
        <v>2</v>
      </c>
      <c r="BV86">
        <f ca="1">IF($AN86="",OFFSET(Demand!$A$13,ROW(F83)-1,4+((QUOTIENT(COLUMN(BV$2)-69,3))*5)+MOD(COLUMN(BV$2),3),1,1),"")</f>
        <v>7</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0</v>
      </c>
      <c r="B87" s="5">
        <f ca="1">COUNTBLANK(OFFSET(Demand!$I96,0,(COLUMN(A84)-1)*5,1,1))</f>
        <v>0</v>
      </c>
      <c r="C87" s="5">
        <f ca="1">COUNTBLANK(OFFSET(Demand!$I96,0,(COLUMN(B84)-1)*5,1,1))</f>
        <v>0</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60</v>
      </c>
      <c r="O87" s="5">
        <f ca="1">SUM(OFFSET(Demand!$E96,0,(COLUMN(B84)-1)*5,1,3))*O$2</f>
        <v>280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340</v>
      </c>
      <c r="Y87">
        <f t="shared" ca="1" si="38"/>
        <v>340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340</v>
      </c>
      <c r="AM87" s="5">
        <f t="shared" ca="1" si="41"/>
        <v>0</v>
      </c>
      <c r="AN87" s="5" t="str">
        <f>IF(Demand!BE96="Yes","Yes","")</f>
        <v/>
      </c>
      <c r="AP87" s="36" t="str">
        <f ca="1">Demand!B96</f>
        <v xml:space="preserve"> </v>
      </c>
      <c r="AQ87" t="str">
        <f ca="1">IF(TEXT(Demand!D96,"MMM")&lt;&gt;TEXT(Demand!D95,"MMM"),TEXT(Demand!D96,"MMM"),"")</f>
        <v/>
      </c>
      <c r="AT87" s="5">
        <f t="shared" ca="1" si="42"/>
        <v>200</v>
      </c>
      <c r="BQ87">
        <f ca="1">IF($AN87="",OFFSET(Demand!$A$13,ROW(A84)-1,4+((QUOTIENT(COLUMN(BQ$2)-69,3))*5)+MOD(COLUMN(BQ$2),3),1,1),"")</f>
        <v>0</v>
      </c>
      <c r="BR87">
        <f ca="1">IF($AN87="",OFFSET(Demand!$A$13,ROW(B84)-1,4+((QUOTIENT(COLUMN(BR$2)-69,3))*5)+MOD(COLUMN(BR$2),3),1,1),"")</f>
        <v>1</v>
      </c>
      <c r="BS87">
        <f ca="1">IF($AN87="",OFFSET(Demand!$A$13,ROW(C84)-1,4+((QUOTIENT(COLUMN(BS$2)-69,3))*5)+MOD(COLUMN(BS$2),3),1,1),"")</f>
        <v>1</v>
      </c>
      <c r="BT87">
        <f ca="1">IF($AN87="",OFFSET(Demand!$A$13,ROW(D84)-1,4+((QUOTIENT(COLUMN(BT$2)-69,3))*5)+MOD(COLUMN(BT$2),3),1,1),"")</f>
        <v>0</v>
      </c>
      <c r="BU87">
        <f ca="1">IF($AN87="",OFFSET(Demand!$A$13,ROW(E84)-1,4+((QUOTIENT(COLUMN(BU$2)-69,3))*5)+MOD(COLUMN(BU$2),3),1,1),"")</f>
        <v>1</v>
      </c>
      <c r="BV87">
        <f ca="1">IF($AN87="",OFFSET(Demand!$A$13,ROW(F84)-1,4+((QUOTIENT(COLUMN(BV$2)-69,3))*5)+MOD(COLUMN(BV$2),3),1,1),"")</f>
        <v>6</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0</v>
      </c>
      <c r="B88" s="5">
        <f ca="1">COUNTBLANK(OFFSET(Demand!$I97,0,(COLUMN(A85)-1)*5,1,1))</f>
        <v>0</v>
      </c>
      <c r="C88" s="5">
        <f ca="1">COUNTBLANK(OFFSET(Demand!$I97,0,(COLUMN(B85)-1)*5,1,1))</f>
        <v>0</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90</v>
      </c>
      <c r="O88" s="5">
        <f ca="1">SUM(OFFSET(Demand!$E97,0,(COLUMN(B85)-1)*5,1,3))*O$2</f>
        <v>440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530</v>
      </c>
      <c r="Y88">
        <f t="shared" ca="1" si="38"/>
        <v>530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530</v>
      </c>
      <c r="AM88" s="5">
        <f t="shared" ca="1" si="41"/>
        <v>0</v>
      </c>
      <c r="AN88" s="5" t="str">
        <f>IF(Demand!BE97="Yes","Yes","")</f>
        <v/>
      </c>
      <c r="AP88" s="36" t="str">
        <f ca="1">Demand!B97</f>
        <v xml:space="preserve"> </v>
      </c>
      <c r="AQ88" t="str">
        <f ca="1">IF(TEXT(Demand!D97,"MMM")&lt;&gt;TEXT(Demand!D96,"MMM"),TEXT(Demand!D97,"MMM"),"")</f>
        <v>Nov</v>
      </c>
      <c r="AT88" s="5">
        <f t="shared" ca="1" si="42"/>
        <v>190</v>
      </c>
      <c r="BQ88">
        <f ca="1">IF($AN88="",OFFSET(Demand!$A$13,ROW(A85)-1,4+((QUOTIENT(COLUMN(BQ$2)-69,3))*5)+MOD(COLUMN(BQ$2),3),1,1),"")</f>
        <v>0</v>
      </c>
      <c r="BR88">
        <f ca="1">IF($AN88="",OFFSET(Demand!$A$13,ROW(B85)-1,4+((QUOTIENT(COLUMN(BR$2)-69,3))*5)+MOD(COLUMN(BR$2),3),1,1),"")</f>
        <v>0</v>
      </c>
      <c r="BS88">
        <f ca="1">IF($AN88="",OFFSET(Demand!$A$13,ROW(C85)-1,4+((QUOTIENT(COLUMN(BS$2)-69,3))*5)+MOD(COLUMN(BS$2),3),1,1),"")</f>
        <v>3</v>
      </c>
      <c r="BT88">
        <f ca="1">IF($AN88="",OFFSET(Demand!$A$13,ROW(D85)-1,4+((QUOTIENT(COLUMN(BT$2)-69,3))*5)+MOD(COLUMN(BT$2),3),1,1),"")</f>
        <v>0</v>
      </c>
      <c r="BU88">
        <f ca="1">IF($AN88="",OFFSET(Demand!$A$13,ROW(E85)-1,4+((QUOTIENT(COLUMN(BU$2)-69,3))*5)+MOD(COLUMN(BU$2),3),1,1),"")</f>
        <v>2</v>
      </c>
      <c r="BV88">
        <f ca="1">IF($AN88="",OFFSET(Demand!$A$13,ROW(F85)-1,4+((QUOTIENT(COLUMN(BV$2)-69,3))*5)+MOD(COLUMN(BV$2),3),1,1),"")</f>
        <v>9</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0</v>
      </c>
      <c r="B89" s="5">
        <f ca="1">COUNTBLANK(OFFSET(Demand!$I98,0,(COLUMN(A86)-1)*5,1,1))</f>
        <v>0</v>
      </c>
      <c r="C89" s="5">
        <f ca="1">COUNTBLANK(OFFSET(Demand!$I98,0,(COLUMN(B86)-1)*5,1,1))</f>
        <v>0</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180</v>
      </c>
      <c r="O89" s="5">
        <f ca="1">SUM(OFFSET(Demand!$E98,0,(COLUMN(B86)-1)*5,1,3))*O$2</f>
        <v>400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580</v>
      </c>
      <c r="Y89">
        <f t="shared" ca="1" si="38"/>
        <v>580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580</v>
      </c>
      <c r="AM89" s="5">
        <f t="shared" ca="1" si="41"/>
        <v>0</v>
      </c>
      <c r="AN89" s="5" t="str">
        <f>IF(Demand!BE98="Yes","Yes","")</f>
        <v/>
      </c>
      <c r="AP89" s="36" t="str">
        <f ca="1">Demand!B98</f>
        <v xml:space="preserve"> </v>
      </c>
      <c r="AQ89" t="str">
        <f ca="1">IF(TEXT(Demand!D98,"MMM")&lt;&gt;TEXT(Demand!D97,"MMM"),TEXT(Demand!D98,"MMM"),"")</f>
        <v/>
      </c>
      <c r="AT89" s="5">
        <f t="shared" ca="1" si="42"/>
        <v>50</v>
      </c>
      <c r="BQ89">
        <f ca="1">IF($AN89="",OFFSET(Demand!$A$13,ROW(A86)-1,4+((QUOTIENT(COLUMN(BQ$2)-69,3))*5)+MOD(COLUMN(BQ$2),3),1,1),"")</f>
        <v>0</v>
      </c>
      <c r="BR89">
        <f ca="1">IF($AN89="",OFFSET(Demand!$A$13,ROW(B86)-1,4+((QUOTIENT(COLUMN(BR$2)-69,3))*5)+MOD(COLUMN(BR$2),3),1,1),"")</f>
        <v>0</v>
      </c>
      <c r="BS89">
        <f ca="1">IF($AN89="",OFFSET(Demand!$A$13,ROW(C86)-1,4+((QUOTIENT(COLUMN(BS$2)-69,3))*5)+MOD(COLUMN(BS$2),3),1,1),"")</f>
        <v>6</v>
      </c>
      <c r="BT89">
        <f ca="1">IF($AN89="",OFFSET(Demand!$A$13,ROW(D86)-1,4+((QUOTIENT(COLUMN(BT$2)-69,3))*5)+MOD(COLUMN(BT$2),3),1,1),"")</f>
        <v>0</v>
      </c>
      <c r="BU89">
        <f ca="1">IF($AN89="",OFFSET(Demand!$A$13,ROW(E86)-1,4+((QUOTIENT(COLUMN(BU$2)-69,3))*5)+MOD(COLUMN(BU$2),3),1,1),"")</f>
        <v>3</v>
      </c>
      <c r="BV89">
        <f ca="1">IF($AN89="",OFFSET(Demand!$A$13,ROW(F86)-1,4+((QUOTIENT(COLUMN(BV$2)-69,3))*5)+MOD(COLUMN(BV$2),3),1,1),"")</f>
        <v>7</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0</v>
      </c>
      <c r="B90" s="5">
        <f ca="1">COUNTBLANK(OFFSET(Demand!$I99,0,(COLUMN(A87)-1)*5,1,1))</f>
        <v>0</v>
      </c>
      <c r="C90" s="5">
        <f ca="1">COUNTBLANK(OFFSET(Demand!$I99,0,(COLUMN(B87)-1)*5,1,1))</f>
        <v>0</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60</v>
      </c>
      <c r="O90" s="5">
        <f ca="1">SUM(OFFSET(Demand!$E99,0,(COLUMN(B87)-1)*5,1,3))*O$2</f>
        <v>400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460</v>
      </c>
      <c r="Y90">
        <f t="shared" ca="1" si="38"/>
        <v>460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460</v>
      </c>
      <c r="AM90" s="5">
        <f t="shared" ca="1" si="41"/>
        <v>0</v>
      </c>
      <c r="AN90" s="5" t="str">
        <f>IF(Demand!BE99="Yes","Yes","")</f>
        <v/>
      </c>
      <c r="AP90" s="36" t="str">
        <f ca="1">Demand!B99</f>
        <v xml:space="preserve"> </v>
      </c>
      <c r="AQ90" t="str">
        <f ca="1">IF(TEXT(Demand!D99,"MMM")&lt;&gt;TEXT(Demand!D98,"MMM"),TEXT(Demand!D99,"MMM"),"")</f>
        <v/>
      </c>
      <c r="AT90" s="5">
        <f t="shared" ca="1" si="42"/>
        <v>120</v>
      </c>
      <c r="BQ90">
        <f ca="1">IF($AN90="",OFFSET(Demand!$A$13,ROW(A87)-1,4+((QUOTIENT(COLUMN(BQ$2)-69,3))*5)+MOD(COLUMN(BQ$2),3),1,1),"")</f>
        <v>0</v>
      </c>
      <c r="BR90">
        <f ca="1">IF($AN90="",OFFSET(Demand!$A$13,ROW(B87)-1,4+((QUOTIENT(COLUMN(BR$2)-69,3))*5)+MOD(COLUMN(BR$2),3),1,1),"")</f>
        <v>0</v>
      </c>
      <c r="BS90">
        <f ca="1">IF($AN90="",OFFSET(Demand!$A$13,ROW(C87)-1,4+((QUOTIENT(COLUMN(BS$2)-69,3))*5)+MOD(COLUMN(BS$2),3),1,1),"")</f>
        <v>2</v>
      </c>
      <c r="BT90">
        <f ca="1">IF($AN90="",OFFSET(Demand!$A$13,ROW(D87)-1,4+((QUOTIENT(COLUMN(BT$2)-69,3))*5)+MOD(COLUMN(BT$2),3),1,1),"")</f>
        <v>0</v>
      </c>
      <c r="BU90">
        <f ca="1">IF($AN90="",OFFSET(Demand!$A$13,ROW(E87)-1,4+((QUOTIENT(COLUMN(BU$2)-69,3))*5)+MOD(COLUMN(BU$2),3),1,1),"")</f>
        <v>2</v>
      </c>
      <c r="BV90">
        <f ca="1">IF($AN90="",OFFSET(Demand!$A$13,ROW(F87)-1,4+((QUOTIENT(COLUMN(BV$2)-69,3))*5)+MOD(COLUMN(BV$2),3),1,1),"")</f>
        <v>8</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0</v>
      </c>
      <c r="B91" s="5">
        <f ca="1">COUNTBLANK(OFFSET(Demand!$I100,0,(COLUMN(A88)-1)*5,1,1))</f>
        <v>0</v>
      </c>
      <c r="C91" s="5">
        <f ca="1">COUNTBLANK(OFFSET(Demand!$I100,0,(COLUMN(B88)-1)*5,1,1))</f>
        <v>0</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180</v>
      </c>
      <c r="O91" s="5">
        <f ca="1">SUM(OFFSET(Demand!$E100,0,(COLUMN(B88)-1)*5,1,3))*O$2</f>
        <v>320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500</v>
      </c>
      <c r="Y91">
        <f t="shared" ca="1" si="38"/>
        <v>500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500</v>
      </c>
      <c r="AM91" s="5">
        <f t="shared" ca="1" si="41"/>
        <v>0</v>
      </c>
      <c r="AN91" s="5" t="str">
        <f>IF(Demand!BE100="Yes","Yes","")</f>
        <v/>
      </c>
      <c r="AP91" s="36" t="str">
        <f ca="1">Demand!B100</f>
        <v xml:space="preserve"> </v>
      </c>
      <c r="AQ91" t="str">
        <f ca="1">IF(TEXT(Demand!D100,"MMM")&lt;&gt;TEXT(Demand!D99,"MMM"),TEXT(Demand!D100,"MMM"),"")</f>
        <v/>
      </c>
      <c r="AT91" s="5">
        <f t="shared" ca="1" si="42"/>
        <v>40</v>
      </c>
      <c r="BQ91">
        <f ca="1">IF($AN91="",OFFSET(Demand!$A$13,ROW(A88)-1,4+((QUOTIENT(COLUMN(BQ$2)-69,3))*5)+MOD(COLUMN(BQ$2),3),1,1),"")</f>
        <v>0</v>
      </c>
      <c r="BR91">
        <f ca="1">IF($AN91="",OFFSET(Demand!$A$13,ROW(B88)-1,4+((QUOTIENT(COLUMN(BR$2)-69,3))*5)+MOD(COLUMN(BR$2),3),1,1),"")</f>
        <v>3</v>
      </c>
      <c r="BS91">
        <f ca="1">IF($AN91="",OFFSET(Demand!$A$13,ROW(C88)-1,4+((QUOTIENT(COLUMN(BS$2)-69,3))*5)+MOD(COLUMN(BS$2),3),1,1),"")</f>
        <v>3</v>
      </c>
      <c r="BT91">
        <f ca="1">IF($AN91="",OFFSET(Demand!$A$13,ROW(D88)-1,4+((QUOTIENT(COLUMN(BT$2)-69,3))*5)+MOD(COLUMN(BT$2),3),1,1),"")</f>
        <v>0</v>
      </c>
      <c r="BU91">
        <f ca="1">IF($AN91="",OFFSET(Demand!$A$13,ROW(E88)-1,4+((QUOTIENT(COLUMN(BU$2)-69,3))*5)+MOD(COLUMN(BU$2),3),1,1),"")</f>
        <v>2</v>
      </c>
      <c r="BV91">
        <f ca="1">IF($AN91="",OFFSET(Demand!$A$13,ROW(F88)-1,4+((QUOTIENT(COLUMN(BV$2)-69,3))*5)+MOD(COLUMN(BV$2),3),1,1),"")</f>
        <v>6</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0</v>
      </c>
      <c r="B92" s="5">
        <f ca="1">COUNTBLANK(OFFSET(Demand!$I101,0,(COLUMN(A89)-1)*5,1,1))</f>
        <v>0</v>
      </c>
      <c r="C92" s="5">
        <f ca="1">COUNTBLANK(OFFSET(Demand!$I101,0,(COLUMN(B89)-1)*5,1,1))</f>
        <v>0</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270</v>
      </c>
      <c r="O92" s="5">
        <f ca="1">SUM(OFFSET(Demand!$E101,0,(COLUMN(B89)-1)*5,1,3))*O$2</f>
        <v>240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510</v>
      </c>
      <c r="Y92">
        <f t="shared" ca="1" si="38"/>
        <v>510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510</v>
      </c>
      <c r="AM92" s="5">
        <f t="shared" ca="1" si="41"/>
        <v>0</v>
      </c>
      <c r="AN92" s="5" t="str">
        <f>IF(Demand!BE101="Yes","Yes","")</f>
        <v/>
      </c>
      <c r="AP92" s="36" t="str">
        <f ca="1">Demand!B101</f>
        <v xml:space="preserve"> </v>
      </c>
      <c r="AQ92" t="str">
        <f ca="1">IF(TEXT(Demand!D101,"MMM")&lt;&gt;TEXT(Demand!D100,"MMM"),TEXT(Demand!D101,"MMM"),"")</f>
        <v>Dec</v>
      </c>
      <c r="AT92" s="5">
        <f t="shared" ca="1" si="42"/>
        <v>10</v>
      </c>
      <c r="BQ92">
        <f ca="1">IF($AN92="",OFFSET(Demand!$A$13,ROW(A89)-1,4+((QUOTIENT(COLUMN(BQ$2)-69,3))*5)+MOD(COLUMN(BQ$2),3),1,1),"")</f>
        <v>0</v>
      </c>
      <c r="BR92">
        <f ca="1">IF($AN92="",OFFSET(Demand!$A$13,ROW(B89)-1,4+((QUOTIENT(COLUMN(BR$2)-69,3))*5)+MOD(COLUMN(BR$2),3),1,1),"")</f>
        <v>1</v>
      </c>
      <c r="BS92">
        <f ca="1">IF($AN92="",OFFSET(Demand!$A$13,ROW(C89)-1,4+((QUOTIENT(COLUMN(BS$2)-69,3))*5)+MOD(COLUMN(BS$2),3),1,1),"")</f>
        <v>8</v>
      </c>
      <c r="BT92">
        <f ca="1">IF($AN92="",OFFSET(Demand!$A$13,ROW(D89)-1,4+((QUOTIENT(COLUMN(BT$2)-69,3))*5)+MOD(COLUMN(BT$2),3),1,1),"")</f>
        <v>0</v>
      </c>
      <c r="BU92">
        <f ca="1">IF($AN92="",OFFSET(Demand!$A$13,ROW(E89)-1,4+((QUOTIENT(COLUMN(BU$2)-69,3))*5)+MOD(COLUMN(BU$2),3),1,1),"")</f>
        <v>3</v>
      </c>
      <c r="BV92">
        <f ca="1">IF($AN92="",OFFSET(Demand!$A$13,ROW(F89)-1,4+((QUOTIENT(COLUMN(BV$2)-69,3))*5)+MOD(COLUMN(BV$2),3),1,1),"")</f>
        <v>3</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0</v>
      </c>
      <c r="B93" s="5">
        <f ca="1">COUNTBLANK(OFFSET(Demand!$I102,0,(COLUMN(A90)-1)*5,1,1))</f>
        <v>0</v>
      </c>
      <c r="C93" s="5">
        <f ca="1">COUNTBLANK(OFFSET(Demand!$I102,0,(COLUMN(B90)-1)*5,1,1))</f>
        <v>0</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150</v>
      </c>
      <c r="O93" s="5">
        <f ca="1">SUM(OFFSET(Demand!$E102,0,(COLUMN(B90)-1)*5,1,3))*O$2</f>
        <v>360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510</v>
      </c>
      <c r="Y93">
        <f t="shared" ca="1" si="38"/>
        <v>510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510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5</v>
      </c>
      <c r="BT93">
        <f ca="1">IF($AN93="",OFFSET(Demand!$A$13,ROW(D90)-1,4+((QUOTIENT(COLUMN(BT$2)-69,3))*5)+MOD(COLUMN(BT$2),3),1,1),"")</f>
        <v>0</v>
      </c>
      <c r="BU93">
        <f ca="1">IF($AN93="",OFFSET(Demand!$A$13,ROW(E90)-1,4+((QUOTIENT(COLUMN(BU$2)-69,3))*5)+MOD(COLUMN(BU$2),3),1,1),"")</f>
        <v>2</v>
      </c>
      <c r="BV93">
        <f ca="1">IF($AN93="",OFFSET(Demand!$A$13,ROW(F90)-1,4+((QUOTIENT(COLUMN(BV$2)-69,3))*5)+MOD(COLUMN(BV$2),3),1,1),"")</f>
        <v>7</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0</v>
      </c>
      <c r="B94" s="5">
        <f ca="1">COUNTBLANK(OFFSET(Demand!$I103,0,(COLUMN(A91)-1)*5,1,1))</f>
        <v>0</v>
      </c>
      <c r="C94" s="5">
        <f ca="1">COUNTBLANK(OFFSET(Demand!$I103,0,(COLUMN(B91)-1)*5,1,1))</f>
        <v>0</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30</v>
      </c>
      <c r="O94" s="5">
        <f ca="1">SUM(OFFSET(Demand!$E103,0,(COLUMN(B91)-1)*5,1,3))*O$2</f>
        <v>360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390</v>
      </c>
      <c r="Y94">
        <f t="shared" ca="1" si="38"/>
        <v>390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390</v>
      </c>
      <c r="AM94" s="5">
        <f t="shared" ca="1" si="41"/>
        <v>0</v>
      </c>
      <c r="AN94" s="5" t="str">
        <f>IF(Demand!BE103="Yes","Yes","")</f>
        <v/>
      </c>
      <c r="AP94" s="36" t="str">
        <f ca="1">Demand!B103</f>
        <v xml:space="preserve"> </v>
      </c>
      <c r="AQ94" t="str">
        <f ca="1">IF(TEXT(Demand!D103,"MMM")&lt;&gt;TEXT(Demand!D102,"MMM"),TEXT(Demand!D103,"MMM"),"")</f>
        <v/>
      </c>
      <c r="AT94" s="5">
        <f t="shared" ca="1" si="42"/>
        <v>120</v>
      </c>
      <c r="BQ94">
        <f ca="1">IF($AN94="",OFFSET(Demand!$A$13,ROW(A91)-1,4+((QUOTIENT(COLUMN(BQ$2)-69,3))*5)+MOD(COLUMN(BQ$2),3),1,1),"")</f>
        <v>0</v>
      </c>
      <c r="BR94">
        <f ca="1">IF($AN94="",OFFSET(Demand!$A$13,ROW(B91)-1,4+((QUOTIENT(COLUMN(BR$2)-69,3))*5)+MOD(COLUMN(BR$2),3),1,1),"")</f>
        <v>1</v>
      </c>
      <c r="BS94">
        <f ca="1">IF($AN94="",OFFSET(Demand!$A$13,ROW(C91)-1,4+((QUOTIENT(COLUMN(BS$2)-69,3))*5)+MOD(COLUMN(BS$2),3),1,1),"")</f>
        <v>0</v>
      </c>
      <c r="BT94">
        <f ca="1">IF($AN94="",OFFSET(Demand!$A$13,ROW(D91)-1,4+((QUOTIENT(COLUMN(BT$2)-69,3))*5)+MOD(COLUMN(BT$2),3),1,1),"")</f>
        <v>0</v>
      </c>
      <c r="BU94">
        <f ca="1">IF($AN94="",OFFSET(Demand!$A$13,ROW(E91)-1,4+((QUOTIENT(COLUMN(BU$2)-69,3))*5)+MOD(COLUMN(BU$2),3),1,1),"")</f>
        <v>1</v>
      </c>
      <c r="BV94">
        <f ca="1">IF($AN94="",OFFSET(Demand!$A$13,ROW(F91)-1,4+((QUOTIENT(COLUMN(BV$2)-69,3))*5)+MOD(COLUMN(BV$2),3),1,1),"")</f>
        <v>8</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0</v>
      </c>
      <c r="B95" s="5">
        <f ca="1">COUNTBLANK(OFFSET(Demand!$I104,0,(COLUMN(A92)-1)*5,1,1))</f>
        <v>0</v>
      </c>
      <c r="C95" s="5">
        <f ca="1">COUNTBLANK(OFFSET(Demand!$I104,0,(COLUMN(B92)-1)*5,1,1))</f>
        <v>0</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120</v>
      </c>
      <c r="O95" s="5">
        <f ca="1">SUM(OFFSET(Demand!$E104,0,(COLUMN(B92)-1)*5,1,3))*O$2</f>
        <v>320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440</v>
      </c>
      <c r="Y95">
        <f t="shared" ca="1" si="38"/>
        <v>440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440</v>
      </c>
      <c r="AM95" s="5">
        <f t="shared" ca="1" si="41"/>
        <v>0</v>
      </c>
      <c r="AN95" s="5" t="str">
        <f>IF(Demand!BE104="Yes","Yes","")</f>
        <v/>
      </c>
      <c r="AP95" s="36" t="str">
        <f ca="1">Demand!B104</f>
        <v xml:space="preserve"> </v>
      </c>
      <c r="AQ95" t="str">
        <f ca="1">IF(TEXT(Demand!D104,"MMM")&lt;&gt;TEXT(Demand!D103,"MMM"),TEXT(Demand!D104,"MMM"),"")</f>
        <v/>
      </c>
      <c r="AT95" s="5">
        <f t="shared" ca="1" si="42"/>
        <v>50</v>
      </c>
      <c r="BQ95">
        <f ca="1">IF($AN95="",OFFSET(Demand!$A$13,ROW(A92)-1,4+((QUOTIENT(COLUMN(BQ$2)-69,3))*5)+MOD(COLUMN(BQ$2),3),1,1),"")</f>
        <v>0</v>
      </c>
      <c r="BR95">
        <f ca="1">IF($AN95="",OFFSET(Demand!$A$13,ROW(B92)-1,4+((QUOTIENT(COLUMN(BR$2)-69,3))*5)+MOD(COLUMN(BR$2),3),1,1),"")</f>
        <v>1</v>
      </c>
      <c r="BS95">
        <f ca="1">IF($AN95="",OFFSET(Demand!$A$13,ROW(C92)-1,4+((QUOTIENT(COLUMN(BS$2)-69,3))*5)+MOD(COLUMN(BS$2),3),1,1),"")</f>
        <v>3</v>
      </c>
      <c r="BT95">
        <f ca="1">IF($AN95="",OFFSET(Demand!$A$13,ROW(D92)-1,4+((QUOTIENT(COLUMN(BT$2)-69,3))*5)+MOD(COLUMN(BT$2),3),1,1),"")</f>
        <v>0</v>
      </c>
      <c r="BU95">
        <f ca="1">IF($AN95="",OFFSET(Demand!$A$13,ROW(E92)-1,4+((QUOTIENT(COLUMN(BU$2)-69,3))*5)+MOD(COLUMN(BU$2),3),1,1),"")</f>
        <v>1</v>
      </c>
      <c r="BV95">
        <f ca="1">IF($AN95="",OFFSET(Demand!$A$13,ROW(F92)-1,4+((QUOTIENT(COLUMN(BV$2)-69,3))*5)+MOD(COLUMN(BV$2),3),1,1),"")</f>
        <v>7</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0</v>
      </c>
      <c r="B96" s="5">
        <f ca="1">COUNTBLANK(OFFSET(Demand!$I105,0,(COLUMN(A93)-1)*5,1,1))</f>
        <v>0</v>
      </c>
      <c r="C96" s="5">
        <f ca="1">COUNTBLANK(OFFSET(Demand!$I105,0,(COLUMN(B93)-1)*5,1,1))</f>
        <v>0</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180</v>
      </c>
      <c r="O96" s="5">
        <f ca="1">SUM(OFFSET(Demand!$E105,0,(COLUMN(B93)-1)*5,1,3))*O$2</f>
        <v>520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700</v>
      </c>
      <c r="Y96">
        <f t="shared" ca="1" si="38"/>
        <v>700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700</v>
      </c>
      <c r="AM96" s="5">
        <f t="shared" ca="1" si="41"/>
        <v>0</v>
      </c>
      <c r="AN96" s="5" t="str">
        <f>IF(Demand!BE105="Yes","Yes","")</f>
        <v/>
      </c>
      <c r="AP96" s="36">
        <f ca="1">Demand!B105</f>
        <v>2018</v>
      </c>
      <c r="AQ96" t="str">
        <f ca="1">IF(TEXT(Demand!D105,"MMM")&lt;&gt;TEXT(Demand!D104,"MMM"),TEXT(Demand!D105,"MMM"),"")</f>
        <v>Jan</v>
      </c>
      <c r="AT96" s="5">
        <f t="shared" ca="1" si="42"/>
        <v>260</v>
      </c>
      <c r="BQ96">
        <f ca="1">IF($AN96="",OFFSET(Demand!$A$13,ROW(A93)-1,4+((QUOTIENT(COLUMN(BQ$2)-69,3))*5)+MOD(COLUMN(BQ$2),3),1,1),"")</f>
        <v>0</v>
      </c>
      <c r="BR96">
        <f ca="1">IF($AN96="",OFFSET(Demand!$A$13,ROW(B93)-1,4+((QUOTIENT(COLUMN(BR$2)-69,3))*5)+MOD(COLUMN(BR$2),3),1,1),"")</f>
        <v>0</v>
      </c>
      <c r="BS96">
        <f ca="1">IF($AN96="",OFFSET(Demand!$A$13,ROW(C93)-1,4+((QUOTIENT(COLUMN(BS$2)-69,3))*5)+MOD(COLUMN(BS$2),3),1,1),"")</f>
        <v>6</v>
      </c>
      <c r="BT96">
        <f ca="1">IF($AN96="",OFFSET(Demand!$A$13,ROW(D93)-1,4+((QUOTIENT(COLUMN(BT$2)-69,3))*5)+MOD(COLUMN(BT$2),3),1,1),"")</f>
        <v>0</v>
      </c>
      <c r="BU96">
        <f ca="1">IF($AN96="",OFFSET(Demand!$A$13,ROW(E93)-1,4+((QUOTIENT(COLUMN(BU$2)-69,3))*5)+MOD(COLUMN(BU$2),3),1,1),"")</f>
        <v>1</v>
      </c>
      <c r="BV96">
        <f ca="1">IF($AN96="",OFFSET(Demand!$A$13,ROW(F93)-1,4+((QUOTIENT(COLUMN(BV$2)-69,3))*5)+MOD(COLUMN(BV$2),3),1,1),"")</f>
        <v>12</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0</v>
      </c>
      <c r="B97" s="5">
        <f ca="1">COUNTBLANK(OFFSET(Demand!$I106,0,(COLUMN(A94)-1)*5,1,1))</f>
        <v>0</v>
      </c>
      <c r="C97" s="5">
        <f ca="1">COUNTBLANK(OFFSET(Demand!$I106,0,(COLUMN(B94)-1)*5,1,1))</f>
        <v>0</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90</v>
      </c>
      <c r="O97" s="5">
        <f ca="1">SUM(OFFSET(Demand!$E106,0,(COLUMN(B94)-1)*5,1,3))*O$2</f>
        <v>480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570</v>
      </c>
      <c r="Y97">
        <f t="shared" ca="1" si="38"/>
        <v>570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570</v>
      </c>
      <c r="AM97" s="5">
        <f t="shared" ca="1" si="41"/>
        <v>0</v>
      </c>
      <c r="AN97" s="5" t="str">
        <f>IF(Demand!BE106="Yes","Yes","")</f>
        <v/>
      </c>
      <c r="AP97" s="36" t="str">
        <f ca="1">Demand!B106</f>
        <v xml:space="preserve"> </v>
      </c>
      <c r="AQ97" t="str">
        <f ca="1">IF(TEXT(Demand!D106,"MMM")&lt;&gt;TEXT(Demand!D105,"MMM"),TEXT(Demand!D106,"MMM"),"")</f>
        <v/>
      </c>
      <c r="AT97" s="5">
        <f t="shared" ca="1" si="42"/>
        <v>130</v>
      </c>
      <c r="BQ97">
        <f ca="1">IF($AN97="",OFFSET(Demand!$A$13,ROW(A94)-1,4+((QUOTIENT(COLUMN(BQ$2)-69,3))*5)+MOD(COLUMN(BQ$2),3),1,1),"")</f>
        <v>0</v>
      </c>
      <c r="BR97">
        <f ca="1">IF($AN97="",OFFSET(Demand!$A$13,ROW(B94)-1,4+((QUOTIENT(COLUMN(BR$2)-69,3))*5)+MOD(COLUMN(BR$2),3),1,1),"")</f>
        <v>0</v>
      </c>
      <c r="BS97">
        <f ca="1">IF($AN97="",OFFSET(Demand!$A$13,ROW(C94)-1,4+((QUOTIENT(COLUMN(BS$2)-69,3))*5)+MOD(COLUMN(BS$2),3),1,1),"")</f>
        <v>3</v>
      </c>
      <c r="BT97">
        <f ca="1">IF($AN97="",OFFSET(Demand!$A$13,ROW(D94)-1,4+((QUOTIENT(COLUMN(BT$2)-69,3))*5)+MOD(COLUMN(BT$2),3),1,1),"")</f>
        <v>0</v>
      </c>
      <c r="BU97">
        <f ca="1">IF($AN97="",OFFSET(Demand!$A$13,ROW(E94)-1,4+((QUOTIENT(COLUMN(BU$2)-69,3))*5)+MOD(COLUMN(BU$2),3),1,1),"")</f>
        <v>2</v>
      </c>
      <c r="BV97">
        <f ca="1">IF($AN97="",OFFSET(Demand!$A$13,ROW(F94)-1,4+((QUOTIENT(COLUMN(BV$2)-69,3))*5)+MOD(COLUMN(BV$2),3),1,1),"")</f>
        <v>10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0</v>
      </c>
      <c r="B98" s="5">
        <f ca="1">COUNTBLANK(OFFSET(Demand!$I107,0,(COLUMN(A95)-1)*5,1,1))</f>
        <v>0</v>
      </c>
      <c r="C98" s="5">
        <f ca="1">COUNTBLANK(OFFSET(Demand!$I107,0,(COLUMN(B95)-1)*5,1,1))</f>
        <v>0</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240</v>
      </c>
      <c r="O98" s="5">
        <f ca="1">SUM(OFFSET(Demand!$E107,0,(COLUMN(B95)-1)*5,1,3))*O$2</f>
        <v>280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520</v>
      </c>
      <c r="Y98">
        <f t="shared" ca="1" si="38"/>
        <v>520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520</v>
      </c>
      <c r="AM98" s="5">
        <f t="shared" ca="1" si="41"/>
        <v>0</v>
      </c>
      <c r="AN98" s="5" t="str">
        <f>IF(Demand!BE107="Yes","Yes","")</f>
        <v/>
      </c>
      <c r="AP98" s="36" t="str">
        <f ca="1">Demand!B107</f>
        <v xml:space="preserve"> </v>
      </c>
      <c r="AQ98" t="str">
        <f ca="1">IF(TEXT(Demand!D107,"MMM")&lt;&gt;TEXT(Demand!D106,"MMM"),TEXT(Demand!D107,"MMM"),"")</f>
        <v/>
      </c>
      <c r="AT98" s="5">
        <f t="shared" ca="1" si="42"/>
        <v>50</v>
      </c>
      <c r="BQ98">
        <f ca="1">IF($AN98="",OFFSET(Demand!$A$13,ROW(A95)-1,4+((QUOTIENT(COLUMN(BQ$2)-69,3))*5)+MOD(COLUMN(BQ$2),3),1,1),"")</f>
        <v>0</v>
      </c>
      <c r="BR98">
        <f ca="1">IF($AN98="",OFFSET(Demand!$A$13,ROW(B95)-1,4+((QUOTIENT(COLUMN(BR$2)-69,3))*5)+MOD(COLUMN(BR$2),3),1,1),"")</f>
        <v>1</v>
      </c>
      <c r="BS98">
        <f ca="1">IF($AN98="",OFFSET(Demand!$A$13,ROW(C95)-1,4+((QUOTIENT(COLUMN(BS$2)-69,3))*5)+MOD(COLUMN(BS$2),3),1,1),"")</f>
        <v>7</v>
      </c>
      <c r="BT98">
        <f ca="1">IF($AN98="",OFFSET(Demand!$A$13,ROW(D95)-1,4+((QUOTIENT(COLUMN(BT$2)-69,3))*5)+MOD(COLUMN(BT$2),3),1,1),"")</f>
        <v>0</v>
      </c>
      <c r="BU98">
        <f ca="1">IF($AN98="",OFFSET(Demand!$A$13,ROW(E95)-1,4+((QUOTIENT(COLUMN(BU$2)-69,3))*5)+MOD(COLUMN(BU$2),3),1,1),"")</f>
        <v>1</v>
      </c>
      <c r="BV98">
        <f ca="1">IF($AN98="",OFFSET(Demand!$A$13,ROW(F95)-1,4+((QUOTIENT(COLUMN(BV$2)-69,3))*5)+MOD(COLUMN(BV$2),3),1,1),"")</f>
        <v>6</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0</v>
      </c>
      <c r="B99" s="5">
        <f ca="1">COUNTBLANK(OFFSET(Demand!$I108,0,(COLUMN(A96)-1)*5,1,1))</f>
        <v>0</v>
      </c>
      <c r="C99" s="5">
        <f ca="1">COUNTBLANK(OFFSET(Demand!$I108,0,(COLUMN(B96)-1)*5,1,1))</f>
        <v>0</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150</v>
      </c>
      <c r="O99" s="5">
        <f ca="1">SUM(OFFSET(Demand!$E108,0,(COLUMN(B96)-1)*5,1,3))*O$2</f>
        <v>480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630</v>
      </c>
      <c r="Y99">
        <f t="shared" ca="1" si="38"/>
        <v>630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630</v>
      </c>
      <c r="AM99" s="5">
        <f t="shared" ca="1" si="41"/>
        <v>0</v>
      </c>
      <c r="AN99" s="5" t="str">
        <f>IF(Demand!BE108="Yes","Yes","")</f>
        <v/>
      </c>
      <c r="AP99" s="36" t="str">
        <f ca="1">Demand!B108</f>
        <v xml:space="preserve"> </v>
      </c>
      <c r="AQ99" t="str">
        <f ca="1">IF(TEXT(Demand!D108,"MMM")&lt;&gt;TEXT(Demand!D107,"MMM"),TEXT(Demand!D108,"MMM"),"")</f>
        <v/>
      </c>
      <c r="AT99" s="5">
        <f t="shared" ca="1" si="42"/>
        <v>110</v>
      </c>
      <c r="BQ99">
        <f ca="1">IF($AN99="",OFFSET(Demand!$A$13,ROW(A96)-1,4+((QUOTIENT(COLUMN(BQ$2)-69,3))*5)+MOD(COLUMN(BQ$2),3),1,1),"")</f>
        <v>0</v>
      </c>
      <c r="BR99">
        <f ca="1">IF($AN99="",OFFSET(Demand!$A$13,ROW(B96)-1,4+((QUOTIENT(COLUMN(BR$2)-69,3))*5)+MOD(COLUMN(BR$2),3),1,1),"")</f>
        <v>0</v>
      </c>
      <c r="BS99">
        <f ca="1">IF($AN99="",OFFSET(Demand!$A$13,ROW(C96)-1,4+((QUOTIENT(COLUMN(BS$2)-69,3))*5)+MOD(COLUMN(BS$2),3),1,1),"")</f>
        <v>5</v>
      </c>
      <c r="BT99">
        <f ca="1">IF($AN99="",OFFSET(Demand!$A$13,ROW(D96)-1,4+((QUOTIENT(COLUMN(BT$2)-69,3))*5)+MOD(COLUMN(BT$2),3),1,1),"")</f>
        <v>0</v>
      </c>
      <c r="BU99">
        <f ca="1">IF($AN99="",OFFSET(Demand!$A$13,ROW(E96)-1,4+((QUOTIENT(COLUMN(BU$2)-69,3))*5)+MOD(COLUMN(BU$2),3),1,1),"")</f>
        <v>1</v>
      </c>
      <c r="BV99">
        <f ca="1">IF($AN99="",OFFSET(Demand!$A$13,ROW(F96)-1,4+((QUOTIENT(COLUMN(BV$2)-69,3))*5)+MOD(COLUMN(BV$2),3),1,1),"")</f>
        <v>11</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0</v>
      </c>
      <c r="B100" s="5">
        <f ca="1">COUNTBLANK(OFFSET(Demand!$I109,0,(COLUMN(A97)-1)*5,1,1))</f>
        <v>0</v>
      </c>
      <c r="C100" s="5">
        <f ca="1">COUNTBLANK(OFFSET(Demand!$I109,0,(COLUMN(B97)-1)*5,1,1))</f>
        <v>0</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150</v>
      </c>
      <c r="O100" s="5">
        <f ca="1">SUM(OFFSET(Demand!$E109,0,(COLUMN(B97)-1)*5,1,3))*O$2</f>
        <v>400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550</v>
      </c>
      <c r="Y100">
        <f t="shared" ca="1" si="38"/>
        <v>550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550</v>
      </c>
      <c r="AM100" s="5">
        <f t="shared" ca="1" si="41"/>
        <v>0</v>
      </c>
      <c r="AN100" s="5" t="str">
        <f>IF(Demand!BE109="Yes","Yes","")</f>
        <v/>
      </c>
      <c r="AP100" s="36" t="str">
        <f ca="1">Demand!B109</f>
        <v xml:space="preserve"> </v>
      </c>
      <c r="AQ100" t="str">
        <f ca="1">IF(TEXT(Demand!D109,"MMM")&lt;&gt;TEXT(Demand!D108,"MMM"),TEXT(Demand!D109,"MMM"),"")</f>
        <v/>
      </c>
      <c r="AT100" s="5">
        <f t="shared" ca="1" si="42"/>
        <v>80</v>
      </c>
      <c r="BQ100">
        <f ca="1">IF($AN100="",OFFSET(Demand!$A$13,ROW(A97)-1,4+((QUOTIENT(COLUMN(BQ$2)-69,3))*5)+MOD(COLUMN(BQ$2),3),1,1),"")</f>
        <v>0</v>
      </c>
      <c r="BR100">
        <f ca="1">IF($AN100="",OFFSET(Demand!$A$13,ROW(B97)-1,4+((QUOTIENT(COLUMN(BR$2)-69,3))*5)+MOD(COLUMN(BR$2),3),1,1),"")</f>
        <v>2</v>
      </c>
      <c r="BS100">
        <f ca="1">IF($AN100="",OFFSET(Demand!$A$13,ROW(C97)-1,4+((QUOTIENT(COLUMN(BS$2)-69,3))*5)+MOD(COLUMN(BS$2),3),1,1),"")</f>
        <v>3</v>
      </c>
      <c r="BT100">
        <f ca="1">IF($AN100="",OFFSET(Demand!$A$13,ROW(D97)-1,4+((QUOTIENT(COLUMN(BT$2)-69,3))*5)+MOD(COLUMN(BT$2),3),1,1),"")</f>
        <v>0</v>
      </c>
      <c r="BU100">
        <f ca="1">IF($AN100="",OFFSET(Demand!$A$13,ROW(E97)-1,4+((QUOTIENT(COLUMN(BU$2)-69,3))*5)+MOD(COLUMN(BU$2),3),1,1),"")</f>
        <v>1</v>
      </c>
      <c r="BV100">
        <f ca="1">IF($AN100="",OFFSET(Demand!$A$13,ROW(F97)-1,4+((QUOTIENT(COLUMN(BV$2)-69,3))*5)+MOD(COLUMN(BV$2),3),1,1),"")</f>
        <v>9</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0</v>
      </c>
      <c r="B101" s="5">
        <f ca="1">COUNTBLANK(OFFSET(Demand!$I110,0,(COLUMN(A98)-1)*5,1,1))</f>
        <v>0</v>
      </c>
      <c r="C101" s="5">
        <f ca="1">COUNTBLANK(OFFSET(Demand!$I110,0,(COLUMN(B98)-1)*5,1,1))</f>
        <v>0</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150</v>
      </c>
      <c r="O101" s="5">
        <f ca="1">SUM(OFFSET(Demand!$E110,0,(COLUMN(B98)-1)*5,1,3))*O$2</f>
        <v>200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350</v>
      </c>
      <c r="Y101">
        <f t="shared" ca="1" si="38"/>
        <v>350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350</v>
      </c>
      <c r="AM101" s="5">
        <f t="shared" ca="1" si="41"/>
        <v>0</v>
      </c>
      <c r="AN101" s="5" t="str">
        <f>IF(Demand!BE110="Yes","Yes","")</f>
        <v/>
      </c>
      <c r="AP101" s="36" t="str">
        <f ca="1">Demand!B110</f>
        <v xml:space="preserve"> </v>
      </c>
      <c r="AQ101" t="str">
        <f ca="1">IF(TEXT(Demand!D110,"MMM")&lt;&gt;TEXT(Demand!D109,"MMM"),TEXT(Demand!D110,"MMM"),"")</f>
        <v>Feb</v>
      </c>
      <c r="AT101" s="5">
        <f t="shared" ca="1" si="42"/>
        <v>200</v>
      </c>
      <c r="BQ101">
        <f ca="1">IF($AN101="",OFFSET(Demand!$A$13,ROW(A98)-1,4+((QUOTIENT(COLUMN(BQ$2)-69,3))*5)+MOD(COLUMN(BQ$2),3),1,1),"")</f>
        <v>0</v>
      </c>
      <c r="BR101">
        <f ca="1">IF($AN101="",OFFSET(Demand!$A$13,ROW(B98)-1,4+((QUOTIENT(COLUMN(BR$2)-69,3))*5)+MOD(COLUMN(BR$2),3),1,1),"")</f>
        <v>1</v>
      </c>
      <c r="BS101">
        <f ca="1">IF($AN101="",OFFSET(Demand!$A$13,ROW(C98)-1,4+((QUOTIENT(COLUMN(BS$2)-69,3))*5)+MOD(COLUMN(BS$2),3),1,1),"")</f>
        <v>4</v>
      </c>
      <c r="BT101">
        <f ca="1">IF($AN101="",OFFSET(Demand!$A$13,ROW(D98)-1,4+((QUOTIENT(COLUMN(BT$2)-69,3))*5)+MOD(COLUMN(BT$2),3),1,1),"")</f>
        <v>0</v>
      </c>
      <c r="BU101">
        <f ca="1">IF($AN101="",OFFSET(Demand!$A$13,ROW(E98)-1,4+((QUOTIENT(COLUMN(BU$2)-69,3))*5)+MOD(COLUMN(BU$2),3),1,1),"")</f>
        <v>1</v>
      </c>
      <c r="BV101">
        <f ca="1">IF($AN101="",OFFSET(Demand!$A$13,ROW(F98)-1,4+((QUOTIENT(COLUMN(BV$2)-69,3))*5)+MOD(COLUMN(BV$2),3),1,1),"")</f>
        <v>4</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0</v>
      </c>
      <c r="B102" s="5">
        <f ca="1">COUNTBLANK(OFFSET(Demand!$I111,0,(COLUMN(A99)-1)*5,1,1))</f>
        <v>0</v>
      </c>
      <c r="C102" s="5">
        <f ca="1">COUNTBLANK(OFFSET(Demand!$I111,0,(COLUMN(B99)-1)*5,1,1))</f>
        <v>0</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90</v>
      </c>
      <c r="O102" s="5">
        <f ca="1">SUM(OFFSET(Demand!$E111,0,(COLUMN(B99)-1)*5,1,3))*O$2</f>
        <v>320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410</v>
      </c>
      <c r="Y102">
        <f t="shared" ca="1" si="38"/>
        <v>410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410</v>
      </c>
      <c r="AM102" s="5">
        <f t="shared" ca="1" si="41"/>
        <v>0</v>
      </c>
      <c r="AN102" s="5" t="str">
        <f>IF(Demand!BE111="Yes","Yes","")</f>
        <v/>
      </c>
      <c r="AP102" s="36" t="str">
        <f ca="1">Demand!B111</f>
        <v xml:space="preserve"> </v>
      </c>
      <c r="AQ102" t="str">
        <f ca="1">IF(TEXT(Demand!D111,"MMM")&lt;&gt;TEXT(Demand!D110,"MMM"),TEXT(Demand!D111,"MMM"),"")</f>
        <v/>
      </c>
      <c r="AT102" s="5">
        <f t="shared" ca="1" si="42"/>
        <v>60</v>
      </c>
      <c r="BQ102">
        <f ca="1">IF($AN102="",OFFSET(Demand!$A$13,ROW(A99)-1,4+((QUOTIENT(COLUMN(BQ$2)-69,3))*5)+MOD(COLUMN(BQ$2),3),1,1),"")</f>
        <v>0</v>
      </c>
      <c r="BR102">
        <f ca="1">IF($AN102="",OFFSET(Demand!$A$13,ROW(B99)-1,4+((QUOTIENT(COLUMN(BR$2)-69,3))*5)+MOD(COLUMN(BR$2),3),1,1),"")</f>
        <v>0</v>
      </c>
      <c r="BS102">
        <f ca="1">IF($AN102="",OFFSET(Demand!$A$13,ROW(C99)-1,4+((QUOTIENT(COLUMN(BS$2)-69,3))*5)+MOD(COLUMN(BS$2),3),1,1),"")</f>
        <v>3</v>
      </c>
      <c r="BT102">
        <f ca="1">IF($AN102="",OFFSET(Demand!$A$13,ROW(D99)-1,4+((QUOTIENT(COLUMN(BT$2)-69,3))*5)+MOD(COLUMN(BT$2),3),1,1),"")</f>
        <v>0</v>
      </c>
      <c r="BU102">
        <f ca="1">IF($AN102="",OFFSET(Demand!$A$13,ROW(E99)-1,4+((QUOTIENT(COLUMN(BU$2)-69,3))*5)+MOD(COLUMN(BU$2),3),1,1),"")</f>
        <v>4</v>
      </c>
      <c r="BV102">
        <f ca="1">IF($AN102="",OFFSET(Demand!$A$13,ROW(F99)-1,4+((QUOTIENT(COLUMN(BV$2)-69,3))*5)+MOD(COLUMN(BV$2),3),1,1),"")</f>
        <v>4</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0</v>
      </c>
      <c r="B103" s="5">
        <f ca="1">COUNTBLANK(OFFSET(Demand!$I112,0,(COLUMN(A100)-1)*5,1,1))</f>
        <v>0</v>
      </c>
      <c r="C103" s="5">
        <f ca="1">COUNTBLANK(OFFSET(Demand!$I112,0,(COLUMN(B100)-1)*5,1,1))</f>
        <v>0</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90</v>
      </c>
      <c r="O103" s="5">
        <f ca="1">SUM(OFFSET(Demand!$E112,0,(COLUMN(B100)-1)*5,1,3))*O$2</f>
        <v>360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450</v>
      </c>
      <c r="Y103">
        <f t="shared" ca="1" si="38"/>
        <v>450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450</v>
      </c>
      <c r="AM103" s="5">
        <f t="shared" ca="1" si="41"/>
        <v>0</v>
      </c>
      <c r="AN103" s="5" t="str">
        <f>IF(Demand!BE112="Yes","Yes","")</f>
        <v/>
      </c>
      <c r="AP103" s="36" t="str">
        <f ca="1">Demand!B112</f>
        <v xml:space="preserve"> </v>
      </c>
      <c r="AQ103" t="str">
        <f ca="1">IF(TEXT(Demand!D112,"MMM")&lt;&gt;TEXT(Demand!D111,"MMM"),TEXT(Demand!D112,"MMM"),"")</f>
        <v/>
      </c>
      <c r="AT103" s="5">
        <f t="shared" ca="1" si="42"/>
        <v>40</v>
      </c>
      <c r="BQ103">
        <f ca="1">IF($AN103="",OFFSET(Demand!$A$13,ROW(A100)-1,4+((QUOTIENT(COLUMN(BQ$2)-69,3))*5)+MOD(COLUMN(BQ$2),3),1,1),"")</f>
        <v>0</v>
      </c>
      <c r="BR103">
        <f ca="1">IF($AN103="",OFFSET(Demand!$A$13,ROW(B100)-1,4+((QUOTIENT(COLUMN(BR$2)-69,3))*5)+MOD(COLUMN(BR$2),3),1,1),"")</f>
        <v>0</v>
      </c>
      <c r="BS103">
        <f ca="1">IF($AN103="",OFFSET(Demand!$A$13,ROW(C100)-1,4+((QUOTIENT(COLUMN(BS$2)-69,3))*5)+MOD(COLUMN(BS$2),3),1,1),"")</f>
        <v>3</v>
      </c>
      <c r="BT103">
        <f ca="1">IF($AN103="",OFFSET(Demand!$A$13,ROW(D100)-1,4+((QUOTIENT(COLUMN(BT$2)-69,3))*5)+MOD(COLUMN(BT$2),3),1,1),"")</f>
        <v>0</v>
      </c>
      <c r="BU103">
        <f ca="1">IF($AN103="",OFFSET(Demand!$A$13,ROW(E100)-1,4+((QUOTIENT(COLUMN(BU$2)-69,3))*5)+MOD(COLUMN(BU$2),3),1,1),"")</f>
        <v>2</v>
      </c>
      <c r="BV103">
        <f ca="1">IF($AN103="",OFFSET(Demand!$A$13,ROW(F100)-1,4+((QUOTIENT(COLUMN(BV$2)-69,3))*5)+MOD(COLUMN(BV$2),3),1,1),"")</f>
        <v>7</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0</v>
      </c>
      <c r="B104" s="5">
        <f ca="1">COUNTBLANK(OFFSET(Demand!$I113,0,(COLUMN(A101)-1)*5,1,1))</f>
        <v>0</v>
      </c>
      <c r="C104" s="5">
        <f ca="1">COUNTBLANK(OFFSET(Demand!$I113,0,(COLUMN(B101)-1)*5,1,1))</f>
        <v>0</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30</v>
      </c>
      <c r="O104" s="5">
        <f ca="1">SUM(OFFSET(Demand!$E113,0,(COLUMN(B101)-1)*5,1,3))*O$2</f>
        <v>240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270</v>
      </c>
      <c r="Y104">
        <f t="shared" ca="1" si="38"/>
        <v>270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270</v>
      </c>
      <c r="AM104" s="5">
        <f t="shared" ca="1" si="41"/>
        <v>0</v>
      </c>
      <c r="AN104" s="5" t="str">
        <f>IF(Demand!BE113="Yes","Yes","")</f>
        <v/>
      </c>
      <c r="AP104" s="36" t="str">
        <f ca="1">Demand!B113</f>
        <v xml:space="preserve"> </v>
      </c>
      <c r="AQ104" t="str">
        <f ca="1">IF(TEXT(Demand!D113,"MMM")&lt;&gt;TEXT(Demand!D112,"MMM"),TEXT(Demand!D113,"MMM"),"")</f>
        <v/>
      </c>
      <c r="AT104" s="5">
        <f t="shared" ca="1" si="42"/>
        <v>180</v>
      </c>
      <c r="BQ104">
        <f ca="1">IF($AN104="",OFFSET(Demand!$A$13,ROW(A101)-1,4+((QUOTIENT(COLUMN(BQ$2)-69,3))*5)+MOD(COLUMN(BQ$2),3),1,1),"")</f>
        <v>0</v>
      </c>
      <c r="BR104">
        <f ca="1">IF($AN104="",OFFSET(Demand!$A$13,ROW(B101)-1,4+((QUOTIENT(COLUMN(BR$2)-69,3))*5)+MOD(COLUMN(BR$2),3),1,1),"")</f>
        <v>1</v>
      </c>
      <c r="BS104">
        <f ca="1">IF($AN104="",OFFSET(Demand!$A$13,ROW(C101)-1,4+((QUOTIENT(COLUMN(BS$2)-69,3))*5)+MOD(COLUMN(BS$2),3),1,1),"")</f>
        <v>0</v>
      </c>
      <c r="BT104">
        <f ca="1">IF($AN104="",OFFSET(Demand!$A$13,ROW(D101)-1,4+((QUOTIENT(COLUMN(BT$2)-69,3))*5)+MOD(COLUMN(BT$2),3),1,1),"")</f>
        <v>0</v>
      </c>
      <c r="BU104">
        <f ca="1">IF($AN104="",OFFSET(Demand!$A$13,ROW(E101)-1,4+((QUOTIENT(COLUMN(BU$2)-69,3))*5)+MOD(COLUMN(BU$2),3),1,1),"")</f>
        <v>1</v>
      </c>
      <c r="BV104">
        <f ca="1">IF($AN104="",OFFSET(Demand!$A$13,ROW(F101)-1,4+((QUOTIENT(COLUMN(BV$2)-69,3))*5)+MOD(COLUMN(BV$2),3),1,1),"")</f>
        <v>5</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0</v>
      </c>
      <c r="B105" s="5">
        <f ca="1">COUNTBLANK(OFFSET(Demand!$I114,0,(COLUMN(A102)-1)*5,1,1))</f>
        <v>0</v>
      </c>
      <c r="C105" s="5">
        <f ca="1">COUNTBLANK(OFFSET(Demand!$I114,0,(COLUMN(B102)-1)*5,1,1))</f>
        <v>0</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60</v>
      </c>
      <c r="O105" s="5">
        <f ca="1">SUM(OFFSET(Demand!$E114,0,(COLUMN(B102)-1)*5,1,3))*O$2</f>
        <v>720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780</v>
      </c>
      <c r="Y105">
        <f t="shared" ca="1" si="38"/>
        <v>780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780</v>
      </c>
      <c r="AM105" s="5">
        <f t="shared" ca="1" si="41"/>
        <v>0</v>
      </c>
      <c r="AN105" s="5" t="str">
        <f>IF(Demand!BE114="Yes","Yes","")</f>
        <v/>
      </c>
      <c r="AP105" s="36" t="str">
        <f ca="1">Demand!B114</f>
        <v xml:space="preserve"> </v>
      </c>
      <c r="AQ105" t="str">
        <f ca="1">IF(TEXT(Demand!D114,"MMM")&lt;&gt;TEXT(Demand!D113,"MMM"),TEXT(Demand!D114,"MMM"),"")</f>
        <v>Mar</v>
      </c>
      <c r="AT105" s="5">
        <f t="shared" ca="1" si="42"/>
        <v>510</v>
      </c>
      <c r="BQ105">
        <f ca="1">IF($AN105="",OFFSET(Demand!$A$13,ROW(A102)-1,4+((QUOTIENT(COLUMN(BQ$2)-69,3))*5)+MOD(COLUMN(BQ$2),3),1,1),"")</f>
        <v>0</v>
      </c>
      <c r="BR105">
        <f ca="1">IF($AN105="",OFFSET(Demand!$A$13,ROW(B102)-1,4+((QUOTIENT(COLUMN(BR$2)-69,3))*5)+MOD(COLUMN(BR$2),3),1,1),"")</f>
        <v>1</v>
      </c>
      <c r="BS105">
        <f ca="1">IF($AN105="",OFFSET(Demand!$A$13,ROW(C102)-1,4+((QUOTIENT(COLUMN(BS$2)-69,3))*5)+MOD(COLUMN(BS$2),3),1,1),"")</f>
        <v>1</v>
      </c>
      <c r="BT105">
        <f ca="1">IF($AN105="",OFFSET(Demand!$A$13,ROW(D102)-1,4+((QUOTIENT(COLUMN(BT$2)-69,3))*5)+MOD(COLUMN(BT$2),3),1,1),"")</f>
        <v>0</v>
      </c>
      <c r="BU105">
        <f ca="1">IF($AN105="",OFFSET(Demand!$A$13,ROW(E102)-1,4+((QUOTIENT(COLUMN(BU$2)-69,3))*5)+MOD(COLUMN(BU$2),3),1,1),"")</f>
        <v>2</v>
      </c>
      <c r="BV105">
        <f ca="1">IF($AN105="",OFFSET(Demand!$A$13,ROW(F102)-1,4+((QUOTIENT(COLUMN(BV$2)-69,3))*5)+MOD(COLUMN(BV$2),3),1,1),"")</f>
        <v>16</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0</v>
      </c>
      <c r="B106" s="5">
        <f ca="1">COUNTBLANK(OFFSET(Demand!$I115,0,(COLUMN(A103)-1)*5,1,1))</f>
        <v>0</v>
      </c>
      <c r="C106" s="5">
        <f ca="1">COUNTBLANK(OFFSET(Demand!$I115,0,(COLUMN(B103)-1)*5,1,1))</f>
        <v>0</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300</v>
      </c>
      <c r="O106" s="5">
        <f ca="1">SUM(OFFSET(Demand!$E115,0,(COLUMN(B103)-1)*5,1,3))*O$2</f>
        <v>440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740</v>
      </c>
      <c r="Y106">
        <f t="shared" ca="1" si="38"/>
        <v>740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740</v>
      </c>
      <c r="AM106" s="5">
        <f t="shared" ca="1" si="41"/>
        <v>0</v>
      </c>
      <c r="AN106" s="5" t="str">
        <f>IF(Demand!BE115="Yes","Yes","")</f>
        <v/>
      </c>
      <c r="AP106" s="36" t="str">
        <f ca="1">Demand!B115</f>
        <v xml:space="preserve"> </v>
      </c>
      <c r="AQ106" t="str">
        <f ca="1">IF(TEXT(Demand!D115,"MMM")&lt;&gt;TEXT(Demand!D114,"MMM"),TEXT(Demand!D115,"MMM"),"")</f>
        <v/>
      </c>
      <c r="AT106" s="5">
        <f t="shared" ca="1" si="42"/>
        <v>40</v>
      </c>
      <c r="BQ106">
        <f ca="1">IF($AN106="",OFFSET(Demand!$A$13,ROW(A103)-1,4+((QUOTIENT(COLUMN(BQ$2)-69,3))*5)+MOD(COLUMN(BQ$2),3),1,1),"")</f>
        <v>0</v>
      </c>
      <c r="BR106">
        <f ca="1">IF($AN106="",OFFSET(Demand!$A$13,ROW(B103)-1,4+((QUOTIENT(COLUMN(BR$2)-69,3))*5)+MOD(COLUMN(BR$2),3),1,1),"")</f>
        <v>0</v>
      </c>
      <c r="BS106">
        <f ca="1">IF($AN106="",OFFSET(Demand!$A$13,ROW(C103)-1,4+((QUOTIENT(COLUMN(BS$2)-69,3))*5)+MOD(COLUMN(BS$2),3),1,1),"")</f>
        <v>10</v>
      </c>
      <c r="BT106">
        <f ca="1">IF($AN106="",OFFSET(Demand!$A$13,ROW(D103)-1,4+((QUOTIENT(COLUMN(BT$2)-69,3))*5)+MOD(COLUMN(BT$2),3),1,1),"")</f>
        <v>0</v>
      </c>
      <c r="BU106">
        <f ca="1">IF($AN106="",OFFSET(Demand!$A$13,ROW(E103)-1,4+((QUOTIENT(COLUMN(BU$2)-69,3))*5)+MOD(COLUMN(BU$2),3),1,1),"")</f>
        <v>5</v>
      </c>
      <c r="BV106">
        <f ca="1">IF($AN106="",OFFSET(Demand!$A$13,ROW(F103)-1,4+((QUOTIENT(COLUMN(BV$2)-69,3))*5)+MOD(COLUMN(BV$2),3),1,1),"")</f>
        <v>6</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0</v>
      </c>
      <c r="B107" s="5">
        <f ca="1">COUNTBLANK(OFFSET(Demand!$I116,0,(COLUMN(A104)-1)*5,1,1))</f>
        <v>0</v>
      </c>
      <c r="C107" s="5">
        <f ca="1">COUNTBLANK(OFFSET(Demand!$I116,0,(COLUMN(B104)-1)*5,1,1))</f>
        <v>0</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150</v>
      </c>
      <c r="O107" s="5">
        <f ca="1">SUM(OFFSET(Demand!$E116,0,(COLUMN(B104)-1)*5,1,3))*O$2</f>
        <v>360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510</v>
      </c>
      <c r="Y107">
        <f t="shared" ca="1" si="38"/>
        <v>510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510</v>
      </c>
      <c r="AM107" s="5">
        <f t="shared" ca="1" si="41"/>
        <v>0</v>
      </c>
      <c r="AN107" s="5" t="str">
        <f>IF(Demand!BE116="Yes","Yes","")</f>
        <v/>
      </c>
      <c r="AP107" s="36" t="str">
        <f ca="1">Demand!B116</f>
        <v xml:space="preserve"> </v>
      </c>
      <c r="AQ107" t="str">
        <f ca="1">IF(TEXT(Demand!D116,"MMM")&lt;&gt;TEXT(Demand!D115,"MMM"),TEXT(Demand!D116,"MMM"),"")</f>
        <v/>
      </c>
      <c r="AT107" s="5">
        <f t="shared" ca="1" si="42"/>
        <v>230</v>
      </c>
      <c r="BQ107">
        <f ca="1">IF($AN107="",OFFSET(Demand!$A$13,ROW(A104)-1,4+((QUOTIENT(COLUMN(BQ$2)-69,3))*5)+MOD(COLUMN(BQ$2),3),1,1),"")</f>
        <v>0</v>
      </c>
      <c r="BR107">
        <f ca="1">IF($AN107="",OFFSET(Demand!$A$13,ROW(B104)-1,4+((QUOTIENT(COLUMN(BR$2)-69,3))*5)+MOD(COLUMN(BR$2),3),1,1),"")</f>
        <v>1</v>
      </c>
      <c r="BS107">
        <f ca="1">IF($AN107="",OFFSET(Demand!$A$13,ROW(C104)-1,4+((QUOTIENT(COLUMN(BS$2)-69,3))*5)+MOD(COLUMN(BS$2),3),1,1),"")</f>
        <v>4</v>
      </c>
      <c r="BT107">
        <f ca="1">IF($AN107="",OFFSET(Demand!$A$13,ROW(D104)-1,4+((QUOTIENT(COLUMN(BT$2)-69,3))*5)+MOD(COLUMN(BT$2),3),1,1),"")</f>
        <v>0</v>
      </c>
      <c r="BU107">
        <f ca="1">IF($AN107="",OFFSET(Demand!$A$13,ROW(E104)-1,4+((QUOTIENT(COLUMN(BU$2)-69,3))*5)+MOD(COLUMN(BU$2),3),1,1),"")</f>
        <v>3</v>
      </c>
      <c r="BV107">
        <f ca="1">IF($AN107="",OFFSET(Demand!$A$13,ROW(F104)-1,4+((QUOTIENT(COLUMN(BV$2)-69,3))*5)+MOD(COLUMN(BV$2),3),1,1),"")</f>
        <v>6</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0</v>
      </c>
      <c r="B108" s="5">
        <f ca="1">COUNTBLANK(OFFSET(Demand!$I117,0,(COLUMN(A105)-1)*5,1,1))</f>
        <v>0</v>
      </c>
      <c r="C108" s="5">
        <f ca="1">COUNTBLANK(OFFSET(Demand!$I117,0,(COLUMN(B105)-1)*5,1,1))</f>
        <v>0</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150</v>
      </c>
      <c r="O108" s="5">
        <f ca="1">SUM(OFFSET(Demand!$E117,0,(COLUMN(B105)-1)*5,1,3))*O$2</f>
        <v>240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390</v>
      </c>
      <c r="Y108">
        <f t="shared" ca="1" si="38"/>
        <v>390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390</v>
      </c>
      <c r="AM108" s="5">
        <f t="shared" ca="1" si="41"/>
        <v>0</v>
      </c>
      <c r="AN108" s="5" t="str">
        <f>IF(Demand!BE117="Yes","Yes","")</f>
        <v/>
      </c>
      <c r="AP108" s="36" t="str">
        <f ca="1">Demand!B117</f>
        <v xml:space="preserve"> </v>
      </c>
      <c r="AQ108" t="str">
        <f ca="1">IF(TEXT(Demand!D117,"MMM")&lt;&gt;TEXT(Demand!D116,"MMM"),TEXT(Demand!D117,"MMM"),"")</f>
        <v/>
      </c>
      <c r="AT108" s="5">
        <f t="shared" ca="1" si="42"/>
        <v>120</v>
      </c>
      <c r="BQ108">
        <f ca="1">IF($AN108="",OFFSET(Demand!$A$13,ROW(A105)-1,4+((QUOTIENT(COLUMN(BQ$2)-69,3))*5)+MOD(COLUMN(BQ$2),3),1,1),"")</f>
        <v>0</v>
      </c>
      <c r="BR108">
        <f ca="1">IF($AN108="",OFFSET(Demand!$A$13,ROW(B105)-1,4+((QUOTIENT(COLUMN(BR$2)-69,3))*5)+MOD(COLUMN(BR$2),3),1,1),"")</f>
        <v>1</v>
      </c>
      <c r="BS108">
        <f ca="1">IF($AN108="",OFFSET(Demand!$A$13,ROW(C105)-1,4+((QUOTIENT(COLUMN(BS$2)-69,3))*5)+MOD(COLUMN(BS$2),3),1,1),"")</f>
        <v>4</v>
      </c>
      <c r="BT108">
        <f ca="1">IF($AN108="",OFFSET(Demand!$A$13,ROW(D105)-1,4+((QUOTIENT(COLUMN(BT$2)-69,3))*5)+MOD(COLUMN(BT$2),3),1,1),"")</f>
        <v>0</v>
      </c>
      <c r="BU108">
        <f ca="1">IF($AN108="",OFFSET(Demand!$A$13,ROW(E105)-1,4+((QUOTIENT(COLUMN(BU$2)-69,3))*5)+MOD(COLUMN(BU$2),3),1,1),"")</f>
        <v>1</v>
      </c>
      <c r="BV108">
        <f ca="1">IF($AN108="",OFFSET(Demand!$A$13,ROW(F105)-1,4+((QUOTIENT(COLUMN(BV$2)-69,3))*5)+MOD(COLUMN(BV$2),3),1,1),"")</f>
        <v>5</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0</v>
      </c>
      <c r="B109" s="5">
        <f ca="1">COUNTBLANK(OFFSET(Demand!$I118,0,(COLUMN(A106)-1)*5,1,1))</f>
        <v>0</v>
      </c>
      <c r="C109" s="5">
        <f ca="1">COUNTBLANK(OFFSET(Demand!$I118,0,(COLUMN(B106)-1)*5,1,1))</f>
        <v>0</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30</v>
      </c>
      <c r="O109" s="5">
        <f ca="1">SUM(OFFSET(Demand!$E118,0,(COLUMN(B106)-1)*5,1,3))*O$2</f>
        <v>240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270</v>
      </c>
      <c r="Y109">
        <f t="shared" ca="1" si="38"/>
        <v>270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270</v>
      </c>
      <c r="AM109" s="5">
        <f t="shared" ca="1" si="41"/>
        <v>0</v>
      </c>
      <c r="AN109" s="5" t="str">
        <f>IF(Demand!BE118="Yes","Yes","")</f>
        <v/>
      </c>
      <c r="AP109" s="36" t="str">
        <f ca="1">Demand!B118</f>
        <v xml:space="preserve"> </v>
      </c>
      <c r="AQ109" t="str">
        <f ca="1">IF(TEXT(Demand!D118,"MMM")&lt;&gt;TEXT(Demand!D117,"MMM"),TEXT(Demand!D118,"MMM"),"")</f>
        <v>Apr</v>
      </c>
      <c r="AT109" s="5">
        <f t="shared" ca="1" si="42"/>
        <v>120</v>
      </c>
      <c r="BQ109">
        <f ca="1">IF($AN109="",OFFSET(Demand!$A$13,ROW(A106)-1,4+((QUOTIENT(COLUMN(BQ$2)-69,3))*5)+MOD(COLUMN(BQ$2),3),1,1),"")</f>
        <v>0</v>
      </c>
      <c r="BR109">
        <f ca="1">IF($AN109="",OFFSET(Demand!$A$13,ROW(B106)-1,4+((QUOTIENT(COLUMN(BR$2)-69,3))*5)+MOD(COLUMN(BR$2),3),1,1),"")</f>
        <v>0</v>
      </c>
      <c r="BS109">
        <f ca="1">IF($AN109="",OFFSET(Demand!$A$13,ROW(C106)-1,4+((QUOTIENT(COLUMN(BS$2)-69,3))*5)+MOD(COLUMN(BS$2),3),1,1),"")</f>
        <v>1</v>
      </c>
      <c r="BT109">
        <f ca="1">IF($AN109="",OFFSET(Demand!$A$13,ROW(D106)-1,4+((QUOTIENT(COLUMN(BT$2)-69,3))*5)+MOD(COLUMN(BT$2),3),1,1),"")</f>
        <v>0</v>
      </c>
      <c r="BU109">
        <f ca="1">IF($AN109="",OFFSET(Demand!$A$13,ROW(E106)-1,4+((QUOTIENT(COLUMN(BU$2)-69,3))*5)+MOD(COLUMN(BU$2),3),1,1),"")</f>
        <v>2</v>
      </c>
      <c r="BV109">
        <f ca="1">IF($AN109="",OFFSET(Demand!$A$13,ROW(F106)-1,4+((QUOTIENT(COLUMN(BV$2)-69,3))*5)+MOD(COLUMN(BV$2),3),1,1),"")</f>
        <v>4</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0</v>
      </c>
      <c r="B110" s="5">
        <f ca="1">COUNTBLANK(OFFSET(Demand!$I119,0,(COLUMN(A107)-1)*5,1,1))</f>
        <v>0</v>
      </c>
      <c r="C110" s="5">
        <f ca="1">COUNTBLANK(OFFSET(Demand!$I119,0,(COLUMN(B107)-1)*5,1,1))</f>
        <v>0</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210</v>
      </c>
      <c r="O110" s="5">
        <f ca="1">SUM(OFFSET(Demand!$E119,0,(COLUMN(B107)-1)*5,1,3))*O$2</f>
        <v>360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570</v>
      </c>
      <c r="Y110">
        <f t="shared" ca="1" si="38"/>
        <v>570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570</v>
      </c>
      <c r="AM110" s="5">
        <f t="shared" ca="1" si="41"/>
        <v>0</v>
      </c>
      <c r="AN110" s="5" t="str">
        <f>IF(Demand!BE119="Yes","Yes","")</f>
        <v/>
      </c>
      <c r="AP110" s="36" t="str">
        <f ca="1">Demand!B119</f>
        <v xml:space="preserve"> </v>
      </c>
      <c r="AQ110" t="str">
        <f ca="1">IF(TEXT(Demand!D119,"MMM")&lt;&gt;TEXT(Demand!D118,"MMM"),TEXT(Demand!D119,"MMM"),"")</f>
        <v/>
      </c>
      <c r="AT110" s="5">
        <f t="shared" ca="1" si="42"/>
        <v>300</v>
      </c>
      <c r="BQ110">
        <f ca="1">IF($AN110="",OFFSET(Demand!$A$13,ROW(A107)-1,4+((QUOTIENT(COLUMN(BQ$2)-69,3))*5)+MOD(COLUMN(BQ$2),3),1,1),"")</f>
        <v>0</v>
      </c>
      <c r="BR110">
        <f ca="1">IF($AN110="",OFFSET(Demand!$A$13,ROW(B107)-1,4+((QUOTIENT(COLUMN(BR$2)-69,3))*5)+MOD(COLUMN(BR$2),3),1,1),"")</f>
        <v>3</v>
      </c>
      <c r="BS110">
        <f ca="1">IF($AN110="",OFFSET(Demand!$A$13,ROW(C107)-1,4+((QUOTIENT(COLUMN(BS$2)-69,3))*5)+MOD(COLUMN(BS$2),3),1,1),"")</f>
        <v>4</v>
      </c>
      <c r="BT110">
        <f ca="1">IF($AN110="",OFFSET(Demand!$A$13,ROW(D107)-1,4+((QUOTIENT(COLUMN(BT$2)-69,3))*5)+MOD(COLUMN(BT$2),3),1,1),"")</f>
        <v>0</v>
      </c>
      <c r="BU110">
        <f ca="1">IF($AN110="",OFFSET(Demand!$A$13,ROW(E107)-1,4+((QUOTIENT(COLUMN(BU$2)-69,3))*5)+MOD(COLUMN(BU$2),3),1,1),"")</f>
        <v>2</v>
      </c>
      <c r="BV110">
        <f ca="1">IF($AN110="",OFFSET(Demand!$A$13,ROW(F107)-1,4+((QUOTIENT(COLUMN(BV$2)-69,3))*5)+MOD(COLUMN(BV$2),3),1,1),"")</f>
        <v>7</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0</v>
      </c>
      <c r="B111" s="5">
        <f ca="1">COUNTBLANK(OFFSET(Demand!$I120,0,(COLUMN(A108)-1)*5,1,1))</f>
        <v>0</v>
      </c>
      <c r="C111" s="5">
        <f ca="1">COUNTBLANK(OFFSET(Demand!$I120,0,(COLUMN(B108)-1)*5,1,1))</f>
        <v>0</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90</v>
      </c>
      <c r="O111" s="5">
        <f ca="1">SUM(OFFSET(Demand!$E120,0,(COLUMN(B108)-1)*5,1,3))*O$2</f>
        <v>600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690</v>
      </c>
      <c r="Y111">
        <f t="shared" ca="1" si="38"/>
        <v>690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690</v>
      </c>
      <c r="AM111" s="5">
        <f t="shared" ca="1" si="41"/>
        <v>0</v>
      </c>
      <c r="AN111" s="5" t="str">
        <f>IF(Demand!BE120="Yes","Yes","")</f>
        <v/>
      </c>
      <c r="AP111" s="36" t="str">
        <f ca="1">Demand!B120</f>
        <v xml:space="preserve"> </v>
      </c>
      <c r="AQ111" t="str">
        <f ca="1">IF(TEXT(Demand!D120,"MMM")&lt;&gt;TEXT(Demand!D119,"MMM"),TEXT(Demand!D120,"MMM"),"")</f>
        <v/>
      </c>
      <c r="AT111" s="5">
        <f t="shared" ca="1" si="42"/>
        <v>120</v>
      </c>
      <c r="BQ111">
        <f ca="1">IF($AN111="",OFFSET(Demand!$A$13,ROW(A108)-1,4+((QUOTIENT(COLUMN(BQ$2)-69,3))*5)+MOD(COLUMN(BQ$2),3),1,1),"")</f>
        <v>0</v>
      </c>
      <c r="BR111">
        <f ca="1">IF($AN111="",OFFSET(Demand!$A$13,ROW(B108)-1,4+((QUOTIENT(COLUMN(BR$2)-69,3))*5)+MOD(COLUMN(BR$2),3),1,1),"")</f>
        <v>0</v>
      </c>
      <c r="BS111">
        <f ca="1">IF($AN111="",OFFSET(Demand!$A$13,ROW(C108)-1,4+((QUOTIENT(COLUMN(BS$2)-69,3))*5)+MOD(COLUMN(BS$2),3),1,1),"")</f>
        <v>3</v>
      </c>
      <c r="BT111">
        <f ca="1">IF($AN111="",OFFSET(Demand!$A$13,ROW(D108)-1,4+((QUOTIENT(COLUMN(BT$2)-69,3))*5)+MOD(COLUMN(BT$2),3),1,1),"")</f>
        <v>0</v>
      </c>
      <c r="BU111">
        <f ca="1">IF($AN111="",OFFSET(Demand!$A$13,ROW(E108)-1,4+((QUOTIENT(COLUMN(BU$2)-69,3))*5)+MOD(COLUMN(BU$2),3),1,1),"")</f>
        <v>4</v>
      </c>
      <c r="BV111">
        <f ca="1">IF($AN111="",OFFSET(Demand!$A$13,ROW(F108)-1,4+((QUOTIENT(COLUMN(BV$2)-69,3))*5)+MOD(COLUMN(BV$2),3),1,1),"")</f>
        <v>11</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0</v>
      </c>
      <c r="B112" s="5">
        <f ca="1">COUNTBLANK(OFFSET(Demand!$I121,0,(COLUMN(A109)-1)*5,1,1))</f>
        <v>0</v>
      </c>
      <c r="C112" s="5">
        <f ca="1">COUNTBLANK(OFFSET(Demand!$I121,0,(COLUMN(B109)-1)*5,1,1))</f>
        <v>0</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210</v>
      </c>
      <c r="O112" s="5">
        <f ca="1">SUM(OFFSET(Demand!$E121,0,(COLUMN(B109)-1)*5,1,3))*O$2</f>
        <v>200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410</v>
      </c>
      <c r="Y112">
        <f t="shared" ca="1" si="38"/>
        <v>410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410</v>
      </c>
      <c r="AM112" s="5">
        <f t="shared" ca="1" si="41"/>
        <v>0</v>
      </c>
      <c r="AN112" s="5" t="str">
        <f>IF(Demand!BE121="Yes","Yes","")</f>
        <v/>
      </c>
      <c r="AP112" s="36" t="str">
        <f ca="1">Demand!B121</f>
        <v xml:space="preserve"> </v>
      </c>
      <c r="AQ112" t="str">
        <f ca="1">IF(TEXT(Demand!D121,"MMM")&lt;&gt;TEXT(Demand!D120,"MMM"),TEXT(Demand!D121,"MMM"),"")</f>
        <v/>
      </c>
      <c r="AT112" s="5">
        <f t="shared" ca="1" si="42"/>
        <v>280</v>
      </c>
      <c r="BQ112">
        <f ca="1">IF($AN112="",OFFSET(Demand!$A$13,ROW(A109)-1,4+((QUOTIENT(COLUMN(BQ$2)-69,3))*5)+MOD(COLUMN(BQ$2),3),1,1),"")</f>
        <v>0</v>
      </c>
      <c r="BR112">
        <f ca="1">IF($AN112="",OFFSET(Demand!$A$13,ROW(B109)-1,4+((QUOTIENT(COLUMN(BR$2)-69,3))*5)+MOD(COLUMN(BR$2),3),1,1),"")</f>
        <v>3</v>
      </c>
      <c r="BS112">
        <f ca="1">IF($AN112="",OFFSET(Demand!$A$13,ROW(C109)-1,4+((QUOTIENT(COLUMN(BS$2)-69,3))*5)+MOD(COLUMN(BS$2),3),1,1),"")</f>
        <v>4</v>
      </c>
      <c r="BT112">
        <f ca="1">IF($AN112="",OFFSET(Demand!$A$13,ROW(D109)-1,4+((QUOTIENT(COLUMN(BT$2)-69,3))*5)+MOD(COLUMN(BT$2),3),1,1),"")</f>
        <v>0</v>
      </c>
      <c r="BU112">
        <f ca="1">IF($AN112="",OFFSET(Demand!$A$13,ROW(E109)-1,4+((QUOTIENT(COLUMN(BU$2)-69,3))*5)+MOD(COLUMN(BU$2),3),1,1),"")</f>
        <v>0</v>
      </c>
      <c r="BV112">
        <f ca="1">IF($AN112="",OFFSET(Demand!$A$13,ROW(F109)-1,4+((QUOTIENT(COLUMN(BV$2)-69,3))*5)+MOD(COLUMN(BV$2),3),1,1),"")</f>
        <v>5</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0</v>
      </c>
      <c r="B113" s="5">
        <f ca="1">COUNTBLANK(OFFSET(Demand!$I122,0,(COLUMN(A110)-1)*5,1,1))</f>
        <v>0</v>
      </c>
      <c r="C113" s="5">
        <f ca="1">COUNTBLANK(OFFSET(Demand!$I122,0,(COLUMN(B110)-1)*5,1,1))</f>
        <v>0</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120</v>
      </c>
      <c r="O113" s="5">
        <f ca="1">SUM(OFFSET(Demand!$E122,0,(COLUMN(B110)-1)*5,1,3))*O$2</f>
        <v>280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400</v>
      </c>
      <c r="Y113">
        <f t="shared" ca="1" si="38"/>
        <v>400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400</v>
      </c>
      <c r="AM113" s="5">
        <f t="shared" ca="1" si="41"/>
        <v>0</v>
      </c>
      <c r="AN113" s="5" t="str">
        <f>IF(Demand!BE122="Yes","Yes","")</f>
        <v/>
      </c>
      <c r="AP113" s="36" t="str">
        <f ca="1">Demand!B122</f>
        <v xml:space="preserve"> </v>
      </c>
      <c r="AQ113" t="str">
        <f ca="1">IF(TEXT(Demand!D122,"MMM")&lt;&gt;TEXT(Demand!D121,"MMM"),TEXT(Demand!D122,"MMM"),"")</f>
        <v/>
      </c>
      <c r="AT113" s="5">
        <f t="shared" ca="1" si="42"/>
        <v>10</v>
      </c>
      <c r="BQ113">
        <f ca="1">IF($AN113="",OFFSET(Demand!$A$13,ROW(A110)-1,4+((QUOTIENT(COLUMN(BQ$2)-69,3))*5)+MOD(COLUMN(BQ$2),3),1,1),"")</f>
        <v>0</v>
      </c>
      <c r="BR113">
        <f ca="1">IF($AN113="",OFFSET(Demand!$A$13,ROW(B110)-1,4+((QUOTIENT(COLUMN(BR$2)-69,3))*5)+MOD(COLUMN(BR$2),3),1,1),"")</f>
        <v>2</v>
      </c>
      <c r="BS113">
        <f ca="1">IF($AN113="",OFFSET(Demand!$A$13,ROW(C110)-1,4+((QUOTIENT(COLUMN(BS$2)-69,3))*5)+MOD(COLUMN(BS$2),3),1,1),"")</f>
        <v>2</v>
      </c>
      <c r="BT113">
        <f ca="1">IF($AN113="",OFFSET(Demand!$A$13,ROW(D110)-1,4+((QUOTIENT(COLUMN(BT$2)-69,3))*5)+MOD(COLUMN(BT$2),3),1,1),"")</f>
        <v>0</v>
      </c>
      <c r="BU113">
        <f ca="1">IF($AN113="",OFFSET(Demand!$A$13,ROW(E110)-1,4+((QUOTIENT(COLUMN(BU$2)-69,3))*5)+MOD(COLUMN(BU$2),3),1,1),"")</f>
        <v>1</v>
      </c>
      <c r="BV113">
        <f ca="1">IF($AN113="",OFFSET(Demand!$A$13,ROW(F110)-1,4+((QUOTIENT(COLUMN(BV$2)-69,3))*5)+MOD(COLUMN(BV$2),3),1,1),"")</f>
        <v>6</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0</v>
      </c>
      <c r="B114" s="5">
        <f ca="1">COUNTBLANK(OFFSET(Demand!$I123,0,(COLUMN(A111)-1)*5,1,1))</f>
        <v>0</v>
      </c>
      <c r="C114" s="5">
        <f ca="1">COUNTBLANK(OFFSET(Demand!$I123,0,(COLUMN(B111)-1)*5,1,1))</f>
        <v>0</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90</v>
      </c>
      <c r="O114" s="5">
        <f ca="1">SUM(OFFSET(Demand!$E123,0,(COLUMN(B111)-1)*5,1,3))*O$2</f>
        <v>560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650</v>
      </c>
      <c r="Y114">
        <f t="shared" ca="1" si="38"/>
        <v>650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650</v>
      </c>
      <c r="AM114" s="5">
        <f t="shared" ca="1" si="41"/>
        <v>0</v>
      </c>
      <c r="AN114" s="5" t="str">
        <f>IF(Demand!BE123="Yes","Yes","")</f>
        <v/>
      </c>
      <c r="AP114" s="36" t="str">
        <f ca="1">Demand!B123</f>
        <v xml:space="preserve"> </v>
      </c>
      <c r="AQ114" t="str">
        <f ca="1">IF(TEXT(Demand!D123,"MMM")&lt;&gt;TEXT(Demand!D122,"MMM"),TEXT(Demand!D123,"MMM"),"")</f>
        <v>May</v>
      </c>
      <c r="AT114" s="5">
        <f t="shared" ca="1" si="42"/>
        <v>250</v>
      </c>
      <c r="BQ114">
        <f ca="1">IF($AN114="",OFFSET(Demand!$A$13,ROW(A111)-1,4+((QUOTIENT(COLUMN(BQ$2)-69,3))*5)+MOD(COLUMN(BQ$2),3),1,1),"")</f>
        <v>0</v>
      </c>
      <c r="BR114">
        <f ca="1">IF($AN114="",OFFSET(Demand!$A$13,ROW(B111)-1,4+((QUOTIENT(COLUMN(BR$2)-69,3))*5)+MOD(COLUMN(BR$2),3),1,1),"")</f>
        <v>0</v>
      </c>
      <c r="BS114">
        <f ca="1">IF($AN114="",OFFSET(Demand!$A$13,ROW(C111)-1,4+((QUOTIENT(COLUMN(BS$2)-69,3))*5)+MOD(COLUMN(BS$2),3),1,1),"")</f>
        <v>3</v>
      </c>
      <c r="BT114">
        <f ca="1">IF($AN114="",OFFSET(Demand!$A$13,ROW(D111)-1,4+((QUOTIENT(COLUMN(BT$2)-69,3))*5)+MOD(COLUMN(BT$2),3),1,1),"")</f>
        <v>0</v>
      </c>
      <c r="BU114">
        <f ca="1">IF($AN114="",OFFSET(Demand!$A$13,ROW(E111)-1,4+((QUOTIENT(COLUMN(BU$2)-69,3))*5)+MOD(COLUMN(BU$2),3),1,1),"")</f>
        <v>7</v>
      </c>
      <c r="BV114">
        <f ca="1">IF($AN114="",OFFSET(Demand!$A$13,ROW(F111)-1,4+((QUOTIENT(COLUMN(BV$2)-69,3))*5)+MOD(COLUMN(BV$2),3),1,1),"")</f>
        <v>7</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0</v>
      </c>
      <c r="B115" s="5">
        <f ca="1">COUNTBLANK(OFFSET(Demand!$I124,0,(COLUMN(A112)-1)*5,1,1))</f>
        <v>0</v>
      </c>
      <c r="C115" s="5">
        <f ca="1">COUNTBLANK(OFFSET(Demand!$I124,0,(COLUMN(B112)-1)*5,1,1))</f>
        <v>0</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150</v>
      </c>
      <c r="O115" s="5">
        <f ca="1">SUM(OFFSET(Demand!$E124,0,(COLUMN(B112)-1)*5,1,3))*O$2</f>
        <v>320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470</v>
      </c>
      <c r="Y115">
        <f t="shared" ca="1" si="38"/>
        <v>470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470</v>
      </c>
      <c r="AM115" s="5">
        <f t="shared" ca="1" si="41"/>
        <v>0</v>
      </c>
      <c r="AN115" s="5" t="str">
        <f>IF(Demand!BE124="Yes","Yes","")</f>
        <v/>
      </c>
      <c r="AP115" s="36" t="str">
        <f ca="1">Demand!B124</f>
        <v xml:space="preserve"> </v>
      </c>
      <c r="AQ115" t="str">
        <f ca="1">IF(TEXT(Demand!D124,"MMM")&lt;&gt;TEXT(Demand!D123,"MMM"),TEXT(Demand!D124,"MMM"),"")</f>
        <v/>
      </c>
      <c r="AT115" s="5">
        <f t="shared" ca="1" si="42"/>
        <v>180</v>
      </c>
      <c r="BQ115">
        <f ca="1">IF($AN115="",OFFSET(Demand!$A$13,ROW(A112)-1,4+((QUOTIENT(COLUMN(BQ$2)-69,3))*5)+MOD(COLUMN(BQ$2),3),1,1),"")</f>
        <v>0</v>
      </c>
      <c r="BR115">
        <f ca="1">IF($AN115="",OFFSET(Demand!$A$13,ROW(B112)-1,4+((QUOTIENT(COLUMN(BR$2)-69,3))*5)+MOD(COLUMN(BR$2),3),1,1),"")</f>
        <v>1</v>
      </c>
      <c r="BS115">
        <f ca="1">IF($AN115="",OFFSET(Demand!$A$13,ROW(C112)-1,4+((QUOTIENT(COLUMN(BS$2)-69,3))*5)+MOD(COLUMN(BS$2),3),1,1),"")</f>
        <v>4</v>
      </c>
      <c r="BT115">
        <f ca="1">IF($AN115="",OFFSET(Demand!$A$13,ROW(D112)-1,4+((QUOTIENT(COLUMN(BT$2)-69,3))*5)+MOD(COLUMN(BT$2),3),1,1),"")</f>
        <v>0</v>
      </c>
      <c r="BU115">
        <f ca="1">IF($AN115="",OFFSET(Demand!$A$13,ROW(E112)-1,4+((QUOTIENT(COLUMN(BU$2)-69,3))*5)+MOD(COLUMN(BU$2),3),1,1),"")</f>
        <v>1</v>
      </c>
      <c r="BV115">
        <f ca="1">IF($AN115="",OFFSET(Demand!$A$13,ROW(F112)-1,4+((QUOTIENT(COLUMN(BV$2)-69,3))*5)+MOD(COLUMN(BV$2),3),1,1),"")</f>
        <v>7</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0</v>
      </c>
      <c r="B116" s="5">
        <f ca="1">COUNTBLANK(OFFSET(Demand!$I125,0,(COLUMN(A113)-1)*5,1,1))</f>
        <v>0</v>
      </c>
      <c r="C116" s="5">
        <f ca="1">COUNTBLANK(OFFSET(Demand!$I125,0,(COLUMN(B113)-1)*5,1,1))</f>
        <v>0</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90</v>
      </c>
      <c r="O116" s="5">
        <f ca="1">SUM(OFFSET(Demand!$E125,0,(COLUMN(B113)-1)*5,1,3))*O$2</f>
        <v>320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410</v>
      </c>
      <c r="Y116">
        <f t="shared" ca="1" si="38"/>
        <v>410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410</v>
      </c>
      <c r="AM116" s="5">
        <f t="shared" ca="1" si="41"/>
        <v>0</v>
      </c>
      <c r="AN116" s="5" t="str">
        <f>IF(Demand!BE125="Yes","Yes","")</f>
        <v/>
      </c>
      <c r="AP116" s="36" t="str">
        <f ca="1">Demand!B125</f>
        <v xml:space="preserve"> </v>
      </c>
      <c r="AQ116" t="str">
        <f ca="1">IF(TEXT(Demand!D125,"MMM")&lt;&gt;TEXT(Demand!D124,"MMM"),TEXT(Demand!D125,"MMM"),"")</f>
        <v/>
      </c>
      <c r="AT116" s="5">
        <f t="shared" ca="1" si="42"/>
        <v>60</v>
      </c>
      <c r="BQ116">
        <f ca="1">IF($AN116="",OFFSET(Demand!$A$13,ROW(A113)-1,4+((QUOTIENT(COLUMN(BQ$2)-69,3))*5)+MOD(COLUMN(BQ$2),3),1,1),"")</f>
        <v>0</v>
      </c>
      <c r="BR116">
        <f ca="1">IF($AN116="",OFFSET(Demand!$A$13,ROW(B113)-1,4+((QUOTIENT(COLUMN(BR$2)-69,3))*5)+MOD(COLUMN(BR$2),3),1,1),"")</f>
        <v>0</v>
      </c>
      <c r="BS116">
        <f ca="1">IF($AN116="",OFFSET(Demand!$A$13,ROW(C113)-1,4+((QUOTIENT(COLUMN(BS$2)-69,3))*5)+MOD(COLUMN(BS$2),3),1,1),"")</f>
        <v>3</v>
      </c>
      <c r="BT116">
        <f ca="1">IF($AN116="",OFFSET(Demand!$A$13,ROW(D113)-1,4+((QUOTIENT(COLUMN(BT$2)-69,3))*5)+MOD(COLUMN(BT$2),3),1,1),"")</f>
        <v>0</v>
      </c>
      <c r="BU116">
        <f ca="1">IF($AN116="",OFFSET(Demand!$A$13,ROW(E113)-1,4+((QUOTIENT(COLUMN(BU$2)-69,3))*5)+MOD(COLUMN(BU$2),3),1,1),"")</f>
        <v>2</v>
      </c>
      <c r="BV116">
        <f ca="1">IF($AN116="",OFFSET(Demand!$A$13,ROW(F113)-1,4+((QUOTIENT(COLUMN(BV$2)-69,3))*5)+MOD(COLUMN(BV$2),3),1,1),"")</f>
        <v>6</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0</v>
      </c>
      <c r="B117" s="5">
        <f ca="1">COUNTBLANK(OFFSET(Demand!$I126,0,(COLUMN(A114)-1)*5,1,1))</f>
        <v>0</v>
      </c>
      <c r="C117" s="5">
        <f ca="1">COUNTBLANK(OFFSET(Demand!$I126,0,(COLUMN(B114)-1)*5,1,1))</f>
        <v>0</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90</v>
      </c>
      <c r="O117" s="5">
        <f ca="1">SUM(OFFSET(Demand!$E126,0,(COLUMN(B114)-1)*5,1,3))*O$2</f>
        <v>280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370</v>
      </c>
      <c r="Y117">
        <f t="shared" ca="1" si="38"/>
        <v>370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370</v>
      </c>
      <c r="AM117" s="5">
        <f t="shared" ca="1" si="41"/>
        <v>0</v>
      </c>
      <c r="AN117" s="5" t="str">
        <f>IF(Demand!BE126="Yes","Yes","")</f>
        <v/>
      </c>
      <c r="AP117" s="36" t="str">
        <f ca="1">Demand!B126</f>
        <v xml:space="preserve"> </v>
      </c>
      <c r="AQ117" t="str">
        <f ca="1">IF(TEXT(Demand!D126,"MMM")&lt;&gt;TEXT(Demand!D125,"MMM"),TEXT(Demand!D126,"MMM"),"")</f>
        <v/>
      </c>
      <c r="AT117" s="5">
        <f t="shared" ca="1" si="42"/>
        <v>40</v>
      </c>
      <c r="BQ117">
        <f ca="1">IF($AN117="",OFFSET(Demand!$A$13,ROW(A114)-1,4+((QUOTIENT(COLUMN(BQ$2)-69,3))*5)+MOD(COLUMN(BQ$2),3),1,1),"")</f>
        <v>0</v>
      </c>
      <c r="BR117">
        <f ca="1">IF($AN117="",OFFSET(Demand!$A$13,ROW(B114)-1,4+((QUOTIENT(COLUMN(BR$2)-69,3))*5)+MOD(COLUMN(BR$2),3),1,1),"")</f>
        <v>0</v>
      </c>
      <c r="BS117">
        <f ca="1">IF($AN117="",OFFSET(Demand!$A$13,ROW(C114)-1,4+((QUOTIENT(COLUMN(BS$2)-69,3))*5)+MOD(COLUMN(BS$2),3),1,1),"")</f>
        <v>3</v>
      </c>
      <c r="BT117">
        <f ca="1">IF($AN117="",OFFSET(Demand!$A$13,ROW(D114)-1,4+((QUOTIENT(COLUMN(BT$2)-69,3))*5)+MOD(COLUMN(BT$2),3),1,1),"")</f>
        <v>0</v>
      </c>
      <c r="BU117">
        <f ca="1">IF($AN117="",OFFSET(Demand!$A$13,ROW(E114)-1,4+((QUOTIENT(COLUMN(BU$2)-69,3))*5)+MOD(COLUMN(BU$2),3),1,1),"")</f>
        <v>1</v>
      </c>
      <c r="BV117">
        <f ca="1">IF($AN117="",OFFSET(Demand!$A$13,ROW(F114)-1,4+((QUOTIENT(COLUMN(BV$2)-69,3))*5)+MOD(COLUMN(BV$2),3),1,1),"")</f>
        <v>6</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0</v>
      </c>
      <c r="B118" s="5">
        <f ca="1">COUNTBLANK(OFFSET(Demand!$I127,0,(COLUMN(A115)-1)*5,1,1))</f>
        <v>0</v>
      </c>
      <c r="C118" s="5">
        <f ca="1">COUNTBLANK(OFFSET(Demand!$I127,0,(COLUMN(B115)-1)*5,1,1))</f>
        <v>0</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150</v>
      </c>
      <c r="O118" s="5">
        <f ca="1">SUM(OFFSET(Demand!$E127,0,(COLUMN(B115)-1)*5,1,3))*O$2</f>
        <v>280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430</v>
      </c>
      <c r="Y118">
        <f t="shared" ca="1" si="38"/>
        <v>430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430</v>
      </c>
      <c r="AM118" s="5">
        <f t="shared" ca="1" si="41"/>
        <v>0</v>
      </c>
      <c r="AN118" s="5" t="str">
        <f>IF(Demand!BE127="Yes","Yes","")</f>
        <v/>
      </c>
      <c r="AP118" s="36" t="str">
        <f ca="1">Demand!B127</f>
        <v xml:space="preserve"> </v>
      </c>
      <c r="AQ118" t="str">
        <f ca="1">IF(TEXT(Demand!D127,"MMM")&lt;&gt;TEXT(Demand!D126,"MMM"),TEXT(Demand!D127,"MMM"),"")</f>
        <v>Jun</v>
      </c>
      <c r="AT118" s="5">
        <f t="shared" ca="1" si="42"/>
        <v>60</v>
      </c>
      <c r="BQ118">
        <f ca="1">IF($AN118="",OFFSET(Demand!$A$13,ROW(A115)-1,4+((QUOTIENT(COLUMN(BQ$2)-69,3))*5)+MOD(COLUMN(BQ$2),3),1,1),"")</f>
        <v>0</v>
      </c>
      <c r="BR118">
        <f ca="1">IF($AN118="",OFFSET(Demand!$A$13,ROW(B115)-1,4+((QUOTIENT(COLUMN(BR$2)-69,3))*5)+MOD(COLUMN(BR$2),3),1,1),"")</f>
        <v>1</v>
      </c>
      <c r="BS118">
        <f ca="1">IF($AN118="",OFFSET(Demand!$A$13,ROW(C115)-1,4+((QUOTIENT(COLUMN(BS$2)-69,3))*5)+MOD(COLUMN(BS$2),3),1,1),"")</f>
        <v>4</v>
      </c>
      <c r="BT118">
        <f ca="1">IF($AN118="",OFFSET(Demand!$A$13,ROW(D115)-1,4+((QUOTIENT(COLUMN(BT$2)-69,3))*5)+MOD(COLUMN(BT$2),3),1,1),"")</f>
        <v>0</v>
      </c>
      <c r="BU118">
        <f ca="1">IF($AN118="",OFFSET(Demand!$A$13,ROW(E115)-1,4+((QUOTIENT(COLUMN(BU$2)-69,3))*5)+MOD(COLUMN(BU$2),3),1,1),"")</f>
        <v>2</v>
      </c>
      <c r="BV118">
        <f ca="1">IF($AN118="",OFFSET(Demand!$A$13,ROW(F115)-1,4+((QUOTIENT(COLUMN(BV$2)-69,3))*5)+MOD(COLUMN(BV$2),3),1,1),"")</f>
        <v>5</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0</v>
      </c>
      <c r="B119" s="5">
        <f ca="1">COUNTBLANK(OFFSET(Demand!$I128,0,(COLUMN(A116)-1)*5,1,1))</f>
        <v>0</v>
      </c>
      <c r="C119" s="5">
        <f ca="1">COUNTBLANK(OFFSET(Demand!$I128,0,(COLUMN(B116)-1)*5,1,1))</f>
        <v>0</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150</v>
      </c>
      <c r="O119" s="5">
        <f ca="1">SUM(OFFSET(Demand!$E128,0,(COLUMN(B116)-1)*5,1,3))*O$2</f>
        <v>480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630</v>
      </c>
      <c r="Y119">
        <f t="shared" ca="1" si="38"/>
        <v>630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630</v>
      </c>
      <c r="AM119" s="5">
        <f t="shared" ca="1" si="41"/>
        <v>0</v>
      </c>
      <c r="AN119" s="5" t="str">
        <f>IF(Demand!BE128="Yes","Yes","")</f>
        <v/>
      </c>
      <c r="AP119" s="36" t="str">
        <f ca="1">Demand!B128</f>
        <v xml:space="preserve"> </v>
      </c>
      <c r="AQ119" t="str">
        <f ca="1">IF(TEXT(Demand!D128,"MMM")&lt;&gt;TEXT(Demand!D127,"MMM"),TEXT(Demand!D128,"MMM"),"")</f>
        <v/>
      </c>
      <c r="AT119" s="5">
        <f t="shared" ca="1" si="42"/>
        <v>200</v>
      </c>
      <c r="BQ119">
        <f ca="1">IF($AN119="",OFFSET(Demand!$A$13,ROW(A116)-1,4+((QUOTIENT(COLUMN(BQ$2)-69,3))*5)+MOD(COLUMN(BQ$2),3),1,1),"")</f>
        <v>0</v>
      </c>
      <c r="BR119">
        <f ca="1">IF($AN119="",OFFSET(Demand!$A$13,ROW(B116)-1,4+((QUOTIENT(COLUMN(BR$2)-69,3))*5)+MOD(COLUMN(BR$2),3),1,1),"")</f>
        <v>0</v>
      </c>
      <c r="BS119">
        <f ca="1">IF($AN119="",OFFSET(Demand!$A$13,ROW(C116)-1,4+((QUOTIENT(COLUMN(BS$2)-69,3))*5)+MOD(COLUMN(BS$2),3),1,1),"")</f>
        <v>5</v>
      </c>
      <c r="BT119">
        <f ca="1">IF($AN119="",OFFSET(Demand!$A$13,ROW(D116)-1,4+((QUOTIENT(COLUMN(BT$2)-69,3))*5)+MOD(COLUMN(BT$2),3),1,1),"")</f>
        <v>0</v>
      </c>
      <c r="BU119">
        <f ca="1">IF($AN119="",OFFSET(Demand!$A$13,ROW(E116)-1,4+((QUOTIENT(COLUMN(BU$2)-69,3))*5)+MOD(COLUMN(BU$2),3),1,1),"")</f>
        <v>1</v>
      </c>
      <c r="BV119">
        <f ca="1">IF($AN119="",OFFSET(Demand!$A$13,ROW(F116)-1,4+((QUOTIENT(COLUMN(BV$2)-69,3))*5)+MOD(COLUMN(BV$2),3),1,1),"")</f>
        <v>11</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0</v>
      </c>
      <c r="B120" s="5">
        <f ca="1">COUNTBLANK(OFFSET(Demand!$I129,0,(COLUMN(A117)-1)*5,1,1))</f>
        <v>0</v>
      </c>
      <c r="C120" s="5">
        <f ca="1">COUNTBLANK(OFFSET(Demand!$I129,0,(COLUMN(B117)-1)*5,1,1))</f>
        <v>0</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180</v>
      </c>
      <c r="O120" s="5">
        <f ca="1">SUM(OFFSET(Demand!$E129,0,(COLUMN(B117)-1)*5,1,3))*O$2</f>
        <v>360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540</v>
      </c>
      <c r="Y120">
        <f t="shared" ca="1" si="38"/>
        <v>540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540</v>
      </c>
      <c r="AM120" s="5">
        <f t="shared" ca="1" si="41"/>
        <v>0</v>
      </c>
      <c r="AN120" s="5" t="str">
        <f>IF(Demand!BE129="Yes","Yes","")</f>
        <v/>
      </c>
      <c r="AP120" s="36" t="str">
        <f ca="1">Demand!B129</f>
        <v xml:space="preserve"> </v>
      </c>
      <c r="AQ120" t="str">
        <f ca="1">IF(TEXT(Demand!D129,"MMM")&lt;&gt;TEXT(Demand!D128,"MMM"),TEXT(Demand!D129,"MMM"),"")</f>
        <v/>
      </c>
      <c r="AT120" s="5">
        <f t="shared" ca="1" si="42"/>
        <v>90</v>
      </c>
      <c r="BQ120">
        <f ca="1">IF($AN120="",OFFSET(Demand!$A$13,ROW(A117)-1,4+((QUOTIENT(COLUMN(BQ$2)-69,3))*5)+MOD(COLUMN(BQ$2),3),1,1),"")</f>
        <v>0</v>
      </c>
      <c r="BR120">
        <f ca="1">IF($AN120="",OFFSET(Demand!$A$13,ROW(B117)-1,4+((QUOTIENT(COLUMN(BR$2)-69,3))*5)+MOD(COLUMN(BR$2),3),1,1),"")</f>
        <v>3</v>
      </c>
      <c r="BS120">
        <f ca="1">IF($AN120="",OFFSET(Demand!$A$13,ROW(C117)-1,4+((QUOTIENT(COLUMN(BS$2)-69,3))*5)+MOD(COLUMN(BS$2),3),1,1),"")</f>
        <v>3</v>
      </c>
      <c r="BT120">
        <f ca="1">IF($AN120="",OFFSET(Demand!$A$13,ROW(D117)-1,4+((QUOTIENT(COLUMN(BT$2)-69,3))*5)+MOD(COLUMN(BT$2),3),1,1),"")</f>
        <v>0</v>
      </c>
      <c r="BU120">
        <f ca="1">IF($AN120="",OFFSET(Demand!$A$13,ROW(E117)-1,4+((QUOTIENT(COLUMN(BU$2)-69,3))*5)+MOD(COLUMN(BU$2),3),1,1),"")</f>
        <v>0</v>
      </c>
      <c r="BV120">
        <f ca="1">IF($AN120="",OFFSET(Demand!$A$13,ROW(F117)-1,4+((QUOTIENT(COLUMN(BV$2)-69,3))*5)+MOD(COLUMN(BV$2),3),1,1),"")</f>
        <v>9</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0</v>
      </c>
      <c r="B121" s="5">
        <f ca="1">COUNTBLANK(OFFSET(Demand!$I130,0,(COLUMN(A118)-1)*5,1,1))</f>
        <v>0</v>
      </c>
      <c r="C121" s="5">
        <f ca="1">COUNTBLANK(OFFSET(Demand!$I130,0,(COLUMN(B118)-1)*5,1,1))</f>
        <v>0</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90</v>
      </c>
      <c r="O121" s="5">
        <f ca="1">SUM(OFFSET(Demand!$E130,0,(COLUMN(B118)-1)*5,1,3))*O$2</f>
        <v>320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410</v>
      </c>
      <c r="Y121">
        <f t="shared" ca="1" si="38"/>
        <v>410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410</v>
      </c>
      <c r="AM121" s="5">
        <f t="shared" ca="1" si="41"/>
        <v>0</v>
      </c>
      <c r="AN121" s="5" t="str">
        <f>IF(Demand!BE130="Yes","Yes","")</f>
        <v/>
      </c>
      <c r="AP121" s="36" t="str">
        <f ca="1">Demand!B130</f>
        <v xml:space="preserve"> </v>
      </c>
      <c r="AQ121" t="str">
        <f ca="1">IF(TEXT(Demand!D130,"MMM")&lt;&gt;TEXT(Demand!D129,"MMM"),TEXT(Demand!D130,"MMM"),"")</f>
        <v/>
      </c>
      <c r="AT121" s="5">
        <f t="shared" ca="1" si="42"/>
        <v>130</v>
      </c>
      <c r="BQ121">
        <f ca="1">IF($AN121="",OFFSET(Demand!$A$13,ROW(A118)-1,4+((QUOTIENT(COLUMN(BQ$2)-69,3))*5)+MOD(COLUMN(BQ$2),3),1,1),"")</f>
        <v>0</v>
      </c>
      <c r="BR121">
        <f ca="1">IF($AN121="",OFFSET(Demand!$A$13,ROW(B118)-1,4+((QUOTIENT(COLUMN(BR$2)-69,3))*5)+MOD(COLUMN(BR$2),3),1,1),"")</f>
        <v>0</v>
      </c>
      <c r="BS121">
        <f ca="1">IF($AN121="",OFFSET(Demand!$A$13,ROW(C118)-1,4+((QUOTIENT(COLUMN(BS$2)-69,3))*5)+MOD(COLUMN(BS$2),3),1,1),"")</f>
        <v>3</v>
      </c>
      <c r="BT121">
        <f ca="1">IF($AN121="",OFFSET(Demand!$A$13,ROW(D118)-1,4+((QUOTIENT(COLUMN(BT$2)-69,3))*5)+MOD(COLUMN(BT$2),3),1,1),"")</f>
        <v>0</v>
      </c>
      <c r="BU121">
        <f ca="1">IF($AN121="",OFFSET(Demand!$A$13,ROW(E118)-1,4+((QUOTIENT(COLUMN(BU$2)-69,3))*5)+MOD(COLUMN(BU$2),3),1,1),"")</f>
        <v>2</v>
      </c>
      <c r="BV121">
        <f ca="1">IF($AN121="",OFFSET(Demand!$A$13,ROW(F118)-1,4+((QUOTIENT(COLUMN(BV$2)-69,3))*5)+MOD(COLUMN(BV$2),3),1,1),"")</f>
        <v>6</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0</v>
      </c>
      <c r="B122" s="5">
        <f ca="1">COUNTBLANK(OFFSET(Demand!$I131,0,(COLUMN(A119)-1)*5,1,1))</f>
        <v>0</v>
      </c>
      <c r="C122" s="5">
        <f ca="1">COUNTBLANK(OFFSET(Demand!$I131,0,(COLUMN(B119)-1)*5,1,1))</f>
        <v>0</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180</v>
      </c>
      <c r="O122" s="5">
        <f ca="1">SUM(OFFSET(Demand!$E131,0,(COLUMN(B119)-1)*5,1,3))*O$2</f>
        <v>280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460</v>
      </c>
      <c r="Y122">
        <f t="shared" ca="1" si="38"/>
        <v>460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460</v>
      </c>
      <c r="AM122" s="5">
        <f t="shared" ca="1" si="41"/>
        <v>0</v>
      </c>
      <c r="AN122" s="5" t="str">
        <f>IF(Demand!BE131="Yes","Yes","")</f>
        <v/>
      </c>
      <c r="AP122" s="36" t="str">
        <f ca="1">Demand!B131</f>
        <v xml:space="preserve"> </v>
      </c>
      <c r="AQ122" t="str">
        <f ca="1">IF(TEXT(Demand!D131,"MMM")&lt;&gt;TEXT(Demand!D130,"MMM"),TEXT(Demand!D131,"MMM"),"")</f>
        <v>Jul</v>
      </c>
      <c r="AT122" s="5">
        <f t="shared" ca="1" si="42"/>
        <v>50</v>
      </c>
      <c r="BQ122">
        <f ca="1">IF($AN122="",OFFSET(Demand!$A$13,ROW(A119)-1,4+((QUOTIENT(COLUMN(BQ$2)-69,3))*5)+MOD(COLUMN(BQ$2),3),1,1),"")</f>
        <v>0</v>
      </c>
      <c r="BR122">
        <f ca="1">IF($AN122="",OFFSET(Demand!$A$13,ROW(B119)-1,4+((QUOTIENT(COLUMN(BR$2)-69,3))*5)+MOD(COLUMN(BR$2),3),1,1),"")</f>
        <v>3</v>
      </c>
      <c r="BS122">
        <f ca="1">IF($AN122="",OFFSET(Demand!$A$13,ROW(C119)-1,4+((QUOTIENT(COLUMN(BS$2)-69,3))*5)+MOD(COLUMN(BS$2),3),1,1),"")</f>
        <v>3</v>
      </c>
      <c r="BT122">
        <f ca="1">IF($AN122="",OFFSET(Demand!$A$13,ROW(D119)-1,4+((QUOTIENT(COLUMN(BT$2)-69,3))*5)+MOD(COLUMN(BT$2),3),1,1),"")</f>
        <v>0</v>
      </c>
      <c r="BU122">
        <f ca="1">IF($AN122="",OFFSET(Demand!$A$13,ROW(E119)-1,4+((QUOTIENT(COLUMN(BU$2)-69,3))*5)+MOD(COLUMN(BU$2),3),1,1),"")</f>
        <v>1</v>
      </c>
      <c r="BV122">
        <f ca="1">IF($AN122="",OFFSET(Demand!$A$13,ROW(F119)-1,4+((QUOTIENT(COLUMN(BV$2)-69,3))*5)+MOD(COLUMN(BV$2),3),1,1),"")</f>
        <v>6</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0</v>
      </c>
      <c r="B123" s="5">
        <f ca="1">COUNTBLANK(OFFSET(Demand!$I132,0,(COLUMN(A120)-1)*5,1,1))</f>
        <v>0</v>
      </c>
      <c r="C123" s="5">
        <f ca="1">COUNTBLANK(OFFSET(Demand!$I132,0,(COLUMN(B120)-1)*5,1,1))</f>
        <v>0</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180</v>
      </c>
      <c r="O123" s="5">
        <f ca="1">SUM(OFFSET(Demand!$E132,0,(COLUMN(B120)-1)*5,1,3))*O$2</f>
        <v>440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620</v>
      </c>
      <c r="Y123">
        <f t="shared" ca="1" si="38"/>
        <v>620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620</v>
      </c>
      <c r="AM123" s="5">
        <f t="shared" ca="1" si="41"/>
        <v>0</v>
      </c>
      <c r="AN123" s="5" t="str">
        <f>IF(Demand!BE132="Yes","Yes","")</f>
        <v/>
      </c>
      <c r="AP123" s="36" t="str">
        <f ca="1">Demand!B132</f>
        <v xml:space="preserve"> </v>
      </c>
      <c r="AQ123" t="str">
        <f ca="1">IF(TEXT(Demand!D132,"MMM")&lt;&gt;TEXT(Demand!D131,"MMM"),TEXT(Demand!D132,"MMM"),"")</f>
        <v/>
      </c>
      <c r="AT123" s="5">
        <f t="shared" ca="1" si="42"/>
        <v>160</v>
      </c>
      <c r="BQ123">
        <f ca="1">IF($AN123="",OFFSET(Demand!$A$13,ROW(A120)-1,4+((QUOTIENT(COLUMN(BQ$2)-69,3))*5)+MOD(COLUMN(BQ$2),3),1,1),"")</f>
        <v>0</v>
      </c>
      <c r="BR123">
        <f ca="1">IF($AN123="",OFFSET(Demand!$A$13,ROW(B120)-1,4+((QUOTIENT(COLUMN(BR$2)-69,3))*5)+MOD(COLUMN(BR$2),3),1,1),"")</f>
        <v>1</v>
      </c>
      <c r="BS123">
        <f ca="1">IF($AN123="",OFFSET(Demand!$A$13,ROW(C120)-1,4+((QUOTIENT(COLUMN(BS$2)-69,3))*5)+MOD(COLUMN(BS$2),3),1,1),"")</f>
        <v>5</v>
      </c>
      <c r="BT123">
        <f ca="1">IF($AN123="",OFFSET(Demand!$A$13,ROW(D120)-1,4+((QUOTIENT(COLUMN(BT$2)-69,3))*5)+MOD(COLUMN(BT$2),3),1,1),"")</f>
        <v>0</v>
      </c>
      <c r="BU123">
        <f ca="1">IF($AN123="",OFFSET(Demand!$A$13,ROW(E120)-1,4+((QUOTIENT(COLUMN(BU$2)-69,3))*5)+MOD(COLUMN(BU$2),3),1,1),"")</f>
        <v>4</v>
      </c>
      <c r="BV123">
        <f ca="1">IF($AN123="",OFFSET(Demand!$A$13,ROW(F120)-1,4+((QUOTIENT(COLUMN(BV$2)-69,3))*5)+MOD(COLUMN(BV$2),3),1,1),"")</f>
        <v>7</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0</v>
      </c>
      <c r="B124" s="5">
        <f ca="1">COUNTBLANK(OFFSET(Demand!$I133,0,(COLUMN(A121)-1)*5,1,1))</f>
        <v>0</v>
      </c>
      <c r="C124" s="5">
        <f ca="1">COUNTBLANK(OFFSET(Demand!$I133,0,(COLUMN(B121)-1)*5,1,1))</f>
        <v>0</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90</v>
      </c>
      <c r="O124" s="5">
        <f ca="1">SUM(OFFSET(Demand!$E133,0,(COLUMN(B121)-1)*5,1,3))*O$2</f>
        <v>320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410</v>
      </c>
      <c r="Y124">
        <f t="shared" ca="1" si="38"/>
        <v>410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410</v>
      </c>
      <c r="AM124" s="5">
        <f t="shared" ca="1" si="41"/>
        <v>0</v>
      </c>
      <c r="AN124" s="5" t="str">
        <f>IF(Demand!BE133="Yes","Yes","")</f>
        <v/>
      </c>
      <c r="AP124" s="36" t="str">
        <f ca="1">Demand!B133</f>
        <v xml:space="preserve"> </v>
      </c>
      <c r="AQ124" t="str">
        <f ca="1">IF(TEXT(Demand!D133,"MMM")&lt;&gt;TEXT(Demand!D132,"MMM"),TEXT(Demand!D133,"MMM"),"")</f>
        <v/>
      </c>
      <c r="AT124" s="5">
        <f t="shared" ca="1" si="42"/>
        <v>210</v>
      </c>
      <c r="BQ124">
        <f ca="1">IF($AN124="",OFFSET(Demand!$A$13,ROW(A121)-1,4+((QUOTIENT(COLUMN(BQ$2)-69,3))*5)+MOD(COLUMN(BQ$2),3),1,1),"")</f>
        <v>0</v>
      </c>
      <c r="BR124">
        <f ca="1">IF($AN124="",OFFSET(Demand!$A$13,ROW(B121)-1,4+((QUOTIENT(COLUMN(BR$2)-69,3))*5)+MOD(COLUMN(BR$2),3),1,1),"")</f>
        <v>0</v>
      </c>
      <c r="BS124">
        <f ca="1">IF($AN124="",OFFSET(Demand!$A$13,ROW(C121)-1,4+((QUOTIENT(COLUMN(BS$2)-69,3))*5)+MOD(COLUMN(BS$2),3),1,1),"")</f>
        <v>3</v>
      </c>
      <c r="BT124">
        <f ca="1">IF($AN124="",OFFSET(Demand!$A$13,ROW(D121)-1,4+((QUOTIENT(COLUMN(BT$2)-69,3))*5)+MOD(COLUMN(BT$2),3),1,1),"")</f>
        <v>0</v>
      </c>
      <c r="BU124">
        <f ca="1">IF($AN124="",OFFSET(Demand!$A$13,ROW(E121)-1,4+((QUOTIENT(COLUMN(BU$2)-69,3))*5)+MOD(COLUMN(BU$2),3),1,1),"")</f>
        <v>2</v>
      </c>
      <c r="BV124">
        <f ca="1">IF($AN124="",OFFSET(Demand!$A$13,ROW(F121)-1,4+((QUOTIENT(COLUMN(BV$2)-69,3))*5)+MOD(COLUMN(BV$2),3),1,1),"")</f>
        <v>6</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0</v>
      </c>
      <c r="B125" s="5">
        <f ca="1">COUNTBLANK(OFFSET(Demand!$I134,0,(COLUMN(A122)-1)*5,1,1))</f>
        <v>0</v>
      </c>
      <c r="C125" s="5">
        <f ca="1">COUNTBLANK(OFFSET(Demand!$I134,0,(COLUMN(B122)-1)*5,1,1))</f>
        <v>0</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60</v>
      </c>
      <c r="O125" s="5">
        <f ca="1">SUM(OFFSET(Demand!$E134,0,(COLUMN(B122)-1)*5,1,3))*O$2</f>
        <v>360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420</v>
      </c>
      <c r="Y125">
        <f t="shared" ca="1" si="38"/>
        <v>420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420</v>
      </c>
      <c r="AM125" s="5">
        <f t="shared" ca="1" si="41"/>
        <v>0</v>
      </c>
      <c r="AN125" s="5" t="str">
        <f>IF(Demand!BE134="Yes","Yes","")</f>
        <v/>
      </c>
      <c r="AP125" s="36" t="str">
        <f ca="1">Demand!B134</f>
        <v xml:space="preserve"> </v>
      </c>
      <c r="AQ125" t="str">
        <f ca="1">IF(TEXT(Demand!D134,"MMM")&lt;&gt;TEXT(Demand!D133,"MMM"),TEXT(Demand!D134,"MMM"),"")</f>
        <v/>
      </c>
      <c r="AT125" s="5">
        <f t="shared" ca="1" si="42"/>
        <v>10</v>
      </c>
      <c r="BQ125">
        <f ca="1">IF($AN125="",OFFSET(Demand!$A$13,ROW(A122)-1,4+((QUOTIENT(COLUMN(BQ$2)-69,3))*5)+MOD(COLUMN(BQ$2),3),1,1),"")</f>
        <v>0</v>
      </c>
      <c r="BR125">
        <f ca="1">IF($AN125="",OFFSET(Demand!$A$13,ROW(B122)-1,4+((QUOTIENT(COLUMN(BR$2)-69,3))*5)+MOD(COLUMN(BR$2),3),1,1),"")</f>
        <v>0</v>
      </c>
      <c r="BS125">
        <f ca="1">IF($AN125="",OFFSET(Demand!$A$13,ROW(C122)-1,4+((QUOTIENT(COLUMN(BS$2)-69,3))*5)+MOD(COLUMN(BS$2),3),1,1),"")</f>
        <v>2</v>
      </c>
      <c r="BT125">
        <f ca="1">IF($AN125="",OFFSET(Demand!$A$13,ROW(D122)-1,4+((QUOTIENT(COLUMN(BT$2)-69,3))*5)+MOD(COLUMN(BT$2),3),1,1),"")</f>
        <v>0</v>
      </c>
      <c r="BU125">
        <f ca="1">IF($AN125="",OFFSET(Demand!$A$13,ROW(E122)-1,4+((QUOTIENT(COLUMN(BU$2)-69,3))*5)+MOD(COLUMN(BU$2),3),1,1),"")</f>
        <v>1</v>
      </c>
      <c r="BV125">
        <f ca="1">IF($AN125="",OFFSET(Demand!$A$13,ROW(F122)-1,4+((QUOTIENT(COLUMN(BV$2)-69,3))*5)+MOD(COLUMN(BV$2),3),1,1),"")</f>
        <v>8</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0</v>
      </c>
      <c r="B126" s="5">
        <f ca="1">COUNTBLANK(OFFSET(Demand!$I135,0,(COLUMN(A123)-1)*5,1,1))</f>
        <v>0</v>
      </c>
      <c r="C126" s="5">
        <f ca="1">COUNTBLANK(OFFSET(Demand!$I135,0,(COLUMN(B123)-1)*5,1,1))</f>
        <v>0</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30</v>
      </c>
      <c r="O126" s="5">
        <f ca="1">SUM(OFFSET(Demand!$E135,0,(COLUMN(B123)-1)*5,1,3))*O$2</f>
        <v>240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270</v>
      </c>
      <c r="Y126">
        <f t="shared" ca="1" si="38"/>
        <v>270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270</v>
      </c>
      <c r="AM126" s="5">
        <f t="shared" ca="1" si="41"/>
        <v>0</v>
      </c>
      <c r="AN126" s="5" t="str">
        <f>IF(Demand!BE135="Yes","Yes","")</f>
        <v/>
      </c>
      <c r="AP126" s="36" t="str">
        <f ca="1">Demand!B135</f>
        <v xml:space="preserve"> </v>
      </c>
      <c r="AQ126" t="str">
        <f ca="1">IF(TEXT(Demand!D135,"MMM")&lt;&gt;TEXT(Demand!D134,"MMM"),TEXT(Demand!D135,"MMM"),"")</f>
        <v/>
      </c>
      <c r="AT126" s="5">
        <f t="shared" ca="1" si="42"/>
        <v>150</v>
      </c>
      <c r="BQ126">
        <f ca="1">IF($AN126="",OFFSET(Demand!$A$13,ROW(A123)-1,4+((QUOTIENT(COLUMN(BQ$2)-69,3))*5)+MOD(COLUMN(BQ$2),3),1,1),"")</f>
        <v>0</v>
      </c>
      <c r="BR126">
        <f ca="1">IF($AN126="",OFFSET(Demand!$A$13,ROW(B123)-1,4+((QUOTIENT(COLUMN(BR$2)-69,3))*5)+MOD(COLUMN(BR$2),3),1,1),"")</f>
        <v>0</v>
      </c>
      <c r="BS126">
        <f ca="1">IF($AN126="",OFFSET(Demand!$A$13,ROW(C123)-1,4+((QUOTIENT(COLUMN(BS$2)-69,3))*5)+MOD(COLUMN(BS$2),3),1,1),"")</f>
        <v>1</v>
      </c>
      <c r="BT126">
        <f ca="1">IF($AN126="",OFFSET(Demand!$A$13,ROW(D123)-1,4+((QUOTIENT(COLUMN(BT$2)-69,3))*5)+MOD(COLUMN(BT$2),3),1,1),"")</f>
        <v>0</v>
      </c>
      <c r="BU126">
        <f ca="1">IF($AN126="",OFFSET(Demand!$A$13,ROW(E123)-1,4+((QUOTIENT(COLUMN(BU$2)-69,3))*5)+MOD(COLUMN(BU$2),3),1,1),"")</f>
        <v>1</v>
      </c>
      <c r="BV126">
        <f ca="1">IF($AN126="",OFFSET(Demand!$A$13,ROW(F123)-1,4+((QUOTIENT(COLUMN(BV$2)-69,3))*5)+MOD(COLUMN(BV$2),3),1,1),"")</f>
        <v>5</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0</v>
      </c>
      <c r="B127" s="5">
        <f ca="1">COUNTBLANK(OFFSET(Demand!$I136,0,(COLUMN(A124)-1)*5,1,1))</f>
        <v>0</v>
      </c>
      <c r="C127" s="5">
        <f ca="1">COUNTBLANK(OFFSET(Demand!$I136,0,(COLUMN(B124)-1)*5,1,1))</f>
        <v>0</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150</v>
      </c>
      <c r="O127" s="5">
        <f ca="1">SUM(OFFSET(Demand!$E136,0,(COLUMN(B124)-1)*5,1,3))*O$2</f>
        <v>360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510</v>
      </c>
      <c r="Y127">
        <f t="shared" ca="1" si="38"/>
        <v>510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510</v>
      </c>
      <c r="AM127" s="5">
        <f t="shared" ca="1" si="41"/>
        <v>0</v>
      </c>
      <c r="AN127" s="5" t="str">
        <f>IF(Demand!BE136="Yes","Yes","")</f>
        <v/>
      </c>
      <c r="AP127" s="36" t="str">
        <f ca="1">Demand!B136</f>
        <v xml:space="preserve"> </v>
      </c>
      <c r="AQ127" t="str">
        <f ca="1">IF(TEXT(Demand!D136,"MMM")&lt;&gt;TEXT(Demand!D135,"MMM"),TEXT(Demand!D136,"MMM"),"")</f>
        <v>Aug</v>
      </c>
      <c r="AT127" s="5">
        <f t="shared" ca="1" si="42"/>
        <v>240</v>
      </c>
      <c r="BQ127">
        <f ca="1">IF($AN127="",OFFSET(Demand!$A$13,ROW(A124)-1,4+((QUOTIENT(COLUMN(BQ$2)-69,3))*5)+MOD(COLUMN(BQ$2),3),1,1),"")</f>
        <v>0</v>
      </c>
      <c r="BR127">
        <f ca="1">IF($AN127="",OFFSET(Demand!$A$13,ROW(B124)-1,4+((QUOTIENT(COLUMN(BR$2)-69,3))*5)+MOD(COLUMN(BR$2),3),1,1),"")</f>
        <v>1</v>
      </c>
      <c r="BS127">
        <f ca="1">IF($AN127="",OFFSET(Demand!$A$13,ROW(C124)-1,4+((QUOTIENT(COLUMN(BS$2)-69,3))*5)+MOD(COLUMN(BS$2),3),1,1),"")</f>
        <v>4</v>
      </c>
      <c r="BT127">
        <f ca="1">IF($AN127="",OFFSET(Demand!$A$13,ROW(D124)-1,4+((QUOTIENT(COLUMN(BT$2)-69,3))*5)+MOD(COLUMN(BT$2),3),1,1),"")</f>
        <v>0</v>
      </c>
      <c r="BU127">
        <f ca="1">IF($AN127="",OFFSET(Demand!$A$13,ROW(E124)-1,4+((QUOTIENT(COLUMN(BU$2)-69,3))*5)+MOD(COLUMN(BU$2),3),1,1),"")</f>
        <v>1</v>
      </c>
      <c r="BV127">
        <f ca="1">IF($AN127="",OFFSET(Demand!$A$13,ROW(F124)-1,4+((QUOTIENT(COLUMN(BV$2)-69,3))*5)+MOD(COLUMN(BV$2),3),1,1),"")</f>
        <v>8</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0</v>
      </c>
      <c r="B128" s="5">
        <f ca="1">COUNTBLANK(OFFSET(Demand!$I137,0,(COLUMN(A125)-1)*5,1,1))</f>
        <v>0</v>
      </c>
      <c r="C128" s="5">
        <f ca="1">COUNTBLANK(OFFSET(Demand!$I137,0,(COLUMN(B125)-1)*5,1,1))</f>
        <v>0</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150</v>
      </c>
      <c r="O128" s="5">
        <f ca="1">SUM(OFFSET(Demand!$E137,0,(COLUMN(B125)-1)*5,1,3))*O$2</f>
        <v>560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710</v>
      </c>
      <c r="Y128">
        <f t="shared" ca="1" si="38"/>
        <v>710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710</v>
      </c>
      <c r="AM128" s="5">
        <f t="shared" ca="1" si="41"/>
        <v>0</v>
      </c>
      <c r="AN128" s="5" t="str">
        <f>IF(Demand!BE137="Yes","Yes","")</f>
        <v/>
      </c>
      <c r="AP128" s="36" t="str">
        <f ca="1">Demand!B137</f>
        <v xml:space="preserve"> </v>
      </c>
      <c r="AQ128" t="str">
        <f ca="1">IF(TEXT(Demand!D137,"MMM")&lt;&gt;TEXT(Demand!D136,"MMM"),TEXT(Demand!D137,"MMM"),"")</f>
        <v/>
      </c>
      <c r="AT128" s="5">
        <f t="shared" ca="1" si="42"/>
        <v>200</v>
      </c>
      <c r="BQ128">
        <f ca="1">IF($AN128="",OFFSET(Demand!$A$13,ROW(A125)-1,4+((QUOTIENT(COLUMN(BQ$2)-69,3))*5)+MOD(COLUMN(BQ$2),3),1,1),"")</f>
        <v>0</v>
      </c>
      <c r="BR128">
        <f ca="1">IF($AN128="",OFFSET(Demand!$A$13,ROW(B125)-1,4+((QUOTIENT(COLUMN(BR$2)-69,3))*5)+MOD(COLUMN(BR$2),3),1,1),"")</f>
        <v>1</v>
      </c>
      <c r="BS128">
        <f ca="1">IF($AN128="",OFFSET(Demand!$A$13,ROW(C125)-1,4+((QUOTIENT(COLUMN(BS$2)-69,3))*5)+MOD(COLUMN(BS$2),3),1,1),"")</f>
        <v>4</v>
      </c>
      <c r="BT128">
        <f ca="1">IF($AN128="",OFFSET(Demand!$A$13,ROW(D125)-1,4+((QUOTIENT(COLUMN(BT$2)-69,3))*5)+MOD(COLUMN(BT$2),3),1,1),"")</f>
        <v>0</v>
      </c>
      <c r="BU128">
        <f ca="1">IF($AN128="",OFFSET(Demand!$A$13,ROW(E125)-1,4+((QUOTIENT(COLUMN(BU$2)-69,3))*5)+MOD(COLUMN(BU$2),3),1,1),"")</f>
        <v>3</v>
      </c>
      <c r="BV128">
        <f ca="1">IF($AN128="",OFFSET(Demand!$A$13,ROW(F125)-1,4+((QUOTIENT(COLUMN(BV$2)-69,3))*5)+MOD(COLUMN(BV$2),3),1,1),"")</f>
        <v>11</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0</v>
      </c>
      <c r="B129" s="5">
        <f ca="1">COUNTBLANK(OFFSET(Demand!$I138,0,(COLUMN(A126)-1)*5,1,1))</f>
        <v>0</v>
      </c>
      <c r="C129" s="5">
        <f ca="1">COUNTBLANK(OFFSET(Demand!$I138,0,(COLUMN(B126)-1)*5,1,1))</f>
        <v>0</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90</v>
      </c>
      <c r="O129" s="5">
        <f ca="1">SUM(OFFSET(Demand!$E138,0,(COLUMN(B126)-1)*5,1,3))*O$2</f>
        <v>600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690</v>
      </c>
      <c r="Y129">
        <f t="shared" ca="1" si="38"/>
        <v>690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690</v>
      </c>
      <c r="AM129" s="5">
        <f t="shared" ca="1" si="41"/>
        <v>0</v>
      </c>
      <c r="AN129" s="5" t="str">
        <f>IF(Demand!BE138="Yes","Yes","")</f>
        <v/>
      </c>
      <c r="AP129" s="36" t="str">
        <f ca="1">Demand!B138</f>
        <v xml:space="preserve"> </v>
      </c>
      <c r="AQ129" t="str">
        <f ca="1">IF(TEXT(Demand!D138,"MMM")&lt;&gt;TEXT(Demand!D137,"MMM"),TEXT(Demand!D138,"MMM"),"")</f>
        <v/>
      </c>
      <c r="AT129" s="5">
        <f t="shared" ca="1" si="42"/>
        <v>20</v>
      </c>
      <c r="BQ129">
        <f ca="1">IF($AN129="",OFFSET(Demand!$A$13,ROW(A126)-1,4+((QUOTIENT(COLUMN(BQ$2)-69,3))*5)+MOD(COLUMN(BQ$2),3),1,1),"")</f>
        <v>0</v>
      </c>
      <c r="BR129">
        <f ca="1">IF($AN129="",OFFSET(Demand!$A$13,ROW(B126)-1,4+((QUOTIENT(COLUMN(BR$2)-69,3))*5)+MOD(COLUMN(BR$2),3),1,1),"")</f>
        <v>1</v>
      </c>
      <c r="BS129">
        <f ca="1">IF($AN129="",OFFSET(Demand!$A$13,ROW(C126)-1,4+((QUOTIENT(COLUMN(BS$2)-69,3))*5)+MOD(COLUMN(BS$2),3),1,1),"")</f>
        <v>2</v>
      </c>
      <c r="BT129">
        <f ca="1">IF($AN129="",OFFSET(Demand!$A$13,ROW(D126)-1,4+((QUOTIENT(COLUMN(BT$2)-69,3))*5)+MOD(COLUMN(BT$2),3),1,1),"")</f>
        <v>0</v>
      </c>
      <c r="BU129">
        <f ca="1">IF($AN129="",OFFSET(Demand!$A$13,ROW(E126)-1,4+((QUOTIENT(COLUMN(BU$2)-69,3))*5)+MOD(COLUMN(BU$2),3),1,1),"")</f>
        <v>6</v>
      </c>
      <c r="BV129">
        <f ca="1">IF($AN129="",OFFSET(Demand!$A$13,ROW(F126)-1,4+((QUOTIENT(COLUMN(BV$2)-69,3))*5)+MOD(COLUMN(BV$2),3),1,1),"")</f>
        <v>9</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0</v>
      </c>
      <c r="B130" s="5">
        <f ca="1">COUNTBLANK(OFFSET(Demand!$I139,0,(COLUMN(A127)-1)*5,1,1))</f>
        <v>0</v>
      </c>
      <c r="C130" s="5">
        <f ca="1">COUNTBLANK(OFFSET(Demand!$I139,0,(COLUMN(B127)-1)*5,1,1))</f>
        <v>0</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180</v>
      </c>
      <c r="O130" s="5">
        <f ca="1">SUM(OFFSET(Demand!$E139,0,(COLUMN(B127)-1)*5,1,3))*O$2</f>
        <v>400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580</v>
      </c>
      <c r="Y130">
        <f t="shared" ca="1" si="38"/>
        <v>580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580</v>
      </c>
      <c r="AM130" s="5">
        <f t="shared" ca="1" si="41"/>
        <v>0</v>
      </c>
      <c r="AN130" s="5" t="str">
        <f>IF(Demand!BE139="Yes","Yes","")</f>
        <v/>
      </c>
      <c r="AP130" s="36" t="str">
        <f ca="1">Demand!B139</f>
        <v xml:space="preserve"> </v>
      </c>
      <c r="AQ130" t="str">
        <f ca="1">IF(TEXT(Demand!D139,"MMM")&lt;&gt;TEXT(Demand!D138,"MMM"),TEXT(Demand!D139,"MMM"),"")</f>
        <v/>
      </c>
      <c r="AT130" s="5">
        <f t="shared" ca="1" si="42"/>
        <v>110</v>
      </c>
      <c r="BQ130">
        <f ca="1">IF($AN130="",OFFSET(Demand!$A$13,ROW(A127)-1,4+((QUOTIENT(COLUMN(BQ$2)-69,3))*5)+MOD(COLUMN(BQ$2),3),1,1),"")</f>
        <v>0</v>
      </c>
      <c r="BR130">
        <f ca="1">IF($AN130="",OFFSET(Demand!$A$13,ROW(B127)-1,4+((QUOTIENT(COLUMN(BR$2)-69,3))*5)+MOD(COLUMN(BR$2),3),1,1),"")</f>
        <v>2</v>
      </c>
      <c r="BS130">
        <f ca="1">IF($AN130="",OFFSET(Demand!$A$13,ROW(C127)-1,4+((QUOTIENT(COLUMN(BS$2)-69,3))*5)+MOD(COLUMN(BS$2),3),1,1),"")</f>
        <v>4</v>
      </c>
      <c r="BT130">
        <f ca="1">IF($AN130="",OFFSET(Demand!$A$13,ROW(D127)-1,4+((QUOTIENT(COLUMN(BT$2)-69,3))*5)+MOD(COLUMN(BT$2),3),1,1),"")</f>
        <v>0</v>
      </c>
      <c r="BU130">
        <f ca="1">IF($AN130="",OFFSET(Demand!$A$13,ROW(E127)-1,4+((QUOTIENT(COLUMN(BU$2)-69,3))*5)+MOD(COLUMN(BU$2),3),1,1),"")</f>
        <v>3</v>
      </c>
      <c r="BV130">
        <f ca="1">IF($AN130="",OFFSET(Demand!$A$13,ROW(F127)-1,4+((QUOTIENT(COLUMN(BV$2)-69,3))*5)+MOD(COLUMN(BV$2),3),1,1),"")</f>
        <v>7</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0</v>
      </c>
      <c r="B131" s="5">
        <f ca="1">COUNTBLANK(OFFSET(Demand!$I140,0,(COLUMN(A128)-1)*5,1,1))</f>
        <v>0</v>
      </c>
      <c r="C131" s="5">
        <f ca="1">COUNTBLANK(OFFSET(Demand!$I140,0,(COLUMN(B128)-1)*5,1,1))</f>
        <v>0</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90</v>
      </c>
      <c r="O131" s="5">
        <f ca="1">SUM(OFFSET(Demand!$E140,0,(COLUMN(B128)-1)*5,1,3))*O$2</f>
        <v>320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410</v>
      </c>
      <c r="Y131">
        <f t="shared" ca="1" si="38"/>
        <v>410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410</v>
      </c>
      <c r="AM131" s="5">
        <f t="shared" ca="1" si="41"/>
        <v>0</v>
      </c>
      <c r="AN131" s="5" t="str">
        <f>IF(Demand!BE140="Yes","Yes","")</f>
        <v/>
      </c>
      <c r="AP131" s="36" t="str">
        <f ca="1">Demand!B140</f>
        <v xml:space="preserve"> </v>
      </c>
      <c r="AQ131" t="str">
        <f ca="1">IF(TEXT(Demand!D140,"MMM")&lt;&gt;TEXT(Demand!D139,"MMM"),TEXT(Demand!D140,"MMM"),"")</f>
        <v>Sep</v>
      </c>
      <c r="AT131" s="5">
        <f t="shared" ca="1" si="42"/>
        <v>170</v>
      </c>
      <c r="BQ131">
        <f ca="1">IF($AN131="",OFFSET(Demand!$A$13,ROW(A128)-1,4+((QUOTIENT(COLUMN(BQ$2)-69,3))*5)+MOD(COLUMN(BQ$2),3),1,1),"")</f>
        <v>0</v>
      </c>
      <c r="BR131">
        <f ca="1">IF($AN131="",OFFSET(Demand!$A$13,ROW(B128)-1,4+((QUOTIENT(COLUMN(BR$2)-69,3))*5)+MOD(COLUMN(BR$2),3),1,1),"")</f>
        <v>0</v>
      </c>
      <c r="BS131">
        <f ca="1">IF($AN131="",OFFSET(Demand!$A$13,ROW(C128)-1,4+((QUOTIENT(COLUMN(BS$2)-69,3))*5)+MOD(COLUMN(BS$2),3),1,1),"")</f>
        <v>3</v>
      </c>
      <c r="BT131">
        <f ca="1">IF($AN131="",OFFSET(Demand!$A$13,ROW(D128)-1,4+((QUOTIENT(COLUMN(BT$2)-69,3))*5)+MOD(COLUMN(BT$2),3),1,1),"")</f>
        <v>0</v>
      </c>
      <c r="BU131">
        <f ca="1">IF($AN131="",OFFSET(Demand!$A$13,ROW(E128)-1,4+((QUOTIENT(COLUMN(BU$2)-69,3))*5)+MOD(COLUMN(BU$2),3),1,1),"")</f>
        <v>3</v>
      </c>
      <c r="BV131">
        <f ca="1">IF($AN131="",OFFSET(Demand!$A$13,ROW(F128)-1,4+((QUOTIENT(COLUMN(BV$2)-69,3))*5)+MOD(COLUMN(BV$2),3),1,1),"")</f>
        <v>5</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0</v>
      </c>
      <c r="B132" s="5">
        <f ca="1">COUNTBLANK(OFFSET(Demand!$I141,0,(COLUMN(A129)-1)*5,1,1))</f>
        <v>0</v>
      </c>
      <c r="C132" s="5">
        <f ca="1">COUNTBLANK(OFFSET(Demand!$I141,0,(COLUMN(B129)-1)*5,1,1))</f>
        <v>0</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90</v>
      </c>
      <c r="O132" s="5">
        <f ca="1">SUM(OFFSET(Demand!$E141,0,(COLUMN(B129)-1)*5,1,3))*O$2</f>
        <v>280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370</v>
      </c>
      <c r="Y132">
        <f t="shared" ref="Y132:Y195" ca="1" si="45">SUM(OFFSET(N132,0,0,1,Num_Modalities))</f>
        <v>370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370</v>
      </c>
      <c r="AM132" s="5">
        <f t="shared" ca="1" si="41"/>
        <v>0</v>
      </c>
      <c r="AN132" s="5" t="str">
        <f>IF(Demand!BE141="Yes","Yes","")</f>
        <v/>
      </c>
      <c r="AP132" s="36" t="str">
        <f ca="1">Demand!B141</f>
        <v xml:space="preserve"> </v>
      </c>
      <c r="AQ132" t="str">
        <f ca="1">IF(TEXT(Demand!D141,"MMM")&lt;&gt;TEXT(Demand!D140,"MMM"),TEXT(Demand!D141,"MMM"),"")</f>
        <v/>
      </c>
      <c r="AT132" s="5">
        <f t="shared" ca="1" si="42"/>
        <v>40</v>
      </c>
      <c r="BQ132">
        <f ca="1">IF($AN132="",OFFSET(Demand!$A$13,ROW(A129)-1,4+((QUOTIENT(COLUMN(BQ$2)-69,3))*5)+MOD(COLUMN(BQ$2),3),1,1),"")</f>
        <v>0</v>
      </c>
      <c r="BR132">
        <f ca="1">IF($AN132="",OFFSET(Demand!$A$13,ROW(B129)-1,4+((QUOTIENT(COLUMN(BR$2)-69,3))*5)+MOD(COLUMN(BR$2),3),1,1),"")</f>
        <v>0</v>
      </c>
      <c r="BS132">
        <f ca="1">IF($AN132="",OFFSET(Demand!$A$13,ROW(C129)-1,4+((QUOTIENT(COLUMN(BS$2)-69,3))*5)+MOD(COLUMN(BS$2),3),1,1),"")</f>
        <v>3</v>
      </c>
      <c r="BT132">
        <f ca="1">IF($AN132="",OFFSET(Demand!$A$13,ROW(D129)-1,4+((QUOTIENT(COLUMN(BT$2)-69,3))*5)+MOD(COLUMN(BT$2),3),1,1),"")</f>
        <v>0</v>
      </c>
      <c r="BU132">
        <f ca="1">IF($AN132="",OFFSET(Demand!$A$13,ROW(E129)-1,4+((QUOTIENT(COLUMN(BU$2)-69,3))*5)+MOD(COLUMN(BU$2),3),1,1),"")</f>
        <v>1</v>
      </c>
      <c r="BV132">
        <f ca="1">IF($AN132="",OFFSET(Demand!$A$13,ROW(F129)-1,4+((QUOTIENT(COLUMN(BV$2)-69,3))*5)+MOD(COLUMN(BV$2),3),1,1),"")</f>
        <v>6</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0</v>
      </c>
      <c r="B133" s="5">
        <f ca="1">COUNTBLANK(OFFSET(Demand!$I142,0,(COLUMN(A130)-1)*5,1,1))</f>
        <v>0</v>
      </c>
      <c r="C133" s="5">
        <f ca="1">COUNTBLANK(OFFSET(Demand!$I142,0,(COLUMN(B130)-1)*5,1,1))</f>
        <v>0</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150</v>
      </c>
      <c r="O133" s="5">
        <f ca="1">SUM(OFFSET(Demand!$E142,0,(COLUMN(B130)-1)*5,1,3))*O$2</f>
        <v>440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590</v>
      </c>
      <c r="Y133">
        <f t="shared" ca="1" si="45"/>
        <v>590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590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220</v>
      </c>
      <c r="BQ133">
        <f ca="1">IF($AN133="",OFFSET(Demand!$A$13,ROW(A130)-1,4+((QUOTIENT(COLUMN(BQ$2)-69,3))*5)+MOD(COLUMN(BQ$2),3),1,1),"")</f>
        <v>0</v>
      </c>
      <c r="BR133">
        <f ca="1">IF($AN133="",OFFSET(Demand!$A$13,ROW(B130)-1,4+((QUOTIENT(COLUMN(BR$2)-69,3))*5)+MOD(COLUMN(BR$2),3),1,1),"")</f>
        <v>2</v>
      </c>
      <c r="BS133">
        <f ca="1">IF($AN133="",OFFSET(Demand!$A$13,ROW(C130)-1,4+((QUOTIENT(COLUMN(BS$2)-69,3))*5)+MOD(COLUMN(BS$2),3),1,1),"")</f>
        <v>3</v>
      </c>
      <c r="BT133">
        <f ca="1">IF($AN133="",OFFSET(Demand!$A$13,ROW(D130)-1,4+((QUOTIENT(COLUMN(BT$2)-69,3))*5)+MOD(COLUMN(BT$2),3),1,1),"")</f>
        <v>0</v>
      </c>
      <c r="BU133">
        <f ca="1">IF($AN133="",OFFSET(Demand!$A$13,ROW(E130)-1,4+((QUOTIENT(COLUMN(BU$2)-69,3))*5)+MOD(COLUMN(BU$2),3),1,1),"")</f>
        <v>1</v>
      </c>
      <c r="BV133">
        <f ca="1">IF($AN133="",OFFSET(Demand!$A$13,ROW(F130)-1,4+((QUOTIENT(COLUMN(BV$2)-69,3))*5)+MOD(COLUMN(BV$2),3),1,1),"")</f>
        <v>10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0</v>
      </c>
      <c r="B134" s="5">
        <f ca="1">COUNTBLANK(OFFSET(Demand!$I143,0,(COLUMN(A131)-1)*5,1,1))</f>
        <v>0</v>
      </c>
      <c r="C134" s="5">
        <f ca="1">COUNTBLANK(OFFSET(Demand!$I143,0,(COLUMN(B131)-1)*5,1,1))</f>
        <v>0</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90</v>
      </c>
      <c r="O134" s="5">
        <f ca="1">SUM(OFFSET(Demand!$E143,0,(COLUMN(B131)-1)*5,1,3))*O$2</f>
        <v>480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570</v>
      </c>
      <c r="Y134">
        <f t="shared" ca="1" si="45"/>
        <v>570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570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20</v>
      </c>
      <c r="BQ134">
        <f ca="1">IF($AN134="",OFFSET(Demand!$A$13,ROW(A131)-1,4+((QUOTIENT(COLUMN(BQ$2)-69,3))*5)+MOD(COLUMN(BQ$2),3),1,1),"")</f>
        <v>0</v>
      </c>
      <c r="BR134">
        <f ca="1">IF($AN134="",OFFSET(Demand!$A$13,ROW(B131)-1,4+((QUOTIENT(COLUMN(BR$2)-69,3))*5)+MOD(COLUMN(BR$2),3),1,1),"")</f>
        <v>0</v>
      </c>
      <c r="BS134">
        <f ca="1">IF($AN134="",OFFSET(Demand!$A$13,ROW(C131)-1,4+((QUOTIENT(COLUMN(BS$2)-69,3))*5)+MOD(COLUMN(BS$2),3),1,1),"")</f>
        <v>3</v>
      </c>
      <c r="BT134">
        <f ca="1">IF($AN134="",OFFSET(Demand!$A$13,ROW(D131)-1,4+((QUOTIENT(COLUMN(BT$2)-69,3))*5)+MOD(COLUMN(BT$2),3),1,1),"")</f>
        <v>0</v>
      </c>
      <c r="BU134">
        <f ca="1">IF($AN134="",OFFSET(Demand!$A$13,ROW(E131)-1,4+((QUOTIENT(COLUMN(BU$2)-69,3))*5)+MOD(COLUMN(BU$2),3),1,1),"")</f>
        <v>3</v>
      </c>
      <c r="BV134">
        <f ca="1">IF($AN134="",OFFSET(Demand!$A$13,ROW(F131)-1,4+((QUOTIENT(COLUMN(BV$2)-69,3))*5)+MOD(COLUMN(BV$2),3),1,1),"")</f>
        <v>9</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0</v>
      </c>
      <c r="B135" s="5">
        <f ca="1">COUNTBLANK(OFFSET(Demand!$I144,0,(COLUMN(A132)-1)*5,1,1))</f>
        <v>0</v>
      </c>
      <c r="C135" s="5">
        <f ca="1">COUNTBLANK(OFFSET(Demand!$I144,0,(COLUMN(B132)-1)*5,1,1))</f>
        <v>0</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90</v>
      </c>
      <c r="O135" s="5">
        <f ca="1">SUM(OFFSET(Demand!$E144,0,(COLUMN(B132)-1)*5,1,3))*O$2</f>
        <v>400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490</v>
      </c>
      <c r="Y135">
        <f t="shared" ca="1" si="45"/>
        <v>490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490</v>
      </c>
      <c r="AM135" s="5">
        <f t="shared" ca="1" si="48"/>
        <v>0</v>
      </c>
      <c r="AN135" s="5" t="str">
        <f>IF(Demand!BE144="Yes","Yes","")</f>
        <v/>
      </c>
      <c r="AP135" s="36" t="str">
        <f ca="1">Demand!B144</f>
        <v xml:space="preserve"> </v>
      </c>
      <c r="AQ135" t="str">
        <f ca="1">IF(TEXT(Demand!D144,"MMM")&lt;&gt;TEXT(Demand!D143,"MMM"),TEXT(Demand!D144,"MMM"),"")</f>
        <v>Oct</v>
      </c>
      <c r="AT135" s="5">
        <f t="shared" ca="1" si="49"/>
        <v>80</v>
      </c>
      <c r="BQ135">
        <f ca="1">IF($AN135="",OFFSET(Demand!$A$13,ROW(A132)-1,4+((QUOTIENT(COLUMN(BQ$2)-69,3))*5)+MOD(COLUMN(BQ$2),3),1,1),"")</f>
        <v>0</v>
      </c>
      <c r="BR135">
        <f ca="1">IF($AN135="",OFFSET(Demand!$A$13,ROW(B132)-1,4+((QUOTIENT(COLUMN(BR$2)-69,3))*5)+MOD(COLUMN(BR$2),3),1,1),"")</f>
        <v>0</v>
      </c>
      <c r="BS135">
        <f ca="1">IF($AN135="",OFFSET(Demand!$A$13,ROW(C132)-1,4+((QUOTIENT(COLUMN(BS$2)-69,3))*5)+MOD(COLUMN(BS$2),3),1,1),"")</f>
        <v>3</v>
      </c>
      <c r="BT135">
        <f ca="1">IF($AN135="",OFFSET(Demand!$A$13,ROW(D132)-1,4+((QUOTIENT(COLUMN(BT$2)-69,3))*5)+MOD(COLUMN(BT$2),3),1,1),"")</f>
        <v>0</v>
      </c>
      <c r="BU135">
        <f ca="1">IF($AN135="",OFFSET(Demand!$A$13,ROW(E132)-1,4+((QUOTIENT(COLUMN(BU$2)-69,3))*5)+MOD(COLUMN(BU$2),3),1,1),"")</f>
        <v>3</v>
      </c>
      <c r="BV135">
        <f ca="1">IF($AN135="",OFFSET(Demand!$A$13,ROW(F132)-1,4+((QUOTIENT(COLUMN(BV$2)-69,3))*5)+MOD(COLUMN(BV$2),3),1,1),"")</f>
        <v>7</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0</v>
      </c>
      <c r="B136" s="5">
        <f ca="1">COUNTBLANK(OFFSET(Demand!$I145,0,(COLUMN(A133)-1)*5,1,1))</f>
        <v>0</v>
      </c>
      <c r="C136" s="5">
        <f ca="1">COUNTBLANK(OFFSET(Demand!$I145,0,(COLUMN(B133)-1)*5,1,1))</f>
        <v>0</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210</v>
      </c>
      <c r="O136" s="5">
        <f ca="1">SUM(OFFSET(Demand!$E145,0,(COLUMN(B133)-1)*5,1,3))*O$2</f>
        <v>360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570</v>
      </c>
      <c r="Y136">
        <f t="shared" ca="1" si="45"/>
        <v>570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570</v>
      </c>
      <c r="AM136" s="5">
        <f t="shared" ca="1" si="48"/>
        <v>0</v>
      </c>
      <c r="AN136" s="5" t="str">
        <f>IF(Demand!BE145="Yes","Yes","")</f>
        <v/>
      </c>
      <c r="AP136" s="36" t="str">
        <f ca="1">Demand!B145</f>
        <v xml:space="preserve"> </v>
      </c>
      <c r="AQ136" t="str">
        <f ca="1">IF(TEXT(Demand!D145,"MMM")&lt;&gt;TEXT(Demand!D144,"MMM"),TEXT(Demand!D145,"MMM"),"")</f>
        <v/>
      </c>
      <c r="AT136" s="5">
        <f t="shared" ca="1" si="49"/>
        <v>80</v>
      </c>
      <c r="BQ136">
        <f ca="1">IF($AN136="",OFFSET(Demand!$A$13,ROW(A133)-1,4+((QUOTIENT(COLUMN(BQ$2)-69,3))*5)+MOD(COLUMN(BQ$2),3),1,1),"")</f>
        <v>0</v>
      </c>
      <c r="BR136">
        <f ca="1">IF($AN136="",OFFSET(Demand!$A$13,ROW(B133)-1,4+((QUOTIENT(COLUMN(BR$2)-69,3))*5)+MOD(COLUMN(BR$2),3),1,1),"")</f>
        <v>1</v>
      </c>
      <c r="BS136">
        <f ca="1">IF($AN136="",OFFSET(Demand!$A$13,ROW(C133)-1,4+((QUOTIENT(COLUMN(BS$2)-69,3))*5)+MOD(COLUMN(BS$2),3),1,1),"")</f>
        <v>6</v>
      </c>
      <c r="BT136">
        <f ca="1">IF($AN136="",OFFSET(Demand!$A$13,ROW(D133)-1,4+((QUOTIENT(COLUMN(BT$2)-69,3))*5)+MOD(COLUMN(BT$2),3),1,1),"")</f>
        <v>0</v>
      </c>
      <c r="BU136">
        <f ca="1">IF($AN136="",OFFSET(Demand!$A$13,ROW(E133)-1,4+((QUOTIENT(COLUMN(BU$2)-69,3))*5)+MOD(COLUMN(BU$2),3),1,1),"")</f>
        <v>2</v>
      </c>
      <c r="BV136">
        <f ca="1">IF($AN136="",OFFSET(Demand!$A$13,ROW(F133)-1,4+((QUOTIENT(COLUMN(BV$2)-69,3))*5)+MOD(COLUMN(BV$2),3),1,1),"")</f>
        <v>7</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0</v>
      </c>
      <c r="B137" s="5">
        <f ca="1">COUNTBLANK(OFFSET(Demand!$I146,0,(COLUMN(A134)-1)*5,1,1))</f>
        <v>0</v>
      </c>
      <c r="C137" s="5">
        <f ca="1">COUNTBLANK(OFFSET(Demand!$I146,0,(COLUMN(B134)-1)*5,1,1))</f>
        <v>0</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90</v>
      </c>
      <c r="O137" s="5">
        <f ca="1">SUM(OFFSET(Demand!$E146,0,(COLUMN(B134)-1)*5,1,3))*O$2</f>
        <v>240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330</v>
      </c>
      <c r="Y137">
        <f t="shared" ca="1" si="45"/>
        <v>330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330</v>
      </c>
      <c r="AM137" s="5">
        <f t="shared" ca="1" si="48"/>
        <v>0</v>
      </c>
      <c r="AN137" s="5" t="str">
        <f>IF(Demand!BE146="Yes","Yes","")</f>
        <v/>
      </c>
      <c r="AP137" s="36" t="str">
        <f ca="1">Demand!B146</f>
        <v xml:space="preserve"> </v>
      </c>
      <c r="AQ137" t="str">
        <f ca="1">IF(TEXT(Demand!D146,"MMM")&lt;&gt;TEXT(Demand!D145,"MMM"),TEXT(Demand!D146,"MMM"),"")</f>
        <v/>
      </c>
      <c r="AT137" s="5">
        <f t="shared" ca="1" si="49"/>
        <v>240</v>
      </c>
      <c r="BQ137">
        <f ca="1">IF($AN137="",OFFSET(Demand!$A$13,ROW(A134)-1,4+((QUOTIENT(COLUMN(BQ$2)-69,3))*5)+MOD(COLUMN(BQ$2),3),1,1),"")</f>
        <v>0</v>
      </c>
      <c r="BR137">
        <f ca="1">IF($AN137="",OFFSET(Demand!$A$13,ROW(B134)-1,4+((QUOTIENT(COLUMN(BR$2)-69,3))*5)+MOD(COLUMN(BR$2),3),1,1),"")</f>
        <v>0</v>
      </c>
      <c r="BS137">
        <f ca="1">IF($AN137="",OFFSET(Demand!$A$13,ROW(C134)-1,4+((QUOTIENT(COLUMN(BS$2)-69,3))*5)+MOD(COLUMN(BS$2),3),1,1),"")</f>
        <v>3</v>
      </c>
      <c r="BT137">
        <f ca="1">IF($AN137="",OFFSET(Demand!$A$13,ROW(D134)-1,4+((QUOTIENT(COLUMN(BT$2)-69,3))*5)+MOD(COLUMN(BT$2),3),1,1),"")</f>
        <v>0</v>
      </c>
      <c r="BU137">
        <f ca="1">IF($AN137="",OFFSET(Demand!$A$13,ROW(E134)-1,4+((QUOTIENT(COLUMN(BU$2)-69,3))*5)+MOD(COLUMN(BU$2),3),1,1),"")</f>
        <v>1</v>
      </c>
      <c r="BV137">
        <f ca="1">IF($AN137="",OFFSET(Demand!$A$13,ROW(F134)-1,4+((QUOTIENT(COLUMN(BV$2)-69,3))*5)+MOD(COLUMN(BV$2),3),1,1),"")</f>
        <v>5</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0</v>
      </c>
      <c r="B138" s="5">
        <f ca="1">COUNTBLANK(OFFSET(Demand!$I147,0,(COLUMN(A135)-1)*5,1,1))</f>
        <v>0</v>
      </c>
      <c r="C138" s="5">
        <f ca="1">COUNTBLANK(OFFSET(Demand!$I147,0,(COLUMN(B135)-1)*5,1,1))</f>
        <v>0</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60</v>
      </c>
      <c r="O138" s="5">
        <f ca="1">SUM(OFFSET(Demand!$E147,0,(COLUMN(B135)-1)*5,1,3))*O$2</f>
        <v>400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460</v>
      </c>
      <c r="Y138">
        <f t="shared" ca="1" si="45"/>
        <v>460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460</v>
      </c>
      <c r="AM138" s="5">
        <f t="shared" ca="1" si="48"/>
        <v>0</v>
      </c>
      <c r="AN138" s="5" t="str">
        <f>IF(Demand!BE147="Yes","Yes","")</f>
        <v/>
      </c>
      <c r="AP138" s="36" t="str">
        <f ca="1">Demand!B147</f>
        <v xml:space="preserve"> </v>
      </c>
      <c r="AQ138" t="str">
        <f ca="1">IF(TEXT(Demand!D147,"MMM")&lt;&gt;TEXT(Demand!D146,"MMM"),TEXT(Demand!D147,"MMM"),"")</f>
        <v/>
      </c>
      <c r="AT138" s="5">
        <f t="shared" ca="1" si="49"/>
        <v>130</v>
      </c>
      <c r="BQ138">
        <f ca="1">IF($AN138="",OFFSET(Demand!$A$13,ROW(A135)-1,4+((QUOTIENT(COLUMN(BQ$2)-69,3))*5)+MOD(COLUMN(BQ$2),3),1,1),"")</f>
        <v>0</v>
      </c>
      <c r="BR138">
        <f ca="1">IF($AN138="",OFFSET(Demand!$A$13,ROW(B135)-1,4+((QUOTIENT(COLUMN(BR$2)-69,3))*5)+MOD(COLUMN(BR$2),3),1,1),"")</f>
        <v>0</v>
      </c>
      <c r="BS138">
        <f ca="1">IF($AN138="",OFFSET(Demand!$A$13,ROW(C135)-1,4+((QUOTIENT(COLUMN(BS$2)-69,3))*5)+MOD(COLUMN(BS$2),3),1,1),"")</f>
        <v>2</v>
      </c>
      <c r="BT138">
        <f ca="1">IF($AN138="",OFFSET(Demand!$A$13,ROW(D135)-1,4+((QUOTIENT(COLUMN(BT$2)-69,3))*5)+MOD(COLUMN(BT$2),3),1,1),"")</f>
        <v>0</v>
      </c>
      <c r="BU138">
        <f ca="1">IF($AN138="",OFFSET(Demand!$A$13,ROW(E135)-1,4+((QUOTIENT(COLUMN(BU$2)-69,3))*5)+MOD(COLUMN(BU$2),3),1,1),"")</f>
        <v>1</v>
      </c>
      <c r="BV138">
        <f ca="1">IF($AN138="",OFFSET(Demand!$A$13,ROW(F135)-1,4+((QUOTIENT(COLUMN(BV$2)-69,3))*5)+MOD(COLUMN(BV$2),3),1,1),"")</f>
        <v>9</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0</v>
      </c>
      <c r="B139" s="5">
        <f ca="1">COUNTBLANK(OFFSET(Demand!$I148,0,(COLUMN(A136)-1)*5,1,1))</f>
        <v>0</v>
      </c>
      <c r="C139" s="5">
        <f ca="1">COUNTBLANK(OFFSET(Demand!$I148,0,(COLUMN(B136)-1)*5,1,1))</f>
        <v>0</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150</v>
      </c>
      <c r="O139" s="5">
        <f ca="1">SUM(OFFSET(Demand!$E148,0,(COLUMN(B136)-1)*5,1,3))*O$2</f>
        <v>320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470</v>
      </c>
      <c r="Y139">
        <f t="shared" ca="1" si="45"/>
        <v>470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470</v>
      </c>
      <c r="AM139" s="5">
        <f t="shared" ca="1" si="48"/>
        <v>0</v>
      </c>
      <c r="AN139" s="5" t="str">
        <f>IF(Demand!BE148="Yes","Yes","")</f>
        <v/>
      </c>
      <c r="AP139" s="36" t="str">
        <f ca="1">Demand!B148</f>
        <v xml:space="preserve"> </v>
      </c>
      <c r="AQ139" t="str">
        <f ca="1">IF(TEXT(Demand!D148,"MMM")&lt;&gt;TEXT(Demand!D147,"MMM"),TEXT(Demand!D148,"MMM"),"")</f>
        <v/>
      </c>
      <c r="AT139" s="5">
        <f t="shared" ca="1" si="49"/>
        <v>10</v>
      </c>
      <c r="BQ139">
        <f ca="1">IF($AN139="",OFFSET(Demand!$A$13,ROW(A136)-1,4+((QUOTIENT(COLUMN(BQ$2)-69,3))*5)+MOD(COLUMN(BQ$2),3),1,1),"")</f>
        <v>0</v>
      </c>
      <c r="BR139">
        <f ca="1">IF($AN139="",OFFSET(Demand!$A$13,ROW(B136)-1,4+((QUOTIENT(COLUMN(BR$2)-69,3))*5)+MOD(COLUMN(BR$2),3),1,1),"")</f>
        <v>1</v>
      </c>
      <c r="BS139">
        <f ca="1">IF($AN139="",OFFSET(Demand!$A$13,ROW(C136)-1,4+((QUOTIENT(COLUMN(BS$2)-69,3))*5)+MOD(COLUMN(BS$2),3),1,1),"")</f>
        <v>4</v>
      </c>
      <c r="BT139">
        <f ca="1">IF($AN139="",OFFSET(Demand!$A$13,ROW(D136)-1,4+((QUOTIENT(COLUMN(BT$2)-69,3))*5)+MOD(COLUMN(BT$2),3),1,1),"")</f>
        <v>0</v>
      </c>
      <c r="BU139">
        <f ca="1">IF($AN139="",OFFSET(Demand!$A$13,ROW(E136)-1,4+((QUOTIENT(COLUMN(BU$2)-69,3))*5)+MOD(COLUMN(BU$2),3),1,1),"")</f>
        <v>3</v>
      </c>
      <c r="BV139">
        <f ca="1">IF($AN139="",OFFSET(Demand!$A$13,ROW(F136)-1,4+((QUOTIENT(COLUMN(BV$2)-69,3))*5)+MOD(COLUMN(BV$2),3),1,1),"")</f>
        <v>5</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0</v>
      </c>
      <c r="B140" s="5">
        <f ca="1">COUNTBLANK(OFFSET(Demand!$I149,0,(COLUMN(A137)-1)*5,1,1))</f>
        <v>0</v>
      </c>
      <c r="C140" s="5">
        <f ca="1">COUNTBLANK(OFFSET(Demand!$I149,0,(COLUMN(B137)-1)*5,1,1))</f>
        <v>0</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210</v>
      </c>
      <c r="O140" s="5">
        <f ca="1">SUM(OFFSET(Demand!$E149,0,(COLUMN(B137)-1)*5,1,3))*O$2</f>
        <v>280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490</v>
      </c>
      <c r="Y140">
        <f t="shared" ca="1" si="45"/>
        <v>490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490</v>
      </c>
      <c r="AM140" s="5">
        <f t="shared" ca="1" si="48"/>
        <v>0</v>
      </c>
      <c r="AN140" s="5" t="str">
        <f>IF(Demand!BE149="Yes","Yes","")</f>
        <v/>
      </c>
      <c r="AP140" s="36" t="str">
        <f ca="1">Demand!B149</f>
        <v xml:space="preserve"> </v>
      </c>
      <c r="AQ140" t="str">
        <f ca="1">IF(TEXT(Demand!D149,"MMM")&lt;&gt;TEXT(Demand!D148,"MMM"),TEXT(Demand!D149,"MMM"),"")</f>
        <v>Nov</v>
      </c>
      <c r="AT140" s="5">
        <f t="shared" ca="1" si="49"/>
        <v>20</v>
      </c>
      <c r="BQ140">
        <f ca="1">IF($AN140="",OFFSET(Demand!$A$13,ROW(A137)-1,4+((QUOTIENT(COLUMN(BQ$2)-69,3))*5)+MOD(COLUMN(BQ$2),3),1,1),"")</f>
        <v>0</v>
      </c>
      <c r="BR140">
        <f ca="1">IF($AN140="",OFFSET(Demand!$A$13,ROW(B137)-1,4+((QUOTIENT(COLUMN(BR$2)-69,3))*5)+MOD(COLUMN(BR$2),3),1,1),"")</f>
        <v>3</v>
      </c>
      <c r="BS140">
        <f ca="1">IF($AN140="",OFFSET(Demand!$A$13,ROW(C137)-1,4+((QUOTIENT(COLUMN(BS$2)-69,3))*5)+MOD(COLUMN(BS$2),3),1,1),"")</f>
        <v>4</v>
      </c>
      <c r="BT140">
        <f ca="1">IF($AN140="",OFFSET(Demand!$A$13,ROW(D137)-1,4+((QUOTIENT(COLUMN(BT$2)-69,3))*5)+MOD(COLUMN(BT$2),3),1,1),"")</f>
        <v>0</v>
      </c>
      <c r="BU140">
        <f ca="1">IF($AN140="",OFFSET(Demand!$A$13,ROW(E137)-1,4+((QUOTIENT(COLUMN(BU$2)-69,3))*5)+MOD(COLUMN(BU$2),3),1,1),"")</f>
        <v>0</v>
      </c>
      <c r="BV140">
        <f ca="1">IF($AN140="",OFFSET(Demand!$A$13,ROW(F137)-1,4+((QUOTIENT(COLUMN(BV$2)-69,3))*5)+MOD(COLUMN(BV$2),3),1,1),"")</f>
        <v>7</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0</v>
      </c>
      <c r="B141" s="5">
        <f ca="1">COUNTBLANK(OFFSET(Demand!$I150,0,(COLUMN(A138)-1)*5,1,1))</f>
        <v>0</v>
      </c>
      <c r="C141" s="5">
        <f ca="1">COUNTBLANK(OFFSET(Demand!$I150,0,(COLUMN(B138)-1)*5,1,1))</f>
        <v>0</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150</v>
      </c>
      <c r="O141" s="5">
        <f ca="1">SUM(OFFSET(Demand!$E150,0,(COLUMN(B138)-1)*5,1,3))*O$2</f>
        <v>280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430</v>
      </c>
      <c r="Y141">
        <f t="shared" ca="1" si="45"/>
        <v>430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430</v>
      </c>
      <c r="AM141" s="5">
        <f t="shared" ca="1" si="48"/>
        <v>0</v>
      </c>
      <c r="AN141" s="5" t="str">
        <f>IF(Demand!BE150="Yes","Yes","")</f>
        <v/>
      </c>
      <c r="AP141" s="36" t="str">
        <f ca="1">Demand!B150</f>
        <v xml:space="preserve"> </v>
      </c>
      <c r="AQ141" t="str">
        <f ca="1">IF(TEXT(Demand!D150,"MMM")&lt;&gt;TEXT(Demand!D149,"MMM"),TEXT(Demand!D150,"MMM"),"")</f>
        <v/>
      </c>
      <c r="AT141" s="5">
        <f t="shared" ca="1" si="49"/>
        <v>60</v>
      </c>
      <c r="BQ141">
        <f ca="1">IF($AN141="",OFFSET(Demand!$A$13,ROW(A138)-1,4+((QUOTIENT(COLUMN(BQ$2)-69,3))*5)+MOD(COLUMN(BQ$2),3),1,1),"")</f>
        <v>0</v>
      </c>
      <c r="BR141">
        <f ca="1">IF($AN141="",OFFSET(Demand!$A$13,ROW(B138)-1,4+((QUOTIENT(COLUMN(BR$2)-69,3))*5)+MOD(COLUMN(BR$2),3),1,1),"")</f>
        <v>0</v>
      </c>
      <c r="BS141">
        <f ca="1">IF($AN141="",OFFSET(Demand!$A$13,ROW(C138)-1,4+((QUOTIENT(COLUMN(BS$2)-69,3))*5)+MOD(COLUMN(BS$2),3),1,1),"")</f>
        <v>5</v>
      </c>
      <c r="BT141">
        <f ca="1">IF($AN141="",OFFSET(Demand!$A$13,ROW(D138)-1,4+((QUOTIENT(COLUMN(BT$2)-69,3))*5)+MOD(COLUMN(BT$2),3),1,1),"")</f>
        <v>0</v>
      </c>
      <c r="BU141">
        <f ca="1">IF($AN141="",OFFSET(Demand!$A$13,ROW(E138)-1,4+((QUOTIENT(COLUMN(BU$2)-69,3))*5)+MOD(COLUMN(BU$2),3),1,1),"")</f>
        <v>1</v>
      </c>
      <c r="BV141">
        <f ca="1">IF($AN141="",OFFSET(Demand!$A$13,ROW(F138)-1,4+((QUOTIENT(COLUMN(BV$2)-69,3))*5)+MOD(COLUMN(BV$2),3),1,1),"")</f>
        <v>6</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0</v>
      </c>
      <c r="B142" s="5">
        <f ca="1">COUNTBLANK(OFFSET(Demand!$I151,0,(COLUMN(A139)-1)*5,1,1))</f>
        <v>0</v>
      </c>
      <c r="C142" s="5">
        <f ca="1">COUNTBLANK(OFFSET(Demand!$I151,0,(COLUMN(B139)-1)*5,1,1))</f>
        <v>0</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150</v>
      </c>
      <c r="O142" s="5">
        <f ca="1">SUM(OFFSET(Demand!$E151,0,(COLUMN(B139)-1)*5,1,3))*O$2</f>
        <v>320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470</v>
      </c>
      <c r="Y142">
        <f t="shared" ca="1" si="45"/>
        <v>470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470</v>
      </c>
      <c r="AM142" s="5">
        <f t="shared" ca="1" si="48"/>
        <v>0</v>
      </c>
      <c r="AN142" s="5" t="str">
        <f>IF(Demand!BE151="Yes","Yes","")</f>
        <v/>
      </c>
      <c r="AP142" s="36" t="str">
        <f ca="1">Demand!B151</f>
        <v xml:space="preserve"> </v>
      </c>
      <c r="AQ142" t="str">
        <f ca="1">IF(TEXT(Demand!D151,"MMM")&lt;&gt;TEXT(Demand!D150,"MMM"),TEXT(Demand!D151,"MMM"),"")</f>
        <v/>
      </c>
      <c r="AT142" s="5">
        <f t="shared" ca="1" si="49"/>
        <v>40</v>
      </c>
      <c r="BQ142">
        <f ca="1">IF($AN142="",OFFSET(Demand!$A$13,ROW(A139)-1,4+((QUOTIENT(COLUMN(BQ$2)-69,3))*5)+MOD(COLUMN(BQ$2),3),1,1),"")</f>
        <v>0</v>
      </c>
      <c r="BR142">
        <f ca="1">IF($AN142="",OFFSET(Demand!$A$13,ROW(B139)-1,4+((QUOTIENT(COLUMN(BR$2)-69,3))*5)+MOD(COLUMN(BR$2),3),1,1),"")</f>
        <v>2</v>
      </c>
      <c r="BS142">
        <f ca="1">IF($AN142="",OFFSET(Demand!$A$13,ROW(C139)-1,4+((QUOTIENT(COLUMN(BS$2)-69,3))*5)+MOD(COLUMN(BS$2),3),1,1),"")</f>
        <v>3</v>
      </c>
      <c r="BT142">
        <f ca="1">IF($AN142="",OFFSET(Demand!$A$13,ROW(D139)-1,4+((QUOTIENT(COLUMN(BT$2)-69,3))*5)+MOD(COLUMN(BT$2),3),1,1),"")</f>
        <v>0</v>
      </c>
      <c r="BU142">
        <f ca="1">IF($AN142="",OFFSET(Demand!$A$13,ROW(E139)-1,4+((QUOTIENT(COLUMN(BU$2)-69,3))*5)+MOD(COLUMN(BU$2),3),1,1),"")</f>
        <v>0</v>
      </c>
      <c r="BV142">
        <f ca="1">IF($AN142="",OFFSET(Demand!$A$13,ROW(F139)-1,4+((QUOTIENT(COLUMN(BV$2)-69,3))*5)+MOD(COLUMN(BV$2),3),1,1),"")</f>
        <v>8</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0</v>
      </c>
      <c r="B143" s="5">
        <f ca="1">COUNTBLANK(OFFSET(Demand!$I152,0,(COLUMN(A140)-1)*5,1,1))</f>
        <v>0</v>
      </c>
      <c r="C143" s="5">
        <f ca="1">COUNTBLANK(OFFSET(Demand!$I152,0,(COLUMN(B140)-1)*5,1,1))</f>
        <v>0</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120</v>
      </c>
      <c r="O143" s="5">
        <f ca="1">SUM(OFFSET(Demand!$E152,0,(COLUMN(B140)-1)*5,1,3))*O$2</f>
        <v>600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720</v>
      </c>
      <c r="Y143">
        <f t="shared" ca="1" si="45"/>
        <v>720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720</v>
      </c>
      <c r="AM143" s="5">
        <f t="shared" ca="1" si="48"/>
        <v>0</v>
      </c>
      <c r="AN143" s="5" t="str">
        <f>IF(Demand!BE152="Yes","Yes","")</f>
        <v/>
      </c>
      <c r="AP143" s="36" t="str">
        <f ca="1">Demand!B152</f>
        <v xml:space="preserve"> </v>
      </c>
      <c r="AQ143" t="str">
        <f ca="1">IF(TEXT(Demand!D152,"MMM")&lt;&gt;TEXT(Demand!D151,"MMM"),TEXT(Demand!D152,"MMM"),"")</f>
        <v/>
      </c>
      <c r="AT143" s="5">
        <f t="shared" ca="1" si="49"/>
        <v>250</v>
      </c>
      <c r="BQ143">
        <f ca="1">IF($AN143="",OFFSET(Demand!$A$13,ROW(A140)-1,4+((QUOTIENT(COLUMN(BQ$2)-69,3))*5)+MOD(COLUMN(BQ$2),3),1,1),"")</f>
        <v>0</v>
      </c>
      <c r="BR143">
        <f ca="1">IF($AN143="",OFFSET(Demand!$A$13,ROW(B140)-1,4+((QUOTIENT(COLUMN(BR$2)-69,3))*5)+MOD(COLUMN(BR$2),3),1,1),"")</f>
        <v>1</v>
      </c>
      <c r="BS143">
        <f ca="1">IF($AN143="",OFFSET(Demand!$A$13,ROW(C140)-1,4+((QUOTIENT(COLUMN(BS$2)-69,3))*5)+MOD(COLUMN(BS$2),3),1,1),"")</f>
        <v>3</v>
      </c>
      <c r="BT143">
        <f ca="1">IF($AN143="",OFFSET(Demand!$A$13,ROW(D140)-1,4+((QUOTIENT(COLUMN(BT$2)-69,3))*5)+MOD(COLUMN(BT$2),3),1,1),"")</f>
        <v>0</v>
      </c>
      <c r="BU143">
        <f ca="1">IF($AN143="",OFFSET(Demand!$A$13,ROW(E140)-1,4+((QUOTIENT(COLUMN(BU$2)-69,3))*5)+MOD(COLUMN(BU$2),3),1,1),"")</f>
        <v>1</v>
      </c>
      <c r="BV143">
        <f ca="1">IF($AN143="",OFFSET(Demand!$A$13,ROW(F140)-1,4+((QUOTIENT(COLUMN(BV$2)-69,3))*5)+MOD(COLUMN(BV$2),3),1,1),"")</f>
        <v>14</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0</v>
      </c>
      <c r="B144" s="5">
        <f ca="1">COUNTBLANK(OFFSET(Demand!$I153,0,(COLUMN(A141)-1)*5,1,1))</f>
        <v>0</v>
      </c>
      <c r="C144" s="5">
        <f ca="1">COUNTBLANK(OFFSET(Demand!$I153,0,(COLUMN(B141)-1)*5,1,1))</f>
        <v>0</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90</v>
      </c>
      <c r="O144" s="5">
        <f ca="1">SUM(OFFSET(Demand!$E153,0,(COLUMN(B141)-1)*5,1,3))*O$2</f>
        <v>160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250</v>
      </c>
      <c r="Y144">
        <f t="shared" ca="1" si="45"/>
        <v>250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250</v>
      </c>
      <c r="AM144" s="5">
        <f t="shared" ca="1" si="48"/>
        <v>0</v>
      </c>
      <c r="AN144" s="5" t="str">
        <f>IF(Demand!BE153="Yes","Yes","")</f>
        <v/>
      </c>
      <c r="AP144" s="36" t="str">
        <f ca="1">Demand!B153</f>
        <v xml:space="preserve"> </v>
      </c>
      <c r="AQ144" t="str">
        <f ca="1">IF(TEXT(Demand!D153,"MMM")&lt;&gt;TEXT(Demand!D152,"MMM"),TEXT(Demand!D153,"MMM"),"")</f>
        <v>Dec</v>
      </c>
      <c r="AT144" s="5">
        <f t="shared" ca="1" si="49"/>
        <v>470</v>
      </c>
      <c r="BQ144">
        <f ca="1">IF($AN144="",OFFSET(Demand!$A$13,ROW(A141)-1,4+((QUOTIENT(COLUMN(BQ$2)-69,3))*5)+MOD(COLUMN(BQ$2),3),1,1),"")</f>
        <v>0</v>
      </c>
      <c r="BR144">
        <f ca="1">IF($AN144="",OFFSET(Demand!$A$13,ROW(B141)-1,4+((QUOTIENT(COLUMN(BR$2)-69,3))*5)+MOD(COLUMN(BR$2),3),1,1),"")</f>
        <v>0</v>
      </c>
      <c r="BS144">
        <f ca="1">IF($AN144="",OFFSET(Demand!$A$13,ROW(C141)-1,4+((QUOTIENT(COLUMN(BS$2)-69,3))*5)+MOD(COLUMN(BS$2),3),1,1),"")</f>
        <v>3</v>
      </c>
      <c r="BT144">
        <f ca="1">IF($AN144="",OFFSET(Demand!$A$13,ROW(D141)-1,4+((QUOTIENT(COLUMN(BT$2)-69,3))*5)+MOD(COLUMN(BT$2),3),1,1),"")</f>
        <v>0</v>
      </c>
      <c r="BU144">
        <f ca="1">IF($AN144="",OFFSET(Demand!$A$13,ROW(E141)-1,4+((QUOTIENT(COLUMN(BU$2)-69,3))*5)+MOD(COLUMN(BU$2),3),1,1),"")</f>
        <v>2</v>
      </c>
      <c r="BV144">
        <f ca="1">IF($AN144="",OFFSET(Demand!$A$13,ROW(F141)-1,4+((QUOTIENT(COLUMN(BV$2)-69,3))*5)+MOD(COLUMN(BV$2),3),1,1),"")</f>
        <v>2</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0</v>
      </c>
      <c r="B145" s="5">
        <f ca="1">COUNTBLANK(OFFSET(Demand!$I154,0,(COLUMN(A142)-1)*5,1,1))</f>
        <v>0</v>
      </c>
      <c r="C145" s="5">
        <f ca="1">COUNTBLANK(OFFSET(Demand!$I154,0,(COLUMN(B142)-1)*5,1,1))</f>
        <v>0</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150</v>
      </c>
      <c r="O145" s="5">
        <f ca="1">SUM(OFFSET(Demand!$E154,0,(COLUMN(B142)-1)*5,1,3))*O$2</f>
        <v>400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550</v>
      </c>
      <c r="Y145">
        <f t="shared" ca="1" si="45"/>
        <v>550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550</v>
      </c>
      <c r="AM145" s="5">
        <f t="shared" ca="1" si="48"/>
        <v>0</v>
      </c>
      <c r="AN145" s="5" t="str">
        <f>IF(Demand!BE154="Yes","Yes","")</f>
        <v/>
      </c>
      <c r="AP145" s="36" t="str">
        <f ca="1">Demand!B154</f>
        <v xml:space="preserve"> </v>
      </c>
      <c r="AQ145" t="str">
        <f ca="1">IF(TEXT(Demand!D154,"MMM")&lt;&gt;TEXT(Demand!D153,"MMM"),TEXT(Demand!D154,"MMM"),"")</f>
        <v/>
      </c>
      <c r="AT145" s="5">
        <f t="shared" ca="1" si="49"/>
        <v>300</v>
      </c>
      <c r="BQ145">
        <f ca="1">IF($AN145="",OFFSET(Demand!$A$13,ROW(A142)-1,4+((QUOTIENT(COLUMN(BQ$2)-69,3))*5)+MOD(COLUMN(BQ$2),3),1,1),"")</f>
        <v>0</v>
      </c>
      <c r="BR145">
        <f ca="1">IF($AN145="",OFFSET(Demand!$A$13,ROW(B142)-1,4+((QUOTIENT(COLUMN(BR$2)-69,3))*5)+MOD(COLUMN(BR$2),3),1,1),"")</f>
        <v>0</v>
      </c>
      <c r="BS145">
        <f ca="1">IF($AN145="",OFFSET(Demand!$A$13,ROW(C142)-1,4+((QUOTIENT(COLUMN(BS$2)-69,3))*5)+MOD(COLUMN(BS$2),3),1,1),"")</f>
        <v>5</v>
      </c>
      <c r="BT145">
        <f ca="1">IF($AN145="",OFFSET(Demand!$A$13,ROW(D142)-1,4+((QUOTIENT(COLUMN(BT$2)-69,3))*5)+MOD(COLUMN(BT$2),3),1,1),"")</f>
        <v>0</v>
      </c>
      <c r="BU145">
        <f ca="1">IF($AN145="",OFFSET(Demand!$A$13,ROW(E142)-1,4+((QUOTIENT(COLUMN(BU$2)-69,3))*5)+MOD(COLUMN(BU$2),3),1,1),"")</f>
        <v>3</v>
      </c>
      <c r="BV145">
        <f ca="1">IF($AN145="",OFFSET(Demand!$A$13,ROW(F142)-1,4+((QUOTIENT(COLUMN(BV$2)-69,3))*5)+MOD(COLUMN(BV$2),3),1,1),"")</f>
        <v>7</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0</v>
      </c>
      <c r="B146" s="5">
        <f ca="1">COUNTBLANK(OFFSET(Demand!$I155,0,(COLUMN(A143)-1)*5,1,1))</f>
        <v>0</v>
      </c>
      <c r="C146" s="5">
        <f ca="1">COUNTBLANK(OFFSET(Demand!$I155,0,(COLUMN(B143)-1)*5,1,1))</f>
        <v>0</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90</v>
      </c>
      <c r="O146" s="5">
        <f ca="1">SUM(OFFSET(Demand!$E155,0,(COLUMN(B143)-1)*5,1,3))*O$2</f>
        <v>600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690</v>
      </c>
      <c r="Y146">
        <f t="shared" ca="1" si="45"/>
        <v>690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690</v>
      </c>
      <c r="AM146" s="5">
        <f t="shared" ca="1" si="48"/>
        <v>0</v>
      </c>
      <c r="AN146" s="5" t="str">
        <f>IF(Demand!BE155="Yes","Yes","")</f>
        <v/>
      </c>
      <c r="AP146" s="36" t="str">
        <f ca="1">Demand!B155</f>
        <v xml:space="preserve"> </v>
      </c>
      <c r="AQ146" t="str">
        <f ca="1">IF(TEXT(Demand!D155,"MMM")&lt;&gt;TEXT(Demand!D154,"MMM"),TEXT(Demand!D155,"MMM"),"")</f>
        <v/>
      </c>
      <c r="AT146" s="5">
        <f t="shared" ca="1" si="49"/>
        <v>140</v>
      </c>
      <c r="BQ146">
        <f ca="1">IF($AN146="",OFFSET(Demand!$A$13,ROW(A143)-1,4+((QUOTIENT(COLUMN(BQ$2)-69,3))*5)+MOD(COLUMN(BQ$2),3),1,1),"")</f>
        <v>0</v>
      </c>
      <c r="BR146">
        <f ca="1">IF($AN146="",OFFSET(Demand!$A$13,ROW(B143)-1,4+((QUOTIENT(COLUMN(BR$2)-69,3))*5)+MOD(COLUMN(BR$2),3),1,1),"")</f>
        <v>1</v>
      </c>
      <c r="BS146">
        <f ca="1">IF($AN146="",OFFSET(Demand!$A$13,ROW(C143)-1,4+((QUOTIENT(COLUMN(BS$2)-69,3))*5)+MOD(COLUMN(BS$2),3),1,1),"")</f>
        <v>2</v>
      </c>
      <c r="BT146">
        <f ca="1">IF($AN146="",OFFSET(Demand!$A$13,ROW(D143)-1,4+((QUOTIENT(COLUMN(BT$2)-69,3))*5)+MOD(COLUMN(BT$2),3),1,1),"")</f>
        <v>0</v>
      </c>
      <c r="BU146">
        <f ca="1">IF($AN146="",OFFSET(Demand!$A$13,ROW(E143)-1,4+((QUOTIENT(COLUMN(BU$2)-69,3))*5)+MOD(COLUMN(BU$2),3),1,1),"")</f>
        <v>2</v>
      </c>
      <c r="BV146">
        <f ca="1">IF($AN146="",OFFSET(Demand!$A$13,ROW(F143)-1,4+((QUOTIENT(COLUMN(BV$2)-69,3))*5)+MOD(COLUMN(BV$2),3),1,1),"")</f>
        <v>13</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0</v>
      </c>
      <c r="B147" s="5">
        <f ca="1">COUNTBLANK(OFFSET(Demand!$I156,0,(COLUMN(A144)-1)*5,1,1))</f>
        <v>0</v>
      </c>
      <c r="C147" s="5">
        <f ca="1">COUNTBLANK(OFFSET(Demand!$I156,0,(COLUMN(B144)-1)*5,1,1))</f>
        <v>0</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90</v>
      </c>
      <c r="O147" s="5">
        <f ca="1">SUM(OFFSET(Demand!$E156,0,(COLUMN(B144)-1)*5,1,3))*O$2</f>
        <v>280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370</v>
      </c>
      <c r="Y147">
        <f t="shared" ca="1" si="45"/>
        <v>370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370</v>
      </c>
      <c r="AM147" s="5">
        <f t="shared" ca="1" si="48"/>
        <v>0</v>
      </c>
      <c r="AN147" s="5" t="str">
        <f>IF(Demand!BE156="Yes","Yes","")</f>
        <v/>
      </c>
      <c r="AP147" s="36" t="str">
        <f ca="1">Demand!B156</f>
        <v xml:space="preserve"> </v>
      </c>
      <c r="AQ147" t="str">
        <f ca="1">IF(TEXT(Demand!D156,"MMM")&lt;&gt;TEXT(Demand!D155,"MMM"),TEXT(Demand!D156,"MMM"),"")</f>
        <v/>
      </c>
      <c r="AT147" s="5">
        <f t="shared" ca="1" si="49"/>
        <v>320</v>
      </c>
      <c r="BQ147">
        <f ca="1">IF($AN147="",OFFSET(Demand!$A$13,ROW(A144)-1,4+((QUOTIENT(COLUMN(BQ$2)-69,3))*5)+MOD(COLUMN(BQ$2),3),1,1),"")</f>
        <v>0</v>
      </c>
      <c r="BR147">
        <f ca="1">IF($AN147="",OFFSET(Demand!$A$13,ROW(B144)-1,4+((QUOTIENT(COLUMN(BR$2)-69,3))*5)+MOD(COLUMN(BR$2),3),1,1),"")</f>
        <v>1</v>
      </c>
      <c r="BS147">
        <f ca="1">IF($AN147="",OFFSET(Demand!$A$13,ROW(C144)-1,4+((QUOTIENT(COLUMN(BS$2)-69,3))*5)+MOD(COLUMN(BS$2),3),1,1),"")</f>
        <v>2</v>
      </c>
      <c r="BT147">
        <f ca="1">IF($AN147="",OFFSET(Demand!$A$13,ROW(D144)-1,4+((QUOTIENT(COLUMN(BT$2)-69,3))*5)+MOD(COLUMN(BT$2),3),1,1),"")</f>
        <v>0</v>
      </c>
      <c r="BU147">
        <f ca="1">IF($AN147="",OFFSET(Demand!$A$13,ROW(E144)-1,4+((QUOTIENT(COLUMN(BU$2)-69,3))*5)+MOD(COLUMN(BU$2),3),1,1),"")</f>
        <v>1</v>
      </c>
      <c r="BV147">
        <f ca="1">IF($AN147="",OFFSET(Demand!$A$13,ROW(F144)-1,4+((QUOTIENT(COLUMN(BV$2)-69,3))*5)+MOD(COLUMN(BV$2),3),1,1),"")</f>
        <v>6</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0</v>
      </c>
      <c r="B148" s="5">
        <f ca="1">COUNTBLANK(OFFSET(Demand!$I157,0,(COLUMN(A145)-1)*5,1,1))</f>
        <v>0</v>
      </c>
      <c r="C148" s="5">
        <f ca="1">COUNTBLANK(OFFSET(Demand!$I157,0,(COLUMN(B145)-1)*5,1,1))</f>
        <v>0</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120</v>
      </c>
      <c r="O148" s="5">
        <f ca="1">SUM(OFFSET(Demand!$E157,0,(COLUMN(B145)-1)*5,1,3))*O$2</f>
        <v>440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560</v>
      </c>
      <c r="Y148">
        <f t="shared" ca="1" si="45"/>
        <v>560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560</v>
      </c>
      <c r="AM148" s="5">
        <f t="shared" ca="1" si="48"/>
        <v>0</v>
      </c>
      <c r="AN148" s="5" t="str">
        <f>IF(Demand!BE157="Yes","Yes","")</f>
        <v/>
      </c>
      <c r="AP148" s="36" t="str">
        <f ca="1">Demand!B157</f>
        <v xml:space="preserve"> </v>
      </c>
      <c r="AQ148" t="str">
        <f ca="1">IF(TEXT(Demand!D157,"MMM")&lt;&gt;TEXT(Demand!D156,"MMM"),TEXT(Demand!D157,"MMM"),"")</f>
        <v/>
      </c>
      <c r="AT148" s="5">
        <f t="shared" ca="1" si="49"/>
        <v>190</v>
      </c>
      <c r="BQ148">
        <f ca="1">IF($AN148="",OFFSET(Demand!$A$13,ROW(A145)-1,4+((QUOTIENT(COLUMN(BQ$2)-69,3))*5)+MOD(COLUMN(BQ$2),3),1,1),"")</f>
        <v>0</v>
      </c>
      <c r="BR148">
        <f ca="1">IF($AN148="",OFFSET(Demand!$A$13,ROW(B145)-1,4+((QUOTIENT(COLUMN(BR$2)-69,3))*5)+MOD(COLUMN(BR$2),3),1,1),"")</f>
        <v>1</v>
      </c>
      <c r="BS148">
        <f ca="1">IF($AN148="",OFFSET(Demand!$A$13,ROW(C145)-1,4+((QUOTIENT(COLUMN(BS$2)-69,3))*5)+MOD(COLUMN(BS$2),3),1,1),"")</f>
        <v>3</v>
      </c>
      <c r="BT148">
        <f ca="1">IF($AN148="",OFFSET(Demand!$A$13,ROW(D145)-1,4+((QUOTIENT(COLUMN(BT$2)-69,3))*5)+MOD(COLUMN(BT$2),3),1,1),"")</f>
        <v>0</v>
      </c>
      <c r="BU148">
        <f ca="1">IF($AN148="",OFFSET(Demand!$A$13,ROW(E145)-1,4+((QUOTIENT(COLUMN(BU$2)-69,3))*5)+MOD(COLUMN(BU$2),3),1,1),"")</f>
        <v>2</v>
      </c>
      <c r="BV148">
        <f ca="1">IF($AN148="",OFFSET(Demand!$A$13,ROW(F145)-1,4+((QUOTIENT(COLUMN(BV$2)-69,3))*5)+MOD(COLUMN(BV$2),3),1,1),"")</f>
        <v>9</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0</v>
      </c>
      <c r="B149" s="5">
        <f ca="1">COUNTBLANK(OFFSET(Demand!$I158,0,(COLUMN(A146)-1)*5,1,1))</f>
        <v>0</v>
      </c>
      <c r="C149" s="5">
        <f ca="1">COUNTBLANK(OFFSET(Demand!$I158,0,(COLUMN(B146)-1)*5,1,1))</f>
        <v>0</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30</v>
      </c>
      <c r="O149" s="5">
        <f ca="1">SUM(OFFSET(Demand!$E158,0,(COLUMN(B146)-1)*5,1,3))*O$2</f>
        <v>240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270</v>
      </c>
      <c r="Y149">
        <f t="shared" ca="1" si="45"/>
        <v>270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270</v>
      </c>
      <c r="AM149" s="5">
        <f t="shared" ca="1" si="48"/>
        <v>0</v>
      </c>
      <c r="AN149" s="5" t="str">
        <f>IF(Demand!BE158="Yes","Yes","")</f>
        <v/>
      </c>
      <c r="AP149" s="36">
        <f ca="1">Demand!B158</f>
        <v>2019</v>
      </c>
      <c r="AQ149" t="str">
        <f ca="1">IF(TEXT(Demand!D158,"MMM")&lt;&gt;TEXT(Demand!D157,"MMM"),TEXT(Demand!D158,"MMM"),"")</f>
        <v>Jan</v>
      </c>
      <c r="AT149" s="5">
        <f t="shared" ca="1" si="49"/>
        <v>290</v>
      </c>
      <c r="BQ149">
        <f ca="1">IF($AN149="",OFFSET(Demand!$A$13,ROW(A146)-1,4+((QUOTIENT(COLUMN(BQ$2)-69,3))*5)+MOD(COLUMN(BQ$2),3),1,1),"")</f>
        <v>0</v>
      </c>
      <c r="BR149">
        <f ca="1">IF($AN149="",OFFSET(Demand!$A$13,ROW(B146)-1,4+((QUOTIENT(COLUMN(BR$2)-69,3))*5)+MOD(COLUMN(BR$2),3),1,1),"")</f>
        <v>0</v>
      </c>
      <c r="BS149">
        <f ca="1">IF($AN149="",OFFSET(Demand!$A$13,ROW(C146)-1,4+((QUOTIENT(COLUMN(BS$2)-69,3))*5)+MOD(COLUMN(BS$2),3),1,1),"")</f>
        <v>1</v>
      </c>
      <c r="BT149">
        <f ca="1">IF($AN149="",OFFSET(Demand!$A$13,ROW(D146)-1,4+((QUOTIENT(COLUMN(BT$2)-69,3))*5)+MOD(COLUMN(BT$2),3),1,1),"")</f>
        <v>0</v>
      </c>
      <c r="BU149">
        <f ca="1">IF($AN149="",OFFSET(Demand!$A$13,ROW(E146)-1,4+((QUOTIENT(COLUMN(BU$2)-69,3))*5)+MOD(COLUMN(BU$2),3),1,1),"")</f>
        <v>2</v>
      </c>
      <c r="BV149">
        <f ca="1">IF($AN149="",OFFSET(Demand!$A$13,ROW(F146)-1,4+((QUOTIENT(COLUMN(BV$2)-69,3))*5)+MOD(COLUMN(BV$2),3),1,1),"")</f>
        <v>4</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0</v>
      </c>
      <c r="B150" s="5">
        <f ca="1">COUNTBLANK(OFFSET(Demand!$I159,0,(COLUMN(A147)-1)*5,1,1))</f>
        <v>0</v>
      </c>
      <c r="C150" s="5">
        <f ca="1">COUNTBLANK(OFFSET(Demand!$I159,0,(COLUMN(B147)-1)*5,1,1))</f>
        <v>0</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90</v>
      </c>
      <c r="O150" s="5">
        <f ca="1">SUM(OFFSET(Demand!$E159,0,(COLUMN(B147)-1)*5,1,3))*O$2</f>
        <v>360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450</v>
      </c>
      <c r="Y150">
        <f t="shared" ca="1" si="45"/>
        <v>450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450</v>
      </c>
      <c r="AM150" s="5">
        <f t="shared" ca="1" si="48"/>
        <v>0</v>
      </c>
      <c r="AN150" s="5" t="str">
        <f>IF(Demand!BE159="Yes","Yes","")</f>
        <v/>
      </c>
      <c r="AP150" s="36" t="str">
        <f ca="1">Demand!B159</f>
        <v xml:space="preserve"> </v>
      </c>
      <c r="AQ150" t="str">
        <f ca="1">IF(TEXT(Demand!D159,"MMM")&lt;&gt;TEXT(Demand!D158,"MMM"),TEXT(Demand!D159,"MMM"),"")</f>
        <v/>
      </c>
      <c r="AT150" s="5">
        <f t="shared" ca="1" si="49"/>
        <v>180</v>
      </c>
      <c r="BQ150">
        <f ca="1">IF($AN150="",OFFSET(Demand!$A$13,ROW(A147)-1,4+((QUOTIENT(COLUMN(BQ$2)-69,3))*5)+MOD(COLUMN(BQ$2),3),1,1),"")</f>
        <v>0</v>
      </c>
      <c r="BR150">
        <f ca="1">IF($AN150="",OFFSET(Demand!$A$13,ROW(B147)-1,4+((QUOTIENT(COLUMN(BR$2)-69,3))*5)+MOD(COLUMN(BR$2),3),1,1),"")</f>
        <v>1</v>
      </c>
      <c r="BS150">
        <f ca="1">IF($AN150="",OFFSET(Demand!$A$13,ROW(C147)-1,4+((QUOTIENT(COLUMN(BS$2)-69,3))*5)+MOD(COLUMN(BS$2),3),1,1),"")</f>
        <v>2</v>
      </c>
      <c r="BT150">
        <f ca="1">IF($AN150="",OFFSET(Demand!$A$13,ROW(D147)-1,4+((QUOTIENT(COLUMN(BT$2)-69,3))*5)+MOD(COLUMN(BT$2),3),1,1),"")</f>
        <v>0</v>
      </c>
      <c r="BU150">
        <f ca="1">IF($AN150="",OFFSET(Demand!$A$13,ROW(E147)-1,4+((QUOTIENT(COLUMN(BU$2)-69,3))*5)+MOD(COLUMN(BU$2),3),1,1),"")</f>
        <v>3</v>
      </c>
      <c r="BV150">
        <f ca="1">IF($AN150="",OFFSET(Demand!$A$13,ROW(F147)-1,4+((QUOTIENT(COLUMN(BV$2)-69,3))*5)+MOD(COLUMN(BV$2),3),1,1),"")</f>
        <v>6</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0</v>
      </c>
      <c r="B151" s="5">
        <f ca="1">COUNTBLANK(OFFSET(Demand!$I160,0,(COLUMN(A148)-1)*5,1,1))</f>
        <v>0</v>
      </c>
      <c r="C151" s="5">
        <f ca="1">COUNTBLANK(OFFSET(Demand!$I160,0,(COLUMN(B148)-1)*5,1,1))</f>
        <v>0</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150</v>
      </c>
      <c r="O151" s="5">
        <f ca="1">SUM(OFFSET(Demand!$E160,0,(COLUMN(B148)-1)*5,1,3))*O$2</f>
        <v>600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750</v>
      </c>
      <c r="Y151">
        <f t="shared" ca="1" si="45"/>
        <v>750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750</v>
      </c>
      <c r="AM151" s="5">
        <f t="shared" ca="1" si="48"/>
        <v>0</v>
      </c>
      <c r="AN151" s="5" t="str">
        <f>IF(Demand!BE160="Yes","Yes","")</f>
        <v/>
      </c>
      <c r="AP151" s="36" t="str">
        <f ca="1">Demand!B160</f>
        <v xml:space="preserve"> </v>
      </c>
      <c r="AQ151" t="str">
        <f ca="1">IF(TEXT(Demand!D160,"MMM")&lt;&gt;TEXT(Demand!D159,"MMM"),TEXT(Demand!D160,"MMM"),"")</f>
        <v/>
      </c>
      <c r="AT151" s="5">
        <f t="shared" ca="1" si="49"/>
        <v>300</v>
      </c>
      <c r="BQ151">
        <f ca="1">IF($AN151="",OFFSET(Demand!$A$13,ROW(A148)-1,4+((QUOTIENT(COLUMN(BQ$2)-69,3))*5)+MOD(COLUMN(BQ$2),3),1,1),"")</f>
        <v>0</v>
      </c>
      <c r="BR151">
        <f ca="1">IF($AN151="",OFFSET(Demand!$A$13,ROW(B148)-1,4+((QUOTIENT(COLUMN(BR$2)-69,3))*5)+MOD(COLUMN(BR$2),3),1,1),"")</f>
        <v>0</v>
      </c>
      <c r="BS151">
        <f ca="1">IF($AN151="",OFFSET(Demand!$A$13,ROW(C148)-1,4+((QUOTIENT(COLUMN(BS$2)-69,3))*5)+MOD(COLUMN(BS$2),3),1,1),"")</f>
        <v>5</v>
      </c>
      <c r="BT151">
        <f ca="1">IF($AN151="",OFFSET(Demand!$A$13,ROW(D148)-1,4+((QUOTIENT(COLUMN(BT$2)-69,3))*5)+MOD(COLUMN(BT$2),3),1,1),"")</f>
        <v>0</v>
      </c>
      <c r="BU151">
        <f ca="1">IF($AN151="",OFFSET(Demand!$A$13,ROW(E148)-1,4+((QUOTIENT(COLUMN(BU$2)-69,3))*5)+MOD(COLUMN(BU$2),3),1,1),"")</f>
        <v>3</v>
      </c>
      <c r="BV151">
        <f ca="1">IF($AN151="",OFFSET(Demand!$A$13,ROW(F148)-1,4+((QUOTIENT(COLUMN(BV$2)-69,3))*5)+MOD(COLUMN(BV$2),3),1,1),"")</f>
        <v>12</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0</v>
      </c>
      <c r="B152" s="5">
        <f ca="1">COUNTBLANK(OFFSET(Demand!$I161,0,(COLUMN(A149)-1)*5,1,1))</f>
        <v>0</v>
      </c>
      <c r="C152" s="5">
        <f ca="1">COUNTBLANK(OFFSET(Demand!$I161,0,(COLUMN(B149)-1)*5,1,1))</f>
        <v>0</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150</v>
      </c>
      <c r="O152" s="5">
        <f ca="1">SUM(OFFSET(Demand!$E161,0,(COLUMN(B149)-1)*5,1,3))*O$2</f>
        <v>240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390</v>
      </c>
      <c r="Y152">
        <f t="shared" ca="1" si="45"/>
        <v>390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390</v>
      </c>
      <c r="AM152" s="5">
        <f t="shared" ca="1" si="48"/>
        <v>0</v>
      </c>
      <c r="AN152" s="5" t="str">
        <f>IF(Demand!BE161="Yes","Yes","")</f>
        <v/>
      </c>
      <c r="AP152" s="36" t="str">
        <f ca="1">Demand!B161</f>
        <v xml:space="preserve"> </v>
      </c>
      <c r="AQ152" t="str">
        <f ca="1">IF(TEXT(Demand!D161,"MMM")&lt;&gt;TEXT(Demand!D160,"MMM"),TEXT(Demand!D161,"MMM"),"")</f>
        <v/>
      </c>
      <c r="AT152" s="5">
        <f t="shared" ca="1" si="49"/>
        <v>360</v>
      </c>
      <c r="BQ152">
        <f ca="1">IF($AN152="",OFFSET(Demand!$A$13,ROW(A149)-1,4+((QUOTIENT(COLUMN(BQ$2)-69,3))*5)+MOD(COLUMN(BQ$2),3),1,1),"")</f>
        <v>0</v>
      </c>
      <c r="BR152">
        <f ca="1">IF($AN152="",OFFSET(Demand!$A$13,ROW(B149)-1,4+((QUOTIENT(COLUMN(BR$2)-69,3))*5)+MOD(COLUMN(BR$2),3),1,1),"")</f>
        <v>0</v>
      </c>
      <c r="BS152">
        <f ca="1">IF($AN152="",OFFSET(Demand!$A$13,ROW(C149)-1,4+((QUOTIENT(COLUMN(BS$2)-69,3))*5)+MOD(COLUMN(BS$2),3),1,1),"")</f>
        <v>5</v>
      </c>
      <c r="BT152">
        <f ca="1">IF($AN152="",OFFSET(Demand!$A$13,ROW(D149)-1,4+((QUOTIENT(COLUMN(BT$2)-69,3))*5)+MOD(COLUMN(BT$2),3),1,1),"")</f>
        <v>0</v>
      </c>
      <c r="BU152">
        <f ca="1">IF($AN152="",OFFSET(Demand!$A$13,ROW(E149)-1,4+((QUOTIENT(COLUMN(BU$2)-69,3))*5)+MOD(COLUMN(BU$2),3),1,1),"")</f>
        <v>2</v>
      </c>
      <c r="BV152">
        <f ca="1">IF($AN152="",OFFSET(Demand!$A$13,ROW(F149)-1,4+((QUOTIENT(COLUMN(BV$2)-69,3))*5)+MOD(COLUMN(BV$2),3),1,1),"")</f>
        <v>4</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0</v>
      </c>
      <c r="B153" s="5">
        <f ca="1">COUNTBLANK(OFFSET(Demand!$I162,0,(COLUMN(A150)-1)*5,1,1))</f>
        <v>0</v>
      </c>
      <c r="C153" s="5">
        <f ca="1">COUNTBLANK(OFFSET(Demand!$I162,0,(COLUMN(B150)-1)*5,1,1))</f>
        <v>0</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60</v>
      </c>
      <c r="O153" s="5">
        <f ca="1">SUM(OFFSET(Demand!$E162,0,(COLUMN(B150)-1)*5,1,3))*O$2</f>
        <v>560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620</v>
      </c>
      <c r="Y153">
        <f t="shared" ca="1" si="45"/>
        <v>620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620</v>
      </c>
      <c r="AM153" s="5">
        <f t="shared" ca="1" si="48"/>
        <v>0</v>
      </c>
      <c r="AN153" s="5" t="str">
        <f>IF(Demand!BE162="Yes","Yes","")</f>
        <v/>
      </c>
      <c r="AP153" s="36" t="str">
        <f ca="1">Demand!B162</f>
        <v xml:space="preserve"> </v>
      </c>
      <c r="AQ153" t="str">
        <f ca="1">IF(TEXT(Demand!D162,"MMM")&lt;&gt;TEXT(Demand!D161,"MMM"),TEXT(Demand!D162,"MMM"),"")</f>
        <v>Feb</v>
      </c>
      <c r="AT153" s="5">
        <f t="shared" ca="1" si="49"/>
        <v>230</v>
      </c>
      <c r="BQ153">
        <f ca="1">IF($AN153="",OFFSET(Demand!$A$13,ROW(A150)-1,4+((QUOTIENT(COLUMN(BQ$2)-69,3))*5)+MOD(COLUMN(BQ$2),3),1,1),"")</f>
        <v>0</v>
      </c>
      <c r="BR153">
        <f ca="1">IF($AN153="",OFFSET(Demand!$A$13,ROW(B150)-1,4+((QUOTIENT(COLUMN(BR$2)-69,3))*5)+MOD(COLUMN(BR$2),3),1,1),"")</f>
        <v>0</v>
      </c>
      <c r="BS153">
        <f ca="1">IF($AN153="",OFFSET(Demand!$A$13,ROW(C150)-1,4+((QUOTIENT(COLUMN(BS$2)-69,3))*5)+MOD(COLUMN(BS$2),3),1,1),"")</f>
        <v>2</v>
      </c>
      <c r="BT153">
        <f ca="1">IF($AN153="",OFFSET(Demand!$A$13,ROW(D150)-1,4+((QUOTIENT(COLUMN(BT$2)-69,3))*5)+MOD(COLUMN(BT$2),3),1,1),"")</f>
        <v>0</v>
      </c>
      <c r="BU153">
        <f ca="1">IF($AN153="",OFFSET(Demand!$A$13,ROW(E150)-1,4+((QUOTIENT(COLUMN(BU$2)-69,3))*5)+MOD(COLUMN(BU$2),3),1,1),"")</f>
        <v>5</v>
      </c>
      <c r="BV153">
        <f ca="1">IF($AN153="",OFFSET(Demand!$A$13,ROW(F150)-1,4+((QUOTIENT(COLUMN(BV$2)-69,3))*5)+MOD(COLUMN(BV$2),3),1,1),"")</f>
        <v>9</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0</v>
      </c>
      <c r="B154" s="5">
        <f ca="1">COUNTBLANK(OFFSET(Demand!$I163,0,(COLUMN(A151)-1)*5,1,1))</f>
        <v>0</v>
      </c>
      <c r="C154" s="5">
        <f ca="1">COUNTBLANK(OFFSET(Demand!$I163,0,(COLUMN(B151)-1)*5,1,1))</f>
        <v>0</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60</v>
      </c>
      <c r="O154" s="5">
        <f ca="1">SUM(OFFSET(Demand!$E163,0,(COLUMN(B151)-1)*5,1,3))*O$2</f>
        <v>280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340</v>
      </c>
      <c r="Y154">
        <f t="shared" ca="1" si="45"/>
        <v>340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340</v>
      </c>
      <c r="AM154" s="5">
        <f t="shared" ca="1" si="48"/>
        <v>0</v>
      </c>
      <c r="AN154" s="5" t="str">
        <f>IF(Demand!BE163="Yes","Yes","")</f>
        <v/>
      </c>
      <c r="AP154" s="36" t="str">
        <f ca="1">Demand!B163</f>
        <v xml:space="preserve"> </v>
      </c>
      <c r="AQ154" t="str">
        <f ca="1">IF(TEXT(Demand!D163,"MMM")&lt;&gt;TEXT(Demand!D162,"MMM"),TEXT(Demand!D163,"MMM"),"")</f>
        <v/>
      </c>
      <c r="AT154" s="5">
        <f t="shared" ca="1" si="49"/>
        <v>280</v>
      </c>
      <c r="BQ154">
        <f ca="1">IF($AN154="",OFFSET(Demand!$A$13,ROW(A151)-1,4+((QUOTIENT(COLUMN(BQ$2)-69,3))*5)+MOD(COLUMN(BQ$2),3),1,1),"")</f>
        <v>0</v>
      </c>
      <c r="BR154">
        <f ca="1">IF($AN154="",OFFSET(Demand!$A$13,ROW(B151)-1,4+((QUOTIENT(COLUMN(BR$2)-69,3))*5)+MOD(COLUMN(BR$2),3),1,1),"")</f>
        <v>1</v>
      </c>
      <c r="BS154">
        <f ca="1">IF($AN154="",OFFSET(Demand!$A$13,ROW(C151)-1,4+((QUOTIENT(COLUMN(BS$2)-69,3))*5)+MOD(COLUMN(BS$2),3),1,1),"")</f>
        <v>1</v>
      </c>
      <c r="BT154">
        <f ca="1">IF($AN154="",OFFSET(Demand!$A$13,ROW(D151)-1,4+((QUOTIENT(COLUMN(BT$2)-69,3))*5)+MOD(COLUMN(BT$2),3),1,1),"")</f>
        <v>0</v>
      </c>
      <c r="BU154">
        <f ca="1">IF($AN154="",OFFSET(Demand!$A$13,ROW(E151)-1,4+((QUOTIENT(COLUMN(BU$2)-69,3))*5)+MOD(COLUMN(BU$2),3),1,1),"")</f>
        <v>3</v>
      </c>
      <c r="BV154">
        <f ca="1">IF($AN154="",OFFSET(Demand!$A$13,ROW(F151)-1,4+((QUOTIENT(COLUMN(BV$2)-69,3))*5)+MOD(COLUMN(BV$2),3),1,1),"")</f>
        <v>4</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2</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340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2</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2</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2</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2</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2</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2</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2</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2</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2</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2</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2</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2</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2</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2</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2</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2</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2</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2</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2</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2</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2</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2</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2</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2</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2</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2</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2</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2</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2</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2</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2</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2</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2</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2</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2</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2</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2</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2</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2</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2</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2</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2</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2</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2</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2</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2</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2</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2</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2</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2</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2</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2</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2</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2</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2</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2</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2</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2</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2</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2</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2</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2</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2</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2</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2</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2</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2</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2</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2</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2</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2</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2</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2</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2</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2</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2</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2</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2</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2</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2</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2</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2</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2</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2</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2</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2</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2</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2</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2</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2</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2</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2</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2</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2</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2</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2</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2</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2</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2</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2</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2</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2</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2</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2</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2</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2</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2</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2</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6300</v>
      </c>
      <c r="O264" s="5">
        <f ca="1">SUM(OFFSET(O$4,'SPC background (hide)'!$C$4-1,0,SampleLength,1))</f>
        <v>19440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25740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1236</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21" t="str">
        <f>"Number of patients ("&amp;Setup!$I$17&amp;")"</f>
        <v>Number of patients (Minutes)</v>
      </c>
      <c r="E33" s="419" t="s">
        <v>1219</v>
      </c>
      <c r="F33" s="421"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22"/>
      <c r="E34" s="420"/>
      <c r="F34" s="422"/>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2100</v>
      </c>
      <c r="E35" s="338">
        <v>0.04</v>
      </c>
      <c r="F35" s="357">
        <f ca="1">ROUNDUP(D35*(1-E35),0)-SUM(G35:N35)</f>
        <v>416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52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52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f ca="1">OFFSET(Demand!$C$13,'SPC background (hide)'!$C$4-2+ROW(A1),0,1,1)</f>
        <v>7</v>
      </c>
      <c r="AH2" s="67">
        <v>1</v>
      </c>
      <c r="AI2" s="67">
        <f ca="1">IF(AH2&lt;=($M$4-$L$4+1),1,IF(AND($M$10&gt;=2,AH2&lt;=$M$5-$L$4+1),2,IF(AND($M$10&gt;=3,AH2&lt;=$M$6-$L$4+1),3,IF(AND($M$10=4,AH2&lt;=$M$7-$L$4+1),4,5))))</f>
        <v>1</v>
      </c>
      <c r="AJ2" s="39">
        <f ca="1">VLOOKUP(AI2,$K$4:$Q$9,4,0)</f>
        <v>141.67348608837972</v>
      </c>
      <c r="AK2" s="39">
        <f ca="1">IF($AN2-(3*$AJ2)&lt;=0,0,$AN2-(3*$AJ2))</f>
        <v>69.979541734860845</v>
      </c>
      <c r="AL2" s="39">
        <f ca="1">IF($AN2-(2*$AJ2)&lt;=0,0,$AN2-(2*$AJ2))</f>
        <v>211.65302782324056</v>
      </c>
      <c r="AM2" s="39">
        <f ca="1">IF($AN2-(1*$AJ2)&lt;=0,0,$AN2-(1*$AJ2))</f>
        <v>353.32651391162028</v>
      </c>
      <c r="AN2" s="39">
        <f ca="1">VLOOKUP(AI2,$K$4:$Q$9,5,0)</f>
        <v>495</v>
      </c>
      <c r="AO2" s="39">
        <f t="shared" ref="AO2:AO54" ca="1" si="0">$AN2+(1*$AJ2)</f>
        <v>636.67348608837972</v>
      </c>
      <c r="AP2" s="39">
        <f t="shared" ref="AP2:AP54" ca="1" si="1">$AN2+(2*$AJ2)</f>
        <v>778.34697217675944</v>
      </c>
      <c r="AQ2" s="39">
        <f t="shared" ref="AQ2:AQ54" ca="1" si="2">$AN2+(3*$AJ2)</f>
        <v>920.02045826513915</v>
      </c>
      <c r="AR2" s="5">
        <f ca="1">VLOOKUP($AI2,$K$4:$Q$8,6,0)</f>
        <v>551.5</v>
      </c>
      <c r="AS2" s="5">
        <f t="shared" ref="AS2:AS54" ca="1" si="3">VLOOKUP($AI2,$K$4:$Q$8,7,0)</f>
        <v>664</v>
      </c>
      <c r="AT2" s="5">
        <f ca="1">VLOOKUP(AI2,$K$4:$R$8,8,0)</f>
        <v>0</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f ca="1">IF(MOD(AG2+1,53)=0,53,MOD(AG2+1,53))</f>
        <v>8</v>
      </c>
      <c r="AH3" s="67">
        <v>2</v>
      </c>
      <c r="AI3" s="67">
        <f t="shared" ref="AI3:AI54" ca="1" si="4">IF(AH3&lt;=($M$4-$L$4+1),1,IF(AND($M$10&gt;=2,AH3&lt;=$M$5-$L$4+1),2,IF(AND($M$10&gt;=3,AH3&lt;=$M$6-$L$4+1),3,IF(AND($M$10=4,AH3&lt;=$M$7-$L$4+1),4,5))))</f>
        <v>1</v>
      </c>
      <c r="AJ3" s="39">
        <f t="shared" ref="AJ3:AJ54" ca="1" si="5">VLOOKUP(AI3,$K$4:$Q$9,4,0)</f>
        <v>141.67348608837972</v>
      </c>
      <c r="AK3" s="39">
        <f t="shared" ref="AK3:AK54" ca="1" si="6">IF($AN3-(3*$AJ3)&lt;=0,0,$AN3-(3*$AJ3))</f>
        <v>69.979541734860845</v>
      </c>
      <c r="AL3" s="39">
        <f t="shared" ref="AL3:AL54" ca="1" si="7">IF($AN3-(2*$AJ3)&lt;=0,0,$AN3-(2*$AJ3))</f>
        <v>211.65302782324056</v>
      </c>
      <c r="AM3" s="39">
        <f t="shared" ref="AM3:AM54" ca="1" si="8">IF($AN3-(1*$AJ3)&lt;=0,0,$AN3-(1*$AJ3))</f>
        <v>353.32651391162028</v>
      </c>
      <c r="AN3" s="39">
        <f t="shared" ref="AN3:AN54" ca="1" si="9">VLOOKUP(AI3,$K$4:$Q$9,5,0)</f>
        <v>495</v>
      </c>
      <c r="AO3" s="39">
        <f t="shared" ca="1" si="0"/>
        <v>636.67348608837972</v>
      </c>
      <c r="AP3" s="39">
        <f t="shared" ca="1" si="1"/>
        <v>778.34697217675944</v>
      </c>
      <c r="AQ3" s="39">
        <f t="shared" ca="1" si="2"/>
        <v>920.02045826513915</v>
      </c>
      <c r="AR3" s="5">
        <f t="shared" ref="AR3:AR54" ca="1" si="10">VLOOKUP($AI3,$K$4:$Q$8,6,0)</f>
        <v>551.5</v>
      </c>
      <c r="AS3" s="5">
        <f t="shared" ca="1" si="3"/>
        <v>664</v>
      </c>
      <c r="AT3" s="5">
        <f t="shared" ref="AT3:AT54" ca="1" si="11">VLOOKUP(AI3,$K$4:$R$8,8,0)</f>
        <v>0</v>
      </c>
    </row>
    <row r="4" spans="1:46" x14ac:dyDescent="0.2">
      <c r="B4" s="67" t="s">
        <v>118</v>
      </c>
      <c r="C4" s="67">
        <v>99</v>
      </c>
      <c r="D4" s="67">
        <v>1</v>
      </c>
      <c r="E4" s="67">
        <f ca="1">MAX(0,MaxRows-9)</f>
        <v>142</v>
      </c>
      <c r="F4" s="67">
        <f ca="1">E4-D4+1</f>
        <v>142</v>
      </c>
      <c r="K4" s="67">
        <v>1</v>
      </c>
      <c r="L4" s="67">
        <f>C4</f>
        <v>99</v>
      </c>
      <c r="M4" s="67">
        <f ca="1">H5+L4-1</f>
        <v>150</v>
      </c>
      <c r="N4" s="5">
        <f ca="1">Sigma1</f>
        <v>141.67348608837972</v>
      </c>
      <c r="O4" s="5">
        <f ca="1">Mean1</f>
        <v>495</v>
      </c>
      <c r="P4" s="5">
        <f ca="1">PercLower1</f>
        <v>551.5</v>
      </c>
      <c r="Q4" s="5">
        <f ca="1">PercUpper1</f>
        <v>664</v>
      </c>
      <c r="R4" s="5">
        <f ca="1">Emergency1</f>
        <v>0</v>
      </c>
      <c r="S4" s="5">
        <f ca="1">O4*H5</f>
        <v>25740</v>
      </c>
      <c r="T4" s="5"/>
      <c r="AG4" s="67">
        <f t="shared" ref="AG4:AG54" ca="1" si="12">IF(MOD(AG3+1,53)=0,53,MOD(AG3+1,53))</f>
        <v>9</v>
      </c>
      <c r="AH4" s="67">
        <v>3</v>
      </c>
      <c r="AI4" s="67">
        <f t="shared" ca="1" si="4"/>
        <v>1</v>
      </c>
      <c r="AJ4" s="39">
        <f t="shared" ca="1" si="5"/>
        <v>141.67348608837972</v>
      </c>
      <c r="AK4" s="39">
        <f t="shared" ca="1" si="6"/>
        <v>69.979541734860845</v>
      </c>
      <c r="AL4" s="39">
        <f t="shared" ca="1" si="7"/>
        <v>211.65302782324056</v>
      </c>
      <c r="AM4" s="39">
        <f t="shared" ca="1" si="8"/>
        <v>353.32651391162028</v>
      </c>
      <c r="AN4" s="39">
        <f t="shared" ca="1" si="9"/>
        <v>495</v>
      </c>
      <c r="AO4" s="39">
        <f t="shared" ca="1" si="0"/>
        <v>636.67348608837972</v>
      </c>
      <c r="AP4" s="39">
        <f t="shared" ca="1" si="1"/>
        <v>778.34697217675944</v>
      </c>
      <c r="AQ4" s="39">
        <f t="shared" ca="1" si="2"/>
        <v>920.02045826513915</v>
      </c>
      <c r="AR4" s="5">
        <f t="shared" ca="1" si="10"/>
        <v>551.5</v>
      </c>
      <c r="AS4" s="5">
        <f t="shared" ca="1" si="3"/>
        <v>664</v>
      </c>
      <c r="AT4" s="5">
        <f t="shared" ca="1" si="11"/>
        <v>0</v>
      </c>
    </row>
    <row r="5" spans="1:46" x14ac:dyDescent="0.2">
      <c r="B5" s="67" t="s">
        <v>119</v>
      </c>
      <c r="C5" s="67">
        <v>44</v>
      </c>
      <c r="D5" s="67">
        <f>C4+9</f>
        <v>108</v>
      </c>
      <c r="E5" s="67">
        <f ca="1">MIN(C4+52,MaxRows+1)</f>
        <v>151</v>
      </c>
      <c r="F5" s="67">
        <f ca="1">E5-D5+1</f>
        <v>44</v>
      </c>
      <c r="G5" s="67">
        <f ca="1">H5</f>
        <v>52</v>
      </c>
      <c r="H5" s="67">
        <f ca="1">MIN(C5+D5-C4,E5-C4)</f>
        <v>52</v>
      </c>
      <c r="I5" s="67">
        <f ca="1">G5</f>
        <v>52</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f t="shared" ca="1" si="12"/>
        <v>10</v>
      </c>
      <c r="AH5" s="67">
        <v>4</v>
      </c>
      <c r="AI5" s="67">
        <f t="shared" ca="1" si="4"/>
        <v>1</v>
      </c>
      <c r="AJ5" s="39">
        <f t="shared" ca="1" si="5"/>
        <v>141.67348608837972</v>
      </c>
      <c r="AK5" s="39">
        <f t="shared" ca="1" si="6"/>
        <v>69.979541734860845</v>
      </c>
      <c r="AL5" s="39">
        <f t="shared" ca="1" si="7"/>
        <v>211.65302782324056</v>
      </c>
      <c r="AM5" s="39">
        <f t="shared" ca="1" si="8"/>
        <v>353.32651391162028</v>
      </c>
      <c r="AN5" s="39">
        <f t="shared" ca="1" si="9"/>
        <v>495</v>
      </c>
      <c r="AO5" s="39">
        <f t="shared" ca="1" si="0"/>
        <v>636.67348608837972</v>
      </c>
      <c r="AP5" s="39">
        <f t="shared" ca="1" si="1"/>
        <v>778.34697217675944</v>
      </c>
      <c r="AQ5" s="39">
        <f t="shared" ca="1" si="2"/>
        <v>920.02045826513915</v>
      </c>
      <c r="AR5" s="5">
        <f t="shared" ca="1" si="10"/>
        <v>551.5</v>
      </c>
      <c r="AS5" s="5">
        <f t="shared" ca="1" si="3"/>
        <v>664</v>
      </c>
      <c r="AT5" s="5">
        <f t="shared" ca="1" si="11"/>
        <v>0</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f t="shared" ca="1" si="12"/>
        <v>11</v>
      </c>
      <c r="AH6" s="67">
        <v>5</v>
      </c>
      <c r="AI6" s="67">
        <f t="shared" ca="1" si="4"/>
        <v>1</v>
      </c>
      <c r="AJ6" s="39">
        <f t="shared" ca="1" si="5"/>
        <v>141.67348608837972</v>
      </c>
      <c r="AK6" s="39">
        <f t="shared" ca="1" si="6"/>
        <v>69.979541734860845</v>
      </c>
      <c r="AL6" s="39">
        <f t="shared" ca="1" si="7"/>
        <v>211.65302782324056</v>
      </c>
      <c r="AM6" s="39">
        <f t="shared" ca="1" si="8"/>
        <v>353.32651391162028</v>
      </c>
      <c r="AN6" s="39">
        <f t="shared" ca="1" si="9"/>
        <v>495</v>
      </c>
      <c r="AO6" s="39">
        <f t="shared" ca="1" si="0"/>
        <v>636.67348608837972</v>
      </c>
      <c r="AP6" s="39">
        <f t="shared" ca="1" si="1"/>
        <v>778.34697217675944</v>
      </c>
      <c r="AQ6" s="39">
        <f t="shared" ca="1" si="2"/>
        <v>920.02045826513915</v>
      </c>
      <c r="AR6" s="5">
        <f t="shared" ca="1" si="10"/>
        <v>551.5</v>
      </c>
      <c r="AS6" s="5">
        <f t="shared" ca="1" si="3"/>
        <v>664</v>
      </c>
      <c r="AT6" s="5">
        <f t="shared" ca="1" si="11"/>
        <v>0</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52</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f t="shared" ca="1" si="12"/>
        <v>12</v>
      </c>
      <c r="AH7" s="67">
        <v>6</v>
      </c>
      <c r="AI7" s="67">
        <f t="shared" ca="1" si="4"/>
        <v>1</v>
      </c>
      <c r="AJ7" s="39">
        <f t="shared" ca="1" si="5"/>
        <v>141.67348608837972</v>
      </c>
      <c r="AK7" s="39">
        <f t="shared" ca="1" si="6"/>
        <v>69.979541734860845</v>
      </c>
      <c r="AL7" s="39">
        <f t="shared" ca="1" si="7"/>
        <v>211.65302782324056</v>
      </c>
      <c r="AM7" s="39">
        <f t="shared" ca="1" si="8"/>
        <v>353.32651391162028</v>
      </c>
      <c r="AN7" s="39">
        <f t="shared" ca="1" si="9"/>
        <v>495</v>
      </c>
      <c r="AO7" s="39">
        <f t="shared" ca="1" si="0"/>
        <v>636.67348608837972</v>
      </c>
      <c r="AP7" s="39">
        <f t="shared" ca="1" si="1"/>
        <v>778.34697217675944</v>
      </c>
      <c r="AQ7" s="39">
        <f t="shared" ca="1" si="2"/>
        <v>920.02045826513915</v>
      </c>
      <c r="AR7" s="5">
        <f t="shared" ca="1" si="10"/>
        <v>551.5</v>
      </c>
      <c r="AS7" s="5">
        <f t="shared" ca="1" si="3"/>
        <v>664</v>
      </c>
      <c r="AT7" s="5">
        <f t="shared" ca="1" si="11"/>
        <v>0</v>
      </c>
    </row>
    <row r="8" spans="1:46" x14ac:dyDescent="0.2">
      <c r="B8" s="67" t="s">
        <v>122</v>
      </c>
      <c r="C8" s="35">
        <v>2</v>
      </c>
      <c r="D8" s="67" t="e">
        <f ca="1">IF(AND(G7&lt;=42,MaxRows-(G7+$C$4-1)&gt;10),C7+D7,NA())</f>
        <v>#N/A</v>
      </c>
      <c r="E8" s="67" t="e">
        <f ca="1">D8</f>
        <v>#N/A</v>
      </c>
      <c r="F8" s="67" t="e">
        <f ca="1">IF(ISNA(D8),NA(),1)</f>
        <v>#N/A</v>
      </c>
      <c r="K8" s="67">
        <v>5</v>
      </c>
      <c r="L8" s="67">
        <f ca="1">MATCH(5,$AI$2:$AI$54,0)</f>
        <v>53</v>
      </c>
      <c r="M8" s="67">
        <f ca="1">IF(L8&gt;0,52,0)</f>
        <v>52</v>
      </c>
      <c r="N8" s="70">
        <f ca="1">IF(L8&gt;0,INDIRECT("Sigma"&amp;$M$11),"")</f>
        <v>141.67348608837972</v>
      </c>
      <c r="O8" s="70">
        <f ca="1">IF(M8&gt;0,INDIRECT("Mean"&amp;$M$11),"")</f>
        <v>495</v>
      </c>
      <c r="P8" s="67">
        <f ca="1">IF(N8&gt;0,INDIRECT("PercLower"&amp;$M$11),"")</f>
        <v>551.5</v>
      </c>
      <c r="Q8" s="67">
        <f ca="1">IF(O8&gt;0,INDIRECT("PercUpper"&amp;$M$11),"")</f>
        <v>664</v>
      </c>
      <c r="R8" s="67">
        <f ca="1">IF(O8&gt;0,INDIRECT("Emergency"&amp;$M$11),"")</f>
        <v>0</v>
      </c>
      <c r="S8" s="5"/>
      <c r="AG8" s="67">
        <f t="shared" ca="1" si="12"/>
        <v>13</v>
      </c>
      <c r="AH8" s="67">
        <v>7</v>
      </c>
      <c r="AI8" s="67">
        <f t="shared" ca="1" si="4"/>
        <v>1</v>
      </c>
      <c r="AJ8" s="39">
        <f t="shared" ca="1" si="5"/>
        <v>141.67348608837972</v>
      </c>
      <c r="AK8" s="39">
        <f t="shared" ca="1" si="6"/>
        <v>69.979541734860845</v>
      </c>
      <c r="AL8" s="39">
        <f t="shared" ca="1" si="7"/>
        <v>211.65302782324056</v>
      </c>
      <c r="AM8" s="39">
        <f t="shared" ca="1" si="8"/>
        <v>353.32651391162028</v>
      </c>
      <c r="AN8" s="39">
        <f t="shared" ca="1" si="9"/>
        <v>495</v>
      </c>
      <c r="AO8" s="39">
        <f t="shared" ca="1" si="0"/>
        <v>636.67348608837972</v>
      </c>
      <c r="AP8" s="39">
        <f t="shared" ca="1" si="1"/>
        <v>778.34697217675944</v>
      </c>
      <c r="AQ8" s="39">
        <f t="shared" ca="1" si="2"/>
        <v>920.02045826513915</v>
      </c>
      <c r="AR8" s="5">
        <f t="shared" ca="1" si="10"/>
        <v>551.5</v>
      </c>
      <c r="AS8" s="5">
        <f t="shared" ca="1" si="3"/>
        <v>664</v>
      </c>
      <c r="AT8" s="5">
        <f t="shared" ca="1" si="11"/>
        <v>0</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52</v>
      </c>
      <c r="S9" s="5"/>
      <c r="AG9" s="67">
        <f t="shared" ca="1" si="12"/>
        <v>14</v>
      </c>
      <c r="AH9" s="67">
        <v>8</v>
      </c>
      <c r="AI9" s="67">
        <f t="shared" ca="1" si="4"/>
        <v>1</v>
      </c>
      <c r="AJ9" s="39">
        <f t="shared" ca="1" si="5"/>
        <v>141.67348608837972</v>
      </c>
      <c r="AK9" s="39">
        <f t="shared" ca="1" si="6"/>
        <v>69.979541734860845</v>
      </c>
      <c r="AL9" s="39">
        <f t="shared" ca="1" si="7"/>
        <v>211.65302782324056</v>
      </c>
      <c r="AM9" s="39">
        <f t="shared" ca="1" si="8"/>
        <v>353.32651391162028</v>
      </c>
      <c r="AN9" s="39">
        <f t="shared" ca="1" si="9"/>
        <v>495</v>
      </c>
      <c r="AO9" s="39">
        <f t="shared" ca="1" si="0"/>
        <v>636.67348608837972</v>
      </c>
      <c r="AP9" s="39">
        <f t="shared" ca="1" si="1"/>
        <v>778.34697217675944</v>
      </c>
      <c r="AQ9" s="39">
        <f t="shared" ca="1" si="2"/>
        <v>920.02045826513915</v>
      </c>
      <c r="AR9" s="5">
        <f t="shared" ca="1" si="10"/>
        <v>551.5</v>
      </c>
      <c r="AS9" s="5">
        <f t="shared" ca="1" si="3"/>
        <v>664</v>
      </c>
      <c r="AT9" s="5">
        <f t="shared" ca="1" si="11"/>
        <v>0</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25740</v>
      </c>
      <c r="AG10" s="67">
        <f t="shared" ca="1" si="12"/>
        <v>15</v>
      </c>
      <c r="AH10" s="67">
        <v>9</v>
      </c>
      <c r="AI10" s="67">
        <f t="shared" ca="1" si="4"/>
        <v>1</v>
      </c>
      <c r="AJ10" s="39">
        <f t="shared" ca="1" si="5"/>
        <v>141.67348608837972</v>
      </c>
      <c r="AK10" s="39">
        <f t="shared" ca="1" si="6"/>
        <v>69.979541734860845</v>
      </c>
      <c r="AL10" s="39">
        <f t="shared" ca="1" si="7"/>
        <v>211.65302782324056</v>
      </c>
      <c r="AM10" s="39">
        <f t="shared" ca="1" si="8"/>
        <v>353.32651391162028</v>
      </c>
      <c r="AN10" s="39">
        <f t="shared" ca="1" si="9"/>
        <v>495</v>
      </c>
      <c r="AO10" s="39">
        <f t="shared" ca="1" si="0"/>
        <v>636.67348608837972</v>
      </c>
      <c r="AP10" s="39">
        <f t="shared" ca="1" si="1"/>
        <v>778.34697217675944</v>
      </c>
      <c r="AQ10" s="39">
        <f t="shared" ca="1" si="2"/>
        <v>920.02045826513915</v>
      </c>
      <c r="AR10" s="5">
        <f t="shared" ca="1" si="10"/>
        <v>551.5</v>
      </c>
      <c r="AS10" s="5">
        <f t="shared" ca="1" si="3"/>
        <v>664</v>
      </c>
      <c r="AT10" s="5">
        <f t="shared" ca="1" si="11"/>
        <v>0</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52</v>
      </c>
      <c r="M11" s="67">
        <f>IF(SPC_Type="1 Season",1,IF(AND(M10=1,I11&lt;52),1,IF('SPC Chart'!C19="",1,'SPC Chart'!C19)))</f>
        <v>1</v>
      </c>
      <c r="S11" s="5">
        <f ca="1">S10/I11</f>
        <v>495</v>
      </c>
      <c r="AG11" s="67">
        <f t="shared" ca="1" si="12"/>
        <v>16</v>
      </c>
      <c r="AH11" s="67">
        <v>10</v>
      </c>
      <c r="AI11" s="67">
        <f t="shared" ca="1" si="4"/>
        <v>1</v>
      </c>
      <c r="AJ11" s="39">
        <f t="shared" ca="1" si="5"/>
        <v>141.67348608837972</v>
      </c>
      <c r="AK11" s="39">
        <f t="shared" ca="1" si="6"/>
        <v>69.979541734860845</v>
      </c>
      <c r="AL11" s="39">
        <f t="shared" ca="1" si="7"/>
        <v>211.65302782324056</v>
      </c>
      <c r="AM11" s="39">
        <f t="shared" ca="1" si="8"/>
        <v>353.32651391162028</v>
      </c>
      <c r="AN11" s="39">
        <f t="shared" ca="1" si="9"/>
        <v>495</v>
      </c>
      <c r="AO11" s="39">
        <f t="shared" ca="1" si="0"/>
        <v>636.67348608837972</v>
      </c>
      <c r="AP11" s="39">
        <f t="shared" ca="1" si="1"/>
        <v>778.34697217675944</v>
      </c>
      <c r="AQ11" s="39">
        <f t="shared" ca="1" si="2"/>
        <v>920.02045826513915</v>
      </c>
      <c r="AR11" s="5">
        <f t="shared" ca="1" si="10"/>
        <v>551.5</v>
      </c>
      <c r="AS11" s="5">
        <f t="shared" ca="1" si="3"/>
        <v>664</v>
      </c>
      <c r="AT11" s="5">
        <f t="shared" ca="1" si="11"/>
        <v>0</v>
      </c>
    </row>
    <row r="12" spans="1:46" x14ac:dyDescent="0.2">
      <c r="S12" s="5"/>
      <c r="AG12" s="67">
        <f t="shared" ca="1" si="12"/>
        <v>17</v>
      </c>
      <c r="AH12" s="67">
        <v>11</v>
      </c>
      <c r="AI12" s="67">
        <f t="shared" ca="1" si="4"/>
        <v>1</v>
      </c>
      <c r="AJ12" s="39">
        <f t="shared" ca="1" si="5"/>
        <v>141.67348608837972</v>
      </c>
      <c r="AK12" s="39">
        <f t="shared" ca="1" si="6"/>
        <v>69.979541734860845</v>
      </c>
      <c r="AL12" s="39">
        <f t="shared" ca="1" si="7"/>
        <v>211.65302782324056</v>
      </c>
      <c r="AM12" s="39">
        <f t="shared" ca="1" si="8"/>
        <v>353.32651391162028</v>
      </c>
      <c r="AN12" s="39">
        <f t="shared" ca="1" si="9"/>
        <v>495</v>
      </c>
      <c r="AO12" s="39">
        <f t="shared" ca="1" si="0"/>
        <v>636.67348608837972</v>
      </c>
      <c r="AP12" s="39">
        <f t="shared" ca="1" si="1"/>
        <v>778.34697217675944</v>
      </c>
      <c r="AQ12" s="39">
        <f t="shared" ca="1" si="2"/>
        <v>920.02045826513915</v>
      </c>
      <c r="AR12" s="5">
        <f t="shared" ca="1" si="10"/>
        <v>551.5</v>
      </c>
      <c r="AS12" s="5">
        <f t="shared" ca="1" si="3"/>
        <v>664</v>
      </c>
      <c r="AT12" s="5">
        <f t="shared" ca="1" si="11"/>
        <v>0</v>
      </c>
    </row>
    <row r="13" spans="1:46" x14ac:dyDescent="0.2">
      <c r="Q13" s="67" t="s">
        <v>161</v>
      </c>
      <c r="AG13" s="67">
        <f t="shared" ca="1" si="12"/>
        <v>18</v>
      </c>
      <c r="AH13" s="67">
        <v>12</v>
      </c>
      <c r="AI13" s="67">
        <f t="shared" ca="1" si="4"/>
        <v>1</v>
      </c>
      <c r="AJ13" s="39">
        <f t="shared" ca="1" si="5"/>
        <v>141.67348608837972</v>
      </c>
      <c r="AK13" s="39">
        <f t="shared" ca="1" si="6"/>
        <v>69.979541734860845</v>
      </c>
      <c r="AL13" s="39">
        <f t="shared" ca="1" si="7"/>
        <v>211.65302782324056</v>
      </c>
      <c r="AM13" s="39">
        <f t="shared" ca="1" si="8"/>
        <v>353.32651391162028</v>
      </c>
      <c r="AN13" s="39">
        <f t="shared" ca="1" si="9"/>
        <v>495</v>
      </c>
      <c r="AO13" s="39">
        <f t="shared" ca="1" si="0"/>
        <v>636.67348608837972</v>
      </c>
      <c r="AP13" s="39">
        <f t="shared" ca="1" si="1"/>
        <v>778.34697217675944</v>
      </c>
      <c r="AQ13" s="39">
        <f t="shared" ca="1" si="2"/>
        <v>920.02045826513915</v>
      </c>
      <c r="AR13" s="5">
        <f t="shared" ca="1" si="10"/>
        <v>551.5</v>
      </c>
      <c r="AS13" s="5">
        <f t="shared" ca="1" si="3"/>
        <v>664</v>
      </c>
      <c r="AT13" s="5">
        <f t="shared" ca="1" si="11"/>
        <v>0</v>
      </c>
    </row>
    <row r="14" spans="1:46" x14ac:dyDescent="0.2">
      <c r="Q14" s="67" t="s">
        <v>171</v>
      </c>
      <c r="R14" s="67" t="s">
        <v>172</v>
      </c>
      <c r="T14" s="67" t="s">
        <v>173</v>
      </c>
      <c r="V14" s="67" t="s">
        <v>180</v>
      </c>
      <c r="X14" s="67" t="s">
        <v>179</v>
      </c>
      <c r="Z14" s="67" t="s">
        <v>174</v>
      </c>
      <c r="AC14" s="67" t="s">
        <v>162</v>
      </c>
      <c r="AG14" s="67">
        <f t="shared" ca="1" si="12"/>
        <v>19</v>
      </c>
      <c r="AH14" s="67">
        <v>13</v>
      </c>
      <c r="AI14" s="67">
        <f t="shared" ca="1" si="4"/>
        <v>1</v>
      </c>
      <c r="AJ14" s="39">
        <f t="shared" ca="1" si="5"/>
        <v>141.67348608837972</v>
      </c>
      <c r="AK14" s="39">
        <f t="shared" ca="1" si="6"/>
        <v>69.979541734860845</v>
      </c>
      <c r="AL14" s="39">
        <f t="shared" ca="1" si="7"/>
        <v>211.65302782324056</v>
      </c>
      <c r="AM14" s="39">
        <f t="shared" ca="1" si="8"/>
        <v>353.32651391162028</v>
      </c>
      <c r="AN14" s="39">
        <f t="shared" ca="1" si="9"/>
        <v>495</v>
      </c>
      <c r="AO14" s="39">
        <f t="shared" ca="1" si="0"/>
        <v>636.67348608837972</v>
      </c>
      <c r="AP14" s="39">
        <f t="shared" ca="1" si="1"/>
        <v>778.34697217675944</v>
      </c>
      <c r="AQ14" s="39">
        <f t="shared" ca="1" si="2"/>
        <v>920.02045826513915</v>
      </c>
      <c r="AR14" s="5">
        <f t="shared" ca="1" si="10"/>
        <v>551.5</v>
      </c>
      <c r="AS14" s="5">
        <f t="shared" ca="1" si="3"/>
        <v>664</v>
      </c>
      <c r="AT14" s="5">
        <f t="shared" ca="1" si="11"/>
        <v>0</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f t="shared" ca="1" si="12"/>
        <v>20</v>
      </c>
      <c r="AH15" s="67">
        <v>14</v>
      </c>
      <c r="AI15" s="67">
        <f t="shared" ca="1" si="4"/>
        <v>1</v>
      </c>
      <c r="AJ15" s="39">
        <f t="shared" ca="1" si="5"/>
        <v>141.67348608837972</v>
      </c>
      <c r="AK15" s="39">
        <f t="shared" ca="1" si="6"/>
        <v>69.979541734860845</v>
      </c>
      <c r="AL15" s="39">
        <f t="shared" ca="1" si="7"/>
        <v>211.65302782324056</v>
      </c>
      <c r="AM15" s="39">
        <f t="shared" ca="1" si="8"/>
        <v>353.32651391162028</v>
      </c>
      <c r="AN15" s="39">
        <f t="shared" ca="1" si="9"/>
        <v>495</v>
      </c>
      <c r="AO15" s="39">
        <f t="shared" ca="1" si="0"/>
        <v>636.67348608837972</v>
      </c>
      <c r="AP15" s="39">
        <f t="shared" ca="1" si="1"/>
        <v>778.34697217675944</v>
      </c>
      <c r="AQ15" s="39">
        <f t="shared" ca="1" si="2"/>
        <v>920.02045826513915</v>
      </c>
      <c r="AR15" s="5">
        <f t="shared" ca="1" si="10"/>
        <v>551.5</v>
      </c>
      <c r="AS15" s="5">
        <f t="shared" ca="1" si="3"/>
        <v>664</v>
      </c>
      <c r="AT15" s="5">
        <f t="shared" ca="1" si="11"/>
        <v>0</v>
      </c>
    </row>
    <row r="16" spans="1:46" x14ac:dyDescent="0.2">
      <c r="A16" s="67">
        <f>Demand!C13</f>
        <v>13</v>
      </c>
      <c r="B16" s="67">
        <v>1</v>
      </c>
      <c r="C16" s="5">
        <f ca="1">'Demand background (hide)'!Y4</f>
        <v>390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f ca="1">VLOOKUP(A16,$AG$2:$AI$54,3,0)</f>
        <v>1</v>
      </c>
      <c r="J16" s="5">
        <f t="shared" ref="J16:P16" ca="1" si="13">VLOOKUP($A16,$AG$2:$AQ$54,COLUMN(E$1),0)</f>
        <v>69.979541734860845</v>
      </c>
      <c r="K16" s="5">
        <f t="shared" ca="1" si="13"/>
        <v>211.65302782324056</v>
      </c>
      <c r="L16" s="5">
        <f t="shared" ca="1" si="13"/>
        <v>353.32651391162028</v>
      </c>
      <c r="M16" s="5">
        <f t="shared" ca="1" si="13"/>
        <v>495</v>
      </c>
      <c r="N16" s="5">
        <f t="shared" ca="1" si="13"/>
        <v>636.67348608837972</v>
      </c>
      <c r="O16" s="5">
        <f t="shared" ca="1" si="13"/>
        <v>778.34697217675944</v>
      </c>
      <c r="P16" s="5">
        <f t="shared" ca="1" si="13"/>
        <v>920.02045826513915</v>
      </c>
      <c r="Q16" s="5" t="e">
        <f ca="1">IF(ISNA(H16)=TRUE,IF(OR(C16&gt;P16,C16&lt;J16),C16,NA()),NA())</f>
        <v>#N/A</v>
      </c>
      <c r="V16" s="5">
        <f t="shared" ref="V16:V79" ca="1" si="14">IF(C16&lt;M16,-1,IF(C16&gt;M16,1,0))</f>
        <v>-1</v>
      </c>
      <c r="W16" s="5" t="e">
        <f ca="1">IF(ISNA(H16)=TRUE,IF(ABS(SUM(V16:V24))=9,C16,NA()),NA())</f>
        <v>#N/A</v>
      </c>
      <c r="AA16" s="5" t="str">
        <f>IF(Setup!$I$15="Yes",'Demand background (hide)'!AJ4+'SPC background (hide)'!C16,"")</f>
        <v/>
      </c>
      <c r="AC16" s="5">
        <f ca="1">VLOOKUP($A16,$AG$2:$AS$54,12,0)</f>
        <v>551.5</v>
      </c>
      <c r="AD16" s="5">
        <f ca="1">VLOOKUP($A16,$AG$2:$AS$54,13,0)</f>
        <v>664</v>
      </c>
      <c r="AG16" s="67">
        <f t="shared" ca="1" si="12"/>
        <v>21</v>
      </c>
      <c r="AH16" s="67">
        <v>15</v>
      </c>
      <c r="AI16" s="67">
        <f t="shared" ca="1" si="4"/>
        <v>1</v>
      </c>
      <c r="AJ16" s="39">
        <f t="shared" ca="1" si="5"/>
        <v>141.67348608837972</v>
      </c>
      <c r="AK16" s="39">
        <f t="shared" ca="1" si="6"/>
        <v>69.979541734860845</v>
      </c>
      <c r="AL16" s="39">
        <f t="shared" ca="1" si="7"/>
        <v>211.65302782324056</v>
      </c>
      <c r="AM16" s="39">
        <f t="shared" ca="1" si="8"/>
        <v>353.32651391162028</v>
      </c>
      <c r="AN16" s="39">
        <f t="shared" ca="1" si="9"/>
        <v>495</v>
      </c>
      <c r="AO16" s="39">
        <f t="shared" ca="1" si="0"/>
        <v>636.67348608837972</v>
      </c>
      <c r="AP16" s="39">
        <f t="shared" ca="1" si="1"/>
        <v>778.34697217675944</v>
      </c>
      <c r="AQ16" s="39">
        <f t="shared" ca="1" si="2"/>
        <v>920.02045826513915</v>
      </c>
      <c r="AR16" s="5">
        <f t="shared" ca="1" si="10"/>
        <v>551.5</v>
      </c>
      <c r="AS16" s="5">
        <f t="shared" ca="1" si="3"/>
        <v>664</v>
      </c>
      <c r="AT16" s="5">
        <f t="shared" ca="1" si="11"/>
        <v>0</v>
      </c>
    </row>
    <row r="17" spans="1:46" x14ac:dyDescent="0.2">
      <c r="A17" s="67">
        <f ca="1">Demand!C14</f>
        <v>14</v>
      </c>
      <c r="B17" s="67">
        <v>2</v>
      </c>
      <c r="C17" s="5">
        <f ca="1">'Demand background (hide)'!Y5</f>
        <v>610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1</v>
      </c>
      <c r="J17" s="5">
        <f t="shared" ref="J17:J80" ca="1" si="20">VLOOKUP($A17,$AG$2:$AQ$54,COLUMN(E$1),0)</f>
        <v>69.979541734860845</v>
      </c>
      <c r="K17" s="5">
        <f t="shared" ref="K17:K80" ca="1" si="21">VLOOKUP($A17,$AG$2:$AQ$54,COLUMN(F$1),0)</f>
        <v>211.65302782324056</v>
      </c>
      <c r="L17" s="5">
        <f t="shared" ref="L17:L80" ca="1" si="22">VLOOKUP($A17,$AG$2:$AQ$54,COLUMN(G$1),0)</f>
        <v>353.32651391162028</v>
      </c>
      <c r="M17" s="5">
        <f t="shared" ref="M17:M80" ca="1" si="23">VLOOKUP($A17,$AG$2:$AQ$54,COLUMN(H$1),0)</f>
        <v>495</v>
      </c>
      <c r="N17" s="5">
        <f t="shared" ref="N17:N80" ca="1" si="24">VLOOKUP($A17,$AG$2:$AQ$54,COLUMN(I$1),0)</f>
        <v>636.67348608837972</v>
      </c>
      <c r="O17" s="5">
        <f t="shared" ref="O17:O80" ca="1" si="25">VLOOKUP($A17,$AG$2:$AQ$54,COLUMN(J$1),0)</f>
        <v>778.34697217675944</v>
      </c>
      <c r="P17" s="5">
        <f t="shared" ref="P17:P80" ca="1" si="26">VLOOKUP($A17,$AG$2:$AQ$54,COLUMN(K$1),0)</f>
        <v>920.02045826513915</v>
      </c>
      <c r="Q17" s="5" t="e">
        <f t="shared" ref="Q17:Q80" ca="1" si="27">IF(ISNA(H17)=TRUE,IF(OR(C17&gt;P17,C17&lt;J17),C17,NA()),NA())</f>
        <v>#N/A</v>
      </c>
      <c r="R17" s="5">
        <f ca="1">IF(C17&gt;O17,2,IF(C17&lt;K17,-2,IF(C17&gt;M17,1,IF(C17&lt;M17,-1,0))))</f>
        <v>1</v>
      </c>
      <c r="S17" s="67" t="e">
        <f ca="1">IF(ISNA(H17),IF(ABS(SUM(R17:R19))&gt;=5,C17,NA()),NA())</f>
        <v>#N/A</v>
      </c>
      <c r="T17" s="67">
        <f ca="1">IF(C17&gt;N17,2,IF(C17&lt;L17,-2,IF(C17&gt;M17,1,IF(C17&lt;M17,-1,0))))</f>
        <v>1</v>
      </c>
      <c r="U17" s="67" t="e">
        <f ca="1">IF(ISNA(H17)=TRUE,IF(ABS(SUM(T17:T21))&gt;=9,C17,NA()),NA())</f>
        <v>#N/A</v>
      </c>
      <c r="V17" s="5">
        <f t="shared" ca="1" si="14"/>
        <v>1</v>
      </c>
      <c r="W17" s="5" t="e">
        <f t="shared" ref="W17:W80" ca="1" si="28">IF(ISNA(H17)=TRUE,IF(ABS(SUM(V17:V25))=9,C17,NA()),NA())</f>
        <v>#N/A</v>
      </c>
      <c r="X17" s="67">
        <f t="shared" ref="X17:X80" ca="1" si="29">IF(C17&gt;C16,1,IF(C17&lt;C16,-1,0))</f>
        <v>1</v>
      </c>
      <c r="Y17" s="67" t="e">
        <f ca="1">IF(ISNA(H17)=TRUE,IF(ABS(SUM(X17:X22))=6,C17,NA()),NA())</f>
        <v>#N/A</v>
      </c>
      <c r="Z17" s="67" t="e">
        <f ca="1">IF(ISNA(H17)=TRUE,IF(AND(ABS(SUM(T17:T24))=8,SUM(T17:T24)&lt;ABS(SUM(T17:T24))),C17,NA()),NA())</f>
        <v>#N/A</v>
      </c>
      <c r="AA17" s="5" t="str">
        <f>IF(Setup!$I$15="Yes",'Demand background (hide)'!AJ5+'SPC background (hide)'!C17,"")</f>
        <v/>
      </c>
      <c r="AC17" s="5">
        <f t="shared" ref="AC17:AC80" ca="1" si="30">VLOOKUP($A17,$AG$2:$AS$54,12,0)</f>
        <v>551.5</v>
      </c>
      <c r="AD17" s="5">
        <f t="shared" ref="AD17:AD80" ca="1" si="31">VLOOKUP($A17,$AG$2:$AS$54,13,0)</f>
        <v>664</v>
      </c>
      <c r="AG17" s="67">
        <f t="shared" ca="1" si="12"/>
        <v>22</v>
      </c>
      <c r="AH17" s="67">
        <v>16</v>
      </c>
      <c r="AI17" s="67">
        <f t="shared" ca="1" si="4"/>
        <v>1</v>
      </c>
      <c r="AJ17" s="39">
        <f t="shared" ca="1" si="5"/>
        <v>141.67348608837972</v>
      </c>
      <c r="AK17" s="39">
        <f t="shared" ca="1" si="6"/>
        <v>69.979541734860845</v>
      </c>
      <c r="AL17" s="39">
        <f t="shared" ca="1" si="7"/>
        <v>211.65302782324056</v>
      </c>
      <c r="AM17" s="39">
        <f t="shared" ca="1" si="8"/>
        <v>353.32651391162028</v>
      </c>
      <c r="AN17" s="39">
        <f t="shared" ca="1" si="9"/>
        <v>495</v>
      </c>
      <c r="AO17" s="39">
        <f t="shared" ca="1" si="0"/>
        <v>636.67348608837972</v>
      </c>
      <c r="AP17" s="39">
        <f t="shared" ca="1" si="1"/>
        <v>778.34697217675944</v>
      </c>
      <c r="AQ17" s="39">
        <f t="shared" ca="1" si="2"/>
        <v>920.02045826513915</v>
      </c>
      <c r="AR17" s="5">
        <f t="shared" ca="1" si="10"/>
        <v>551.5</v>
      </c>
      <c r="AS17" s="5">
        <f t="shared" ca="1" si="3"/>
        <v>664</v>
      </c>
      <c r="AT17" s="5">
        <f t="shared" ca="1" si="11"/>
        <v>0</v>
      </c>
    </row>
    <row r="18" spans="1:46" x14ac:dyDescent="0.2">
      <c r="A18" s="67">
        <f ca="1">Demand!C15</f>
        <v>15</v>
      </c>
      <c r="B18" s="67">
        <v>3</v>
      </c>
      <c r="C18" s="5">
        <f ca="1">'Demand background (hide)'!Y6</f>
        <v>380</v>
      </c>
      <c r="D18" s="67">
        <f t="shared" si="15"/>
        <v>0</v>
      </c>
      <c r="E18" s="67" t="e">
        <f t="shared" ca="1" si="16"/>
        <v>#N/A</v>
      </c>
      <c r="F18" s="67" t="e">
        <f t="shared" ca="1" si="17"/>
        <v>#N/A</v>
      </c>
      <c r="G18" s="67" t="e">
        <f t="shared" ca="1" si="18"/>
        <v>#N/A</v>
      </c>
      <c r="H18" s="67" t="e">
        <f>IF('Demand background (hide)'!AN6&lt;&gt;"",'SPC background (hide)'!C18,NA())</f>
        <v>#N/A</v>
      </c>
      <c r="I18" s="67">
        <f t="shared" ca="1" si="19"/>
        <v>1</v>
      </c>
      <c r="J18" s="5">
        <f t="shared" ca="1" si="20"/>
        <v>69.979541734860845</v>
      </c>
      <c r="K18" s="5">
        <f t="shared" ca="1" si="21"/>
        <v>211.65302782324056</v>
      </c>
      <c r="L18" s="5">
        <f t="shared" ca="1" si="22"/>
        <v>353.32651391162028</v>
      </c>
      <c r="M18" s="5">
        <f t="shared" ca="1" si="23"/>
        <v>495</v>
      </c>
      <c r="N18" s="5">
        <f t="shared" ca="1" si="24"/>
        <v>636.67348608837972</v>
      </c>
      <c r="O18" s="5">
        <f t="shared" ca="1" si="25"/>
        <v>778.34697217675944</v>
      </c>
      <c r="P18" s="5">
        <f t="shared" ca="1" si="26"/>
        <v>920.02045826513915</v>
      </c>
      <c r="Q18" s="5" t="e">
        <f t="shared" ca="1" si="27"/>
        <v>#N/A</v>
      </c>
      <c r="R18" s="5">
        <f t="shared" ref="R18:R81" ca="1" si="32">IF(C18&gt;O18,2,IF(C18&lt;K18,-2,IF(C18&gt;M18,1,IF(C18&lt;M18,-1,0))))</f>
        <v>-1</v>
      </c>
      <c r="S18" s="67" t="e">
        <f t="shared" ref="S18:S81" ca="1" si="33">IF(ISNA(H18),IF(ABS(SUM(R18:R20))&gt;=5,C18,NA()),NA())</f>
        <v>#N/A</v>
      </c>
      <c r="T18" s="67">
        <f t="shared" ref="T18:T81" ca="1" si="34">IF(C18&gt;N18,2,IF(C18&lt;L18,-2,IF(C18&gt;M18,1,IF(C18&lt;M18,-1,0))))</f>
        <v>-1</v>
      </c>
      <c r="U18" s="67" t="e">
        <f t="shared" ref="U18:U81" ca="1" si="35">IF(ISNA(H18)=TRUE,IF(ABS(SUM(T18:T22))&gt;=9,C18,NA()),NA())</f>
        <v>#N/A</v>
      </c>
      <c r="V18" s="5">
        <f t="shared" ca="1" si="14"/>
        <v>-1</v>
      </c>
      <c r="W18" s="5" t="e">
        <f t="shared" ca="1" si="28"/>
        <v>#N/A</v>
      </c>
      <c r="X18" s="67">
        <f t="shared" ca="1" si="29"/>
        <v>-1</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f t="shared" ca="1" si="30"/>
        <v>551.5</v>
      </c>
      <c r="AD18" s="5">
        <f t="shared" ca="1" si="31"/>
        <v>664</v>
      </c>
      <c r="AG18" s="67">
        <f t="shared" ca="1" si="12"/>
        <v>23</v>
      </c>
      <c r="AH18" s="67">
        <v>17</v>
      </c>
      <c r="AI18" s="67">
        <f t="shared" ca="1" si="4"/>
        <v>1</v>
      </c>
      <c r="AJ18" s="39">
        <f t="shared" ca="1" si="5"/>
        <v>141.67348608837972</v>
      </c>
      <c r="AK18" s="39">
        <f t="shared" ca="1" si="6"/>
        <v>69.979541734860845</v>
      </c>
      <c r="AL18" s="39">
        <f t="shared" ca="1" si="7"/>
        <v>211.65302782324056</v>
      </c>
      <c r="AM18" s="39">
        <f t="shared" ca="1" si="8"/>
        <v>353.32651391162028</v>
      </c>
      <c r="AN18" s="39">
        <f t="shared" ca="1" si="9"/>
        <v>495</v>
      </c>
      <c r="AO18" s="39">
        <f t="shared" ca="1" si="0"/>
        <v>636.67348608837972</v>
      </c>
      <c r="AP18" s="39">
        <f t="shared" ca="1" si="1"/>
        <v>778.34697217675944</v>
      </c>
      <c r="AQ18" s="39">
        <f t="shared" ca="1" si="2"/>
        <v>920.02045826513915</v>
      </c>
      <c r="AR18" s="5">
        <f t="shared" ca="1" si="10"/>
        <v>551.5</v>
      </c>
      <c r="AS18" s="5">
        <f t="shared" ca="1" si="3"/>
        <v>664</v>
      </c>
      <c r="AT18" s="5">
        <f t="shared" ca="1" si="11"/>
        <v>0</v>
      </c>
    </row>
    <row r="19" spans="1:46" x14ac:dyDescent="0.2">
      <c r="A19" s="67">
        <f ca="1">Demand!C16</f>
        <v>16</v>
      </c>
      <c r="B19" s="67">
        <v>4</v>
      </c>
      <c r="C19" s="5">
        <f ca="1">'Demand background (hide)'!Y7</f>
        <v>750</v>
      </c>
      <c r="D19" s="67">
        <f t="shared" si="15"/>
        <v>0</v>
      </c>
      <c r="E19" s="67" t="e">
        <f t="shared" ca="1" si="16"/>
        <v>#N/A</v>
      </c>
      <c r="F19" s="67" t="e">
        <f t="shared" ca="1" si="17"/>
        <v>#N/A</v>
      </c>
      <c r="G19" s="67" t="e">
        <f t="shared" ca="1" si="18"/>
        <v>#N/A</v>
      </c>
      <c r="H19" s="67" t="e">
        <f>IF('Demand background (hide)'!AN7&lt;&gt;"",'SPC background (hide)'!C19,NA())</f>
        <v>#N/A</v>
      </c>
      <c r="I19" s="67">
        <f t="shared" ca="1" si="19"/>
        <v>1</v>
      </c>
      <c r="J19" s="5">
        <f t="shared" ca="1" si="20"/>
        <v>69.979541734860845</v>
      </c>
      <c r="K19" s="5">
        <f t="shared" ca="1" si="21"/>
        <v>211.65302782324056</v>
      </c>
      <c r="L19" s="5">
        <f t="shared" ca="1" si="22"/>
        <v>353.32651391162028</v>
      </c>
      <c r="M19" s="5">
        <f t="shared" ca="1" si="23"/>
        <v>495</v>
      </c>
      <c r="N19" s="5">
        <f t="shared" ca="1" si="24"/>
        <v>636.67348608837972</v>
      </c>
      <c r="O19" s="5">
        <f t="shared" ca="1" si="25"/>
        <v>778.34697217675944</v>
      </c>
      <c r="P19" s="5">
        <f t="shared" ca="1" si="26"/>
        <v>920.02045826513915</v>
      </c>
      <c r="Q19" s="5" t="e">
        <f t="shared" ca="1" si="27"/>
        <v>#N/A</v>
      </c>
      <c r="R19" s="5">
        <f t="shared" ca="1" si="32"/>
        <v>1</v>
      </c>
      <c r="S19" s="67" t="e">
        <f t="shared" ca="1" si="33"/>
        <v>#N/A</v>
      </c>
      <c r="T19" s="67">
        <f t="shared" ca="1" si="34"/>
        <v>2</v>
      </c>
      <c r="U19" s="67" t="e">
        <f t="shared" ca="1" si="35"/>
        <v>#N/A</v>
      </c>
      <c r="V19" s="5">
        <f t="shared" ca="1" si="14"/>
        <v>1</v>
      </c>
      <c r="W19" s="5" t="e">
        <f t="shared" ca="1" si="28"/>
        <v>#N/A</v>
      </c>
      <c r="X19" s="67">
        <f t="shared" ca="1" si="29"/>
        <v>1</v>
      </c>
      <c r="Y19" s="67" t="e">
        <f t="shared" ca="1" si="36"/>
        <v>#N/A</v>
      </c>
      <c r="Z19" s="67" t="e">
        <f t="shared" ca="1" si="37"/>
        <v>#N/A</v>
      </c>
      <c r="AA19" s="5" t="str">
        <f>IF(Setup!$I$15="Yes",'Demand background (hide)'!AJ7+'SPC background (hide)'!C19,"")</f>
        <v/>
      </c>
      <c r="AC19" s="5">
        <f t="shared" ca="1" si="30"/>
        <v>551.5</v>
      </c>
      <c r="AD19" s="5">
        <f t="shared" ca="1" si="31"/>
        <v>664</v>
      </c>
      <c r="AG19" s="67">
        <f t="shared" ca="1" si="12"/>
        <v>24</v>
      </c>
      <c r="AH19" s="67">
        <v>18</v>
      </c>
      <c r="AI19" s="67">
        <f t="shared" ca="1" si="4"/>
        <v>1</v>
      </c>
      <c r="AJ19" s="39">
        <f t="shared" ca="1" si="5"/>
        <v>141.67348608837972</v>
      </c>
      <c r="AK19" s="39">
        <f t="shared" ca="1" si="6"/>
        <v>69.979541734860845</v>
      </c>
      <c r="AL19" s="39">
        <f t="shared" ca="1" si="7"/>
        <v>211.65302782324056</v>
      </c>
      <c r="AM19" s="39">
        <f t="shared" ca="1" si="8"/>
        <v>353.32651391162028</v>
      </c>
      <c r="AN19" s="39">
        <f t="shared" ca="1" si="9"/>
        <v>495</v>
      </c>
      <c r="AO19" s="39">
        <f t="shared" ca="1" si="0"/>
        <v>636.67348608837972</v>
      </c>
      <c r="AP19" s="39">
        <f t="shared" ca="1" si="1"/>
        <v>778.34697217675944</v>
      </c>
      <c r="AQ19" s="39">
        <f t="shared" ca="1" si="2"/>
        <v>920.02045826513915</v>
      </c>
      <c r="AR19" s="5">
        <f t="shared" ca="1" si="10"/>
        <v>551.5</v>
      </c>
      <c r="AS19" s="5">
        <f t="shared" ca="1" si="3"/>
        <v>664</v>
      </c>
      <c r="AT19" s="5">
        <f t="shared" ca="1" si="11"/>
        <v>0</v>
      </c>
    </row>
    <row r="20" spans="1:46" x14ac:dyDescent="0.2">
      <c r="A20" s="67">
        <f ca="1">Demand!C17</f>
        <v>17</v>
      </c>
      <c r="B20" s="67">
        <v>5</v>
      </c>
      <c r="C20" s="5">
        <f ca="1">'Demand background (hide)'!Y8</f>
        <v>490</v>
      </c>
      <c r="D20" s="67">
        <f t="shared" si="15"/>
        <v>0</v>
      </c>
      <c r="E20" s="67" t="e">
        <f t="shared" ca="1" si="16"/>
        <v>#N/A</v>
      </c>
      <c r="F20" s="67" t="e">
        <f t="shared" ca="1" si="17"/>
        <v>#N/A</v>
      </c>
      <c r="G20" s="67" t="e">
        <f t="shared" ca="1" si="18"/>
        <v>#N/A</v>
      </c>
      <c r="H20" s="67" t="e">
        <f>IF('Demand background (hide)'!AN8&lt;&gt;"",'SPC background (hide)'!C20,NA())</f>
        <v>#N/A</v>
      </c>
      <c r="I20" s="67">
        <f t="shared" ca="1" si="19"/>
        <v>1</v>
      </c>
      <c r="J20" s="5">
        <f t="shared" ca="1" si="20"/>
        <v>69.979541734860845</v>
      </c>
      <c r="K20" s="5">
        <f t="shared" ca="1" si="21"/>
        <v>211.65302782324056</v>
      </c>
      <c r="L20" s="5">
        <f t="shared" ca="1" si="22"/>
        <v>353.32651391162028</v>
      </c>
      <c r="M20" s="5">
        <f t="shared" ca="1" si="23"/>
        <v>495</v>
      </c>
      <c r="N20" s="5">
        <f t="shared" ca="1" si="24"/>
        <v>636.67348608837972</v>
      </c>
      <c r="O20" s="5">
        <f t="shared" ca="1" si="25"/>
        <v>778.34697217675944</v>
      </c>
      <c r="P20" s="5">
        <f t="shared" ca="1" si="26"/>
        <v>920.02045826513915</v>
      </c>
      <c r="Q20" s="5" t="e">
        <f t="shared" ca="1" si="27"/>
        <v>#N/A</v>
      </c>
      <c r="R20" s="5">
        <f t="shared" ca="1" si="32"/>
        <v>-1</v>
      </c>
      <c r="S20" s="67" t="e">
        <f t="shared" ca="1" si="33"/>
        <v>#N/A</v>
      </c>
      <c r="T20" s="67">
        <f t="shared" ca="1" si="34"/>
        <v>-1</v>
      </c>
      <c r="U20" s="67" t="e">
        <f t="shared" ca="1" si="35"/>
        <v>#N/A</v>
      </c>
      <c r="V20" s="5">
        <f t="shared" ca="1" si="14"/>
        <v>-1</v>
      </c>
      <c r="W20" s="5" t="e">
        <f t="shared" ca="1" si="28"/>
        <v>#N/A</v>
      </c>
      <c r="X20" s="67">
        <f t="shared" ca="1" si="29"/>
        <v>-1</v>
      </c>
      <c r="Y20" s="67" t="e">
        <f t="shared" ca="1" si="36"/>
        <v>#N/A</v>
      </c>
      <c r="Z20" s="67" t="e">
        <f t="shared" ca="1" si="37"/>
        <v>#N/A</v>
      </c>
      <c r="AA20" s="5" t="str">
        <f>IF(Setup!$I$15="Yes",'Demand background (hide)'!AJ8+'SPC background (hide)'!C20,"")</f>
        <v/>
      </c>
      <c r="AC20" s="5">
        <f t="shared" ca="1" si="30"/>
        <v>551.5</v>
      </c>
      <c r="AD20" s="5">
        <f t="shared" ca="1" si="31"/>
        <v>664</v>
      </c>
      <c r="AG20" s="67">
        <f t="shared" ca="1" si="12"/>
        <v>25</v>
      </c>
      <c r="AH20" s="67">
        <v>19</v>
      </c>
      <c r="AI20" s="67">
        <f t="shared" ca="1" si="4"/>
        <v>1</v>
      </c>
      <c r="AJ20" s="39">
        <f t="shared" ca="1" si="5"/>
        <v>141.67348608837972</v>
      </c>
      <c r="AK20" s="39">
        <f t="shared" ca="1" si="6"/>
        <v>69.979541734860845</v>
      </c>
      <c r="AL20" s="39">
        <f t="shared" ca="1" si="7"/>
        <v>211.65302782324056</v>
      </c>
      <c r="AM20" s="39">
        <f t="shared" ca="1" si="8"/>
        <v>353.32651391162028</v>
      </c>
      <c r="AN20" s="39">
        <f t="shared" ca="1" si="9"/>
        <v>495</v>
      </c>
      <c r="AO20" s="39">
        <f t="shared" ca="1" si="0"/>
        <v>636.67348608837972</v>
      </c>
      <c r="AP20" s="39">
        <f t="shared" ca="1" si="1"/>
        <v>778.34697217675944</v>
      </c>
      <c r="AQ20" s="39">
        <f t="shared" ca="1" si="2"/>
        <v>920.02045826513915</v>
      </c>
      <c r="AR20" s="5">
        <f t="shared" ca="1" si="10"/>
        <v>551.5</v>
      </c>
      <c r="AS20" s="5">
        <f t="shared" ca="1" si="3"/>
        <v>664</v>
      </c>
      <c r="AT20" s="5">
        <f t="shared" ca="1" si="11"/>
        <v>0</v>
      </c>
    </row>
    <row r="21" spans="1:46" x14ac:dyDescent="0.2">
      <c r="A21" s="67">
        <f ca="1">Demand!C18</f>
        <v>18</v>
      </c>
      <c r="B21" s="67">
        <v>6</v>
      </c>
      <c r="C21" s="5">
        <f ca="1">'Demand background (hide)'!Y9</f>
        <v>400</v>
      </c>
      <c r="D21" s="67">
        <f t="shared" si="15"/>
        <v>0</v>
      </c>
      <c r="E21" s="67" t="e">
        <f t="shared" ca="1" si="16"/>
        <v>#N/A</v>
      </c>
      <c r="F21" s="67" t="e">
        <f t="shared" ca="1" si="17"/>
        <v>#N/A</v>
      </c>
      <c r="G21" s="67" t="e">
        <f t="shared" ca="1" si="18"/>
        <v>#N/A</v>
      </c>
      <c r="H21" s="67" t="e">
        <f>IF('Demand background (hide)'!AN9&lt;&gt;"",'SPC background (hide)'!C21,NA())</f>
        <v>#N/A</v>
      </c>
      <c r="I21" s="67">
        <f t="shared" ca="1" si="19"/>
        <v>1</v>
      </c>
      <c r="J21" s="5">
        <f t="shared" ca="1" si="20"/>
        <v>69.979541734860845</v>
      </c>
      <c r="K21" s="5">
        <f t="shared" ca="1" si="21"/>
        <v>211.65302782324056</v>
      </c>
      <c r="L21" s="5">
        <f t="shared" ca="1" si="22"/>
        <v>353.32651391162028</v>
      </c>
      <c r="M21" s="5">
        <f t="shared" ca="1" si="23"/>
        <v>495</v>
      </c>
      <c r="N21" s="5">
        <f t="shared" ca="1" si="24"/>
        <v>636.67348608837972</v>
      </c>
      <c r="O21" s="5">
        <f t="shared" ca="1" si="25"/>
        <v>778.34697217675944</v>
      </c>
      <c r="P21" s="5">
        <f t="shared" ca="1" si="26"/>
        <v>920.02045826513915</v>
      </c>
      <c r="Q21" s="5" t="e">
        <f t="shared" ca="1" si="27"/>
        <v>#N/A</v>
      </c>
      <c r="R21" s="5">
        <f t="shared" ca="1" si="32"/>
        <v>-1</v>
      </c>
      <c r="S21" s="67" t="e">
        <f t="shared" ca="1" si="33"/>
        <v>#N/A</v>
      </c>
      <c r="T21" s="67">
        <f t="shared" ca="1" si="34"/>
        <v>-1</v>
      </c>
      <c r="U21" s="67" t="e">
        <f t="shared" ca="1" si="35"/>
        <v>#N/A</v>
      </c>
      <c r="V21" s="5">
        <f t="shared" ca="1" si="14"/>
        <v>-1</v>
      </c>
      <c r="W21" s="5" t="e">
        <f t="shared" ca="1" si="28"/>
        <v>#N/A</v>
      </c>
      <c r="X21" s="67">
        <f t="shared" ca="1" si="29"/>
        <v>-1</v>
      </c>
      <c r="Y21" s="67" t="e">
        <f t="shared" ca="1" si="36"/>
        <v>#N/A</v>
      </c>
      <c r="Z21" s="67" t="e">
        <f t="shared" ca="1" si="37"/>
        <v>#N/A</v>
      </c>
      <c r="AA21" s="5" t="str">
        <f>IF(Setup!$I$15="Yes",'Demand background (hide)'!AJ9+'SPC background (hide)'!C21,"")</f>
        <v/>
      </c>
      <c r="AC21" s="5">
        <f t="shared" ca="1" si="30"/>
        <v>551.5</v>
      </c>
      <c r="AD21" s="5">
        <f t="shared" ca="1" si="31"/>
        <v>664</v>
      </c>
      <c r="AG21" s="67">
        <f t="shared" ca="1" si="12"/>
        <v>26</v>
      </c>
      <c r="AH21" s="67">
        <v>20</v>
      </c>
      <c r="AI21" s="67">
        <f t="shared" ca="1" si="4"/>
        <v>1</v>
      </c>
      <c r="AJ21" s="39">
        <f t="shared" ca="1" si="5"/>
        <v>141.67348608837972</v>
      </c>
      <c r="AK21" s="39">
        <f t="shared" ca="1" si="6"/>
        <v>69.979541734860845</v>
      </c>
      <c r="AL21" s="39">
        <f t="shared" ca="1" si="7"/>
        <v>211.65302782324056</v>
      </c>
      <c r="AM21" s="39">
        <f t="shared" ca="1" si="8"/>
        <v>353.32651391162028</v>
      </c>
      <c r="AN21" s="39">
        <f t="shared" ca="1" si="9"/>
        <v>495</v>
      </c>
      <c r="AO21" s="39">
        <f t="shared" ca="1" si="0"/>
        <v>636.67348608837972</v>
      </c>
      <c r="AP21" s="39">
        <f t="shared" ca="1" si="1"/>
        <v>778.34697217675944</v>
      </c>
      <c r="AQ21" s="39">
        <f t="shared" ca="1" si="2"/>
        <v>920.02045826513915</v>
      </c>
      <c r="AR21" s="5">
        <f t="shared" ca="1" si="10"/>
        <v>551.5</v>
      </c>
      <c r="AS21" s="5">
        <f t="shared" ca="1" si="3"/>
        <v>664</v>
      </c>
      <c r="AT21" s="5">
        <f t="shared" ca="1" si="11"/>
        <v>0</v>
      </c>
    </row>
    <row r="22" spans="1:46" x14ac:dyDescent="0.2">
      <c r="A22" s="67">
        <f ca="1">Demand!C19</f>
        <v>19</v>
      </c>
      <c r="B22" s="67">
        <v>7</v>
      </c>
      <c r="C22" s="5">
        <f ca="1">'Demand background (hide)'!Y10</f>
        <v>590</v>
      </c>
      <c r="D22" s="67">
        <f t="shared" si="15"/>
        <v>0</v>
      </c>
      <c r="E22" s="67" t="e">
        <f t="shared" ca="1" si="16"/>
        <v>#N/A</v>
      </c>
      <c r="F22" s="67" t="e">
        <f t="shared" ca="1" si="17"/>
        <v>#N/A</v>
      </c>
      <c r="G22" s="67" t="e">
        <f t="shared" ca="1" si="18"/>
        <v>#N/A</v>
      </c>
      <c r="H22" s="67" t="e">
        <f>IF('Demand background (hide)'!AN10&lt;&gt;"",'SPC background (hide)'!C22,NA())</f>
        <v>#N/A</v>
      </c>
      <c r="I22" s="67">
        <f t="shared" ca="1" si="19"/>
        <v>1</v>
      </c>
      <c r="J22" s="5">
        <f t="shared" ca="1" si="20"/>
        <v>69.979541734860845</v>
      </c>
      <c r="K22" s="5">
        <f t="shared" ca="1" si="21"/>
        <v>211.65302782324056</v>
      </c>
      <c r="L22" s="5">
        <f t="shared" ca="1" si="22"/>
        <v>353.32651391162028</v>
      </c>
      <c r="M22" s="5">
        <f t="shared" ca="1" si="23"/>
        <v>495</v>
      </c>
      <c r="N22" s="5">
        <f t="shared" ca="1" si="24"/>
        <v>636.67348608837972</v>
      </c>
      <c r="O22" s="5">
        <f t="shared" ca="1" si="25"/>
        <v>778.34697217675944</v>
      </c>
      <c r="P22" s="5">
        <f t="shared" ca="1" si="26"/>
        <v>920.02045826513915</v>
      </c>
      <c r="Q22" s="5" t="e">
        <f t="shared" ca="1" si="27"/>
        <v>#N/A</v>
      </c>
      <c r="R22" s="5">
        <f t="shared" ca="1" si="32"/>
        <v>1</v>
      </c>
      <c r="S22" s="67" t="e">
        <f t="shared" ca="1" si="33"/>
        <v>#N/A</v>
      </c>
      <c r="T22" s="67">
        <f t="shared" ca="1" si="34"/>
        <v>1</v>
      </c>
      <c r="U22" s="67" t="e">
        <f t="shared" ca="1" si="35"/>
        <v>#N/A</v>
      </c>
      <c r="V22" s="5">
        <f t="shared" ca="1" si="14"/>
        <v>1</v>
      </c>
      <c r="W22" s="5" t="e">
        <f t="shared" ca="1" si="28"/>
        <v>#N/A</v>
      </c>
      <c r="X22" s="67">
        <f t="shared" ca="1" si="29"/>
        <v>1</v>
      </c>
      <c r="Y22" s="67" t="e">
        <f t="shared" ca="1" si="36"/>
        <v>#N/A</v>
      </c>
      <c r="Z22" s="67" t="e">
        <f t="shared" ca="1" si="37"/>
        <v>#N/A</v>
      </c>
      <c r="AA22" s="5" t="str">
        <f>IF(Setup!$I$15="Yes",'Demand background (hide)'!AJ10+'SPC background (hide)'!C22,"")</f>
        <v/>
      </c>
      <c r="AC22" s="5">
        <f t="shared" ca="1" si="30"/>
        <v>551.5</v>
      </c>
      <c r="AD22" s="5">
        <f t="shared" ca="1" si="31"/>
        <v>664</v>
      </c>
      <c r="AG22" s="67">
        <f t="shared" ca="1" si="12"/>
        <v>27</v>
      </c>
      <c r="AH22" s="67">
        <v>21</v>
      </c>
      <c r="AI22" s="67">
        <f t="shared" ca="1" si="4"/>
        <v>1</v>
      </c>
      <c r="AJ22" s="39">
        <f t="shared" ca="1" si="5"/>
        <v>141.67348608837972</v>
      </c>
      <c r="AK22" s="39">
        <f t="shared" ca="1" si="6"/>
        <v>69.979541734860845</v>
      </c>
      <c r="AL22" s="39">
        <f t="shared" ca="1" si="7"/>
        <v>211.65302782324056</v>
      </c>
      <c r="AM22" s="39">
        <f t="shared" ca="1" si="8"/>
        <v>353.32651391162028</v>
      </c>
      <c r="AN22" s="39">
        <f t="shared" ca="1" si="9"/>
        <v>495</v>
      </c>
      <c r="AO22" s="39">
        <f t="shared" ca="1" si="0"/>
        <v>636.67348608837972</v>
      </c>
      <c r="AP22" s="39">
        <f t="shared" ca="1" si="1"/>
        <v>778.34697217675944</v>
      </c>
      <c r="AQ22" s="39">
        <f t="shared" ca="1" si="2"/>
        <v>920.02045826513915</v>
      </c>
      <c r="AR22" s="5">
        <f t="shared" ca="1" si="10"/>
        <v>551.5</v>
      </c>
      <c r="AS22" s="5">
        <f t="shared" ca="1" si="3"/>
        <v>664</v>
      </c>
      <c r="AT22" s="5">
        <f t="shared" ca="1" si="11"/>
        <v>0</v>
      </c>
    </row>
    <row r="23" spans="1:46" x14ac:dyDescent="0.2">
      <c r="A23" s="67">
        <f ca="1">Demand!C20</f>
        <v>20</v>
      </c>
      <c r="B23" s="67">
        <v>8</v>
      </c>
      <c r="C23" s="5">
        <f ca="1">'Demand background (hide)'!Y11</f>
        <v>450</v>
      </c>
      <c r="D23" s="67">
        <f t="shared" si="15"/>
        <v>0</v>
      </c>
      <c r="E23" s="67" t="e">
        <f t="shared" ca="1" si="16"/>
        <v>#N/A</v>
      </c>
      <c r="F23" s="67" t="e">
        <f t="shared" ca="1" si="17"/>
        <v>#N/A</v>
      </c>
      <c r="G23" s="67" t="e">
        <f t="shared" ca="1" si="18"/>
        <v>#N/A</v>
      </c>
      <c r="H23" s="67" t="e">
        <f>IF('Demand background (hide)'!AN11&lt;&gt;"",'SPC background (hide)'!C23,NA())</f>
        <v>#N/A</v>
      </c>
      <c r="I23" s="67">
        <f t="shared" ca="1" si="19"/>
        <v>1</v>
      </c>
      <c r="J23" s="5">
        <f t="shared" ca="1" si="20"/>
        <v>69.979541734860845</v>
      </c>
      <c r="K23" s="5">
        <f t="shared" ca="1" si="21"/>
        <v>211.65302782324056</v>
      </c>
      <c r="L23" s="5">
        <f t="shared" ca="1" si="22"/>
        <v>353.32651391162028</v>
      </c>
      <c r="M23" s="5">
        <f t="shared" ca="1" si="23"/>
        <v>495</v>
      </c>
      <c r="N23" s="5">
        <f t="shared" ca="1" si="24"/>
        <v>636.67348608837972</v>
      </c>
      <c r="O23" s="5">
        <f t="shared" ca="1" si="25"/>
        <v>778.34697217675944</v>
      </c>
      <c r="P23" s="5">
        <f t="shared" ca="1" si="26"/>
        <v>920.02045826513915</v>
      </c>
      <c r="Q23" s="5" t="e">
        <f t="shared" ca="1" si="27"/>
        <v>#N/A</v>
      </c>
      <c r="R23" s="5">
        <f t="shared" ca="1" si="32"/>
        <v>-1</v>
      </c>
      <c r="S23" s="67" t="e">
        <f t="shared" ca="1" si="33"/>
        <v>#N/A</v>
      </c>
      <c r="T23" s="67">
        <f t="shared" ca="1" si="34"/>
        <v>-1</v>
      </c>
      <c r="U23" s="67" t="e">
        <f t="shared" ca="1" si="35"/>
        <v>#N/A</v>
      </c>
      <c r="V23" s="5">
        <f t="shared" ca="1" si="14"/>
        <v>-1</v>
      </c>
      <c r="W23" s="5" t="e">
        <f t="shared" ca="1" si="28"/>
        <v>#N/A</v>
      </c>
      <c r="X23" s="67">
        <f t="shared" ca="1" si="29"/>
        <v>-1</v>
      </c>
      <c r="Y23" s="67" t="e">
        <f t="shared" ca="1" si="36"/>
        <v>#N/A</v>
      </c>
      <c r="Z23" s="67" t="e">
        <f t="shared" ca="1" si="37"/>
        <v>#N/A</v>
      </c>
      <c r="AA23" s="5" t="str">
        <f>IF(Setup!$I$15="Yes",'Demand background (hide)'!AJ11+'SPC background (hide)'!C23,"")</f>
        <v/>
      </c>
      <c r="AC23" s="5">
        <f t="shared" ca="1" si="30"/>
        <v>551.5</v>
      </c>
      <c r="AD23" s="5">
        <f t="shared" ca="1" si="31"/>
        <v>664</v>
      </c>
      <c r="AG23" s="67">
        <f t="shared" ca="1" si="12"/>
        <v>28</v>
      </c>
      <c r="AH23" s="67">
        <v>22</v>
      </c>
      <c r="AI23" s="67">
        <f t="shared" ca="1" si="4"/>
        <v>1</v>
      </c>
      <c r="AJ23" s="39">
        <f t="shared" ca="1" si="5"/>
        <v>141.67348608837972</v>
      </c>
      <c r="AK23" s="39">
        <f t="shared" ca="1" si="6"/>
        <v>69.979541734860845</v>
      </c>
      <c r="AL23" s="39">
        <f t="shared" ca="1" si="7"/>
        <v>211.65302782324056</v>
      </c>
      <c r="AM23" s="39">
        <f t="shared" ca="1" si="8"/>
        <v>353.32651391162028</v>
      </c>
      <c r="AN23" s="39">
        <f t="shared" ca="1" si="9"/>
        <v>495</v>
      </c>
      <c r="AO23" s="39">
        <f t="shared" ca="1" si="0"/>
        <v>636.67348608837972</v>
      </c>
      <c r="AP23" s="39">
        <f t="shared" ca="1" si="1"/>
        <v>778.34697217675944</v>
      </c>
      <c r="AQ23" s="39">
        <f t="shared" ca="1" si="2"/>
        <v>920.02045826513915</v>
      </c>
      <c r="AR23" s="5">
        <f t="shared" ca="1" si="10"/>
        <v>551.5</v>
      </c>
      <c r="AS23" s="5">
        <f t="shared" ca="1" si="3"/>
        <v>664</v>
      </c>
      <c r="AT23" s="5">
        <f t="shared" ca="1" si="11"/>
        <v>0</v>
      </c>
    </row>
    <row r="24" spans="1:46" x14ac:dyDescent="0.2">
      <c r="A24" s="67">
        <f ca="1">Demand!C21</f>
        <v>21</v>
      </c>
      <c r="B24" s="67">
        <v>9</v>
      </c>
      <c r="C24" s="5">
        <f ca="1">'Demand background (hide)'!Y12</f>
        <v>260</v>
      </c>
      <c r="D24" s="67">
        <f t="shared" si="15"/>
        <v>0</v>
      </c>
      <c r="E24" s="67" t="e">
        <f t="shared" ca="1" si="16"/>
        <v>#N/A</v>
      </c>
      <c r="F24" s="67" t="e">
        <f t="shared" ca="1" si="17"/>
        <v>#N/A</v>
      </c>
      <c r="G24" s="67" t="e">
        <f t="shared" ca="1" si="18"/>
        <v>#N/A</v>
      </c>
      <c r="H24" s="67" t="e">
        <f>IF('Demand background (hide)'!AN12&lt;&gt;"",'SPC background (hide)'!C24,NA())</f>
        <v>#N/A</v>
      </c>
      <c r="I24" s="67">
        <f t="shared" ca="1" si="19"/>
        <v>1</v>
      </c>
      <c r="J24" s="5">
        <f t="shared" ca="1" si="20"/>
        <v>69.979541734860845</v>
      </c>
      <c r="K24" s="5">
        <f t="shared" ca="1" si="21"/>
        <v>211.65302782324056</v>
      </c>
      <c r="L24" s="5">
        <f t="shared" ca="1" si="22"/>
        <v>353.32651391162028</v>
      </c>
      <c r="M24" s="5">
        <f t="shared" ca="1" si="23"/>
        <v>495</v>
      </c>
      <c r="N24" s="5">
        <f t="shared" ca="1" si="24"/>
        <v>636.67348608837972</v>
      </c>
      <c r="O24" s="5">
        <f t="shared" ca="1" si="25"/>
        <v>778.34697217675944</v>
      </c>
      <c r="P24" s="5">
        <f t="shared" ca="1" si="26"/>
        <v>920.02045826513915</v>
      </c>
      <c r="Q24" s="5" t="e">
        <f t="shared" ca="1" si="27"/>
        <v>#N/A</v>
      </c>
      <c r="R24" s="5">
        <f t="shared" ca="1" si="32"/>
        <v>-1</v>
      </c>
      <c r="S24" s="67" t="e">
        <f t="shared" ca="1" si="33"/>
        <v>#N/A</v>
      </c>
      <c r="T24" s="67">
        <f t="shared" ca="1" si="34"/>
        <v>-2</v>
      </c>
      <c r="U24" s="67" t="e">
        <f t="shared" ca="1" si="35"/>
        <v>#N/A</v>
      </c>
      <c r="V24" s="5">
        <f t="shared" ca="1" si="14"/>
        <v>-1</v>
      </c>
      <c r="W24" s="5" t="e">
        <f t="shared" ca="1" si="28"/>
        <v>#N/A</v>
      </c>
      <c r="X24" s="67">
        <f t="shared" ca="1" si="29"/>
        <v>-1</v>
      </c>
      <c r="Y24" s="67" t="e">
        <f t="shared" ca="1" si="36"/>
        <v>#N/A</v>
      </c>
      <c r="Z24" s="67" t="e">
        <f t="shared" ca="1" si="37"/>
        <v>#N/A</v>
      </c>
      <c r="AA24" s="5" t="str">
        <f>IF(Setup!$I$15="Yes",'Demand background (hide)'!AJ12+'SPC background (hide)'!C24,"")</f>
        <v/>
      </c>
      <c r="AC24" s="5">
        <f t="shared" ca="1" si="30"/>
        <v>551.5</v>
      </c>
      <c r="AD24" s="5">
        <f t="shared" ca="1" si="31"/>
        <v>664</v>
      </c>
      <c r="AG24" s="67">
        <f t="shared" ca="1" si="12"/>
        <v>29</v>
      </c>
      <c r="AH24" s="67">
        <v>23</v>
      </c>
      <c r="AI24" s="67">
        <f t="shared" ca="1" si="4"/>
        <v>1</v>
      </c>
      <c r="AJ24" s="39">
        <f t="shared" ca="1" si="5"/>
        <v>141.67348608837972</v>
      </c>
      <c r="AK24" s="39">
        <f t="shared" ca="1" si="6"/>
        <v>69.979541734860845</v>
      </c>
      <c r="AL24" s="39">
        <f t="shared" ca="1" si="7"/>
        <v>211.65302782324056</v>
      </c>
      <c r="AM24" s="39">
        <f t="shared" ca="1" si="8"/>
        <v>353.32651391162028</v>
      </c>
      <c r="AN24" s="39">
        <f t="shared" ca="1" si="9"/>
        <v>495</v>
      </c>
      <c r="AO24" s="39">
        <f t="shared" ca="1" si="0"/>
        <v>636.67348608837972</v>
      </c>
      <c r="AP24" s="39">
        <f t="shared" ca="1" si="1"/>
        <v>778.34697217675944</v>
      </c>
      <c r="AQ24" s="39">
        <f t="shared" ca="1" si="2"/>
        <v>920.02045826513915</v>
      </c>
      <c r="AR24" s="5">
        <f t="shared" ca="1" si="10"/>
        <v>551.5</v>
      </c>
      <c r="AS24" s="5">
        <f t="shared" ca="1" si="3"/>
        <v>664</v>
      </c>
      <c r="AT24" s="5">
        <f t="shared" ca="1" si="11"/>
        <v>0</v>
      </c>
    </row>
    <row r="25" spans="1:46" x14ac:dyDescent="0.2">
      <c r="A25" s="67">
        <f ca="1">Demand!C22</f>
        <v>22</v>
      </c>
      <c r="B25" s="67">
        <v>10</v>
      </c>
      <c r="C25" s="5">
        <f ca="1">'Demand background (hide)'!Y13</f>
        <v>600</v>
      </c>
      <c r="D25" s="67">
        <f t="shared" si="15"/>
        <v>0</v>
      </c>
      <c r="E25" s="67" t="e">
        <f t="shared" ca="1" si="16"/>
        <v>#N/A</v>
      </c>
      <c r="F25" s="67" t="e">
        <f t="shared" ca="1" si="17"/>
        <v>#N/A</v>
      </c>
      <c r="G25" s="67" t="e">
        <f t="shared" ca="1" si="18"/>
        <v>#N/A</v>
      </c>
      <c r="H25" s="67" t="e">
        <f>IF('Demand background (hide)'!AN13&lt;&gt;"",'SPC background (hide)'!C25,NA())</f>
        <v>#N/A</v>
      </c>
      <c r="I25" s="67">
        <f t="shared" ca="1" si="19"/>
        <v>1</v>
      </c>
      <c r="J25" s="5">
        <f t="shared" ca="1" si="20"/>
        <v>69.979541734860845</v>
      </c>
      <c r="K25" s="5">
        <f t="shared" ca="1" si="21"/>
        <v>211.65302782324056</v>
      </c>
      <c r="L25" s="5">
        <f t="shared" ca="1" si="22"/>
        <v>353.32651391162028</v>
      </c>
      <c r="M25" s="5">
        <f t="shared" ca="1" si="23"/>
        <v>495</v>
      </c>
      <c r="N25" s="5">
        <f t="shared" ca="1" si="24"/>
        <v>636.67348608837972</v>
      </c>
      <c r="O25" s="5">
        <f t="shared" ca="1" si="25"/>
        <v>778.34697217675944</v>
      </c>
      <c r="P25" s="5">
        <f t="shared" ca="1" si="26"/>
        <v>920.02045826513915</v>
      </c>
      <c r="Q25" s="5" t="e">
        <f t="shared" ca="1" si="27"/>
        <v>#N/A</v>
      </c>
      <c r="R25" s="5">
        <f t="shared" ca="1" si="32"/>
        <v>1</v>
      </c>
      <c r="S25" s="67" t="e">
        <f t="shared" ca="1" si="33"/>
        <v>#N/A</v>
      </c>
      <c r="T25" s="67">
        <f t="shared" ca="1" si="34"/>
        <v>1</v>
      </c>
      <c r="U25" s="67" t="e">
        <f t="shared" ca="1" si="35"/>
        <v>#N/A</v>
      </c>
      <c r="V25" s="5">
        <f t="shared" ca="1" si="14"/>
        <v>1</v>
      </c>
      <c r="W25" s="5" t="e">
        <f t="shared" ca="1" si="28"/>
        <v>#N/A</v>
      </c>
      <c r="X25" s="67">
        <f t="shared" ca="1" si="29"/>
        <v>1</v>
      </c>
      <c r="Y25" s="67" t="e">
        <f t="shared" ca="1" si="36"/>
        <v>#N/A</v>
      </c>
      <c r="Z25" s="67" t="e">
        <f t="shared" ca="1" si="37"/>
        <v>#N/A</v>
      </c>
      <c r="AA25" s="5" t="str">
        <f>IF(Setup!$I$15="Yes",'Demand background (hide)'!AJ13+'SPC background (hide)'!C25,"")</f>
        <v/>
      </c>
      <c r="AC25" s="5">
        <f t="shared" ca="1" si="30"/>
        <v>551.5</v>
      </c>
      <c r="AD25" s="5">
        <f t="shared" ca="1" si="31"/>
        <v>664</v>
      </c>
      <c r="AG25" s="67">
        <f t="shared" ca="1" si="12"/>
        <v>30</v>
      </c>
      <c r="AH25" s="67">
        <v>24</v>
      </c>
      <c r="AI25" s="67">
        <f t="shared" ca="1" si="4"/>
        <v>1</v>
      </c>
      <c r="AJ25" s="39">
        <f t="shared" ca="1" si="5"/>
        <v>141.67348608837972</v>
      </c>
      <c r="AK25" s="39">
        <f t="shared" ca="1" si="6"/>
        <v>69.979541734860845</v>
      </c>
      <c r="AL25" s="39">
        <f t="shared" ca="1" si="7"/>
        <v>211.65302782324056</v>
      </c>
      <c r="AM25" s="39">
        <f t="shared" ca="1" si="8"/>
        <v>353.32651391162028</v>
      </c>
      <c r="AN25" s="39">
        <f t="shared" ca="1" si="9"/>
        <v>495</v>
      </c>
      <c r="AO25" s="39">
        <f t="shared" ca="1" si="0"/>
        <v>636.67348608837972</v>
      </c>
      <c r="AP25" s="39">
        <f t="shared" ca="1" si="1"/>
        <v>778.34697217675944</v>
      </c>
      <c r="AQ25" s="39">
        <f t="shared" ca="1" si="2"/>
        <v>920.02045826513915</v>
      </c>
      <c r="AR25" s="5">
        <f t="shared" ca="1" si="10"/>
        <v>551.5</v>
      </c>
      <c r="AS25" s="5">
        <f t="shared" ca="1" si="3"/>
        <v>664</v>
      </c>
      <c r="AT25" s="5">
        <f t="shared" ca="1" si="11"/>
        <v>0</v>
      </c>
    </row>
    <row r="26" spans="1:46" x14ac:dyDescent="0.2">
      <c r="A26" s="67">
        <f ca="1">Demand!C23</f>
        <v>23</v>
      </c>
      <c r="B26" s="67">
        <v>11</v>
      </c>
      <c r="C26" s="5">
        <f ca="1">'Demand background (hide)'!Y14</f>
        <v>680</v>
      </c>
      <c r="D26" s="67">
        <f t="shared" si="15"/>
        <v>0</v>
      </c>
      <c r="E26" s="67" t="e">
        <f t="shared" ca="1" si="16"/>
        <v>#N/A</v>
      </c>
      <c r="F26" s="67" t="e">
        <f t="shared" ca="1" si="17"/>
        <v>#N/A</v>
      </c>
      <c r="G26" s="67" t="e">
        <f t="shared" ca="1" si="18"/>
        <v>#N/A</v>
      </c>
      <c r="H26" s="67" t="e">
        <f>IF('Demand background (hide)'!AN14&lt;&gt;"",'SPC background (hide)'!C26,NA())</f>
        <v>#N/A</v>
      </c>
      <c r="I26" s="67">
        <f t="shared" ca="1" si="19"/>
        <v>1</v>
      </c>
      <c r="J26" s="5">
        <f t="shared" ca="1" si="20"/>
        <v>69.979541734860845</v>
      </c>
      <c r="K26" s="5">
        <f t="shared" ca="1" si="21"/>
        <v>211.65302782324056</v>
      </c>
      <c r="L26" s="5">
        <f t="shared" ca="1" si="22"/>
        <v>353.32651391162028</v>
      </c>
      <c r="M26" s="5">
        <f t="shared" ca="1" si="23"/>
        <v>495</v>
      </c>
      <c r="N26" s="5">
        <f t="shared" ca="1" si="24"/>
        <v>636.67348608837972</v>
      </c>
      <c r="O26" s="5">
        <f t="shared" ca="1" si="25"/>
        <v>778.34697217675944</v>
      </c>
      <c r="P26" s="5">
        <f t="shared" ca="1" si="26"/>
        <v>920.02045826513915</v>
      </c>
      <c r="Q26" s="5" t="e">
        <f t="shared" ca="1" si="27"/>
        <v>#N/A</v>
      </c>
      <c r="R26" s="5">
        <f t="shared" ca="1" si="32"/>
        <v>1</v>
      </c>
      <c r="S26" s="67" t="e">
        <f t="shared" ca="1" si="33"/>
        <v>#N/A</v>
      </c>
      <c r="T26" s="67">
        <f t="shared" ca="1" si="34"/>
        <v>2</v>
      </c>
      <c r="U26" s="67" t="e">
        <f t="shared" ca="1" si="35"/>
        <v>#N/A</v>
      </c>
      <c r="V26" s="5">
        <f t="shared" ca="1" si="14"/>
        <v>1</v>
      </c>
      <c r="W26" s="5" t="e">
        <f t="shared" ca="1" si="28"/>
        <v>#N/A</v>
      </c>
      <c r="X26" s="67">
        <f t="shared" ca="1" si="29"/>
        <v>1</v>
      </c>
      <c r="Y26" s="67" t="e">
        <f t="shared" ca="1" si="36"/>
        <v>#N/A</v>
      </c>
      <c r="Z26" s="67" t="e">
        <f t="shared" ca="1" si="37"/>
        <v>#N/A</v>
      </c>
      <c r="AA26" s="5" t="str">
        <f>IF(Setup!$I$15="Yes",'Demand background (hide)'!AJ14+'SPC background (hide)'!C26,"")</f>
        <v/>
      </c>
      <c r="AC26" s="5">
        <f t="shared" ca="1" si="30"/>
        <v>551.5</v>
      </c>
      <c r="AD26" s="5">
        <f t="shared" ca="1" si="31"/>
        <v>664</v>
      </c>
      <c r="AG26" s="67">
        <f t="shared" ca="1" si="12"/>
        <v>31</v>
      </c>
      <c r="AH26" s="67">
        <v>25</v>
      </c>
      <c r="AI26" s="67">
        <f t="shared" ca="1" si="4"/>
        <v>1</v>
      </c>
      <c r="AJ26" s="39">
        <f t="shared" ca="1" si="5"/>
        <v>141.67348608837972</v>
      </c>
      <c r="AK26" s="39">
        <f t="shared" ca="1" si="6"/>
        <v>69.979541734860845</v>
      </c>
      <c r="AL26" s="39">
        <f t="shared" ca="1" si="7"/>
        <v>211.65302782324056</v>
      </c>
      <c r="AM26" s="39">
        <f t="shared" ca="1" si="8"/>
        <v>353.32651391162028</v>
      </c>
      <c r="AN26" s="39">
        <f t="shared" ca="1" si="9"/>
        <v>495</v>
      </c>
      <c r="AO26" s="39">
        <f t="shared" ca="1" si="0"/>
        <v>636.67348608837972</v>
      </c>
      <c r="AP26" s="39">
        <f t="shared" ca="1" si="1"/>
        <v>778.34697217675944</v>
      </c>
      <c r="AQ26" s="39">
        <f t="shared" ca="1" si="2"/>
        <v>920.02045826513915</v>
      </c>
      <c r="AR26" s="5">
        <f t="shared" ca="1" si="10"/>
        <v>551.5</v>
      </c>
      <c r="AS26" s="5">
        <f t="shared" ca="1" si="3"/>
        <v>664</v>
      </c>
      <c r="AT26" s="5">
        <f t="shared" ca="1" si="11"/>
        <v>0</v>
      </c>
    </row>
    <row r="27" spans="1:46" x14ac:dyDescent="0.2">
      <c r="A27" s="67">
        <f ca="1">Demand!C24</f>
        <v>24</v>
      </c>
      <c r="B27" s="67">
        <v>12</v>
      </c>
      <c r="C27" s="5">
        <f ca="1">'Demand background (hide)'!Y15</f>
        <v>350</v>
      </c>
      <c r="D27" s="67">
        <f t="shared" si="15"/>
        <v>0</v>
      </c>
      <c r="E27" s="67" t="e">
        <f t="shared" ca="1" si="16"/>
        <v>#N/A</v>
      </c>
      <c r="F27" s="67" t="e">
        <f t="shared" ca="1" si="17"/>
        <v>#N/A</v>
      </c>
      <c r="G27" s="67" t="e">
        <f t="shared" ca="1" si="18"/>
        <v>#N/A</v>
      </c>
      <c r="H27" s="67" t="e">
        <f>IF('Demand background (hide)'!AN15&lt;&gt;"",'SPC background (hide)'!C27,NA())</f>
        <v>#N/A</v>
      </c>
      <c r="I27" s="67">
        <f t="shared" ca="1" si="19"/>
        <v>1</v>
      </c>
      <c r="J27" s="5">
        <f t="shared" ca="1" si="20"/>
        <v>69.979541734860845</v>
      </c>
      <c r="K27" s="5">
        <f t="shared" ca="1" si="21"/>
        <v>211.65302782324056</v>
      </c>
      <c r="L27" s="5">
        <f t="shared" ca="1" si="22"/>
        <v>353.32651391162028</v>
      </c>
      <c r="M27" s="5">
        <f t="shared" ca="1" si="23"/>
        <v>495</v>
      </c>
      <c r="N27" s="5">
        <f t="shared" ca="1" si="24"/>
        <v>636.67348608837972</v>
      </c>
      <c r="O27" s="5">
        <f t="shared" ca="1" si="25"/>
        <v>778.34697217675944</v>
      </c>
      <c r="P27" s="5">
        <f t="shared" ca="1" si="26"/>
        <v>920.02045826513915</v>
      </c>
      <c r="Q27" s="5" t="e">
        <f t="shared" ca="1" si="27"/>
        <v>#N/A</v>
      </c>
      <c r="R27" s="5">
        <f t="shared" ca="1" si="32"/>
        <v>-1</v>
      </c>
      <c r="S27" s="67" t="e">
        <f t="shared" ca="1" si="33"/>
        <v>#N/A</v>
      </c>
      <c r="T27" s="67">
        <f t="shared" ca="1" si="34"/>
        <v>-2</v>
      </c>
      <c r="U27" s="67" t="e">
        <f t="shared" ca="1" si="35"/>
        <v>#N/A</v>
      </c>
      <c r="V27" s="5">
        <f t="shared" ca="1" si="14"/>
        <v>-1</v>
      </c>
      <c r="W27" s="5" t="e">
        <f t="shared" ca="1" si="28"/>
        <v>#N/A</v>
      </c>
      <c r="X27" s="67">
        <f t="shared" ca="1" si="29"/>
        <v>-1</v>
      </c>
      <c r="Y27" s="67" t="e">
        <f t="shared" ca="1" si="36"/>
        <v>#N/A</v>
      </c>
      <c r="Z27" s="67" t="e">
        <f t="shared" ca="1" si="37"/>
        <v>#N/A</v>
      </c>
      <c r="AA27" s="5" t="str">
        <f>IF(Setup!$I$15="Yes",'Demand background (hide)'!AJ15+'SPC background (hide)'!C27,"")</f>
        <v/>
      </c>
      <c r="AC27" s="5">
        <f t="shared" ca="1" si="30"/>
        <v>551.5</v>
      </c>
      <c r="AD27" s="5">
        <f t="shared" ca="1" si="31"/>
        <v>664</v>
      </c>
      <c r="AG27" s="67">
        <f t="shared" ca="1" si="12"/>
        <v>32</v>
      </c>
      <c r="AH27" s="67">
        <v>26</v>
      </c>
      <c r="AI27" s="67">
        <f t="shared" ca="1" si="4"/>
        <v>1</v>
      </c>
      <c r="AJ27" s="39">
        <f t="shared" ca="1" si="5"/>
        <v>141.67348608837972</v>
      </c>
      <c r="AK27" s="39">
        <f t="shared" ca="1" si="6"/>
        <v>69.979541734860845</v>
      </c>
      <c r="AL27" s="39">
        <f t="shared" ca="1" si="7"/>
        <v>211.65302782324056</v>
      </c>
      <c r="AM27" s="39">
        <f t="shared" ca="1" si="8"/>
        <v>353.32651391162028</v>
      </c>
      <c r="AN27" s="39">
        <f t="shared" ca="1" si="9"/>
        <v>495</v>
      </c>
      <c r="AO27" s="39">
        <f t="shared" ca="1" si="0"/>
        <v>636.67348608837972</v>
      </c>
      <c r="AP27" s="39">
        <f t="shared" ca="1" si="1"/>
        <v>778.34697217675944</v>
      </c>
      <c r="AQ27" s="39">
        <f t="shared" ca="1" si="2"/>
        <v>920.02045826513915</v>
      </c>
      <c r="AR27" s="5">
        <f t="shared" ca="1" si="10"/>
        <v>551.5</v>
      </c>
      <c r="AS27" s="5">
        <f t="shared" ca="1" si="3"/>
        <v>664</v>
      </c>
      <c r="AT27" s="5">
        <f t="shared" ca="1" si="11"/>
        <v>0</v>
      </c>
    </row>
    <row r="28" spans="1:46" x14ac:dyDescent="0.2">
      <c r="A28" s="67">
        <f ca="1">Demand!C25</f>
        <v>25</v>
      </c>
      <c r="B28" s="67">
        <v>13</v>
      </c>
      <c r="C28" s="5">
        <f ca="1">'Demand background (hide)'!Y16</f>
        <v>400</v>
      </c>
      <c r="D28" s="67">
        <f t="shared" si="15"/>
        <v>0</v>
      </c>
      <c r="E28" s="67" t="e">
        <f t="shared" ca="1" si="16"/>
        <v>#N/A</v>
      </c>
      <c r="F28" s="67" t="e">
        <f t="shared" ca="1" si="17"/>
        <v>#N/A</v>
      </c>
      <c r="G28" s="67" t="e">
        <f t="shared" ca="1" si="18"/>
        <v>#N/A</v>
      </c>
      <c r="H28" s="67" t="e">
        <f>IF('Demand background (hide)'!AN16&lt;&gt;"",'SPC background (hide)'!C28,NA())</f>
        <v>#N/A</v>
      </c>
      <c r="I28" s="67">
        <f t="shared" ca="1" si="19"/>
        <v>1</v>
      </c>
      <c r="J28" s="5">
        <f t="shared" ca="1" si="20"/>
        <v>69.979541734860845</v>
      </c>
      <c r="K28" s="5">
        <f t="shared" ca="1" si="21"/>
        <v>211.65302782324056</v>
      </c>
      <c r="L28" s="5">
        <f t="shared" ca="1" si="22"/>
        <v>353.32651391162028</v>
      </c>
      <c r="M28" s="5">
        <f t="shared" ca="1" si="23"/>
        <v>495</v>
      </c>
      <c r="N28" s="5">
        <f t="shared" ca="1" si="24"/>
        <v>636.67348608837972</v>
      </c>
      <c r="O28" s="5">
        <f t="shared" ca="1" si="25"/>
        <v>778.34697217675944</v>
      </c>
      <c r="P28" s="5">
        <f t="shared" ca="1" si="26"/>
        <v>920.02045826513915</v>
      </c>
      <c r="Q28" s="5" t="e">
        <f t="shared" ca="1" si="27"/>
        <v>#N/A</v>
      </c>
      <c r="R28" s="5">
        <f t="shared" ca="1" si="32"/>
        <v>-1</v>
      </c>
      <c r="S28" s="67" t="e">
        <f t="shared" ca="1" si="33"/>
        <v>#N/A</v>
      </c>
      <c r="T28" s="67">
        <f t="shared" ca="1" si="34"/>
        <v>-1</v>
      </c>
      <c r="U28" s="67" t="e">
        <f t="shared" ca="1" si="35"/>
        <v>#N/A</v>
      </c>
      <c r="V28" s="5">
        <f t="shared" ca="1" si="14"/>
        <v>-1</v>
      </c>
      <c r="W28" s="5" t="e">
        <f t="shared" ca="1" si="28"/>
        <v>#N/A</v>
      </c>
      <c r="X28" s="67">
        <f t="shared" ca="1" si="29"/>
        <v>1</v>
      </c>
      <c r="Y28" s="67" t="e">
        <f t="shared" ca="1" si="36"/>
        <v>#N/A</v>
      </c>
      <c r="Z28" s="67" t="e">
        <f t="shared" ca="1" si="37"/>
        <v>#N/A</v>
      </c>
      <c r="AA28" s="5" t="str">
        <f>IF(Setup!$I$15="Yes",'Demand background (hide)'!AJ16+'SPC background (hide)'!C28,"")</f>
        <v/>
      </c>
      <c r="AC28" s="5">
        <f t="shared" ca="1" si="30"/>
        <v>551.5</v>
      </c>
      <c r="AD28" s="5">
        <f t="shared" ca="1" si="31"/>
        <v>664</v>
      </c>
      <c r="AG28" s="67">
        <f t="shared" ca="1" si="12"/>
        <v>33</v>
      </c>
      <c r="AH28" s="67">
        <v>27</v>
      </c>
      <c r="AI28" s="67">
        <f t="shared" ca="1" si="4"/>
        <v>1</v>
      </c>
      <c r="AJ28" s="39">
        <f t="shared" ca="1" si="5"/>
        <v>141.67348608837972</v>
      </c>
      <c r="AK28" s="39">
        <f t="shared" ca="1" si="6"/>
        <v>69.979541734860845</v>
      </c>
      <c r="AL28" s="39">
        <f t="shared" ca="1" si="7"/>
        <v>211.65302782324056</v>
      </c>
      <c r="AM28" s="39">
        <f t="shared" ca="1" si="8"/>
        <v>353.32651391162028</v>
      </c>
      <c r="AN28" s="39">
        <f t="shared" ca="1" si="9"/>
        <v>495</v>
      </c>
      <c r="AO28" s="39">
        <f t="shared" ca="1" si="0"/>
        <v>636.67348608837972</v>
      </c>
      <c r="AP28" s="39">
        <f t="shared" ca="1" si="1"/>
        <v>778.34697217675944</v>
      </c>
      <c r="AQ28" s="39">
        <f t="shared" ca="1" si="2"/>
        <v>920.02045826513915</v>
      </c>
      <c r="AR28" s="5">
        <f t="shared" ca="1" si="10"/>
        <v>551.5</v>
      </c>
      <c r="AS28" s="5">
        <f t="shared" ca="1" si="3"/>
        <v>664</v>
      </c>
      <c r="AT28" s="5">
        <f t="shared" ca="1" si="11"/>
        <v>0</v>
      </c>
    </row>
    <row r="29" spans="1:46" x14ac:dyDescent="0.2">
      <c r="A29" s="67">
        <f ca="1">Demand!C26</f>
        <v>26</v>
      </c>
      <c r="B29" s="67">
        <v>14</v>
      </c>
      <c r="C29" s="5">
        <f ca="1">'Demand background (hide)'!Y17</f>
        <v>670</v>
      </c>
      <c r="D29" s="67">
        <f t="shared" si="15"/>
        <v>0</v>
      </c>
      <c r="E29" s="67" t="e">
        <f t="shared" ca="1" si="16"/>
        <v>#N/A</v>
      </c>
      <c r="F29" s="67" t="e">
        <f t="shared" ca="1" si="17"/>
        <v>#N/A</v>
      </c>
      <c r="G29" s="67" t="e">
        <f t="shared" ca="1" si="18"/>
        <v>#N/A</v>
      </c>
      <c r="H29" s="67" t="e">
        <f>IF('Demand background (hide)'!AN17&lt;&gt;"",'SPC background (hide)'!C29,NA())</f>
        <v>#N/A</v>
      </c>
      <c r="I29" s="67">
        <f t="shared" ca="1" si="19"/>
        <v>1</v>
      </c>
      <c r="J29" s="5">
        <f t="shared" ca="1" si="20"/>
        <v>69.979541734860845</v>
      </c>
      <c r="K29" s="5">
        <f t="shared" ca="1" si="21"/>
        <v>211.65302782324056</v>
      </c>
      <c r="L29" s="5">
        <f t="shared" ca="1" si="22"/>
        <v>353.32651391162028</v>
      </c>
      <c r="M29" s="5">
        <f t="shared" ca="1" si="23"/>
        <v>495</v>
      </c>
      <c r="N29" s="5">
        <f t="shared" ca="1" si="24"/>
        <v>636.67348608837972</v>
      </c>
      <c r="O29" s="5">
        <f t="shared" ca="1" si="25"/>
        <v>778.34697217675944</v>
      </c>
      <c r="P29" s="5">
        <f t="shared" ca="1" si="26"/>
        <v>920.02045826513915</v>
      </c>
      <c r="Q29" s="5" t="e">
        <f t="shared" ca="1" si="27"/>
        <v>#N/A</v>
      </c>
      <c r="R29" s="5">
        <f t="shared" ca="1" si="32"/>
        <v>1</v>
      </c>
      <c r="S29" s="67" t="e">
        <f t="shared" ca="1" si="33"/>
        <v>#N/A</v>
      </c>
      <c r="T29" s="67">
        <f t="shared" ca="1" si="34"/>
        <v>2</v>
      </c>
      <c r="U29" s="67" t="e">
        <f t="shared" ca="1" si="35"/>
        <v>#N/A</v>
      </c>
      <c r="V29" s="5">
        <f t="shared" ca="1" si="14"/>
        <v>1</v>
      </c>
      <c r="W29" s="5">
        <f t="shared" ca="1" si="28"/>
        <v>670</v>
      </c>
      <c r="X29" s="67">
        <f t="shared" ca="1" si="29"/>
        <v>1</v>
      </c>
      <c r="Y29" s="67" t="e">
        <f t="shared" ca="1" si="36"/>
        <v>#N/A</v>
      </c>
      <c r="Z29" s="67" t="e">
        <f t="shared" ca="1" si="37"/>
        <v>#N/A</v>
      </c>
      <c r="AA29" s="5" t="str">
        <f>IF(Setup!$I$15="Yes",'Demand background (hide)'!AJ17+'SPC background (hide)'!C29,"")</f>
        <v/>
      </c>
      <c r="AC29" s="5">
        <f t="shared" ca="1" si="30"/>
        <v>551.5</v>
      </c>
      <c r="AD29" s="5">
        <f t="shared" ca="1" si="31"/>
        <v>664</v>
      </c>
      <c r="AG29" s="67">
        <f t="shared" ca="1" si="12"/>
        <v>34</v>
      </c>
      <c r="AH29" s="67">
        <v>28</v>
      </c>
      <c r="AI29" s="67">
        <f t="shared" ca="1" si="4"/>
        <v>1</v>
      </c>
      <c r="AJ29" s="39">
        <f t="shared" ca="1" si="5"/>
        <v>141.67348608837972</v>
      </c>
      <c r="AK29" s="39">
        <f t="shared" ca="1" si="6"/>
        <v>69.979541734860845</v>
      </c>
      <c r="AL29" s="39">
        <f t="shared" ca="1" si="7"/>
        <v>211.65302782324056</v>
      </c>
      <c r="AM29" s="39">
        <f t="shared" ca="1" si="8"/>
        <v>353.32651391162028</v>
      </c>
      <c r="AN29" s="39">
        <f t="shared" ca="1" si="9"/>
        <v>495</v>
      </c>
      <c r="AO29" s="39">
        <f t="shared" ca="1" si="0"/>
        <v>636.67348608837972</v>
      </c>
      <c r="AP29" s="39">
        <f t="shared" ca="1" si="1"/>
        <v>778.34697217675944</v>
      </c>
      <c r="AQ29" s="39">
        <f t="shared" ca="1" si="2"/>
        <v>920.02045826513915</v>
      </c>
      <c r="AR29" s="5">
        <f t="shared" ca="1" si="10"/>
        <v>551.5</v>
      </c>
      <c r="AS29" s="5">
        <f t="shared" ca="1" si="3"/>
        <v>664</v>
      </c>
      <c r="AT29" s="5">
        <f t="shared" ca="1" si="11"/>
        <v>0</v>
      </c>
    </row>
    <row r="30" spans="1:46" x14ac:dyDescent="0.2">
      <c r="A30" s="67">
        <f ca="1">Demand!C27</f>
        <v>27</v>
      </c>
      <c r="B30" s="67">
        <v>15</v>
      </c>
      <c r="C30" s="5">
        <f ca="1">'Demand background (hide)'!Y18</f>
        <v>530</v>
      </c>
      <c r="D30" s="67">
        <f t="shared" si="15"/>
        <v>0</v>
      </c>
      <c r="E30" s="67" t="e">
        <f t="shared" ca="1" si="16"/>
        <v>#N/A</v>
      </c>
      <c r="F30" s="67" t="e">
        <f t="shared" ca="1" si="17"/>
        <v>#N/A</v>
      </c>
      <c r="G30" s="67" t="e">
        <f t="shared" ca="1" si="18"/>
        <v>#N/A</v>
      </c>
      <c r="H30" s="67" t="e">
        <f>IF('Demand background (hide)'!AN18&lt;&gt;"",'SPC background (hide)'!C30,NA())</f>
        <v>#N/A</v>
      </c>
      <c r="I30" s="67">
        <f t="shared" ca="1" si="19"/>
        <v>1</v>
      </c>
      <c r="J30" s="5">
        <f t="shared" ca="1" si="20"/>
        <v>69.979541734860845</v>
      </c>
      <c r="K30" s="5">
        <f t="shared" ca="1" si="21"/>
        <v>211.65302782324056</v>
      </c>
      <c r="L30" s="5">
        <f t="shared" ca="1" si="22"/>
        <v>353.32651391162028</v>
      </c>
      <c r="M30" s="5">
        <f t="shared" ca="1" si="23"/>
        <v>495</v>
      </c>
      <c r="N30" s="5">
        <f t="shared" ca="1" si="24"/>
        <v>636.67348608837972</v>
      </c>
      <c r="O30" s="5">
        <f t="shared" ca="1" si="25"/>
        <v>778.34697217675944</v>
      </c>
      <c r="P30" s="5">
        <f t="shared" ca="1" si="26"/>
        <v>920.02045826513915</v>
      </c>
      <c r="Q30" s="5" t="e">
        <f t="shared" ca="1" si="27"/>
        <v>#N/A</v>
      </c>
      <c r="R30" s="5">
        <f t="shared" ca="1" si="32"/>
        <v>1</v>
      </c>
      <c r="S30" s="67" t="e">
        <f t="shared" ca="1" si="33"/>
        <v>#N/A</v>
      </c>
      <c r="T30" s="67">
        <f t="shared" ca="1" si="34"/>
        <v>1</v>
      </c>
      <c r="U30" s="67" t="e">
        <f t="shared" ca="1" si="35"/>
        <v>#N/A</v>
      </c>
      <c r="V30" s="5">
        <f t="shared" ca="1" si="14"/>
        <v>1</v>
      </c>
      <c r="W30" s="5">
        <f t="shared" ca="1" si="28"/>
        <v>530</v>
      </c>
      <c r="X30" s="67">
        <f t="shared" ca="1" si="29"/>
        <v>-1</v>
      </c>
      <c r="Y30" s="67" t="e">
        <f t="shared" ca="1" si="36"/>
        <v>#N/A</v>
      </c>
      <c r="Z30" s="67" t="e">
        <f t="shared" ca="1" si="37"/>
        <v>#N/A</v>
      </c>
      <c r="AA30" s="5" t="str">
        <f>IF(Setup!$I$15="Yes",'Demand background (hide)'!AJ18+'SPC background (hide)'!C30,"")</f>
        <v/>
      </c>
      <c r="AC30" s="5">
        <f t="shared" ca="1" si="30"/>
        <v>551.5</v>
      </c>
      <c r="AD30" s="5">
        <f t="shared" ca="1" si="31"/>
        <v>664</v>
      </c>
      <c r="AG30" s="67">
        <f t="shared" ca="1" si="12"/>
        <v>35</v>
      </c>
      <c r="AH30" s="67">
        <v>29</v>
      </c>
      <c r="AI30" s="67">
        <f t="shared" ca="1" si="4"/>
        <v>1</v>
      </c>
      <c r="AJ30" s="39">
        <f t="shared" ca="1" si="5"/>
        <v>141.67348608837972</v>
      </c>
      <c r="AK30" s="39">
        <f t="shared" ca="1" si="6"/>
        <v>69.979541734860845</v>
      </c>
      <c r="AL30" s="39">
        <f t="shared" ca="1" si="7"/>
        <v>211.65302782324056</v>
      </c>
      <c r="AM30" s="39">
        <f t="shared" ca="1" si="8"/>
        <v>353.32651391162028</v>
      </c>
      <c r="AN30" s="39">
        <f t="shared" ca="1" si="9"/>
        <v>495</v>
      </c>
      <c r="AO30" s="39">
        <f t="shared" ca="1" si="0"/>
        <v>636.67348608837972</v>
      </c>
      <c r="AP30" s="39">
        <f t="shared" ca="1" si="1"/>
        <v>778.34697217675944</v>
      </c>
      <c r="AQ30" s="39">
        <f t="shared" ca="1" si="2"/>
        <v>920.02045826513915</v>
      </c>
      <c r="AR30" s="5">
        <f t="shared" ca="1" si="10"/>
        <v>551.5</v>
      </c>
      <c r="AS30" s="5">
        <f t="shared" ca="1" si="3"/>
        <v>664</v>
      </c>
      <c r="AT30" s="5">
        <f t="shared" ca="1" si="11"/>
        <v>0</v>
      </c>
    </row>
    <row r="31" spans="1:46" x14ac:dyDescent="0.2">
      <c r="A31" s="67">
        <f ca="1">Demand!C28</f>
        <v>28</v>
      </c>
      <c r="B31" s="67">
        <v>16</v>
      </c>
      <c r="C31" s="5">
        <f ca="1">'Demand background (hide)'!Y19</f>
        <v>510</v>
      </c>
      <c r="D31" s="67">
        <f t="shared" si="15"/>
        <v>0</v>
      </c>
      <c r="E31" s="67" t="e">
        <f t="shared" ca="1" si="16"/>
        <v>#N/A</v>
      </c>
      <c r="F31" s="67" t="e">
        <f t="shared" ca="1" si="17"/>
        <v>#N/A</v>
      </c>
      <c r="G31" s="67" t="e">
        <f t="shared" ca="1" si="18"/>
        <v>#N/A</v>
      </c>
      <c r="H31" s="67" t="e">
        <f>IF('Demand background (hide)'!AN19&lt;&gt;"",'SPC background (hide)'!C31,NA())</f>
        <v>#N/A</v>
      </c>
      <c r="I31" s="67">
        <f t="shared" ca="1" si="19"/>
        <v>1</v>
      </c>
      <c r="J31" s="5">
        <f t="shared" ca="1" si="20"/>
        <v>69.979541734860845</v>
      </c>
      <c r="K31" s="5">
        <f t="shared" ca="1" si="21"/>
        <v>211.65302782324056</v>
      </c>
      <c r="L31" s="5">
        <f t="shared" ca="1" si="22"/>
        <v>353.32651391162028</v>
      </c>
      <c r="M31" s="5">
        <f t="shared" ca="1" si="23"/>
        <v>495</v>
      </c>
      <c r="N31" s="5">
        <f t="shared" ca="1" si="24"/>
        <v>636.67348608837972</v>
      </c>
      <c r="O31" s="5">
        <f t="shared" ca="1" si="25"/>
        <v>778.34697217675944</v>
      </c>
      <c r="P31" s="5">
        <f t="shared" ca="1" si="26"/>
        <v>920.02045826513915</v>
      </c>
      <c r="Q31" s="5" t="e">
        <f t="shared" ca="1" si="27"/>
        <v>#N/A</v>
      </c>
      <c r="R31" s="5">
        <f t="shared" ca="1" si="32"/>
        <v>1</v>
      </c>
      <c r="S31" s="67" t="e">
        <f t="shared" ca="1" si="33"/>
        <v>#N/A</v>
      </c>
      <c r="T31" s="67">
        <f t="shared" ca="1" si="34"/>
        <v>1</v>
      </c>
      <c r="U31" s="67" t="e">
        <f t="shared" ca="1" si="35"/>
        <v>#N/A</v>
      </c>
      <c r="V31" s="5">
        <f t="shared" ca="1" si="14"/>
        <v>1</v>
      </c>
      <c r="W31" s="5" t="e">
        <f t="shared" ca="1" si="28"/>
        <v>#N/A</v>
      </c>
      <c r="X31" s="67">
        <f t="shared" ca="1" si="29"/>
        <v>-1</v>
      </c>
      <c r="Y31" s="67" t="e">
        <f t="shared" ca="1" si="36"/>
        <v>#N/A</v>
      </c>
      <c r="Z31" s="67" t="e">
        <f t="shared" ca="1" si="37"/>
        <v>#N/A</v>
      </c>
      <c r="AA31" s="5" t="str">
        <f>IF(Setup!$I$15="Yes",'Demand background (hide)'!AJ19+'SPC background (hide)'!C31,"")</f>
        <v/>
      </c>
      <c r="AC31" s="5">
        <f t="shared" ca="1" si="30"/>
        <v>551.5</v>
      </c>
      <c r="AD31" s="5">
        <f t="shared" ca="1" si="31"/>
        <v>664</v>
      </c>
      <c r="AG31" s="67">
        <f t="shared" ca="1" si="12"/>
        <v>36</v>
      </c>
      <c r="AH31" s="67">
        <v>30</v>
      </c>
      <c r="AI31" s="67">
        <f t="shared" ca="1" si="4"/>
        <v>1</v>
      </c>
      <c r="AJ31" s="39">
        <f t="shared" ca="1" si="5"/>
        <v>141.67348608837972</v>
      </c>
      <c r="AK31" s="39">
        <f t="shared" ca="1" si="6"/>
        <v>69.979541734860845</v>
      </c>
      <c r="AL31" s="39">
        <f t="shared" ca="1" si="7"/>
        <v>211.65302782324056</v>
      </c>
      <c r="AM31" s="39">
        <f t="shared" ca="1" si="8"/>
        <v>353.32651391162028</v>
      </c>
      <c r="AN31" s="39">
        <f t="shared" ca="1" si="9"/>
        <v>495</v>
      </c>
      <c r="AO31" s="39">
        <f t="shared" ca="1" si="0"/>
        <v>636.67348608837972</v>
      </c>
      <c r="AP31" s="39">
        <f t="shared" ca="1" si="1"/>
        <v>778.34697217675944</v>
      </c>
      <c r="AQ31" s="39">
        <f t="shared" ca="1" si="2"/>
        <v>920.02045826513915</v>
      </c>
      <c r="AR31" s="5">
        <f t="shared" ca="1" si="10"/>
        <v>551.5</v>
      </c>
      <c r="AS31" s="5">
        <f t="shared" ca="1" si="3"/>
        <v>664</v>
      </c>
      <c r="AT31" s="5">
        <f t="shared" ca="1" si="11"/>
        <v>0</v>
      </c>
    </row>
    <row r="32" spans="1:46" x14ac:dyDescent="0.2">
      <c r="A32" s="67">
        <f ca="1">Demand!C29</f>
        <v>29</v>
      </c>
      <c r="B32" s="67">
        <v>17</v>
      </c>
      <c r="C32" s="5">
        <f ca="1">'Demand background (hide)'!Y20</f>
        <v>600</v>
      </c>
      <c r="D32" s="67">
        <f t="shared" si="15"/>
        <v>0</v>
      </c>
      <c r="E32" s="67" t="e">
        <f t="shared" ca="1" si="16"/>
        <v>#N/A</v>
      </c>
      <c r="F32" s="67" t="e">
        <f t="shared" ca="1" si="17"/>
        <v>#N/A</v>
      </c>
      <c r="G32" s="67" t="e">
        <f t="shared" ca="1" si="18"/>
        <v>#N/A</v>
      </c>
      <c r="H32" s="67" t="e">
        <f>IF('Demand background (hide)'!AN20&lt;&gt;"",'SPC background (hide)'!C32,NA())</f>
        <v>#N/A</v>
      </c>
      <c r="I32" s="67">
        <f t="shared" ca="1" si="19"/>
        <v>1</v>
      </c>
      <c r="J32" s="5">
        <f t="shared" ca="1" si="20"/>
        <v>69.979541734860845</v>
      </c>
      <c r="K32" s="5">
        <f t="shared" ca="1" si="21"/>
        <v>211.65302782324056</v>
      </c>
      <c r="L32" s="5">
        <f t="shared" ca="1" si="22"/>
        <v>353.32651391162028</v>
      </c>
      <c r="M32" s="5">
        <f t="shared" ca="1" si="23"/>
        <v>495</v>
      </c>
      <c r="N32" s="5">
        <f t="shared" ca="1" si="24"/>
        <v>636.67348608837972</v>
      </c>
      <c r="O32" s="5">
        <f t="shared" ca="1" si="25"/>
        <v>778.34697217675944</v>
      </c>
      <c r="P32" s="5">
        <f t="shared" ca="1" si="26"/>
        <v>920.02045826513915</v>
      </c>
      <c r="Q32" s="5" t="e">
        <f t="shared" ca="1" si="27"/>
        <v>#N/A</v>
      </c>
      <c r="R32" s="5">
        <f t="shared" ca="1" si="32"/>
        <v>1</v>
      </c>
      <c r="S32" s="67" t="e">
        <f t="shared" ca="1" si="33"/>
        <v>#N/A</v>
      </c>
      <c r="T32" s="67">
        <f t="shared" ca="1" si="34"/>
        <v>1</v>
      </c>
      <c r="U32" s="67" t="e">
        <f t="shared" ca="1" si="35"/>
        <v>#N/A</v>
      </c>
      <c r="V32" s="5">
        <f t="shared" ca="1" si="14"/>
        <v>1</v>
      </c>
      <c r="W32" s="5" t="e">
        <f t="shared" ca="1" si="28"/>
        <v>#N/A</v>
      </c>
      <c r="X32" s="67">
        <f t="shared" ca="1" si="29"/>
        <v>1</v>
      </c>
      <c r="Y32" s="67" t="e">
        <f t="shared" ca="1" si="36"/>
        <v>#N/A</v>
      </c>
      <c r="Z32" s="67" t="e">
        <f t="shared" ca="1" si="37"/>
        <v>#N/A</v>
      </c>
      <c r="AA32" s="5" t="str">
        <f>IF(Setup!$I$15="Yes",'Demand background (hide)'!AJ20+'SPC background (hide)'!C32,"")</f>
        <v/>
      </c>
      <c r="AC32" s="5">
        <f t="shared" ca="1" si="30"/>
        <v>551.5</v>
      </c>
      <c r="AD32" s="5">
        <f t="shared" ca="1" si="31"/>
        <v>664</v>
      </c>
      <c r="AG32" s="67">
        <f t="shared" ca="1" si="12"/>
        <v>37</v>
      </c>
      <c r="AH32" s="67">
        <v>31</v>
      </c>
      <c r="AI32" s="67">
        <f t="shared" ca="1" si="4"/>
        <v>1</v>
      </c>
      <c r="AJ32" s="39">
        <f t="shared" ca="1" si="5"/>
        <v>141.67348608837972</v>
      </c>
      <c r="AK32" s="39">
        <f t="shared" ca="1" si="6"/>
        <v>69.979541734860845</v>
      </c>
      <c r="AL32" s="39">
        <f t="shared" ca="1" si="7"/>
        <v>211.65302782324056</v>
      </c>
      <c r="AM32" s="39">
        <f t="shared" ca="1" si="8"/>
        <v>353.32651391162028</v>
      </c>
      <c r="AN32" s="39">
        <f t="shared" ca="1" si="9"/>
        <v>495</v>
      </c>
      <c r="AO32" s="39">
        <f t="shared" ca="1" si="0"/>
        <v>636.67348608837972</v>
      </c>
      <c r="AP32" s="39">
        <f t="shared" ca="1" si="1"/>
        <v>778.34697217675944</v>
      </c>
      <c r="AQ32" s="39">
        <f t="shared" ca="1" si="2"/>
        <v>920.02045826513915</v>
      </c>
      <c r="AR32" s="5">
        <f t="shared" ca="1" si="10"/>
        <v>551.5</v>
      </c>
      <c r="AS32" s="5">
        <f t="shared" ca="1" si="3"/>
        <v>664</v>
      </c>
      <c r="AT32" s="5">
        <f t="shared" ca="1" si="11"/>
        <v>0</v>
      </c>
    </row>
    <row r="33" spans="1:46" x14ac:dyDescent="0.2">
      <c r="A33" s="67">
        <f ca="1">Demand!C30</f>
        <v>30</v>
      </c>
      <c r="B33" s="67">
        <v>18</v>
      </c>
      <c r="C33" s="5">
        <f ca="1">'Demand background (hide)'!Y21</f>
        <v>520</v>
      </c>
      <c r="D33" s="67">
        <f t="shared" si="15"/>
        <v>0</v>
      </c>
      <c r="E33" s="67" t="e">
        <f t="shared" ca="1" si="16"/>
        <v>#N/A</v>
      </c>
      <c r="F33" s="67" t="e">
        <f t="shared" ca="1" si="17"/>
        <v>#N/A</v>
      </c>
      <c r="G33" s="67" t="e">
        <f t="shared" ca="1" si="18"/>
        <v>#N/A</v>
      </c>
      <c r="H33" s="67" t="e">
        <f>IF('Demand background (hide)'!AN21&lt;&gt;"",'SPC background (hide)'!C33,NA())</f>
        <v>#N/A</v>
      </c>
      <c r="I33" s="67">
        <f t="shared" ca="1" si="19"/>
        <v>1</v>
      </c>
      <c r="J33" s="5">
        <f t="shared" ca="1" si="20"/>
        <v>69.979541734860845</v>
      </c>
      <c r="K33" s="5">
        <f t="shared" ca="1" si="21"/>
        <v>211.65302782324056</v>
      </c>
      <c r="L33" s="5">
        <f t="shared" ca="1" si="22"/>
        <v>353.32651391162028</v>
      </c>
      <c r="M33" s="5">
        <f t="shared" ca="1" si="23"/>
        <v>495</v>
      </c>
      <c r="N33" s="5">
        <f t="shared" ca="1" si="24"/>
        <v>636.67348608837972</v>
      </c>
      <c r="O33" s="5">
        <f t="shared" ca="1" si="25"/>
        <v>778.34697217675944</v>
      </c>
      <c r="P33" s="5">
        <f t="shared" ca="1" si="26"/>
        <v>920.02045826513915</v>
      </c>
      <c r="Q33" s="5" t="e">
        <f t="shared" ca="1" si="27"/>
        <v>#N/A</v>
      </c>
      <c r="R33" s="5">
        <f t="shared" ca="1" si="32"/>
        <v>1</v>
      </c>
      <c r="S33" s="67" t="e">
        <f t="shared" ca="1" si="33"/>
        <v>#N/A</v>
      </c>
      <c r="T33" s="67">
        <f t="shared" ca="1" si="34"/>
        <v>1</v>
      </c>
      <c r="U33" s="67" t="e">
        <f t="shared" ca="1" si="35"/>
        <v>#N/A</v>
      </c>
      <c r="V33" s="5">
        <f t="shared" ca="1" si="14"/>
        <v>1</v>
      </c>
      <c r="W33" s="5" t="e">
        <f t="shared" ca="1" si="28"/>
        <v>#N/A</v>
      </c>
      <c r="X33" s="67">
        <f t="shared" ca="1" si="29"/>
        <v>-1</v>
      </c>
      <c r="Y33" s="67" t="e">
        <f t="shared" ca="1" si="36"/>
        <v>#N/A</v>
      </c>
      <c r="Z33" s="67" t="e">
        <f t="shared" ca="1" si="37"/>
        <v>#N/A</v>
      </c>
      <c r="AA33" s="5" t="str">
        <f>IF(Setup!$I$15="Yes",'Demand background (hide)'!AJ21+'SPC background (hide)'!C33,"")</f>
        <v/>
      </c>
      <c r="AC33" s="5">
        <f t="shared" ca="1" si="30"/>
        <v>551.5</v>
      </c>
      <c r="AD33" s="5">
        <f t="shared" ca="1" si="31"/>
        <v>664</v>
      </c>
      <c r="AG33" s="67">
        <f t="shared" ca="1" si="12"/>
        <v>38</v>
      </c>
      <c r="AH33" s="67">
        <v>32</v>
      </c>
      <c r="AI33" s="67">
        <f t="shared" ca="1" si="4"/>
        <v>1</v>
      </c>
      <c r="AJ33" s="39">
        <f t="shared" ca="1" si="5"/>
        <v>141.67348608837972</v>
      </c>
      <c r="AK33" s="39">
        <f t="shared" ca="1" si="6"/>
        <v>69.979541734860845</v>
      </c>
      <c r="AL33" s="39">
        <f t="shared" ca="1" si="7"/>
        <v>211.65302782324056</v>
      </c>
      <c r="AM33" s="39">
        <f t="shared" ca="1" si="8"/>
        <v>353.32651391162028</v>
      </c>
      <c r="AN33" s="39">
        <f t="shared" ca="1" si="9"/>
        <v>495</v>
      </c>
      <c r="AO33" s="39">
        <f t="shared" ca="1" si="0"/>
        <v>636.67348608837972</v>
      </c>
      <c r="AP33" s="39">
        <f t="shared" ca="1" si="1"/>
        <v>778.34697217675944</v>
      </c>
      <c r="AQ33" s="39">
        <f t="shared" ca="1" si="2"/>
        <v>920.02045826513915</v>
      </c>
      <c r="AR33" s="5">
        <f t="shared" ca="1" si="10"/>
        <v>551.5</v>
      </c>
      <c r="AS33" s="5">
        <f t="shared" ca="1" si="3"/>
        <v>664</v>
      </c>
      <c r="AT33" s="5">
        <f t="shared" ca="1" si="11"/>
        <v>0</v>
      </c>
    </row>
    <row r="34" spans="1:46" x14ac:dyDescent="0.2">
      <c r="A34" s="67">
        <f ca="1">Demand!C31</f>
        <v>31</v>
      </c>
      <c r="B34" s="67">
        <v>19</v>
      </c>
      <c r="C34" s="5">
        <f ca="1">'Demand background (hide)'!Y22</f>
        <v>600</v>
      </c>
      <c r="D34" s="67">
        <f t="shared" si="15"/>
        <v>0</v>
      </c>
      <c r="E34" s="67" t="e">
        <f t="shared" ca="1" si="16"/>
        <v>#N/A</v>
      </c>
      <c r="F34" s="67" t="e">
        <f t="shared" ca="1" si="17"/>
        <v>#N/A</v>
      </c>
      <c r="G34" s="67" t="e">
        <f t="shared" ca="1" si="18"/>
        <v>#N/A</v>
      </c>
      <c r="H34" s="67" t="e">
        <f>IF('Demand background (hide)'!AN22&lt;&gt;"",'SPC background (hide)'!C34,NA())</f>
        <v>#N/A</v>
      </c>
      <c r="I34" s="67">
        <f t="shared" ca="1" si="19"/>
        <v>1</v>
      </c>
      <c r="J34" s="5">
        <f t="shared" ca="1" si="20"/>
        <v>69.979541734860845</v>
      </c>
      <c r="K34" s="5">
        <f t="shared" ca="1" si="21"/>
        <v>211.65302782324056</v>
      </c>
      <c r="L34" s="5">
        <f t="shared" ca="1" si="22"/>
        <v>353.32651391162028</v>
      </c>
      <c r="M34" s="5">
        <f t="shared" ca="1" si="23"/>
        <v>495</v>
      </c>
      <c r="N34" s="5">
        <f t="shared" ca="1" si="24"/>
        <v>636.67348608837972</v>
      </c>
      <c r="O34" s="5">
        <f t="shared" ca="1" si="25"/>
        <v>778.34697217675944</v>
      </c>
      <c r="P34" s="5">
        <f t="shared" ca="1" si="26"/>
        <v>920.02045826513915</v>
      </c>
      <c r="Q34" s="5" t="e">
        <f t="shared" ca="1" si="27"/>
        <v>#N/A</v>
      </c>
      <c r="R34" s="5">
        <f t="shared" ca="1" si="32"/>
        <v>1</v>
      </c>
      <c r="S34" s="67" t="e">
        <f t="shared" ca="1" si="33"/>
        <v>#N/A</v>
      </c>
      <c r="T34" s="67">
        <f t="shared" ca="1" si="34"/>
        <v>1</v>
      </c>
      <c r="U34" s="67" t="e">
        <f t="shared" ca="1" si="35"/>
        <v>#N/A</v>
      </c>
      <c r="V34" s="5">
        <f t="shared" ca="1" si="14"/>
        <v>1</v>
      </c>
      <c r="W34" s="5" t="e">
        <f t="shared" ca="1" si="28"/>
        <v>#N/A</v>
      </c>
      <c r="X34" s="67">
        <f t="shared" ca="1" si="29"/>
        <v>1</v>
      </c>
      <c r="Y34" s="67" t="e">
        <f t="shared" ca="1" si="36"/>
        <v>#N/A</v>
      </c>
      <c r="Z34" s="67" t="e">
        <f t="shared" ca="1" si="37"/>
        <v>#N/A</v>
      </c>
      <c r="AA34" s="5" t="str">
        <f>IF(Setup!$I$15="Yes",'Demand background (hide)'!AJ22+'SPC background (hide)'!C34,"")</f>
        <v/>
      </c>
      <c r="AC34" s="5">
        <f t="shared" ca="1" si="30"/>
        <v>551.5</v>
      </c>
      <c r="AD34" s="5">
        <f t="shared" ca="1" si="31"/>
        <v>664</v>
      </c>
      <c r="AG34" s="67">
        <f ca="1">IF(MOD(AG33+1,53)=0,53,MOD(AG33+1,53))</f>
        <v>39</v>
      </c>
      <c r="AH34" s="67">
        <v>33</v>
      </c>
      <c r="AI34" s="67">
        <f t="shared" ca="1" si="4"/>
        <v>1</v>
      </c>
      <c r="AJ34" s="39">
        <f t="shared" ca="1" si="5"/>
        <v>141.67348608837972</v>
      </c>
      <c r="AK34" s="39">
        <f t="shared" ca="1" si="6"/>
        <v>69.979541734860845</v>
      </c>
      <c r="AL34" s="39">
        <f t="shared" ca="1" si="7"/>
        <v>211.65302782324056</v>
      </c>
      <c r="AM34" s="39">
        <f t="shared" ca="1" si="8"/>
        <v>353.32651391162028</v>
      </c>
      <c r="AN34" s="39">
        <f t="shared" ca="1" si="9"/>
        <v>495</v>
      </c>
      <c r="AO34" s="39">
        <f t="shared" ca="1" si="0"/>
        <v>636.67348608837972</v>
      </c>
      <c r="AP34" s="39">
        <f t="shared" ca="1" si="1"/>
        <v>778.34697217675944</v>
      </c>
      <c r="AQ34" s="39">
        <f t="shared" ca="1" si="2"/>
        <v>920.02045826513915</v>
      </c>
      <c r="AR34" s="5">
        <f t="shared" ca="1" si="10"/>
        <v>551.5</v>
      </c>
      <c r="AS34" s="5">
        <f t="shared" ca="1" si="3"/>
        <v>664</v>
      </c>
      <c r="AT34" s="5">
        <f t="shared" ca="1" si="11"/>
        <v>0</v>
      </c>
    </row>
    <row r="35" spans="1:46" x14ac:dyDescent="0.2">
      <c r="A35" s="67">
        <f ca="1">Demand!C32</f>
        <v>32</v>
      </c>
      <c r="B35" s="67">
        <v>20</v>
      </c>
      <c r="C35" s="5">
        <f ca="1">'Demand background (hide)'!Y23</f>
        <v>710</v>
      </c>
      <c r="D35" s="67">
        <f t="shared" si="15"/>
        <v>0</v>
      </c>
      <c r="E35" s="67" t="e">
        <f t="shared" ca="1" si="16"/>
        <v>#N/A</v>
      </c>
      <c r="F35" s="67" t="e">
        <f t="shared" ca="1" si="17"/>
        <v>#N/A</v>
      </c>
      <c r="G35" s="67" t="e">
        <f t="shared" ca="1" si="18"/>
        <v>#N/A</v>
      </c>
      <c r="H35" s="67" t="e">
        <f>IF('Demand background (hide)'!AN23&lt;&gt;"",'SPC background (hide)'!C35,NA())</f>
        <v>#N/A</v>
      </c>
      <c r="I35" s="67">
        <f t="shared" ca="1" si="19"/>
        <v>1</v>
      </c>
      <c r="J35" s="5">
        <f t="shared" ca="1" si="20"/>
        <v>69.979541734860845</v>
      </c>
      <c r="K35" s="5">
        <f t="shared" ca="1" si="21"/>
        <v>211.65302782324056</v>
      </c>
      <c r="L35" s="5">
        <f t="shared" ca="1" si="22"/>
        <v>353.32651391162028</v>
      </c>
      <c r="M35" s="5">
        <f t="shared" ca="1" si="23"/>
        <v>495</v>
      </c>
      <c r="N35" s="5">
        <f t="shared" ca="1" si="24"/>
        <v>636.67348608837972</v>
      </c>
      <c r="O35" s="5">
        <f t="shared" ca="1" si="25"/>
        <v>778.34697217675944</v>
      </c>
      <c r="P35" s="5">
        <f t="shared" ca="1" si="26"/>
        <v>920.02045826513915</v>
      </c>
      <c r="Q35" s="5" t="e">
        <f t="shared" ca="1" si="27"/>
        <v>#N/A</v>
      </c>
      <c r="R35" s="5">
        <f t="shared" ca="1" si="32"/>
        <v>1</v>
      </c>
      <c r="S35" s="67" t="e">
        <f t="shared" ca="1" si="33"/>
        <v>#N/A</v>
      </c>
      <c r="T35" s="67">
        <f t="shared" ca="1" si="34"/>
        <v>2</v>
      </c>
      <c r="U35" s="67" t="e">
        <f t="shared" ca="1" si="35"/>
        <v>#N/A</v>
      </c>
      <c r="V35" s="5">
        <f t="shared" ca="1" si="14"/>
        <v>1</v>
      </c>
      <c r="W35" s="5" t="e">
        <f t="shared" ca="1" si="28"/>
        <v>#N/A</v>
      </c>
      <c r="X35" s="67">
        <f t="shared" ca="1" si="29"/>
        <v>1</v>
      </c>
      <c r="Y35" s="67" t="e">
        <f t="shared" ca="1" si="36"/>
        <v>#N/A</v>
      </c>
      <c r="Z35" s="67" t="e">
        <f t="shared" ca="1" si="37"/>
        <v>#N/A</v>
      </c>
      <c r="AA35" s="5" t="str">
        <f>IF(Setup!$I$15="Yes",'Demand background (hide)'!AJ23+'SPC background (hide)'!C35,"")</f>
        <v/>
      </c>
      <c r="AC35" s="5">
        <f t="shared" ca="1" si="30"/>
        <v>551.5</v>
      </c>
      <c r="AD35" s="5">
        <f t="shared" ca="1" si="31"/>
        <v>664</v>
      </c>
      <c r="AG35" s="67">
        <f t="shared" ca="1" si="12"/>
        <v>40</v>
      </c>
      <c r="AH35" s="67">
        <v>34</v>
      </c>
      <c r="AI35" s="67">
        <f t="shared" ca="1" si="4"/>
        <v>1</v>
      </c>
      <c r="AJ35" s="39">
        <f t="shared" ca="1" si="5"/>
        <v>141.67348608837972</v>
      </c>
      <c r="AK35" s="39">
        <f t="shared" ca="1" si="6"/>
        <v>69.979541734860845</v>
      </c>
      <c r="AL35" s="39">
        <f t="shared" ca="1" si="7"/>
        <v>211.65302782324056</v>
      </c>
      <c r="AM35" s="39">
        <f t="shared" ca="1" si="8"/>
        <v>353.32651391162028</v>
      </c>
      <c r="AN35" s="39">
        <f t="shared" ca="1" si="9"/>
        <v>495</v>
      </c>
      <c r="AO35" s="39">
        <f t="shared" ca="1" si="0"/>
        <v>636.67348608837972</v>
      </c>
      <c r="AP35" s="39">
        <f t="shared" ca="1" si="1"/>
        <v>778.34697217675944</v>
      </c>
      <c r="AQ35" s="39">
        <f t="shared" ca="1" si="2"/>
        <v>920.02045826513915</v>
      </c>
      <c r="AR35" s="5">
        <f t="shared" ca="1" si="10"/>
        <v>551.5</v>
      </c>
      <c r="AS35" s="5">
        <f t="shared" ca="1" si="3"/>
        <v>664</v>
      </c>
      <c r="AT35" s="5">
        <f t="shared" ca="1" si="11"/>
        <v>0</v>
      </c>
    </row>
    <row r="36" spans="1:46" x14ac:dyDescent="0.2">
      <c r="A36" s="67">
        <f ca="1">Demand!C33</f>
        <v>33</v>
      </c>
      <c r="B36" s="67">
        <v>21</v>
      </c>
      <c r="C36" s="5">
        <f ca="1">'Demand background (hide)'!Y24</f>
        <v>670</v>
      </c>
      <c r="D36" s="67">
        <f t="shared" si="15"/>
        <v>0</v>
      </c>
      <c r="E36" s="67" t="e">
        <f t="shared" ca="1" si="16"/>
        <v>#N/A</v>
      </c>
      <c r="F36" s="67" t="e">
        <f t="shared" ca="1" si="17"/>
        <v>#N/A</v>
      </c>
      <c r="G36" s="67" t="e">
        <f t="shared" ca="1" si="18"/>
        <v>#N/A</v>
      </c>
      <c r="H36" s="67" t="e">
        <f>IF('Demand background (hide)'!AN24&lt;&gt;"",'SPC background (hide)'!C36,NA())</f>
        <v>#N/A</v>
      </c>
      <c r="I36" s="67">
        <f t="shared" ca="1" si="19"/>
        <v>1</v>
      </c>
      <c r="J36" s="5">
        <f t="shared" ca="1" si="20"/>
        <v>69.979541734860845</v>
      </c>
      <c r="K36" s="5">
        <f t="shared" ca="1" si="21"/>
        <v>211.65302782324056</v>
      </c>
      <c r="L36" s="5">
        <f t="shared" ca="1" si="22"/>
        <v>353.32651391162028</v>
      </c>
      <c r="M36" s="5">
        <f t="shared" ca="1" si="23"/>
        <v>495</v>
      </c>
      <c r="N36" s="5">
        <f t="shared" ca="1" si="24"/>
        <v>636.67348608837972</v>
      </c>
      <c r="O36" s="5">
        <f t="shared" ca="1" si="25"/>
        <v>778.34697217675944</v>
      </c>
      <c r="P36" s="5">
        <f t="shared" ca="1" si="26"/>
        <v>920.02045826513915</v>
      </c>
      <c r="Q36" s="5" t="e">
        <f t="shared" ca="1" si="27"/>
        <v>#N/A</v>
      </c>
      <c r="R36" s="5">
        <f t="shared" ca="1" si="32"/>
        <v>1</v>
      </c>
      <c r="S36" s="67" t="e">
        <f t="shared" ca="1" si="33"/>
        <v>#N/A</v>
      </c>
      <c r="T36" s="67">
        <f t="shared" ca="1" si="34"/>
        <v>2</v>
      </c>
      <c r="U36" s="67" t="e">
        <f t="shared" ca="1" si="35"/>
        <v>#N/A</v>
      </c>
      <c r="V36" s="5">
        <f t="shared" ca="1" si="14"/>
        <v>1</v>
      </c>
      <c r="W36" s="5" t="e">
        <f t="shared" ca="1" si="28"/>
        <v>#N/A</v>
      </c>
      <c r="X36" s="67">
        <f t="shared" ca="1" si="29"/>
        <v>-1</v>
      </c>
      <c r="Y36" s="67" t="e">
        <f t="shared" ca="1" si="36"/>
        <v>#N/A</v>
      </c>
      <c r="Z36" s="67" t="e">
        <f t="shared" ca="1" si="37"/>
        <v>#N/A</v>
      </c>
      <c r="AA36" s="5" t="str">
        <f>IF(Setup!$I$15="Yes",'Demand background (hide)'!AJ24+'SPC background (hide)'!C36,"")</f>
        <v/>
      </c>
      <c r="AC36" s="5">
        <f t="shared" ca="1" si="30"/>
        <v>551.5</v>
      </c>
      <c r="AD36" s="5">
        <f t="shared" ca="1" si="31"/>
        <v>664</v>
      </c>
      <c r="AG36" s="67">
        <f t="shared" ca="1" si="12"/>
        <v>41</v>
      </c>
      <c r="AH36" s="67">
        <v>35</v>
      </c>
      <c r="AI36" s="67">
        <f t="shared" ca="1" si="4"/>
        <v>1</v>
      </c>
      <c r="AJ36" s="39">
        <f t="shared" ca="1" si="5"/>
        <v>141.67348608837972</v>
      </c>
      <c r="AK36" s="39">
        <f t="shared" ca="1" si="6"/>
        <v>69.979541734860845</v>
      </c>
      <c r="AL36" s="39">
        <f t="shared" ca="1" si="7"/>
        <v>211.65302782324056</v>
      </c>
      <c r="AM36" s="39">
        <f t="shared" ca="1" si="8"/>
        <v>353.32651391162028</v>
      </c>
      <c r="AN36" s="39">
        <f t="shared" ca="1" si="9"/>
        <v>495</v>
      </c>
      <c r="AO36" s="39">
        <f t="shared" ca="1" si="0"/>
        <v>636.67348608837972</v>
      </c>
      <c r="AP36" s="39">
        <f t="shared" ca="1" si="1"/>
        <v>778.34697217675944</v>
      </c>
      <c r="AQ36" s="39">
        <f t="shared" ca="1" si="2"/>
        <v>920.02045826513915</v>
      </c>
      <c r="AR36" s="5">
        <f t="shared" ca="1" si="10"/>
        <v>551.5</v>
      </c>
      <c r="AS36" s="5">
        <f t="shared" ca="1" si="3"/>
        <v>664</v>
      </c>
      <c r="AT36" s="5">
        <f t="shared" ca="1" si="11"/>
        <v>0</v>
      </c>
    </row>
    <row r="37" spans="1:46" x14ac:dyDescent="0.2">
      <c r="A37" s="67">
        <f ca="1">Demand!C34</f>
        <v>34</v>
      </c>
      <c r="B37" s="67">
        <v>22</v>
      </c>
      <c r="C37" s="5">
        <f ca="1">'Demand background (hide)'!Y25</f>
        <v>600</v>
      </c>
      <c r="D37" s="67">
        <f t="shared" si="15"/>
        <v>0</v>
      </c>
      <c r="E37" s="67" t="e">
        <f t="shared" ca="1" si="16"/>
        <v>#N/A</v>
      </c>
      <c r="F37" s="67" t="e">
        <f t="shared" ca="1" si="17"/>
        <v>#N/A</v>
      </c>
      <c r="G37" s="67" t="e">
        <f t="shared" ca="1" si="18"/>
        <v>#N/A</v>
      </c>
      <c r="H37" s="67" t="e">
        <f>IF('Demand background (hide)'!AN25&lt;&gt;"",'SPC background (hide)'!C37,NA())</f>
        <v>#N/A</v>
      </c>
      <c r="I37" s="67">
        <f t="shared" ca="1" si="19"/>
        <v>1</v>
      </c>
      <c r="J37" s="5">
        <f t="shared" ca="1" si="20"/>
        <v>69.979541734860845</v>
      </c>
      <c r="K37" s="5">
        <f t="shared" ca="1" si="21"/>
        <v>211.65302782324056</v>
      </c>
      <c r="L37" s="5">
        <f t="shared" ca="1" si="22"/>
        <v>353.32651391162028</v>
      </c>
      <c r="M37" s="5">
        <f t="shared" ca="1" si="23"/>
        <v>495</v>
      </c>
      <c r="N37" s="5">
        <f t="shared" ca="1" si="24"/>
        <v>636.67348608837972</v>
      </c>
      <c r="O37" s="5">
        <f t="shared" ca="1" si="25"/>
        <v>778.34697217675944</v>
      </c>
      <c r="P37" s="5">
        <f t="shared" ca="1" si="26"/>
        <v>920.02045826513915</v>
      </c>
      <c r="Q37" s="5" t="e">
        <f t="shared" ca="1" si="27"/>
        <v>#N/A</v>
      </c>
      <c r="R37" s="5">
        <f t="shared" ca="1" si="32"/>
        <v>1</v>
      </c>
      <c r="S37" s="67" t="e">
        <f t="shared" ca="1" si="33"/>
        <v>#N/A</v>
      </c>
      <c r="T37" s="67">
        <f t="shared" ca="1" si="34"/>
        <v>1</v>
      </c>
      <c r="U37" s="67" t="e">
        <f t="shared" ca="1" si="35"/>
        <v>#N/A</v>
      </c>
      <c r="V37" s="5">
        <f t="shared" ca="1" si="14"/>
        <v>1</v>
      </c>
      <c r="W37" s="5" t="e">
        <f t="shared" ca="1" si="28"/>
        <v>#N/A</v>
      </c>
      <c r="X37" s="67">
        <f t="shared" ca="1" si="29"/>
        <v>-1</v>
      </c>
      <c r="Y37" s="67" t="e">
        <f t="shared" ca="1" si="36"/>
        <v>#N/A</v>
      </c>
      <c r="Z37" s="67" t="e">
        <f t="shared" ca="1" si="37"/>
        <v>#N/A</v>
      </c>
      <c r="AA37" s="5" t="str">
        <f>IF(Setup!$I$15="Yes",'Demand background (hide)'!AJ25+'SPC background (hide)'!C37,"")</f>
        <v/>
      </c>
      <c r="AC37" s="5">
        <f t="shared" ca="1" si="30"/>
        <v>551.5</v>
      </c>
      <c r="AD37" s="5">
        <f t="shared" ca="1" si="31"/>
        <v>664</v>
      </c>
      <c r="AG37" s="67">
        <f t="shared" ca="1" si="12"/>
        <v>42</v>
      </c>
      <c r="AH37" s="67">
        <v>36</v>
      </c>
      <c r="AI37" s="67">
        <f t="shared" ca="1" si="4"/>
        <v>1</v>
      </c>
      <c r="AJ37" s="39">
        <f t="shared" ca="1" si="5"/>
        <v>141.67348608837972</v>
      </c>
      <c r="AK37" s="39">
        <f t="shared" ca="1" si="6"/>
        <v>69.979541734860845</v>
      </c>
      <c r="AL37" s="39">
        <f t="shared" ca="1" si="7"/>
        <v>211.65302782324056</v>
      </c>
      <c r="AM37" s="39">
        <f t="shared" ca="1" si="8"/>
        <v>353.32651391162028</v>
      </c>
      <c r="AN37" s="39">
        <f t="shared" ca="1" si="9"/>
        <v>495</v>
      </c>
      <c r="AO37" s="39">
        <f t="shared" ca="1" si="0"/>
        <v>636.67348608837972</v>
      </c>
      <c r="AP37" s="39">
        <f t="shared" ca="1" si="1"/>
        <v>778.34697217675944</v>
      </c>
      <c r="AQ37" s="39">
        <f t="shared" ca="1" si="2"/>
        <v>920.02045826513915</v>
      </c>
      <c r="AR37" s="5">
        <f t="shared" ca="1" si="10"/>
        <v>551.5</v>
      </c>
      <c r="AS37" s="5">
        <f t="shared" ca="1" si="3"/>
        <v>664</v>
      </c>
      <c r="AT37" s="5">
        <f t="shared" ca="1" si="11"/>
        <v>0</v>
      </c>
    </row>
    <row r="38" spans="1:46" x14ac:dyDescent="0.2">
      <c r="A38" s="67">
        <f ca="1">Demand!C35</f>
        <v>35</v>
      </c>
      <c r="B38" s="67">
        <v>23</v>
      </c>
      <c r="C38" s="5">
        <f ca="1">'Demand background (hide)'!Y26</f>
        <v>660</v>
      </c>
      <c r="D38" s="67">
        <f t="shared" si="15"/>
        <v>0</v>
      </c>
      <c r="E38" s="67" t="e">
        <f t="shared" ca="1" si="16"/>
        <v>#N/A</v>
      </c>
      <c r="F38" s="67" t="e">
        <f t="shared" ca="1" si="17"/>
        <v>#N/A</v>
      </c>
      <c r="G38" s="67" t="e">
        <f t="shared" ca="1" si="18"/>
        <v>#N/A</v>
      </c>
      <c r="H38" s="67" t="e">
        <f>IF('Demand background (hide)'!AN26&lt;&gt;"",'SPC background (hide)'!C38,NA())</f>
        <v>#N/A</v>
      </c>
      <c r="I38" s="67">
        <f t="shared" ca="1" si="19"/>
        <v>1</v>
      </c>
      <c r="J38" s="5">
        <f t="shared" ca="1" si="20"/>
        <v>69.979541734860845</v>
      </c>
      <c r="K38" s="5">
        <f t="shared" ca="1" si="21"/>
        <v>211.65302782324056</v>
      </c>
      <c r="L38" s="5">
        <f t="shared" ca="1" si="22"/>
        <v>353.32651391162028</v>
      </c>
      <c r="M38" s="5">
        <f t="shared" ca="1" si="23"/>
        <v>495</v>
      </c>
      <c r="N38" s="5">
        <f t="shared" ca="1" si="24"/>
        <v>636.67348608837972</v>
      </c>
      <c r="O38" s="5">
        <f t="shared" ca="1" si="25"/>
        <v>778.34697217675944</v>
      </c>
      <c r="P38" s="5">
        <f t="shared" ca="1" si="26"/>
        <v>920.02045826513915</v>
      </c>
      <c r="Q38" s="5" t="e">
        <f t="shared" ca="1" si="27"/>
        <v>#N/A</v>
      </c>
      <c r="R38" s="5">
        <f t="shared" ca="1" si="32"/>
        <v>1</v>
      </c>
      <c r="S38" s="67" t="e">
        <f t="shared" ca="1" si="33"/>
        <v>#N/A</v>
      </c>
      <c r="T38" s="67">
        <f t="shared" ca="1" si="34"/>
        <v>2</v>
      </c>
      <c r="U38" s="67" t="e">
        <f t="shared" ca="1" si="35"/>
        <v>#N/A</v>
      </c>
      <c r="V38" s="5">
        <f t="shared" ca="1" si="14"/>
        <v>1</v>
      </c>
      <c r="W38" s="5" t="e">
        <f t="shared" ca="1" si="28"/>
        <v>#N/A</v>
      </c>
      <c r="X38" s="67">
        <f t="shared" ca="1" si="29"/>
        <v>1</v>
      </c>
      <c r="Y38" s="67" t="e">
        <f t="shared" ca="1" si="36"/>
        <v>#N/A</v>
      </c>
      <c r="Z38" s="67" t="e">
        <f t="shared" ca="1" si="37"/>
        <v>#N/A</v>
      </c>
      <c r="AA38" s="5" t="str">
        <f>IF(Setup!$I$15="Yes",'Demand background (hide)'!AJ26+'SPC background (hide)'!C38,"")</f>
        <v/>
      </c>
      <c r="AC38" s="5">
        <f t="shared" ca="1" si="30"/>
        <v>551.5</v>
      </c>
      <c r="AD38" s="5">
        <f t="shared" ca="1" si="31"/>
        <v>664</v>
      </c>
      <c r="AG38" s="67">
        <f t="shared" ca="1" si="12"/>
        <v>43</v>
      </c>
      <c r="AH38" s="67">
        <v>37</v>
      </c>
      <c r="AI38" s="67">
        <f t="shared" ca="1" si="4"/>
        <v>1</v>
      </c>
      <c r="AJ38" s="39">
        <f t="shared" ca="1" si="5"/>
        <v>141.67348608837972</v>
      </c>
      <c r="AK38" s="39">
        <f t="shared" ca="1" si="6"/>
        <v>69.979541734860845</v>
      </c>
      <c r="AL38" s="39">
        <f t="shared" ca="1" si="7"/>
        <v>211.65302782324056</v>
      </c>
      <c r="AM38" s="39">
        <f t="shared" ca="1" si="8"/>
        <v>353.32651391162028</v>
      </c>
      <c r="AN38" s="39">
        <f t="shared" ca="1" si="9"/>
        <v>495</v>
      </c>
      <c r="AO38" s="39">
        <f t="shared" ca="1" si="0"/>
        <v>636.67348608837972</v>
      </c>
      <c r="AP38" s="39">
        <f t="shared" ca="1" si="1"/>
        <v>778.34697217675944</v>
      </c>
      <c r="AQ38" s="39">
        <f t="shared" ca="1" si="2"/>
        <v>920.02045826513915</v>
      </c>
      <c r="AR38" s="5">
        <f t="shared" ca="1" si="10"/>
        <v>551.5</v>
      </c>
      <c r="AS38" s="5">
        <f t="shared" ca="1" si="3"/>
        <v>664</v>
      </c>
      <c r="AT38" s="5">
        <f t="shared" ca="1" si="11"/>
        <v>0</v>
      </c>
    </row>
    <row r="39" spans="1:46" x14ac:dyDescent="0.2">
      <c r="A39" s="67">
        <f ca="1">Demand!C36</f>
        <v>36</v>
      </c>
      <c r="B39" s="67">
        <v>24</v>
      </c>
      <c r="C39" s="5">
        <f ca="1">'Demand background (hide)'!Y27</f>
        <v>420</v>
      </c>
      <c r="D39" s="67">
        <f t="shared" si="15"/>
        <v>0</v>
      </c>
      <c r="E39" s="67" t="e">
        <f t="shared" ca="1" si="16"/>
        <v>#N/A</v>
      </c>
      <c r="F39" s="67" t="e">
        <f t="shared" ca="1" si="17"/>
        <v>#N/A</v>
      </c>
      <c r="G39" s="67" t="e">
        <f t="shared" ca="1" si="18"/>
        <v>#N/A</v>
      </c>
      <c r="H39" s="67" t="e">
        <f>IF('Demand background (hide)'!AN27&lt;&gt;"",'SPC background (hide)'!C39,NA())</f>
        <v>#N/A</v>
      </c>
      <c r="I39" s="67">
        <f t="shared" ca="1" si="19"/>
        <v>1</v>
      </c>
      <c r="J39" s="5">
        <f t="shared" ca="1" si="20"/>
        <v>69.979541734860845</v>
      </c>
      <c r="K39" s="5">
        <f t="shared" ca="1" si="21"/>
        <v>211.65302782324056</v>
      </c>
      <c r="L39" s="5">
        <f t="shared" ca="1" si="22"/>
        <v>353.32651391162028</v>
      </c>
      <c r="M39" s="5">
        <f t="shared" ca="1" si="23"/>
        <v>495</v>
      </c>
      <c r="N39" s="5">
        <f t="shared" ca="1" si="24"/>
        <v>636.67348608837972</v>
      </c>
      <c r="O39" s="5">
        <f t="shared" ca="1" si="25"/>
        <v>778.34697217675944</v>
      </c>
      <c r="P39" s="5">
        <f t="shared" ca="1" si="26"/>
        <v>920.02045826513915</v>
      </c>
      <c r="Q39" s="5" t="e">
        <f t="shared" ca="1" si="27"/>
        <v>#N/A</v>
      </c>
      <c r="R39" s="5">
        <f t="shared" ca="1" si="32"/>
        <v>-1</v>
      </c>
      <c r="S39" s="67" t="e">
        <f t="shared" ca="1" si="33"/>
        <v>#N/A</v>
      </c>
      <c r="T39" s="67">
        <f t="shared" ca="1" si="34"/>
        <v>-1</v>
      </c>
      <c r="U39" s="67" t="e">
        <f t="shared" ca="1" si="35"/>
        <v>#N/A</v>
      </c>
      <c r="V39" s="5">
        <f t="shared" ca="1" si="14"/>
        <v>-1</v>
      </c>
      <c r="W39" s="5" t="e">
        <f t="shared" ca="1" si="28"/>
        <v>#N/A</v>
      </c>
      <c r="X39" s="67">
        <f t="shared" ca="1" si="29"/>
        <v>-1</v>
      </c>
      <c r="Y39" s="67" t="e">
        <f t="shared" ca="1" si="36"/>
        <v>#N/A</v>
      </c>
      <c r="Z39" s="67" t="e">
        <f t="shared" ca="1" si="37"/>
        <v>#N/A</v>
      </c>
      <c r="AA39" s="5" t="str">
        <f>IF(Setup!$I$15="Yes",'Demand background (hide)'!AJ27+'SPC background (hide)'!C39,"")</f>
        <v/>
      </c>
      <c r="AC39" s="5">
        <f t="shared" ca="1" si="30"/>
        <v>551.5</v>
      </c>
      <c r="AD39" s="5">
        <f t="shared" ca="1" si="31"/>
        <v>664</v>
      </c>
      <c r="AG39" s="67">
        <f t="shared" ca="1" si="12"/>
        <v>44</v>
      </c>
      <c r="AH39" s="67">
        <v>38</v>
      </c>
      <c r="AI39" s="67">
        <f t="shared" ca="1" si="4"/>
        <v>1</v>
      </c>
      <c r="AJ39" s="39">
        <f t="shared" ca="1" si="5"/>
        <v>141.67348608837972</v>
      </c>
      <c r="AK39" s="39">
        <f t="shared" ca="1" si="6"/>
        <v>69.979541734860845</v>
      </c>
      <c r="AL39" s="39">
        <f t="shared" ca="1" si="7"/>
        <v>211.65302782324056</v>
      </c>
      <c r="AM39" s="39">
        <f t="shared" ca="1" si="8"/>
        <v>353.32651391162028</v>
      </c>
      <c r="AN39" s="39">
        <f t="shared" ca="1" si="9"/>
        <v>495</v>
      </c>
      <c r="AO39" s="39">
        <f t="shared" ca="1" si="0"/>
        <v>636.67348608837972</v>
      </c>
      <c r="AP39" s="39">
        <f t="shared" ca="1" si="1"/>
        <v>778.34697217675944</v>
      </c>
      <c r="AQ39" s="39">
        <f t="shared" ca="1" si="2"/>
        <v>920.02045826513915</v>
      </c>
      <c r="AR39" s="5">
        <f t="shared" ca="1" si="10"/>
        <v>551.5</v>
      </c>
      <c r="AS39" s="5">
        <f t="shared" ca="1" si="3"/>
        <v>664</v>
      </c>
      <c r="AT39" s="5">
        <f t="shared" ca="1" si="11"/>
        <v>0</v>
      </c>
    </row>
    <row r="40" spans="1:46" x14ac:dyDescent="0.2">
      <c r="A40" s="67">
        <f ca="1">Demand!C37</f>
        <v>37</v>
      </c>
      <c r="B40" s="67">
        <v>25</v>
      </c>
      <c r="C40" s="5">
        <f ca="1">'Demand background (hide)'!Y28</f>
        <v>730</v>
      </c>
      <c r="D40" s="67">
        <f t="shared" si="15"/>
        <v>0</v>
      </c>
      <c r="E40" s="67" t="e">
        <f t="shared" ca="1" si="16"/>
        <v>#N/A</v>
      </c>
      <c r="F40" s="67" t="e">
        <f t="shared" ca="1" si="17"/>
        <v>#N/A</v>
      </c>
      <c r="G40" s="67" t="e">
        <f t="shared" ca="1" si="18"/>
        <v>#N/A</v>
      </c>
      <c r="H40" s="67" t="e">
        <f>IF('Demand background (hide)'!AN28&lt;&gt;"",'SPC background (hide)'!C40,NA())</f>
        <v>#N/A</v>
      </c>
      <c r="I40" s="67">
        <f t="shared" ca="1" si="19"/>
        <v>1</v>
      </c>
      <c r="J40" s="5">
        <f t="shared" ca="1" si="20"/>
        <v>69.979541734860845</v>
      </c>
      <c r="K40" s="5">
        <f t="shared" ca="1" si="21"/>
        <v>211.65302782324056</v>
      </c>
      <c r="L40" s="5">
        <f t="shared" ca="1" si="22"/>
        <v>353.32651391162028</v>
      </c>
      <c r="M40" s="5">
        <f t="shared" ca="1" si="23"/>
        <v>495</v>
      </c>
      <c r="N40" s="5">
        <f t="shared" ca="1" si="24"/>
        <v>636.67348608837972</v>
      </c>
      <c r="O40" s="5">
        <f t="shared" ca="1" si="25"/>
        <v>778.34697217675944</v>
      </c>
      <c r="P40" s="5">
        <f t="shared" ca="1" si="26"/>
        <v>920.02045826513915</v>
      </c>
      <c r="Q40" s="5" t="e">
        <f t="shared" ca="1" si="27"/>
        <v>#N/A</v>
      </c>
      <c r="R40" s="5">
        <f t="shared" ca="1" si="32"/>
        <v>1</v>
      </c>
      <c r="S40" s="67" t="e">
        <f t="shared" ca="1" si="33"/>
        <v>#N/A</v>
      </c>
      <c r="T40" s="67">
        <f t="shared" ca="1" si="34"/>
        <v>2</v>
      </c>
      <c r="U40" s="67" t="e">
        <f t="shared" ca="1" si="35"/>
        <v>#N/A</v>
      </c>
      <c r="V40" s="5">
        <f t="shared" ca="1" si="14"/>
        <v>1</v>
      </c>
      <c r="W40" s="5" t="e">
        <f t="shared" ca="1" si="28"/>
        <v>#N/A</v>
      </c>
      <c r="X40" s="67">
        <f t="shared" ca="1" si="29"/>
        <v>1</v>
      </c>
      <c r="Y40" s="67" t="e">
        <f t="shared" ca="1" si="36"/>
        <v>#N/A</v>
      </c>
      <c r="Z40" s="67" t="e">
        <f t="shared" ca="1" si="37"/>
        <v>#N/A</v>
      </c>
      <c r="AA40" s="5" t="str">
        <f>IF(Setup!$I$15="Yes",'Demand background (hide)'!AJ28+'SPC background (hide)'!C40,"")</f>
        <v/>
      </c>
      <c r="AC40" s="5">
        <f t="shared" ca="1" si="30"/>
        <v>551.5</v>
      </c>
      <c r="AD40" s="5">
        <f t="shared" ca="1" si="31"/>
        <v>664</v>
      </c>
      <c r="AG40" s="67">
        <f t="shared" ca="1" si="12"/>
        <v>45</v>
      </c>
      <c r="AH40" s="67">
        <v>39</v>
      </c>
      <c r="AI40" s="67">
        <f t="shared" ca="1" si="4"/>
        <v>1</v>
      </c>
      <c r="AJ40" s="39">
        <f t="shared" ca="1" si="5"/>
        <v>141.67348608837972</v>
      </c>
      <c r="AK40" s="39">
        <f t="shared" ca="1" si="6"/>
        <v>69.979541734860845</v>
      </c>
      <c r="AL40" s="39">
        <f t="shared" ca="1" si="7"/>
        <v>211.65302782324056</v>
      </c>
      <c r="AM40" s="39">
        <f t="shared" ca="1" si="8"/>
        <v>353.32651391162028</v>
      </c>
      <c r="AN40" s="39">
        <f t="shared" ca="1" si="9"/>
        <v>495</v>
      </c>
      <c r="AO40" s="39">
        <f t="shared" ca="1" si="0"/>
        <v>636.67348608837972</v>
      </c>
      <c r="AP40" s="39">
        <f t="shared" ca="1" si="1"/>
        <v>778.34697217675944</v>
      </c>
      <c r="AQ40" s="39">
        <f t="shared" ca="1" si="2"/>
        <v>920.02045826513915</v>
      </c>
      <c r="AR40" s="5">
        <f t="shared" ca="1" si="10"/>
        <v>551.5</v>
      </c>
      <c r="AS40" s="5">
        <f t="shared" ca="1" si="3"/>
        <v>664</v>
      </c>
      <c r="AT40" s="5">
        <f t="shared" ca="1" si="11"/>
        <v>0</v>
      </c>
    </row>
    <row r="41" spans="1:46" x14ac:dyDescent="0.2">
      <c r="A41" s="67">
        <f ca="1">Demand!C38</f>
        <v>38</v>
      </c>
      <c r="B41" s="67">
        <v>26</v>
      </c>
      <c r="C41" s="5">
        <f ca="1">'Demand background (hide)'!Y29</f>
        <v>670</v>
      </c>
      <c r="D41" s="67">
        <f t="shared" si="15"/>
        <v>0</v>
      </c>
      <c r="E41" s="67" t="e">
        <f t="shared" ca="1" si="16"/>
        <v>#N/A</v>
      </c>
      <c r="F41" s="67" t="e">
        <f t="shared" ca="1" si="17"/>
        <v>#N/A</v>
      </c>
      <c r="G41" s="67" t="e">
        <f t="shared" ca="1" si="18"/>
        <v>#N/A</v>
      </c>
      <c r="H41" s="67" t="e">
        <f>IF('Demand background (hide)'!AN29&lt;&gt;"",'SPC background (hide)'!C41,NA())</f>
        <v>#N/A</v>
      </c>
      <c r="I41" s="67">
        <f t="shared" ca="1" si="19"/>
        <v>1</v>
      </c>
      <c r="J41" s="5">
        <f t="shared" ca="1" si="20"/>
        <v>69.979541734860845</v>
      </c>
      <c r="K41" s="5">
        <f t="shared" ca="1" si="21"/>
        <v>211.65302782324056</v>
      </c>
      <c r="L41" s="5">
        <f t="shared" ca="1" si="22"/>
        <v>353.32651391162028</v>
      </c>
      <c r="M41" s="5">
        <f t="shared" ca="1" si="23"/>
        <v>495</v>
      </c>
      <c r="N41" s="5">
        <f t="shared" ca="1" si="24"/>
        <v>636.67348608837972</v>
      </c>
      <c r="O41" s="5">
        <f t="shared" ca="1" si="25"/>
        <v>778.34697217675944</v>
      </c>
      <c r="P41" s="5">
        <f t="shared" ca="1" si="26"/>
        <v>920.02045826513915</v>
      </c>
      <c r="Q41" s="5" t="e">
        <f t="shared" ca="1" si="27"/>
        <v>#N/A</v>
      </c>
      <c r="R41" s="5">
        <f t="shared" ca="1" si="32"/>
        <v>1</v>
      </c>
      <c r="S41" s="67" t="e">
        <f t="shared" ca="1" si="33"/>
        <v>#N/A</v>
      </c>
      <c r="T41" s="67">
        <f t="shared" ca="1" si="34"/>
        <v>2</v>
      </c>
      <c r="U41" s="67" t="e">
        <f t="shared" ca="1" si="35"/>
        <v>#N/A</v>
      </c>
      <c r="V41" s="5">
        <f t="shared" ca="1" si="14"/>
        <v>1</v>
      </c>
      <c r="W41" s="5" t="e">
        <f t="shared" ca="1" si="28"/>
        <v>#N/A</v>
      </c>
      <c r="X41" s="67">
        <f t="shared" ca="1" si="29"/>
        <v>-1</v>
      </c>
      <c r="Y41" s="67" t="e">
        <f t="shared" ca="1" si="36"/>
        <v>#N/A</v>
      </c>
      <c r="Z41" s="67" t="e">
        <f t="shared" ca="1" si="37"/>
        <v>#N/A</v>
      </c>
      <c r="AA41" s="5" t="str">
        <f>IF(Setup!$I$15="Yes",'Demand background (hide)'!AJ29+'SPC background (hide)'!C41,"")</f>
        <v/>
      </c>
      <c r="AC41" s="5">
        <f t="shared" ca="1" si="30"/>
        <v>551.5</v>
      </c>
      <c r="AD41" s="5">
        <f t="shared" ca="1" si="31"/>
        <v>664</v>
      </c>
      <c r="AG41" s="67">
        <f t="shared" ca="1" si="12"/>
        <v>46</v>
      </c>
      <c r="AH41" s="67">
        <v>40</v>
      </c>
      <c r="AI41" s="67">
        <f t="shared" ca="1" si="4"/>
        <v>1</v>
      </c>
      <c r="AJ41" s="39">
        <f t="shared" ca="1" si="5"/>
        <v>141.67348608837972</v>
      </c>
      <c r="AK41" s="39">
        <f t="shared" ca="1" si="6"/>
        <v>69.979541734860845</v>
      </c>
      <c r="AL41" s="39">
        <f t="shared" ca="1" si="7"/>
        <v>211.65302782324056</v>
      </c>
      <c r="AM41" s="39">
        <f t="shared" ca="1" si="8"/>
        <v>353.32651391162028</v>
      </c>
      <c r="AN41" s="39">
        <f t="shared" ca="1" si="9"/>
        <v>495</v>
      </c>
      <c r="AO41" s="39">
        <f t="shared" ca="1" si="0"/>
        <v>636.67348608837972</v>
      </c>
      <c r="AP41" s="39">
        <f t="shared" ca="1" si="1"/>
        <v>778.34697217675944</v>
      </c>
      <c r="AQ41" s="39">
        <f t="shared" ca="1" si="2"/>
        <v>920.02045826513915</v>
      </c>
      <c r="AR41" s="5">
        <f t="shared" ca="1" si="10"/>
        <v>551.5</v>
      </c>
      <c r="AS41" s="5">
        <f t="shared" ca="1" si="3"/>
        <v>664</v>
      </c>
      <c r="AT41" s="5">
        <f t="shared" ca="1" si="11"/>
        <v>0</v>
      </c>
    </row>
    <row r="42" spans="1:46" x14ac:dyDescent="0.2">
      <c r="A42" s="67">
        <f ca="1">Demand!C39</f>
        <v>39</v>
      </c>
      <c r="B42" s="67">
        <v>27</v>
      </c>
      <c r="C42" s="5">
        <f ca="1">'Demand background (hide)'!Y30</f>
        <v>580</v>
      </c>
      <c r="D42" s="67">
        <f t="shared" si="15"/>
        <v>0</v>
      </c>
      <c r="E42" s="67" t="e">
        <f t="shared" ca="1" si="16"/>
        <v>#N/A</v>
      </c>
      <c r="F42" s="67" t="e">
        <f t="shared" ca="1" si="17"/>
        <v>#N/A</v>
      </c>
      <c r="G42" s="67" t="e">
        <f t="shared" ca="1" si="18"/>
        <v>#N/A</v>
      </c>
      <c r="H42" s="67" t="e">
        <f>IF('Demand background (hide)'!AN30&lt;&gt;"",'SPC background (hide)'!C42,NA())</f>
        <v>#N/A</v>
      </c>
      <c r="I42" s="67">
        <f t="shared" ca="1" si="19"/>
        <v>1</v>
      </c>
      <c r="J42" s="5">
        <f t="shared" ca="1" si="20"/>
        <v>69.979541734860845</v>
      </c>
      <c r="K42" s="5">
        <f t="shared" ca="1" si="21"/>
        <v>211.65302782324056</v>
      </c>
      <c r="L42" s="5">
        <f t="shared" ca="1" si="22"/>
        <v>353.32651391162028</v>
      </c>
      <c r="M42" s="5">
        <f t="shared" ca="1" si="23"/>
        <v>495</v>
      </c>
      <c r="N42" s="5">
        <f t="shared" ca="1" si="24"/>
        <v>636.67348608837972</v>
      </c>
      <c r="O42" s="5">
        <f t="shared" ca="1" si="25"/>
        <v>778.34697217675944</v>
      </c>
      <c r="P42" s="5">
        <f t="shared" ca="1" si="26"/>
        <v>920.02045826513915</v>
      </c>
      <c r="Q42" s="5" t="e">
        <f t="shared" ca="1" si="27"/>
        <v>#N/A</v>
      </c>
      <c r="R42" s="5">
        <f t="shared" ca="1" si="32"/>
        <v>1</v>
      </c>
      <c r="S42" s="67" t="e">
        <f t="shared" ca="1" si="33"/>
        <v>#N/A</v>
      </c>
      <c r="T42" s="67">
        <f t="shared" ca="1" si="34"/>
        <v>1</v>
      </c>
      <c r="U42" s="67" t="e">
        <f t="shared" ca="1" si="35"/>
        <v>#N/A</v>
      </c>
      <c r="V42" s="5">
        <f t="shared" ca="1" si="14"/>
        <v>1</v>
      </c>
      <c r="W42" s="5" t="e">
        <f t="shared" ca="1" si="28"/>
        <v>#N/A</v>
      </c>
      <c r="X42" s="67">
        <f t="shared" ca="1" si="29"/>
        <v>-1</v>
      </c>
      <c r="Y42" s="67" t="e">
        <f t="shared" ca="1" si="36"/>
        <v>#N/A</v>
      </c>
      <c r="Z42" s="67" t="e">
        <f t="shared" ca="1" si="37"/>
        <v>#N/A</v>
      </c>
      <c r="AA42" s="5" t="str">
        <f>IF(Setup!$I$15="Yes",'Demand background (hide)'!AJ30+'SPC background (hide)'!C42,"")</f>
        <v/>
      </c>
      <c r="AC42" s="5">
        <f t="shared" ca="1" si="30"/>
        <v>551.5</v>
      </c>
      <c r="AD42" s="5">
        <f t="shared" ca="1" si="31"/>
        <v>664</v>
      </c>
      <c r="AG42" s="67">
        <f t="shared" ca="1" si="12"/>
        <v>47</v>
      </c>
      <c r="AH42" s="67">
        <v>41</v>
      </c>
      <c r="AI42" s="67">
        <f t="shared" ca="1" si="4"/>
        <v>1</v>
      </c>
      <c r="AJ42" s="39">
        <f t="shared" ca="1" si="5"/>
        <v>141.67348608837972</v>
      </c>
      <c r="AK42" s="39">
        <f t="shared" ca="1" si="6"/>
        <v>69.979541734860845</v>
      </c>
      <c r="AL42" s="39">
        <f t="shared" ca="1" si="7"/>
        <v>211.65302782324056</v>
      </c>
      <c r="AM42" s="39">
        <f t="shared" ca="1" si="8"/>
        <v>353.32651391162028</v>
      </c>
      <c r="AN42" s="39">
        <f t="shared" ca="1" si="9"/>
        <v>495</v>
      </c>
      <c r="AO42" s="39">
        <f t="shared" ca="1" si="0"/>
        <v>636.67348608837972</v>
      </c>
      <c r="AP42" s="39">
        <f t="shared" ca="1" si="1"/>
        <v>778.34697217675944</v>
      </c>
      <c r="AQ42" s="39">
        <f t="shared" ca="1" si="2"/>
        <v>920.02045826513915</v>
      </c>
      <c r="AR42" s="5">
        <f t="shared" ca="1" si="10"/>
        <v>551.5</v>
      </c>
      <c r="AS42" s="5">
        <f t="shared" ca="1" si="3"/>
        <v>664</v>
      </c>
      <c r="AT42" s="5">
        <f t="shared" ca="1" si="11"/>
        <v>0</v>
      </c>
    </row>
    <row r="43" spans="1:46" x14ac:dyDescent="0.2">
      <c r="A43" s="67">
        <f ca="1">Demand!C40</f>
        <v>40</v>
      </c>
      <c r="B43" s="67">
        <v>28</v>
      </c>
      <c r="C43" s="5">
        <f ca="1">'Demand background (hide)'!Y31</f>
        <v>290</v>
      </c>
      <c r="D43" s="67">
        <f t="shared" si="15"/>
        <v>0</v>
      </c>
      <c r="E43" s="67" t="e">
        <f t="shared" ca="1" si="16"/>
        <v>#N/A</v>
      </c>
      <c r="F43" s="67" t="e">
        <f t="shared" ca="1" si="17"/>
        <v>#N/A</v>
      </c>
      <c r="G43" s="67" t="e">
        <f t="shared" ca="1" si="18"/>
        <v>#N/A</v>
      </c>
      <c r="H43" s="67" t="e">
        <f>IF('Demand background (hide)'!AN31&lt;&gt;"",'SPC background (hide)'!C43,NA())</f>
        <v>#N/A</v>
      </c>
      <c r="I43" s="67">
        <f t="shared" ca="1" si="19"/>
        <v>1</v>
      </c>
      <c r="J43" s="5">
        <f t="shared" ca="1" si="20"/>
        <v>69.979541734860845</v>
      </c>
      <c r="K43" s="5">
        <f t="shared" ca="1" si="21"/>
        <v>211.65302782324056</v>
      </c>
      <c r="L43" s="5">
        <f t="shared" ca="1" si="22"/>
        <v>353.32651391162028</v>
      </c>
      <c r="M43" s="5">
        <f t="shared" ca="1" si="23"/>
        <v>495</v>
      </c>
      <c r="N43" s="5">
        <f t="shared" ca="1" si="24"/>
        <v>636.67348608837972</v>
      </c>
      <c r="O43" s="5">
        <f t="shared" ca="1" si="25"/>
        <v>778.34697217675944</v>
      </c>
      <c r="P43" s="5">
        <f t="shared" ca="1" si="26"/>
        <v>920.02045826513915</v>
      </c>
      <c r="Q43" s="5" t="e">
        <f t="shared" ca="1" si="27"/>
        <v>#N/A</v>
      </c>
      <c r="R43" s="5">
        <f t="shared" ca="1" si="32"/>
        <v>-1</v>
      </c>
      <c r="S43" s="67" t="e">
        <f t="shared" ca="1" si="33"/>
        <v>#N/A</v>
      </c>
      <c r="T43" s="67">
        <f t="shared" ca="1" si="34"/>
        <v>-2</v>
      </c>
      <c r="U43" s="67" t="e">
        <f t="shared" ca="1" si="35"/>
        <v>#N/A</v>
      </c>
      <c r="V43" s="5">
        <f t="shared" ca="1" si="14"/>
        <v>-1</v>
      </c>
      <c r="W43" s="5" t="e">
        <f t="shared" ca="1" si="28"/>
        <v>#N/A</v>
      </c>
      <c r="X43" s="67">
        <f t="shared" ca="1" si="29"/>
        <v>-1</v>
      </c>
      <c r="Y43" s="67" t="e">
        <f t="shared" ca="1" si="36"/>
        <v>#N/A</v>
      </c>
      <c r="Z43" s="67" t="e">
        <f t="shared" ca="1" si="37"/>
        <v>#N/A</v>
      </c>
      <c r="AA43" s="5" t="str">
        <f>IF(Setup!$I$15="Yes",'Demand background (hide)'!AJ31+'SPC background (hide)'!C43,"")</f>
        <v/>
      </c>
      <c r="AC43" s="5">
        <f t="shared" ca="1" si="30"/>
        <v>551.5</v>
      </c>
      <c r="AD43" s="5">
        <f t="shared" ca="1" si="31"/>
        <v>664</v>
      </c>
      <c r="AG43" s="67">
        <f t="shared" ca="1" si="12"/>
        <v>48</v>
      </c>
      <c r="AH43" s="67">
        <v>42</v>
      </c>
      <c r="AI43" s="67">
        <f t="shared" ca="1" si="4"/>
        <v>1</v>
      </c>
      <c r="AJ43" s="39">
        <f t="shared" ca="1" si="5"/>
        <v>141.67348608837972</v>
      </c>
      <c r="AK43" s="39">
        <f t="shared" ca="1" si="6"/>
        <v>69.979541734860845</v>
      </c>
      <c r="AL43" s="39">
        <f t="shared" ca="1" si="7"/>
        <v>211.65302782324056</v>
      </c>
      <c r="AM43" s="39">
        <f t="shared" ca="1" si="8"/>
        <v>353.32651391162028</v>
      </c>
      <c r="AN43" s="39">
        <f t="shared" ca="1" si="9"/>
        <v>495</v>
      </c>
      <c r="AO43" s="39">
        <f t="shared" ca="1" si="0"/>
        <v>636.67348608837972</v>
      </c>
      <c r="AP43" s="39">
        <f t="shared" ca="1" si="1"/>
        <v>778.34697217675944</v>
      </c>
      <c r="AQ43" s="39">
        <f t="shared" ca="1" si="2"/>
        <v>920.02045826513915</v>
      </c>
      <c r="AR43" s="5">
        <f t="shared" ca="1" si="10"/>
        <v>551.5</v>
      </c>
      <c r="AS43" s="5">
        <f t="shared" ca="1" si="3"/>
        <v>664</v>
      </c>
      <c r="AT43" s="5">
        <f t="shared" ca="1" si="11"/>
        <v>0</v>
      </c>
    </row>
    <row r="44" spans="1:46" x14ac:dyDescent="0.2">
      <c r="A44" s="67">
        <f ca="1">Demand!C41</f>
        <v>41</v>
      </c>
      <c r="B44" s="67">
        <v>29</v>
      </c>
      <c r="C44" s="5">
        <f ca="1">'Demand background (hide)'!Y32</f>
        <v>530</v>
      </c>
      <c r="D44" s="67">
        <f t="shared" si="15"/>
        <v>0</v>
      </c>
      <c r="E44" s="67" t="e">
        <f t="shared" ca="1" si="16"/>
        <v>#N/A</v>
      </c>
      <c r="F44" s="67" t="e">
        <f t="shared" ca="1" si="17"/>
        <v>#N/A</v>
      </c>
      <c r="G44" s="67" t="e">
        <f t="shared" ca="1" si="18"/>
        <v>#N/A</v>
      </c>
      <c r="H44" s="67" t="e">
        <f>IF('Demand background (hide)'!AN32&lt;&gt;"",'SPC background (hide)'!C44,NA())</f>
        <v>#N/A</v>
      </c>
      <c r="I44" s="67">
        <f t="shared" ca="1" si="19"/>
        <v>1</v>
      </c>
      <c r="J44" s="5">
        <f t="shared" ca="1" si="20"/>
        <v>69.979541734860845</v>
      </c>
      <c r="K44" s="5">
        <f t="shared" ca="1" si="21"/>
        <v>211.65302782324056</v>
      </c>
      <c r="L44" s="5">
        <f t="shared" ca="1" si="22"/>
        <v>353.32651391162028</v>
      </c>
      <c r="M44" s="5">
        <f t="shared" ca="1" si="23"/>
        <v>495</v>
      </c>
      <c r="N44" s="5">
        <f t="shared" ca="1" si="24"/>
        <v>636.67348608837972</v>
      </c>
      <c r="O44" s="5">
        <f t="shared" ca="1" si="25"/>
        <v>778.34697217675944</v>
      </c>
      <c r="P44" s="5">
        <f t="shared" ca="1" si="26"/>
        <v>920.02045826513915</v>
      </c>
      <c r="Q44" s="5" t="e">
        <f t="shared" ca="1" si="27"/>
        <v>#N/A</v>
      </c>
      <c r="R44" s="5">
        <f t="shared" ca="1" si="32"/>
        <v>1</v>
      </c>
      <c r="S44" s="67" t="e">
        <f t="shared" ca="1" si="33"/>
        <v>#N/A</v>
      </c>
      <c r="T44" s="67">
        <f t="shared" ca="1" si="34"/>
        <v>1</v>
      </c>
      <c r="U44" s="67" t="e">
        <f t="shared" ca="1" si="35"/>
        <v>#N/A</v>
      </c>
      <c r="V44" s="5">
        <f t="shared" ca="1" si="14"/>
        <v>1</v>
      </c>
      <c r="W44" s="5" t="e">
        <f t="shared" ca="1" si="28"/>
        <v>#N/A</v>
      </c>
      <c r="X44" s="67">
        <f t="shared" ca="1" si="29"/>
        <v>1</v>
      </c>
      <c r="Y44" s="67" t="e">
        <f t="shared" ca="1" si="36"/>
        <v>#N/A</v>
      </c>
      <c r="Z44" s="67" t="e">
        <f t="shared" ca="1" si="37"/>
        <v>#N/A</v>
      </c>
      <c r="AA44" s="5" t="str">
        <f>IF(Setup!$I$15="Yes",'Demand background (hide)'!AJ32+'SPC background (hide)'!C44,"")</f>
        <v/>
      </c>
      <c r="AC44" s="5">
        <f t="shared" ca="1" si="30"/>
        <v>551.5</v>
      </c>
      <c r="AD44" s="5">
        <f t="shared" ca="1" si="31"/>
        <v>664</v>
      </c>
      <c r="AG44" s="67">
        <f t="shared" ca="1" si="12"/>
        <v>49</v>
      </c>
      <c r="AH44" s="67">
        <v>43</v>
      </c>
      <c r="AI44" s="67">
        <f t="shared" ca="1" si="4"/>
        <v>1</v>
      </c>
      <c r="AJ44" s="39">
        <f t="shared" ca="1" si="5"/>
        <v>141.67348608837972</v>
      </c>
      <c r="AK44" s="39">
        <f t="shared" ca="1" si="6"/>
        <v>69.979541734860845</v>
      </c>
      <c r="AL44" s="39">
        <f t="shared" ca="1" si="7"/>
        <v>211.65302782324056</v>
      </c>
      <c r="AM44" s="39">
        <f t="shared" ca="1" si="8"/>
        <v>353.32651391162028</v>
      </c>
      <c r="AN44" s="39">
        <f t="shared" ca="1" si="9"/>
        <v>495</v>
      </c>
      <c r="AO44" s="39">
        <f t="shared" ca="1" si="0"/>
        <v>636.67348608837972</v>
      </c>
      <c r="AP44" s="39">
        <f t="shared" ca="1" si="1"/>
        <v>778.34697217675944</v>
      </c>
      <c r="AQ44" s="39">
        <f t="shared" ca="1" si="2"/>
        <v>920.02045826513915</v>
      </c>
      <c r="AR44" s="5">
        <f t="shared" ca="1" si="10"/>
        <v>551.5</v>
      </c>
      <c r="AS44" s="5">
        <f t="shared" ca="1" si="3"/>
        <v>664</v>
      </c>
      <c r="AT44" s="5">
        <f t="shared" ca="1" si="11"/>
        <v>0</v>
      </c>
    </row>
    <row r="45" spans="1:46" x14ac:dyDescent="0.2">
      <c r="A45" s="67">
        <f ca="1">Demand!C42</f>
        <v>42</v>
      </c>
      <c r="B45" s="67">
        <v>30</v>
      </c>
      <c r="C45" s="5">
        <f ca="1">'Demand background (hide)'!Y33</f>
        <v>320</v>
      </c>
      <c r="D45" s="67">
        <f t="shared" si="15"/>
        <v>0</v>
      </c>
      <c r="E45" s="67" t="e">
        <f t="shared" ca="1" si="16"/>
        <v>#N/A</v>
      </c>
      <c r="F45" s="67" t="e">
        <f t="shared" ca="1" si="17"/>
        <v>#N/A</v>
      </c>
      <c r="G45" s="67" t="e">
        <f t="shared" ca="1" si="18"/>
        <v>#N/A</v>
      </c>
      <c r="H45" s="67" t="e">
        <f>IF('Demand background (hide)'!AN33&lt;&gt;"",'SPC background (hide)'!C45,NA())</f>
        <v>#N/A</v>
      </c>
      <c r="I45" s="67">
        <f t="shared" ca="1" si="19"/>
        <v>1</v>
      </c>
      <c r="J45" s="5">
        <f t="shared" ca="1" si="20"/>
        <v>69.979541734860845</v>
      </c>
      <c r="K45" s="5">
        <f t="shared" ca="1" si="21"/>
        <v>211.65302782324056</v>
      </c>
      <c r="L45" s="5">
        <f t="shared" ca="1" si="22"/>
        <v>353.32651391162028</v>
      </c>
      <c r="M45" s="5">
        <f t="shared" ca="1" si="23"/>
        <v>495</v>
      </c>
      <c r="N45" s="5">
        <f t="shared" ca="1" si="24"/>
        <v>636.67348608837972</v>
      </c>
      <c r="O45" s="5">
        <f t="shared" ca="1" si="25"/>
        <v>778.34697217675944</v>
      </c>
      <c r="P45" s="5">
        <f t="shared" ca="1" si="26"/>
        <v>920.02045826513915</v>
      </c>
      <c r="Q45" s="5" t="e">
        <f t="shared" ca="1" si="27"/>
        <v>#N/A</v>
      </c>
      <c r="R45" s="5">
        <f t="shared" ca="1" si="32"/>
        <v>-1</v>
      </c>
      <c r="S45" s="67" t="e">
        <f t="shared" ca="1" si="33"/>
        <v>#N/A</v>
      </c>
      <c r="T45" s="67">
        <f t="shared" ca="1" si="34"/>
        <v>-2</v>
      </c>
      <c r="U45" s="67" t="e">
        <f t="shared" ca="1" si="35"/>
        <v>#N/A</v>
      </c>
      <c r="V45" s="5">
        <f t="shared" ca="1" si="14"/>
        <v>-1</v>
      </c>
      <c r="W45" s="5" t="e">
        <f t="shared" ca="1" si="28"/>
        <v>#N/A</v>
      </c>
      <c r="X45" s="67">
        <f t="shared" ca="1" si="29"/>
        <v>-1</v>
      </c>
      <c r="Y45" s="67" t="e">
        <f t="shared" ca="1" si="36"/>
        <v>#N/A</v>
      </c>
      <c r="Z45" s="67" t="e">
        <f t="shared" ca="1" si="37"/>
        <v>#N/A</v>
      </c>
      <c r="AA45" s="5" t="str">
        <f>IF(Setup!$I$15="Yes",'Demand background (hide)'!AJ33+'SPC background (hide)'!C45,"")</f>
        <v/>
      </c>
      <c r="AC45" s="5">
        <f t="shared" ca="1" si="30"/>
        <v>551.5</v>
      </c>
      <c r="AD45" s="5">
        <f t="shared" ca="1" si="31"/>
        <v>664</v>
      </c>
      <c r="AG45" s="67">
        <f t="shared" ca="1" si="12"/>
        <v>50</v>
      </c>
      <c r="AH45" s="67">
        <v>44</v>
      </c>
      <c r="AI45" s="67">
        <f t="shared" ca="1" si="4"/>
        <v>1</v>
      </c>
      <c r="AJ45" s="39">
        <f t="shared" ca="1" si="5"/>
        <v>141.67348608837972</v>
      </c>
      <c r="AK45" s="39">
        <f t="shared" ca="1" si="6"/>
        <v>69.979541734860845</v>
      </c>
      <c r="AL45" s="39">
        <f t="shared" ca="1" si="7"/>
        <v>211.65302782324056</v>
      </c>
      <c r="AM45" s="39">
        <f t="shared" ca="1" si="8"/>
        <v>353.32651391162028</v>
      </c>
      <c r="AN45" s="39">
        <f t="shared" ca="1" si="9"/>
        <v>495</v>
      </c>
      <c r="AO45" s="39">
        <f t="shared" ca="1" si="0"/>
        <v>636.67348608837972</v>
      </c>
      <c r="AP45" s="39">
        <f t="shared" ca="1" si="1"/>
        <v>778.34697217675944</v>
      </c>
      <c r="AQ45" s="39">
        <f t="shared" ca="1" si="2"/>
        <v>920.02045826513915</v>
      </c>
      <c r="AR45" s="5">
        <f t="shared" ca="1" si="10"/>
        <v>551.5</v>
      </c>
      <c r="AS45" s="5">
        <f t="shared" ca="1" si="3"/>
        <v>664</v>
      </c>
      <c r="AT45" s="5">
        <f t="shared" ca="1" si="11"/>
        <v>0</v>
      </c>
    </row>
    <row r="46" spans="1:46" x14ac:dyDescent="0.2">
      <c r="A46" s="67">
        <f ca="1">Demand!C43</f>
        <v>43</v>
      </c>
      <c r="B46" s="67">
        <v>31</v>
      </c>
      <c r="C46" s="5">
        <f ca="1">'Demand background (hide)'!Y34</f>
        <v>730</v>
      </c>
      <c r="D46" s="67">
        <f t="shared" si="15"/>
        <v>0</v>
      </c>
      <c r="E46" s="67" t="e">
        <f t="shared" ca="1" si="16"/>
        <v>#N/A</v>
      </c>
      <c r="F46" s="67" t="e">
        <f t="shared" ca="1" si="17"/>
        <v>#N/A</v>
      </c>
      <c r="G46" s="67" t="e">
        <f t="shared" ca="1" si="18"/>
        <v>#N/A</v>
      </c>
      <c r="H46" s="67" t="e">
        <f>IF('Demand background (hide)'!AN34&lt;&gt;"",'SPC background (hide)'!C46,NA())</f>
        <v>#N/A</v>
      </c>
      <c r="I46" s="67">
        <f t="shared" ca="1" si="19"/>
        <v>1</v>
      </c>
      <c r="J46" s="5">
        <f t="shared" ca="1" si="20"/>
        <v>69.979541734860845</v>
      </c>
      <c r="K46" s="5">
        <f t="shared" ca="1" si="21"/>
        <v>211.65302782324056</v>
      </c>
      <c r="L46" s="5">
        <f t="shared" ca="1" si="22"/>
        <v>353.32651391162028</v>
      </c>
      <c r="M46" s="5">
        <f t="shared" ca="1" si="23"/>
        <v>495</v>
      </c>
      <c r="N46" s="5">
        <f t="shared" ca="1" si="24"/>
        <v>636.67348608837972</v>
      </c>
      <c r="O46" s="5">
        <f t="shared" ca="1" si="25"/>
        <v>778.34697217675944</v>
      </c>
      <c r="P46" s="5">
        <f t="shared" ca="1" si="26"/>
        <v>920.02045826513915</v>
      </c>
      <c r="Q46" s="5" t="e">
        <f t="shared" ca="1" si="27"/>
        <v>#N/A</v>
      </c>
      <c r="R46" s="5">
        <f t="shared" ca="1" si="32"/>
        <v>1</v>
      </c>
      <c r="S46" s="67" t="e">
        <f t="shared" ca="1" si="33"/>
        <v>#N/A</v>
      </c>
      <c r="T46" s="67">
        <f t="shared" ca="1" si="34"/>
        <v>2</v>
      </c>
      <c r="U46" s="67" t="e">
        <f t="shared" ca="1" si="35"/>
        <v>#N/A</v>
      </c>
      <c r="V46" s="5">
        <f t="shared" ca="1" si="14"/>
        <v>1</v>
      </c>
      <c r="W46" s="5" t="e">
        <f t="shared" ca="1" si="28"/>
        <v>#N/A</v>
      </c>
      <c r="X46" s="67">
        <f t="shared" ca="1" si="29"/>
        <v>1</v>
      </c>
      <c r="Y46" s="67" t="e">
        <f t="shared" ca="1" si="36"/>
        <v>#N/A</v>
      </c>
      <c r="Z46" s="67" t="e">
        <f t="shared" ca="1" si="37"/>
        <v>#N/A</v>
      </c>
      <c r="AA46" s="5" t="str">
        <f>IF(Setup!$I$15="Yes",'Demand background (hide)'!AJ34+'SPC background (hide)'!C46,"")</f>
        <v/>
      </c>
      <c r="AC46" s="5">
        <f t="shared" ca="1" si="30"/>
        <v>551.5</v>
      </c>
      <c r="AD46" s="5">
        <f t="shared" ca="1" si="31"/>
        <v>664</v>
      </c>
      <c r="AG46" s="67">
        <f t="shared" ca="1" si="12"/>
        <v>51</v>
      </c>
      <c r="AH46" s="67">
        <v>45</v>
      </c>
      <c r="AI46" s="67">
        <f t="shared" ca="1" si="4"/>
        <v>1</v>
      </c>
      <c r="AJ46" s="39">
        <f t="shared" ca="1" si="5"/>
        <v>141.67348608837972</v>
      </c>
      <c r="AK46" s="39">
        <f t="shared" ca="1" si="6"/>
        <v>69.979541734860845</v>
      </c>
      <c r="AL46" s="39">
        <f t="shared" ca="1" si="7"/>
        <v>211.65302782324056</v>
      </c>
      <c r="AM46" s="39">
        <f t="shared" ca="1" si="8"/>
        <v>353.32651391162028</v>
      </c>
      <c r="AN46" s="39">
        <f t="shared" ca="1" si="9"/>
        <v>495</v>
      </c>
      <c r="AO46" s="39">
        <f t="shared" ca="1" si="0"/>
        <v>636.67348608837972</v>
      </c>
      <c r="AP46" s="39">
        <f t="shared" ca="1" si="1"/>
        <v>778.34697217675944</v>
      </c>
      <c r="AQ46" s="39">
        <f t="shared" ca="1" si="2"/>
        <v>920.02045826513915</v>
      </c>
      <c r="AR46" s="5">
        <f t="shared" ca="1" si="10"/>
        <v>551.5</v>
      </c>
      <c r="AS46" s="5">
        <f t="shared" ca="1" si="3"/>
        <v>664</v>
      </c>
      <c r="AT46" s="5">
        <f t="shared" ca="1" si="11"/>
        <v>0</v>
      </c>
    </row>
    <row r="47" spans="1:46" x14ac:dyDescent="0.2">
      <c r="A47" s="67">
        <f ca="1">Demand!C44</f>
        <v>44</v>
      </c>
      <c r="B47" s="67">
        <v>32</v>
      </c>
      <c r="C47" s="5">
        <f ca="1">'Demand background (hide)'!Y35</f>
        <v>580</v>
      </c>
      <c r="D47" s="67">
        <f t="shared" si="15"/>
        <v>0</v>
      </c>
      <c r="E47" s="67" t="e">
        <f t="shared" ca="1" si="16"/>
        <v>#N/A</v>
      </c>
      <c r="F47" s="67" t="e">
        <f t="shared" ca="1" si="17"/>
        <v>#N/A</v>
      </c>
      <c r="G47" s="67" t="e">
        <f t="shared" ca="1" si="18"/>
        <v>#N/A</v>
      </c>
      <c r="H47" s="67" t="e">
        <f>IF('Demand background (hide)'!AN35&lt;&gt;"",'SPC background (hide)'!C47,NA())</f>
        <v>#N/A</v>
      </c>
      <c r="I47" s="67">
        <f t="shared" ca="1" si="19"/>
        <v>1</v>
      </c>
      <c r="J47" s="5">
        <f t="shared" ca="1" si="20"/>
        <v>69.979541734860845</v>
      </c>
      <c r="K47" s="5">
        <f t="shared" ca="1" si="21"/>
        <v>211.65302782324056</v>
      </c>
      <c r="L47" s="5">
        <f t="shared" ca="1" si="22"/>
        <v>353.32651391162028</v>
      </c>
      <c r="M47" s="5">
        <f t="shared" ca="1" si="23"/>
        <v>495</v>
      </c>
      <c r="N47" s="5">
        <f t="shared" ca="1" si="24"/>
        <v>636.67348608837972</v>
      </c>
      <c r="O47" s="5">
        <f t="shared" ca="1" si="25"/>
        <v>778.34697217675944</v>
      </c>
      <c r="P47" s="5">
        <f t="shared" ca="1" si="26"/>
        <v>920.02045826513915</v>
      </c>
      <c r="Q47" s="5" t="e">
        <f t="shared" ca="1" si="27"/>
        <v>#N/A</v>
      </c>
      <c r="R47" s="5">
        <f t="shared" ca="1" si="32"/>
        <v>1</v>
      </c>
      <c r="S47" s="67" t="e">
        <f t="shared" ca="1" si="33"/>
        <v>#N/A</v>
      </c>
      <c r="T47" s="67">
        <f t="shared" ca="1" si="34"/>
        <v>1</v>
      </c>
      <c r="U47" s="67" t="e">
        <f t="shared" ca="1" si="35"/>
        <v>#N/A</v>
      </c>
      <c r="V47" s="5">
        <f t="shared" ca="1" si="14"/>
        <v>1</v>
      </c>
      <c r="W47" s="5" t="e">
        <f t="shared" ca="1" si="28"/>
        <v>#N/A</v>
      </c>
      <c r="X47" s="67">
        <f t="shared" ca="1" si="29"/>
        <v>-1</v>
      </c>
      <c r="Y47" s="67" t="e">
        <f t="shared" ca="1" si="36"/>
        <v>#N/A</v>
      </c>
      <c r="Z47" s="67" t="e">
        <f t="shared" ca="1" si="37"/>
        <v>#N/A</v>
      </c>
      <c r="AA47" s="5" t="str">
        <f>IF(Setup!$I$15="Yes",'Demand background (hide)'!AJ35+'SPC background (hide)'!C47,"")</f>
        <v/>
      </c>
      <c r="AC47" s="5">
        <f t="shared" ca="1" si="30"/>
        <v>551.5</v>
      </c>
      <c r="AD47" s="5">
        <f t="shared" ca="1" si="31"/>
        <v>664</v>
      </c>
      <c r="AG47" s="67">
        <f t="shared" ca="1" si="12"/>
        <v>52</v>
      </c>
      <c r="AH47" s="67">
        <v>46</v>
      </c>
      <c r="AI47" s="67">
        <f t="shared" ca="1" si="4"/>
        <v>1</v>
      </c>
      <c r="AJ47" s="39">
        <f t="shared" ca="1" si="5"/>
        <v>141.67348608837972</v>
      </c>
      <c r="AK47" s="39">
        <f t="shared" ca="1" si="6"/>
        <v>69.979541734860845</v>
      </c>
      <c r="AL47" s="39">
        <f t="shared" ca="1" si="7"/>
        <v>211.65302782324056</v>
      </c>
      <c r="AM47" s="39">
        <f t="shared" ca="1" si="8"/>
        <v>353.32651391162028</v>
      </c>
      <c r="AN47" s="39">
        <f t="shared" ca="1" si="9"/>
        <v>495</v>
      </c>
      <c r="AO47" s="39">
        <f t="shared" ca="1" si="0"/>
        <v>636.67348608837972</v>
      </c>
      <c r="AP47" s="39">
        <f t="shared" ca="1" si="1"/>
        <v>778.34697217675944</v>
      </c>
      <c r="AQ47" s="39">
        <f t="shared" ca="1" si="2"/>
        <v>920.02045826513915</v>
      </c>
      <c r="AR47" s="5">
        <f t="shared" ca="1" si="10"/>
        <v>551.5</v>
      </c>
      <c r="AS47" s="5">
        <f t="shared" ca="1" si="3"/>
        <v>664</v>
      </c>
      <c r="AT47" s="5">
        <f t="shared" ca="1" si="11"/>
        <v>0</v>
      </c>
    </row>
    <row r="48" spans="1:46" x14ac:dyDescent="0.2">
      <c r="A48" s="67">
        <f ca="1">Demand!C45</f>
        <v>45</v>
      </c>
      <c r="B48" s="67">
        <v>33</v>
      </c>
      <c r="C48" s="5">
        <f ca="1">'Demand background (hide)'!Y36</f>
        <v>450</v>
      </c>
      <c r="D48" s="67">
        <f t="shared" si="15"/>
        <v>0</v>
      </c>
      <c r="E48" s="67" t="e">
        <f t="shared" ca="1" si="16"/>
        <v>#N/A</v>
      </c>
      <c r="F48" s="67" t="e">
        <f t="shared" ca="1" si="17"/>
        <v>#N/A</v>
      </c>
      <c r="G48" s="67" t="e">
        <f t="shared" ca="1" si="18"/>
        <v>#N/A</v>
      </c>
      <c r="H48" s="67" t="e">
        <f>IF('Demand background (hide)'!AN36&lt;&gt;"",'SPC background (hide)'!C48,NA())</f>
        <v>#N/A</v>
      </c>
      <c r="I48" s="67">
        <f t="shared" ca="1" si="19"/>
        <v>1</v>
      </c>
      <c r="J48" s="5">
        <f t="shared" ca="1" si="20"/>
        <v>69.979541734860845</v>
      </c>
      <c r="K48" s="5">
        <f t="shared" ca="1" si="21"/>
        <v>211.65302782324056</v>
      </c>
      <c r="L48" s="5">
        <f t="shared" ca="1" si="22"/>
        <v>353.32651391162028</v>
      </c>
      <c r="M48" s="5">
        <f t="shared" ca="1" si="23"/>
        <v>495</v>
      </c>
      <c r="N48" s="5">
        <f t="shared" ca="1" si="24"/>
        <v>636.67348608837972</v>
      </c>
      <c r="O48" s="5">
        <f t="shared" ca="1" si="25"/>
        <v>778.34697217675944</v>
      </c>
      <c r="P48" s="5">
        <f t="shared" ca="1" si="26"/>
        <v>920.02045826513915</v>
      </c>
      <c r="Q48" s="5" t="e">
        <f t="shared" ca="1" si="27"/>
        <v>#N/A</v>
      </c>
      <c r="R48" s="5">
        <f t="shared" ca="1" si="32"/>
        <v>-1</v>
      </c>
      <c r="S48" s="67" t="e">
        <f t="shared" ca="1" si="33"/>
        <v>#N/A</v>
      </c>
      <c r="T48" s="67">
        <f t="shared" ca="1" si="34"/>
        <v>-1</v>
      </c>
      <c r="U48" s="67" t="e">
        <f t="shared" ca="1" si="35"/>
        <v>#N/A</v>
      </c>
      <c r="V48" s="5">
        <f t="shared" ca="1" si="14"/>
        <v>-1</v>
      </c>
      <c r="W48" s="5" t="e">
        <f t="shared" ca="1" si="28"/>
        <v>#N/A</v>
      </c>
      <c r="X48" s="67">
        <f t="shared" ca="1" si="29"/>
        <v>-1</v>
      </c>
      <c r="Y48" s="67" t="e">
        <f t="shared" ca="1" si="36"/>
        <v>#N/A</v>
      </c>
      <c r="Z48" s="67" t="e">
        <f t="shared" ca="1" si="37"/>
        <v>#N/A</v>
      </c>
      <c r="AA48" s="5" t="str">
        <f>IF(Setup!$I$15="Yes",'Demand background (hide)'!AJ36+'SPC background (hide)'!C48,"")</f>
        <v/>
      </c>
      <c r="AC48" s="5">
        <f t="shared" ca="1" si="30"/>
        <v>551.5</v>
      </c>
      <c r="AD48" s="5">
        <f t="shared" ca="1" si="31"/>
        <v>664</v>
      </c>
      <c r="AG48" s="67">
        <f t="shared" ca="1" si="12"/>
        <v>53</v>
      </c>
      <c r="AH48" s="67">
        <v>47</v>
      </c>
      <c r="AI48" s="67">
        <f t="shared" ca="1" si="4"/>
        <v>1</v>
      </c>
      <c r="AJ48" s="39">
        <f t="shared" ca="1" si="5"/>
        <v>141.67348608837972</v>
      </c>
      <c r="AK48" s="39">
        <f t="shared" ca="1" si="6"/>
        <v>69.979541734860845</v>
      </c>
      <c r="AL48" s="39">
        <f t="shared" ca="1" si="7"/>
        <v>211.65302782324056</v>
      </c>
      <c r="AM48" s="39">
        <f t="shared" ca="1" si="8"/>
        <v>353.32651391162028</v>
      </c>
      <c r="AN48" s="39">
        <f t="shared" ca="1" si="9"/>
        <v>495</v>
      </c>
      <c r="AO48" s="39">
        <f t="shared" ca="1" si="0"/>
        <v>636.67348608837972</v>
      </c>
      <c r="AP48" s="39">
        <f t="shared" ca="1" si="1"/>
        <v>778.34697217675944</v>
      </c>
      <c r="AQ48" s="39">
        <f t="shared" ca="1" si="2"/>
        <v>920.02045826513915</v>
      </c>
      <c r="AR48" s="5">
        <f t="shared" ca="1" si="10"/>
        <v>551.5</v>
      </c>
      <c r="AS48" s="5">
        <f t="shared" ca="1" si="3"/>
        <v>664</v>
      </c>
      <c r="AT48" s="5">
        <f t="shared" ca="1" si="11"/>
        <v>0</v>
      </c>
    </row>
    <row r="49" spans="1:46" x14ac:dyDescent="0.2">
      <c r="A49" s="67">
        <f ca="1">Demand!C46</f>
        <v>46</v>
      </c>
      <c r="B49" s="67">
        <v>34</v>
      </c>
      <c r="C49" s="5">
        <f ca="1">'Demand background (hide)'!Y37</f>
        <v>460</v>
      </c>
      <c r="D49" s="67">
        <f t="shared" si="15"/>
        <v>0</v>
      </c>
      <c r="E49" s="67" t="e">
        <f t="shared" ca="1" si="16"/>
        <v>#N/A</v>
      </c>
      <c r="F49" s="67" t="e">
        <f t="shared" ca="1" si="17"/>
        <v>#N/A</v>
      </c>
      <c r="G49" s="67" t="e">
        <f t="shared" ca="1" si="18"/>
        <v>#N/A</v>
      </c>
      <c r="H49" s="67" t="e">
        <f>IF('Demand background (hide)'!AN37&lt;&gt;"",'SPC background (hide)'!C49,NA())</f>
        <v>#N/A</v>
      </c>
      <c r="I49" s="67">
        <f t="shared" ca="1" si="19"/>
        <v>1</v>
      </c>
      <c r="J49" s="5">
        <f t="shared" ca="1" si="20"/>
        <v>69.979541734860845</v>
      </c>
      <c r="K49" s="5">
        <f t="shared" ca="1" si="21"/>
        <v>211.65302782324056</v>
      </c>
      <c r="L49" s="5">
        <f t="shared" ca="1" si="22"/>
        <v>353.32651391162028</v>
      </c>
      <c r="M49" s="5">
        <f t="shared" ca="1" si="23"/>
        <v>495</v>
      </c>
      <c r="N49" s="5">
        <f t="shared" ca="1" si="24"/>
        <v>636.67348608837972</v>
      </c>
      <c r="O49" s="5">
        <f t="shared" ca="1" si="25"/>
        <v>778.34697217675944</v>
      </c>
      <c r="P49" s="5">
        <f t="shared" ca="1" si="26"/>
        <v>920.02045826513915</v>
      </c>
      <c r="Q49" s="5" t="e">
        <f t="shared" ca="1" si="27"/>
        <v>#N/A</v>
      </c>
      <c r="R49" s="5">
        <f t="shared" ca="1" si="32"/>
        <v>-1</v>
      </c>
      <c r="S49" s="67" t="e">
        <f t="shared" ca="1" si="33"/>
        <v>#N/A</v>
      </c>
      <c r="T49" s="67">
        <f t="shared" ca="1" si="34"/>
        <v>-1</v>
      </c>
      <c r="U49" s="67" t="e">
        <f t="shared" ca="1" si="35"/>
        <v>#N/A</v>
      </c>
      <c r="V49" s="5">
        <f t="shared" ca="1" si="14"/>
        <v>-1</v>
      </c>
      <c r="W49" s="5" t="e">
        <f t="shared" ca="1" si="28"/>
        <v>#N/A</v>
      </c>
      <c r="X49" s="67">
        <f t="shared" ca="1" si="29"/>
        <v>1</v>
      </c>
      <c r="Y49" s="67" t="e">
        <f t="shared" ca="1" si="36"/>
        <v>#N/A</v>
      </c>
      <c r="Z49" s="67" t="e">
        <f t="shared" ca="1" si="37"/>
        <v>#N/A</v>
      </c>
      <c r="AA49" s="5" t="str">
        <f>IF(Setup!$I$15="Yes",'Demand background (hide)'!AJ37+'SPC background (hide)'!C49,"")</f>
        <v/>
      </c>
      <c r="AC49" s="5">
        <f t="shared" ca="1" si="30"/>
        <v>551.5</v>
      </c>
      <c r="AD49" s="5">
        <f t="shared" ca="1" si="31"/>
        <v>664</v>
      </c>
      <c r="AG49" s="67">
        <f t="shared" ca="1" si="12"/>
        <v>1</v>
      </c>
      <c r="AH49" s="67">
        <v>48</v>
      </c>
      <c r="AI49" s="67">
        <f t="shared" ca="1" si="4"/>
        <v>1</v>
      </c>
      <c r="AJ49" s="39">
        <f t="shared" ca="1" si="5"/>
        <v>141.67348608837972</v>
      </c>
      <c r="AK49" s="39">
        <f t="shared" ca="1" si="6"/>
        <v>69.979541734860845</v>
      </c>
      <c r="AL49" s="39">
        <f t="shared" ca="1" si="7"/>
        <v>211.65302782324056</v>
      </c>
      <c r="AM49" s="39">
        <f t="shared" ca="1" si="8"/>
        <v>353.32651391162028</v>
      </c>
      <c r="AN49" s="39">
        <f t="shared" ca="1" si="9"/>
        <v>495</v>
      </c>
      <c r="AO49" s="39">
        <f t="shared" ca="1" si="0"/>
        <v>636.67348608837972</v>
      </c>
      <c r="AP49" s="39">
        <f t="shared" ca="1" si="1"/>
        <v>778.34697217675944</v>
      </c>
      <c r="AQ49" s="39">
        <f t="shared" ca="1" si="2"/>
        <v>920.02045826513915</v>
      </c>
      <c r="AR49" s="5">
        <f t="shared" ca="1" si="10"/>
        <v>551.5</v>
      </c>
      <c r="AS49" s="5">
        <f t="shared" ca="1" si="3"/>
        <v>664</v>
      </c>
      <c r="AT49" s="5">
        <f t="shared" ca="1" si="11"/>
        <v>0</v>
      </c>
    </row>
    <row r="50" spans="1:46" x14ac:dyDescent="0.2">
      <c r="A50" s="67">
        <f ca="1">Demand!C47</f>
        <v>47</v>
      </c>
      <c r="B50" s="67">
        <v>35</v>
      </c>
      <c r="C50" s="5">
        <f ca="1">'Demand background (hide)'!Y38</f>
        <v>700</v>
      </c>
      <c r="D50" s="67">
        <f t="shared" si="15"/>
        <v>0</v>
      </c>
      <c r="E50" s="67" t="e">
        <f t="shared" ca="1" si="16"/>
        <v>#N/A</v>
      </c>
      <c r="F50" s="67" t="e">
        <f t="shared" ca="1" si="17"/>
        <v>#N/A</v>
      </c>
      <c r="G50" s="67" t="e">
        <f t="shared" ca="1" si="18"/>
        <v>#N/A</v>
      </c>
      <c r="H50" s="67" t="e">
        <f>IF('Demand background (hide)'!AN38&lt;&gt;"",'SPC background (hide)'!C50,NA())</f>
        <v>#N/A</v>
      </c>
      <c r="I50" s="67">
        <f t="shared" ca="1" si="19"/>
        <v>1</v>
      </c>
      <c r="J50" s="5">
        <f t="shared" ca="1" si="20"/>
        <v>69.979541734860845</v>
      </c>
      <c r="K50" s="5">
        <f t="shared" ca="1" si="21"/>
        <v>211.65302782324056</v>
      </c>
      <c r="L50" s="5">
        <f t="shared" ca="1" si="22"/>
        <v>353.32651391162028</v>
      </c>
      <c r="M50" s="5">
        <f t="shared" ca="1" si="23"/>
        <v>495</v>
      </c>
      <c r="N50" s="5">
        <f t="shared" ca="1" si="24"/>
        <v>636.67348608837972</v>
      </c>
      <c r="O50" s="5">
        <f t="shared" ca="1" si="25"/>
        <v>778.34697217675944</v>
      </c>
      <c r="P50" s="5">
        <f t="shared" ca="1" si="26"/>
        <v>920.02045826513915</v>
      </c>
      <c r="Q50" s="5" t="e">
        <f t="shared" ca="1" si="27"/>
        <v>#N/A</v>
      </c>
      <c r="R50" s="5">
        <f t="shared" ca="1" si="32"/>
        <v>1</v>
      </c>
      <c r="S50" s="67" t="e">
        <f t="shared" ca="1" si="33"/>
        <v>#N/A</v>
      </c>
      <c r="T50" s="67">
        <f t="shared" ca="1" si="34"/>
        <v>2</v>
      </c>
      <c r="U50" s="67" t="e">
        <f t="shared" ca="1" si="35"/>
        <v>#N/A</v>
      </c>
      <c r="V50" s="5">
        <f t="shared" ca="1" si="14"/>
        <v>1</v>
      </c>
      <c r="W50" s="5" t="e">
        <f t="shared" ca="1" si="28"/>
        <v>#N/A</v>
      </c>
      <c r="X50" s="67">
        <f t="shared" ca="1" si="29"/>
        <v>1</v>
      </c>
      <c r="Y50" s="67" t="e">
        <f t="shared" ca="1" si="36"/>
        <v>#N/A</v>
      </c>
      <c r="Z50" s="67" t="e">
        <f t="shared" ca="1" si="37"/>
        <v>#N/A</v>
      </c>
      <c r="AA50" s="5" t="str">
        <f>IF(Setup!$I$15="Yes",'Demand background (hide)'!AJ38+'SPC background (hide)'!C50,"")</f>
        <v/>
      </c>
      <c r="AC50" s="5">
        <f t="shared" ca="1" si="30"/>
        <v>551.5</v>
      </c>
      <c r="AD50" s="5">
        <f t="shared" ca="1" si="31"/>
        <v>664</v>
      </c>
      <c r="AG50" s="67">
        <f t="shared" ca="1" si="12"/>
        <v>2</v>
      </c>
      <c r="AH50" s="67">
        <v>49</v>
      </c>
      <c r="AI50" s="67">
        <f t="shared" ca="1" si="4"/>
        <v>1</v>
      </c>
      <c r="AJ50" s="39">
        <f t="shared" ca="1" si="5"/>
        <v>141.67348608837972</v>
      </c>
      <c r="AK50" s="39">
        <f t="shared" ca="1" si="6"/>
        <v>69.979541734860845</v>
      </c>
      <c r="AL50" s="39">
        <f t="shared" ca="1" si="7"/>
        <v>211.65302782324056</v>
      </c>
      <c r="AM50" s="39">
        <f t="shared" ca="1" si="8"/>
        <v>353.32651391162028</v>
      </c>
      <c r="AN50" s="39">
        <f t="shared" ca="1" si="9"/>
        <v>495</v>
      </c>
      <c r="AO50" s="39">
        <f t="shared" ca="1" si="0"/>
        <v>636.67348608837972</v>
      </c>
      <c r="AP50" s="39">
        <f t="shared" ca="1" si="1"/>
        <v>778.34697217675944</v>
      </c>
      <c r="AQ50" s="39">
        <f t="shared" ca="1" si="2"/>
        <v>920.02045826513915</v>
      </c>
      <c r="AR50" s="5">
        <f t="shared" ca="1" si="10"/>
        <v>551.5</v>
      </c>
      <c r="AS50" s="5">
        <f t="shared" ca="1" si="3"/>
        <v>664</v>
      </c>
      <c r="AT50" s="5">
        <f t="shared" ca="1" si="11"/>
        <v>0</v>
      </c>
    </row>
    <row r="51" spans="1:46" x14ac:dyDescent="0.2">
      <c r="A51" s="67">
        <f ca="1">Demand!C48</f>
        <v>48</v>
      </c>
      <c r="B51" s="67">
        <v>36</v>
      </c>
      <c r="C51" s="5">
        <f ca="1">'Demand background (hide)'!Y39</f>
        <v>570</v>
      </c>
      <c r="D51" s="67">
        <f t="shared" si="15"/>
        <v>0</v>
      </c>
      <c r="E51" s="67" t="e">
        <f t="shared" ca="1" si="16"/>
        <v>#N/A</v>
      </c>
      <c r="F51" s="67" t="e">
        <f t="shared" ca="1" si="17"/>
        <v>#N/A</v>
      </c>
      <c r="G51" s="67" t="e">
        <f t="shared" ca="1" si="18"/>
        <v>#N/A</v>
      </c>
      <c r="H51" s="67" t="e">
        <f>IF('Demand background (hide)'!AN39&lt;&gt;"",'SPC background (hide)'!C51,NA())</f>
        <v>#N/A</v>
      </c>
      <c r="I51" s="67">
        <f t="shared" ca="1" si="19"/>
        <v>1</v>
      </c>
      <c r="J51" s="5">
        <f t="shared" ca="1" si="20"/>
        <v>69.979541734860845</v>
      </c>
      <c r="K51" s="5">
        <f t="shared" ca="1" si="21"/>
        <v>211.65302782324056</v>
      </c>
      <c r="L51" s="5">
        <f t="shared" ca="1" si="22"/>
        <v>353.32651391162028</v>
      </c>
      <c r="M51" s="5">
        <f t="shared" ca="1" si="23"/>
        <v>495</v>
      </c>
      <c r="N51" s="5">
        <f t="shared" ca="1" si="24"/>
        <v>636.67348608837972</v>
      </c>
      <c r="O51" s="5">
        <f t="shared" ca="1" si="25"/>
        <v>778.34697217675944</v>
      </c>
      <c r="P51" s="5">
        <f t="shared" ca="1" si="26"/>
        <v>920.02045826513915</v>
      </c>
      <c r="Q51" s="5" t="e">
        <f t="shared" ca="1" si="27"/>
        <v>#N/A</v>
      </c>
      <c r="R51" s="5">
        <f t="shared" ca="1" si="32"/>
        <v>1</v>
      </c>
      <c r="S51" s="67" t="e">
        <f t="shared" ca="1" si="33"/>
        <v>#N/A</v>
      </c>
      <c r="T51" s="67">
        <f t="shared" ca="1" si="34"/>
        <v>1</v>
      </c>
      <c r="U51" s="67" t="e">
        <f t="shared" ca="1" si="35"/>
        <v>#N/A</v>
      </c>
      <c r="V51" s="5">
        <f t="shared" ca="1" si="14"/>
        <v>1</v>
      </c>
      <c r="W51" s="5" t="e">
        <f t="shared" ca="1" si="28"/>
        <v>#N/A</v>
      </c>
      <c r="X51" s="67">
        <f t="shared" ca="1" si="29"/>
        <v>-1</v>
      </c>
      <c r="Y51" s="67" t="e">
        <f t="shared" ca="1" si="36"/>
        <v>#N/A</v>
      </c>
      <c r="Z51" s="67" t="e">
        <f t="shared" ca="1" si="37"/>
        <v>#N/A</v>
      </c>
      <c r="AA51" s="5" t="str">
        <f>IF(Setup!$I$15="Yes",'Demand background (hide)'!AJ39+'SPC background (hide)'!C51,"")</f>
        <v/>
      </c>
      <c r="AC51" s="5">
        <f t="shared" ca="1" si="30"/>
        <v>551.5</v>
      </c>
      <c r="AD51" s="5">
        <f t="shared" ca="1" si="31"/>
        <v>664</v>
      </c>
      <c r="AG51" s="67">
        <f t="shared" ca="1" si="12"/>
        <v>3</v>
      </c>
      <c r="AH51" s="67">
        <v>50</v>
      </c>
      <c r="AI51" s="67">
        <f t="shared" ca="1" si="4"/>
        <v>1</v>
      </c>
      <c r="AJ51" s="39">
        <f t="shared" ca="1" si="5"/>
        <v>141.67348608837972</v>
      </c>
      <c r="AK51" s="39">
        <f t="shared" ca="1" si="6"/>
        <v>69.979541734860845</v>
      </c>
      <c r="AL51" s="39">
        <f t="shared" ca="1" si="7"/>
        <v>211.65302782324056</v>
      </c>
      <c r="AM51" s="39">
        <f t="shared" ca="1" si="8"/>
        <v>353.32651391162028</v>
      </c>
      <c r="AN51" s="39">
        <f t="shared" ca="1" si="9"/>
        <v>495</v>
      </c>
      <c r="AO51" s="39">
        <f t="shared" ca="1" si="0"/>
        <v>636.67348608837972</v>
      </c>
      <c r="AP51" s="39">
        <f t="shared" ca="1" si="1"/>
        <v>778.34697217675944</v>
      </c>
      <c r="AQ51" s="39">
        <f t="shared" ca="1" si="2"/>
        <v>920.02045826513915</v>
      </c>
      <c r="AR51" s="5">
        <f t="shared" ca="1" si="10"/>
        <v>551.5</v>
      </c>
      <c r="AS51" s="5">
        <f t="shared" ca="1" si="3"/>
        <v>664</v>
      </c>
      <c r="AT51" s="5">
        <f t="shared" ca="1" si="11"/>
        <v>0</v>
      </c>
    </row>
    <row r="52" spans="1:46" x14ac:dyDescent="0.2">
      <c r="A52" s="67">
        <f ca="1">Demand!C49</f>
        <v>49</v>
      </c>
      <c r="B52" s="67">
        <v>37</v>
      </c>
      <c r="C52" s="5">
        <f ca="1">'Demand background (hide)'!Y40</f>
        <v>600</v>
      </c>
      <c r="D52" s="67">
        <f t="shared" si="15"/>
        <v>0</v>
      </c>
      <c r="E52" s="67" t="e">
        <f t="shared" ca="1" si="16"/>
        <v>#N/A</v>
      </c>
      <c r="F52" s="67" t="e">
        <f t="shared" ca="1" si="17"/>
        <v>#N/A</v>
      </c>
      <c r="G52" s="67" t="e">
        <f t="shared" ca="1" si="18"/>
        <v>#N/A</v>
      </c>
      <c r="H52" s="67" t="e">
        <f>IF('Demand background (hide)'!AN40&lt;&gt;"",'SPC background (hide)'!C52,NA())</f>
        <v>#N/A</v>
      </c>
      <c r="I52" s="67">
        <f t="shared" ca="1" si="19"/>
        <v>1</v>
      </c>
      <c r="J52" s="5">
        <f t="shared" ca="1" si="20"/>
        <v>69.979541734860845</v>
      </c>
      <c r="K52" s="5">
        <f t="shared" ca="1" si="21"/>
        <v>211.65302782324056</v>
      </c>
      <c r="L52" s="5">
        <f t="shared" ca="1" si="22"/>
        <v>353.32651391162028</v>
      </c>
      <c r="M52" s="5">
        <f t="shared" ca="1" si="23"/>
        <v>495</v>
      </c>
      <c r="N52" s="5">
        <f t="shared" ca="1" si="24"/>
        <v>636.67348608837972</v>
      </c>
      <c r="O52" s="5">
        <f t="shared" ca="1" si="25"/>
        <v>778.34697217675944</v>
      </c>
      <c r="P52" s="5">
        <f t="shared" ca="1" si="26"/>
        <v>920.02045826513915</v>
      </c>
      <c r="Q52" s="5" t="e">
        <f t="shared" ca="1" si="27"/>
        <v>#N/A</v>
      </c>
      <c r="R52" s="5">
        <f t="shared" ca="1" si="32"/>
        <v>1</v>
      </c>
      <c r="S52" s="67" t="e">
        <f t="shared" ca="1" si="33"/>
        <v>#N/A</v>
      </c>
      <c r="T52" s="67">
        <f t="shared" ca="1" si="34"/>
        <v>1</v>
      </c>
      <c r="U52" s="67" t="e">
        <f t="shared" ca="1" si="35"/>
        <v>#N/A</v>
      </c>
      <c r="V52" s="5">
        <f t="shared" ca="1" si="14"/>
        <v>1</v>
      </c>
      <c r="W52" s="5" t="e">
        <f t="shared" ca="1" si="28"/>
        <v>#N/A</v>
      </c>
      <c r="X52" s="67">
        <f t="shared" ca="1" si="29"/>
        <v>1</v>
      </c>
      <c r="Y52" s="67" t="e">
        <f t="shared" ca="1" si="36"/>
        <v>#N/A</v>
      </c>
      <c r="Z52" s="67" t="e">
        <f t="shared" ca="1" si="37"/>
        <v>#N/A</v>
      </c>
      <c r="AA52" s="5" t="str">
        <f>IF(Setup!$I$15="Yes",'Demand background (hide)'!AJ40+'SPC background (hide)'!C52,"")</f>
        <v/>
      </c>
      <c r="AC52" s="5">
        <f t="shared" ca="1" si="30"/>
        <v>551.5</v>
      </c>
      <c r="AD52" s="5">
        <f t="shared" ca="1" si="31"/>
        <v>664</v>
      </c>
      <c r="AG52" s="67">
        <f t="shared" ca="1" si="12"/>
        <v>4</v>
      </c>
      <c r="AH52" s="67">
        <v>51</v>
      </c>
      <c r="AI52" s="67">
        <f t="shared" ca="1" si="4"/>
        <v>1</v>
      </c>
      <c r="AJ52" s="39">
        <f t="shared" ca="1" si="5"/>
        <v>141.67348608837972</v>
      </c>
      <c r="AK52" s="39">
        <f t="shared" ca="1" si="6"/>
        <v>69.979541734860845</v>
      </c>
      <c r="AL52" s="39">
        <f t="shared" ca="1" si="7"/>
        <v>211.65302782324056</v>
      </c>
      <c r="AM52" s="39">
        <f t="shared" ca="1" si="8"/>
        <v>353.32651391162028</v>
      </c>
      <c r="AN52" s="39">
        <f t="shared" ca="1" si="9"/>
        <v>495</v>
      </c>
      <c r="AO52" s="39">
        <f t="shared" ca="1" si="0"/>
        <v>636.67348608837972</v>
      </c>
      <c r="AP52" s="39">
        <f t="shared" ca="1" si="1"/>
        <v>778.34697217675944</v>
      </c>
      <c r="AQ52" s="39">
        <f t="shared" ca="1" si="2"/>
        <v>920.02045826513915</v>
      </c>
      <c r="AR52" s="5">
        <f t="shared" ca="1" si="10"/>
        <v>551.5</v>
      </c>
      <c r="AS52" s="5">
        <f t="shared" ca="1" si="3"/>
        <v>664</v>
      </c>
      <c r="AT52" s="5">
        <f t="shared" ca="1" si="11"/>
        <v>0</v>
      </c>
    </row>
    <row r="53" spans="1:46" x14ac:dyDescent="0.2">
      <c r="A53" s="67">
        <f ca="1">Demand!C50</f>
        <v>50</v>
      </c>
      <c r="B53" s="67">
        <v>38</v>
      </c>
      <c r="C53" s="5">
        <f ca="1">'Demand background (hide)'!Y41</f>
        <v>510</v>
      </c>
      <c r="D53" s="67">
        <f t="shared" si="15"/>
        <v>0</v>
      </c>
      <c r="E53" s="67" t="e">
        <f t="shared" ca="1" si="16"/>
        <v>#N/A</v>
      </c>
      <c r="F53" s="67" t="e">
        <f t="shared" ca="1" si="17"/>
        <v>#N/A</v>
      </c>
      <c r="G53" s="67" t="e">
        <f t="shared" ca="1" si="18"/>
        <v>#N/A</v>
      </c>
      <c r="H53" s="67" t="e">
        <f>IF('Demand background (hide)'!AN41&lt;&gt;"",'SPC background (hide)'!C53,NA())</f>
        <v>#N/A</v>
      </c>
      <c r="I53" s="67">
        <f t="shared" ca="1" si="19"/>
        <v>1</v>
      </c>
      <c r="J53" s="5">
        <f t="shared" ca="1" si="20"/>
        <v>69.979541734860845</v>
      </c>
      <c r="K53" s="5">
        <f t="shared" ca="1" si="21"/>
        <v>211.65302782324056</v>
      </c>
      <c r="L53" s="5">
        <f t="shared" ca="1" si="22"/>
        <v>353.32651391162028</v>
      </c>
      <c r="M53" s="5">
        <f t="shared" ca="1" si="23"/>
        <v>495</v>
      </c>
      <c r="N53" s="5">
        <f t="shared" ca="1" si="24"/>
        <v>636.67348608837972</v>
      </c>
      <c r="O53" s="5">
        <f t="shared" ca="1" si="25"/>
        <v>778.34697217675944</v>
      </c>
      <c r="P53" s="5">
        <f t="shared" ca="1" si="26"/>
        <v>920.02045826513915</v>
      </c>
      <c r="Q53" s="5" t="e">
        <f t="shared" ca="1" si="27"/>
        <v>#N/A</v>
      </c>
      <c r="R53" s="5">
        <f t="shared" ca="1" si="32"/>
        <v>1</v>
      </c>
      <c r="S53" s="67" t="e">
        <f t="shared" ca="1" si="33"/>
        <v>#N/A</v>
      </c>
      <c r="T53" s="67">
        <f t="shared" ca="1" si="34"/>
        <v>1</v>
      </c>
      <c r="U53" s="67" t="e">
        <f t="shared" ca="1" si="35"/>
        <v>#N/A</v>
      </c>
      <c r="V53" s="5">
        <f t="shared" ca="1" si="14"/>
        <v>1</v>
      </c>
      <c r="W53" s="5" t="e">
        <f t="shared" ca="1" si="28"/>
        <v>#N/A</v>
      </c>
      <c r="X53" s="67">
        <f t="shared" ca="1" si="29"/>
        <v>-1</v>
      </c>
      <c r="Y53" s="67" t="e">
        <f t="shared" ca="1" si="36"/>
        <v>#N/A</v>
      </c>
      <c r="Z53" s="67" t="e">
        <f t="shared" ca="1" si="37"/>
        <v>#N/A</v>
      </c>
      <c r="AA53" s="5" t="str">
        <f>IF(Setup!$I$15="Yes",'Demand background (hide)'!AJ41+'SPC background (hide)'!C53,"")</f>
        <v/>
      </c>
      <c r="AC53" s="5">
        <f t="shared" ca="1" si="30"/>
        <v>551.5</v>
      </c>
      <c r="AD53" s="5">
        <f t="shared" ca="1" si="31"/>
        <v>664</v>
      </c>
      <c r="AG53" s="67">
        <f t="shared" ca="1" si="12"/>
        <v>5</v>
      </c>
      <c r="AH53" s="67">
        <v>52</v>
      </c>
      <c r="AI53" s="67">
        <f t="shared" ca="1" si="4"/>
        <v>1</v>
      </c>
      <c r="AJ53" s="39">
        <f t="shared" ca="1" si="5"/>
        <v>141.67348608837972</v>
      </c>
      <c r="AK53" s="39">
        <f t="shared" ca="1" si="6"/>
        <v>69.979541734860845</v>
      </c>
      <c r="AL53" s="39">
        <f t="shared" ca="1" si="7"/>
        <v>211.65302782324056</v>
      </c>
      <c r="AM53" s="39">
        <f t="shared" ca="1" si="8"/>
        <v>353.32651391162028</v>
      </c>
      <c r="AN53" s="39">
        <f t="shared" ca="1" si="9"/>
        <v>495</v>
      </c>
      <c r="AO53" s="39">
        <f t="shared" ca="1" si="0"/>
        <v>636.67348608837972</v>
      </c>
      <c r="AP53" s="39">
        <f t="shared" ca="1" si="1"/>
        <v>778.34697217675944</v>
      </c>
      <c r="AQ53" s="39">
        <f t="shared" ca="1" si="2"/>
        <v>920.02045826513915</v>
      </c>
      <c r="AR53" s="5">
        <f t="shared" ca="1" si="10"/>
        <v>551.5</v>
      </c>
      <c r="AS53" s="5">
        <f t="shared" ca="1" si="3"/>
        <v>664</v>
      </c>
      <c r="AT53" s="5">
        <f t="shared" ca="1" si="11"/>
        <v>0</v>
      </c>
    </row>
    <row r="54" spans="1:46" x14ac:dyDescent="0.2">
      <c r="A54" s="67">
        <f ca="1">Demand!C51</f>
        <v>51</v>
      </c>
      <c r="B54" s="67">
        <v>39</v>
      </c>
      <c r="C54" s="5">
        <f ca="1">'Demand background (hide)'!Y42</f>
        <v>300</v>
      </c>
      <c r="D54" s="67">
        <f t="shared" si="15"/>
        <v>0</v>
      </c>
      <c r="E54" s="67" t="e">
        <f t="shared" ca="1" si="16"/>
        <v>#N/A</v>
      </c>
      <c r="F54" s="67" t="e">
        <f t="shared" ca="1" si="17"/>
        <v>#N/A</v>
      </c>
      <c r="G54" s="67" t="e">
        <f t="shared" ca="1" si="18"/>
        <v>#N/A</v>
      </c>
      <c r="H54" s="67" t="e">
        <f>IF('Demand background (hide)'!AN42&lt;&gt;"",'SPC background (hide)'!C54,NA())</f>
        <v>#N/A</v>
      </c>
      <c r="I54" s="67">
        <f t="shared" ca="1" si="19"/>
        <v>1</v>
      </c>
      <c r="J54" s="5">
        <f t="shared" ca="1" si="20"/>
        <v>69.979541734860845</v>
      </c>
      <c r="K54" s="5">
        <f t="shared" ca="1" si="21"/>
        <v>211.65302782324056</v>
      </c>
      <c r="L54" s="5">
        <f t="shared" ca="1" si="22"/>
        <v>353.32651391162028</v>
      </c>
      <c r="M54" s="5">
        <f t="shared" ca="1" si="23"/>
        <v>495</v>
      </c>
      <c r="N54" s="5">
        <f t="shared" ca="1" si="24"/>
        <v>636.67348608837972</v>
      </c>
      <c r="O54" s="5">
        <f t="shared" ca="1" si="25"/>
        <v>778.34697217675944</v>
      </c>
      <c r="P54" s="5">
        <f t="shared" ca="1" si="26"/>
        <v>920.02045826513915</v>
      </c>
      <c r="Q54" s="5" t="e">
        <f t="shared" ca="1" si="27"/>
        <v>#N/A</v>
      </c>
      <c r="R54" s="5">
        <f t="shared" ca="1" si="32"/>
        <v>-1</v>
      </c>
      <c r="S54" s="67" t="e">
        <f t="shared" ca="1" si="33"/>
        <v>#N/A</v>
      </c>
      <c r="T54" s="67">
        <f t="shared" ca="1" si="34"/>
        <v>-2</v>
      </c>
      <c r="U54" s="67" t="e">
        <f t="shared" ca="1" si="35"/>
        <v>#N/A</v>
      </c>
      <c r="V54" s="5">
        <f t="shared" ca="1" si="14"/>
        <v>-1</v>
      </c>
      <c r="W54" s="5" t="e">
        <f t="shared" ca="1" si="28"/>
        <v>#N/A</v>
      </c>
      <c r="X54" s="67">
        <f t="shared" ca="1" si="29"/>
        <v>-1</v>
      </c>
      <c r="Y54" s="67" t="e">
        <f t="shared" ca="1" si="36"/>
        <v>#N/A</v>
      </c>
      <c r="Z54" s="67" t="e">
        <f t="shared" ca="1" si="37"/>
        <v>#N/A</v>
      </c>
      <c r="AA54" s="5" t="str">
        <f>IF(Setup!$I$15="Yes",'Demand background (hide)'!AJ42+'SPC background (hide)'!C54,"")</f>
        <v/>
      </c>
      <c r="AC54" s="5">
        <f t="shared" ca="1" si="30"/>
        <v>551.5</v>
      </c>
      <c r="AD54" s="5">
        <f t="shared" ca="1" si="31"/>
        <v>664</v>
      </c>
      <c r="AG54" s="67">
        <f t="shared" ca="1" si="12"/>
        <v>6</v>
      </c>
      <c r="AH54" s="67">
        <v>53</v>
      </c>
      <c r="AI54" s="67">
        <f t="shared" ca="1" si="4"/>
        <v>5</v>
      </c>
      <c r="AJ54" s="39">
        <f t="shared" ca="1" si="5"/>
        <v>141.67348608837972</v>
      </c>
      <c r="AK54" s="39">
        <f t="shared" ca="1" si="6"/>
        <v>69.979541734860845</v>
      </c>
      <c r="AL54" s="39">
        <f t="shared" ca="1" si="7"/>
        <v>211.65302782324056</v>
      </c>
      <c r="AM54" s="39">
        <f t="shared" ca="1" si="8"/>
        <v>353.32651391162028</v>
      </c>
      <c r="AN54" s="39">
        <f t="shared" ca="1" si="9"/>
        <v>495</v>
      </c>
      <c r="AO54" s="39">
        <f t="shared" ca="1" si="0"/>
        <v>636.67348608837972</v>
      </c>
      <c r="AP54" s="39">
        <f t="shared" ca="1" si="1"/>
        <v>778.34697217675944</v>
      </c>
      <c r="AQ54" s="39">
        <f t="shared" ca="1" si="2"/>
        <v>920.02045826513915</v>
      </c>
      <c r="AR54" s="5">
        <f t="shared" ca="1" si="10"/>
        <v>551.5</v>
      </c>
      <c r="AS54" s="5">
        <f t="shared" ca="1" si="3"/>
        <v>664</v>
      </c>
      <c r="AT54" s="5">
        <f t="shared" ca="1" si="11"/>
        <v>0</v>
      </c>
    </row>
    <row r="55" spans="1:46" x14ac:dyDescent="0.2">
      <c r="A55" s="67">
        <f ca="1">Demand!C52</f>
        <v>52</v>
      </c>
      <c r="B55" s="67">
        <v>40</v>
      </c>
      <c r="C55" s="5">
        <f ca="1">'Demand background (hide)'!Y43</f>
        <v>770</v>
      </c>
      <c r="D55" s="67">
        <f t="shared" si="15"/>
        <v>0</v>
      </c>
      <c r="E55" s="67" t="e">
        <f t="shared" ca="1" si="16"/>
        <v>#N/A</v>
      </c>
      <c r="F55" s="67" t="e">
        <f t="shared" ca="1" si="17"/>
        <v>#N/A</v>
      </c>
      <c r="G55" s="67" t="e">
        <f t="shared" ca="1" si="18"/>
        <v>#N/A</v>
      </c>
      <c r="H55" s="67" t="e">
        <f>IF('Demand background (hide)'!AN43&lt;&gt;"",'SPC background (hide)'!C55,NA())</f>
        <v>#N/A</v>
      </c>
      <c r="I55" s="67">
        <f t="shared" ca="1" si="19"/>
        <v>1</v>
      </c>
      <c r="J55" s="5">
        <f t="shared" ca="1" si="20"/>
        <v>69.979541734860845</v>
      </c>
      <c r="K55" s="5">
        <f t="shared" ca="1" si="21"/>
        <v>211.65302782324056</v>
      </c>
      <c r="L55" s="5">
        <f t="shared" ca="1" si="22"/>
        <v>353.32651391162028</v>
      </c>
      <c r="M55" s="5">
        <f t="shared" ca="1" si="23"/>
        <v>495</v>
      </c>
      <c r="N55" s="5">
        <f t="shared" ca="1" si="24"/>
        <v>636.67348608837972</v>
      </c>
      <c r="O55" s="5">
        <f t="shared" ca="1" si="25"/>
        <v>778.34697217675944</v>
      </c>
      <c r="P55" s="5">
        <f t="shared" ca="1" si="26"/>
        <v>920.02045826513915</v>
      </c>
      <c r="Q55" s="5" t="e">
        <f t="shared" ca="1" si="27"/>
        <v>#N/A</v>
      </c>
      <c r="R55" s="5">
        <f t="shared" ca="1" si="32"/>
        <v>1</v>
      </c>
      <c r="S55" s="67" t="e">
        <f t="shared" ca="1" si="33"/>
        <v>#N/A</v>
      </c>
      <c r="T55" s="67">
        <f t="shared" ca="1" si="34"/>
        <v>2</v>
      </c>
      <c r="U55" s="67" t="e">
        <f t="shared" ca="1" si="35"/>
        <v>#N/A</v>
      </c>
      <c r="V55" s="5">
        <f t="shared" ca="1" si="14"/>
        <v>1</v>
      </c>
      <c r="W55" s="5" t="e">
        <f t="shared" ca="1" si="28"/>
        <v>#N/A</v>
      </c>
      <c r="X55" s="67">
        <f t="shared" ca="1" si="29"/>
        <v>1</v>
      </c>
      <c r="Y55" s="67" t="e">
        <f t="shared" ca="1" si="36"/>
        <v>#N/A</v>
      </c>
      <c r="Z55" s="67" t="e">
        <f t="shared" ca="1" si="37"/>
        <v>#N/A</v>
      </c>
      <c r="AA55" s="5" t="str">
        <f>IF(Setup!$I$15="Yes",'Demand background (hide)'!AJ43+'SPC background (hide)'!C55,"")</f>
        <v/>
      </c>
      <c r="AC55" s="5">
        <f t="shared" ca="1" si="30"/>
        <v>551.5</v>
      </c>
      <c r="AD55" s="5">
        <f t="shared" ca="1" si="31"/>
        <v>664</v>
      </c>
    </row>
    <row r="56" spans="1:46" x14ac:dyDescent="0.2">
      <c r="A56" s="67">
        <f ca="1">Demand!C53</f>
        <v>1</v>
      </c>
      <c r="B56" s="67">
        <v>41</v>
      </c>
      <c r="C56" s="5">
        <f ca="1">'Demand background (hide)'!Y44</f>
        <v>510</v>
      </c>
      <c r="D56" s="67">
        <f t="shared" si="15"/>
        <v>0</v>
      </c>
      <c r="E56" s="67" t="e">
        <f t="shared" ca="1" si="16"/>
        <v>#N/A</v>
      </c>
      <c r="F56" s="67" t="e">
        <f t="shared" ca="1" si="17"/>
        <v>#N/A</v>
      </c>
      <c r="G56" s="67" t="e">
        <f t="shared" ca="1" si="18"/>
        <v>#N/A</v>
      </c>
      <c r="H56" s="67" t="e">
        <f>IF('Demand background (hide)'!AN44&lt;&gt;"",'SPC background (hide)'!C56,NA())</f>
        <v>#N/A</v>
      </c>
      <c r="I56" s="67">
        <f t="shared" ca="1" si="19"/>
        <v>1</v>
      </c>
      <c r="J56" s="5">
        <f t="shared" ca="1" si="20"/>
        <v>69.979541734860845</v>
      </c>
      <c r="K56" s="5">
        <f t="shared" ca="1" si="21"/>
        <v>211.65302782324056</v>
      </c>
      <c r="L56" s="5">
        <f t="shared" ca="1" si="22"/>
        <v>353.32651391162028</v>
      </c>
      <c r="M56" s="5">
        <f t="shared" ca="1" si="23"/>
        <v>495</v>
      </c>
      <c r="N56" s="5">
        <f t="shared" ca="1" si="24"/>
        <v>636.67348608837972</v>
      </c>
      <c r="O56" s="5">
        <f t="shared" ca="1" si="25"/>
        <v>778.34697217675944</v>
      </c>
      <c r="P56" s="5">
        <f t="shared" ca="1" si="26"/>
        <v>920.02045826513915</v>
      </c>
      <c r="Q56" s="5" t="e">
        <f t="shared" ca="1" si="27"/>
        <v>#N/A</v>
      </c>
      <c r="R56" s="5">
        <f t="shared" ca="1" si="32"/>
        <v>1</v>
      </c>
      <c r="S56" s="67" t="e">
        <f t="shared" ca="1" si="33"/>
        <v>#N/A</v>
      </c>
      <c r="T56" s="67">
        <f t="shared" ca="1" si="34"/>
        <v>1</v>
      </c>
      <c r="U56" s="67" t="e">
        <f t="shared" ca="1" si="35"/>
        <v>#N/A</v>
      </c>
      <c r="V56" s="5">
        <f t="shared" ca="1" si="14"/>
        <v>1</v>
      </c>
      <c r="W56" s="5" t="e">
        <f t="shared" ca="1" si="28"/>
        <v>#N/A</v>
      </c>
      <c r="X56" s="67">
        <f t="shared" ca="1" si="29"/>
        <v>-1</v>
      </c>
      <c r="Y56" s="67" t="e">
        <f t="shared" ca="1" si="36"/>
        <v>#N/A</v>
      </c>
      <c r="Z56" s="67" t="e">
        <f t="shared" ca="1" si="37"/>
        <v>#N/A</v>
      </c>
      <c r="AA56" s="5" t="str">
        <f>IF(Setup!$I$15="Yes",'Demand background (hide)'!AJ44+'SPC background (hide)'!C56,"")</f>
        <v/>
      </c>
      <c r="AC56" s="5">
        <f t="shared" ca="1" si="30"/>
        <v>551.5</v>
      </c>
      <c r="AD56" s="5">
        <f t="shared" ca="1" si="31"/>
        <v>664</v>
      </c>
    </row>
    <row r="57" spans="1:46" x14ac:dyDescent="0.2">
      <c r="A57" s="67">
        <f ca="1">Demand!C54</f>
        <v>2</v>
      </c>
      <c r="B57" s="67">
        <v>42</v>
      </c>
      <c r="C57" s="5">
        <f ca="1">'Demand background (hide)'!Y45</f>
        <v>440</v>
      </c>
      <c r="D57" s="67">
        <f t="shared" si="15"/>
        <v>0</v>
      </c>
      <c r="E57" s="67" t="e">
        <f t="shared" ca="1" si="16"/>
        <v>#N/A</v>
      </c>
      <c r="F57" s="67" t="e">
        <f t="shared" ca="1" si="17"/>
        <v>#N/A</v>
      </c>
      <c r="G57" s="67" t="e">
        <f t="shared" ca="1" si="18"/>
        <v>#N/A</v>
      </c>
      <c r="H57" s="67" t="e">
        <f>IF('Demand background (hide)'!AN45&lt;&gt;"",'SPC background (hide)'!C57,NA())</f>
        <v>#N/A</v>
      </c>
      <c r="I57" s="67">
        <f t="shared" ca="1" si="19"/>
        <v>1</v>
      </c>
      <c r="J57" s="5">
        <f t="shared" ca="1" si="20"/>
        <v>69.979541734860845</v>
      </c>
      <c r="K57" s="5">
        <f t="shared" ca="1" si="21"/>
        <v>211.65302782324056</v>
      </c>
      <c r="L57" s="5">
        <f t="shared" ca="1" si="22"/>
        <v>353.32651391162028</v>
      </c>
      <c r="M57" s="5">
        <f t="shared" ca="1" si="23"/>
        <v>495</v>
      </c>
      <c r="N57" s="5">
        <f t="shared" ca="1" si="24"/>
        <v>636.67348608837972</v>
      </c>
      <c r="O57" s="5">
        <f t="shared" ca="1" si="25"/>
        <v>778.34697217675944</v>
      </c>
      <c r="P57" s="5">
        <f t="shared" ca="1" si="26"/>
        <v>920.02045826513915</v>
      </c>
      <c r="Q57" s="5" t="e">
        <f t="shared" ca="1" si="27"/>
        <v>#N/A</v>
      </c>
      <c r="R57" s="5">
        <f t="shared" ca="1" si="32"/>
        <v>-1</v>
      </c>
      <c r="S57" s="67" t="e">
        <f t="shared" ca="1" si="33"/>
        <v>#N/A</v>
      </c>
      <c r="T57" s="67">
        <f t="shared" ca="1" si="34"/>
        <v>-1</v>
      </c>
      <c r="U57" s="67" t="e">
        <f t="shared" ca="1" si="35"/>
        <v>#N/A</v>
      </c>
      <c r="V57" s="5">
        <f t="shared" ca="1" si="14"/>
        <v>-1</v>
      </c>
      <c r="W57" s="5" t="e">
        <f t="shared" ca="1" si="28"/>
        <v>#N/A</v>
      </c>
      <c r="X57" s="67">
        <f t="shared" ca="1" si="29"/>
        <v>-1</v>
      </c>
      <c r="Y57" s="67" t="e">
        <f t="shared" ca="1" si="36"/>
        <v>#N/A</v>
      </c>
      <c r="Z57" s="67" t="e">
        <f t="shared" ca="1" si="37"/>
        <v>#N/A</v>
      </c>
      <c r="AA57" s="5" t="str">
        <f>IF(Setup!$I$15="Yes",'Demand background (hide)'!AJ45+'SPC background (hide)'!C57,"")</f>
        <v/>
      </c>
      <c r="AC57" s="5">
        <f t="shared" ca="1" si="30"/>
        <v>551.5</v>
      </c>
      <c r="AD57" s="5">
        <f t="shared" ca="1" si="31"/>
        <v>664</v>
      </c>
    </row>
    <row r="58" spans="1:46" x14ac:dyDescent="0.2">
      <c r="A58" s="67">
        <f ca="1">Demand!C55</f>
        <v>3</v>
      </c>
      <c r="B58" s="67">
        <v>43</v>
      </c>
      <c r="C58" s="5">
        <f ca="1">'Demand background (hide)'!Y46</f>
        <v>650</v>
      </c>
      <c r="D58" s="67">
        <f t="shared" si="15"/>
        <v>0</v>
      </c>
      <c r="E58" s="67" t="e">
        <f t="shared" ca="1" si="16"/>
        <v>#N/A</v>
      </c>
      <c r="F58" s="67" t="e">
        <f t="shared" ca="1" si="17"/>
        <v>#N/A</v>
      </c>
      <c r="G58" s="67" t="e">
        <f t="shared" ca="1" si="18"/>
        <v>#N/A</v>
      </c>
      <c r="H58" s="67" t="e">
        <f>IF('Demand background (hide)'!AN46&lt;&gt;"",'SPC background (hide)'!C58,NA())</f>
        <v>#N/A</v>
      </c>
      <c r="I58" s="67">
        <f t="shared" ca="1" si="19"/>
        <v>1</v>
      </c>
      <c r="J58" s="5">
        <f t="shared" ca="1" si="20"/>
        <v>69.979541734860845</v>
      </c>
      <c r="K58" s="5">
        <f t="shared" ca="1" si="21"/>
        <v>211.65302782324056</v>
      </c>
      <c r="L58" s="5">
        <f t="shared" ca="1" si="22"/>
        <v>353.32651391162028</v>
      </c>
      <c r="M58" s="5">
        <f t="shared" ca="1" si="23"/>
        <v>495</v>
      </c>
      <c r="N58" s="5">
        <f t="shared" ca="1" si="24"/>
        <v>636.67348608837972</v>
      </c>
      <c r="O58" s="5">
        <f t="shared" ca="1" si="25"/>
        <v>778.34697217675944</v>
      </c>
      <c r="P58" s="5">
        <f t="shared" ca="1" si="26"/>
        <v>920.02045826513915</v>
      </c>
      <c r="Q58" s="5" t="e">
        <f t="shared" ca="1" si="27"/>
        <v>#N/A</v>
      </c>
      <c r="R58" s="5">
        <f t="shared" ca="1" si="32"/>
        <v>1</v>
      </c>
      <c r="S58" s="67" t="e">
        <f t="shared" ca="1" si="33"/>
        <v>#N/A</v>
      </c>
      <c r="T58" s="67">
        <f t="shared" ca="1" si="34"/>
        <v>2</v>
      </c>
      <c r="U58" s="67" t="e">
        <f t="shared" ca="1" si="35"/>
        <v>#N/A</v>
      </c>
      <c r="V58" s="5">
        <f t="shared" ca="1" si="14"/>
        <v>1</v>
      </c>
      <c r="W58" s="5" t="e">
        <f t="shared" ca="1" si="28"/>
        <v>#N/A</v>
      </c>
      <c r="X58" s="67">
        <f t="shared" ca="1" si="29"/>
        <v>1</v>
      </c>
      <c r="Y58" s="67" t="e">
        <f t="shared" ca="1" si="36"/>
        <v>#N/A</v>
      </c>
      <c r="Z58" s="67" t="e">
        <f t="shared" ca="1" si="37"/>
        <v>#N/A</v>
      </c>
      <c r="AA58" s="5" t="str">
        <f>IF(Setup!$I$15="Yes",'Demand background (hide)'!AJ46+'SPC background (hide)'!C58,"")</f>
        <v/>
      </c>
      <c r="AC58" s="5">
        <f t="shared" ca="1" si="30"/>
        <v>551.5</v>
      </c>
      <c r="AD58" s="5">
        <f t="shared" ca="1" si="31"/>
        <v>664</v>
      </c>
    </row>
    <row r="59" spans="1:46" x14ac:dyDescent="0.2">
      <c r="A59" s="67">
        <f ca="1">Demand!C56</f>
        <v>4</v>
      </c>
      <c r="B59" s="67">
        <v>44</v>
      </c>
      <c r="C59" s="5">
        <f ca="1">'Demand background (hide)'!Y47</f>
        <v>620</v>
      </c>
      <c r="D59" s="67">
        <f t="shared" si="15"/>
        <v>0</v>
      </c>
      <c r="E59" s="67" t="e">
        <f t="shared" ca="1" si="16"/>
        <v>#N/A</v>
      </c>
      <c r="F59" s="67" t="e">
        <f t="shared" ca="1" si="17"/>
        <v>#N/A</v>
      </c>
      <c r="G59" s="67" t="e">
        <f t="shared" ca="1" si="18"/>
        <v>#N/A</v>
      </c>
      <c r="H59" s="67" t="e">
        <f>IF('Demand background (hide)'!AN47&lt;&gt;"",'SPC background (hide)'!C59,NA())</f>
        <v>#N/A</v>
      </c>
      <c r="I59" s="67">
        <f t="shared" ca="1" si="19"/>
        <v>1</v>
      </c>
      <c r="J59" s="5">
        <f t="shared" ca="1" si="20"/>
        <v>69.979541734860845</v>
      </c>
      <c r="K59" s="5">
        <f t="shared" ca="1" si="21"/>
        <v>211.65302782324056</v>
      </c>
      <c r="L59" s="5">
        <f t="shared" ca="1" si="22"/>
        <v>353.32651391162028</v>
      </c>
      <c r="M59" s="5">
        <f t="shared" ca="1" si="23"/>
        <v>495</v>
      </c>
      <c r="N59" s="5">
        <f t="shared" ca="1" si="24"/>
        <v>636.67348608837972</v>
      </c>
      <c r="O59" s="5">
        <f t="shared" ca="1" si="25"/>
        <v>778.34697217675944</v>
      </c>
      <c r="P59" s="5">
        <f t="shared" ca="1" si="26"/>
        <v>920.02045826513915</v>
      </c>
      <c r="Q59" s="5" t="e">
        <f t="shared" ca="1" si="27"/>
        <v>#N/A</v>
      </c>
      <c r="R59" s="5">
        <f t="shared" ca="1" si="32"/>
        <v>1</v>
      </c>
      <c r="S59" s="67" t="e">
        <f t="shared" ca="1" si="33"/>
        <v>#N/A</v>
      </c>
      <c r="T59" s="67">
        <f t="shared" ca="1" si="34"/>
        <v>1</v>
      </c>
      <c r="U59" s="67" t="e">
        <f t="shared" ca="1" si="35"/>
        <v>#N/A</v>
      </c>
      <c r="V59" s="5">
        <f t="shared" ca="1" si="14"/>
        <v>1</v>
      </c>
      <c r="W59" s="5" t="e">
        <f t="shared" ca="1" si="28"/>
        <v>#N/A</v>
      </c>
      <c r="X59" s="67">
        <f t="shared" ca="1" si="29"/>
        <v>-1</v>
      </c>
      <c r="Y59" s="67" t="e">
        <f t="shared" ca="1" si="36"/>
        <v>#N/A</v>
      </c>
      <c r="Z59" s="67" t="e">
        <f t="shared" ca="1" si="37"/>
        <v>#N/A</v>
      </c>
      <c r="AA59" s="5" t="str">
        <f>IF(Setup!$I$15="Yes",'Demand background (hide)'!AJ47+'SPC background (hide)'!C59,"")</f>
        <v/>
      </c>
      <c r="AC59" s="5">
        <f t="shared" ca="1" si="30"/>
        <v>551.5</v>
      </c>
      <c r="AD59" s="5">
        <f t="shared" ca="1" si="31"/>
        <v>664</v>
      </c>
    </row>
    <row r="60" spans="1:46" x14ac:dyDescent="0.2">
      <c r="A60" s="67">
        <f ca="1">Demand!C57</f>
        <v>5</v>
      </c>
      <c r="B60" s="67">
        <v>45</v>
      </c>
      <c r="C60" s="5">
        <f ca="1">'Demand background (hide)'!Y48</f>
        <v>320</v>
      </c>
      <c r="D60" s="67">
        <f t="shared" si="15"/>
        <v>0</v>
      </c>
      <c r="E60" s="67" t="e">
        <f t="shared" ca="1" si="16"/>
        <v>#N/A</v>
      </c>
      <c r="F60" s="67" t="e">
        <f t="shared" ca="1" si="17"/>
        <v>#N/A</v>
      </c>
      <c r="G60" s="67" t="e">
        <f t="shared" ca="1" si="18"/>
        <v>#N/A</v>
      </c>
      <c r="H60" s="67" t="e">
        <f>IF('Demand background (hide)'!AN48&lt;&gt;"",'SPC background (hide)'!C60,NA())</f>
        <v>#N/A</v>
      </c>
      <c r="I60" s="67">
        <f t="shared" ca="1" si="19"/>
        <v>1</v>
      </c>
      <c r="J60" s="5">
        <f t="shared" ca="1" si="20"/>
        <v>69.979541734860845</v>
      </c>
      <c r="K60" s="5">
        <f t="shared" ca="1" si="21"/>
        <v>211.65302782324056</v>
      </c>
      <c r="L60" s="5">
        <f t="shared" ca="1" si="22"/>
        <v>353.32651391162028</v>
      </c>
      <c r="M60" s="5">
        <f t="shared" ca="1" si="23"/>
        <v>495</v>
      </c>
      <c r="N60" s="5">
        <f t="shared" ca="1" si="24"/>
        <v>636.67348608837972</v>
      </c>
      <c r="O60" s="5">
        <f t="shared" ca="1" si="25"/>
        <v>778.34697217675944</v>
      </c>
      <c r="P60" s="5">
        <f t="shared" ca="1" si="26"/>
        <v>920.02045826513915</v>
      </c>
      <c r="Q60" s="5" t="e">
        <f t="shared" ca="1" si="27"/>
        <v>#N/A</v>
      </c>
      <c r="R60" s="5">
        <f t="shared" ca="1" si="32"/>
        <v>-1</v>
      </c>
      <c r="S60" s="67" t="e">
        <f t="shared" ca="1" si="33"/>
        <v>#N/A</v>
      </c>
      <c r="T60" s="67">
        <f t="shared" ca="1" si="34"/>
        <v>-2</v>
      </c>
      <c r="U60" s="67" t="e">
        <f t="shared" ca="1" si="35"/>
        <v>#N/A</v>
      </c>
      <c r="V60" s="5">
        <f t="shared" ca="1" si="14"/>
        <v>-1</v>
      </c>
      <c r="W60" s="5" t="e">
        <f t="shared" ca="1" si="28"/>
        <v>#N/A</v>
      </c>
      <c r="X60" s="67">
        <f t="shared" ca="1" si="29"/>
        <v>-1</v>
      </c>
      <c r="Y60" s="67" t="e">
        <f t="shared" ca="1" si="36"/>
        <v>#N/A</v>
      </c>
      <c r="Z60" s="67" t="e">
        <f t="shared" ca="1" si="37"/>
        <v>#N/A</v>
      </c>
      <c r="AA60" s="5" t="str">
        <f>IF(Setup!$I$15="Yes",'Demand background (hide)'!AJ48+'SPC background (hide)'!C60,"")</f>
        <v/>
      </c>
      <c r="AC60" s="5">
        <f t="shared" ca="1" si="30"/>
        <v>551.5</v>
      </c>
      <c r="AD60" s="5">
        <f t="shared" ca="1" si="31"/>
        <v>664</v>
      </c>
    </row>
    <row r="61" spans="1:46" x14ac:dyDescent="0.2">
      <c r="A61" s="67">
        <f ca="1">Demand!C58</f>
        <v>6</v>
      </c>
      <c r="B61" s="67">
        <v>46</v>
      </c>
      <c r="C61" s="5">
        <f ca="1">'Demand background (hide)'!Y49</f>
        <v>450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69.979541734860845</v>
      </c>
      <c r="K61" s="5">
        <f t="shared" ca="1" si="21"/>
        <v>211.65302782324056</v>
      </c>
      <c r="L61" s="5">
        <f t="shared" ca="1" si="22"/>
        <v>353.32651391162028</v>
      </c>
      <c r="M61" s="5">
        <f t="shared" ca="1" si="23"/>
        <v>495</v>
      </c>
      <c r="N61" s="5">
        <f t="shared" ca="1" si="24"/>
        <v>636.67348608837972</v>
      </c>
      <c r="O61" s="5">
        <f t="shared" ca="1" si="25"/>
        <v>778.34697217675944</v>
      </c>
      <c r="P61" s="5">
        <f t="shared" ca="1" si="26"/>
        <v>920.02045826513915</v>
      </c>
      <c r="Q61" s="5" t="e">
        <f t="shared" ca="1" si="27"/>
        <v>#N/A</v>
      </c>
      <c r="R61" s="5">
        <f t="shared" ca="1" si="32"/>
        <v>-1</v>
      </c>
      <c r="S61" s="67" t="e">
        <f t="shared" ca="1" si="33"/>
        <v>#N/A</v>
      </c>
      <c r="T61" s="67">
        <f t="shared" ca="1" si="34"/>
        <v>-1</v>
      </c>
      <c r="U61" s="67" t="e">
        <f t="shared" ca="1" si="35"/>
        <v>#N/A</v>
      </c>
      <c r="V61" s="5">
        <f t="shared" ca="1" si="14"/>
        <v>-1</v>
      </c>
      <c r="W61" s="5" t="e">
        <f t="shared" ca="1" si="28"/>
        <v>#N/A</v>
      </c>
      <c r="X61" s="67">
        <f t="shared" ca="1" si="29"/>
        <v>1</v>
      </c>
      <c r="Y61" s="67" t="e">
        <f t="shared" ca="1" si="36"/>
        <v>#N/A</v>
      </c>
      <c r="Z61" s="67" t="e">
        <f t="shared" ca="1" si="37"/>
        <v>#N/A</v>
      </c>
      <c r="AA61" s="5" t="str">
        <f>IF(Setup!$I$15="Yes",'Demand background (hide)'!AJ49+'SPC background (hide)'!C61,"")</f>
        <v/>
      </c>
      <c r="AC61" s="5">
        <f t="shared" ca="1" si="30"/>
        <v>551.5</v>
      </c>
      <c r="AD61" s="5">
        <f t="shared" ca="1" si="31"/>
        <v>664</v>
      </c>
    </row>
    <row r="62" spans="1:46" x14ac:dyDescent="0.2">
      <c r="A62" s="67">
        <f ca="1">Demand!C59</f>
        <v>7</v>
      </c>
      <c r="B62" s="67">
        <v>47</v>
      </c>
      <c r="C62" s="5">
        <f ca="1">'Demand background (hide)'!Y50</f>
        <v>480</v>
      </c>
      <c r="D62" s="67">
        <f t="shared" si="15"/>
        <v>0</v>
      </c>
      <c r="E62" s="67" t="e">
        <f t="shared" ca="1" si="16"/>
        <v>#N/A</v>
      </c>
      <c r="F62" s="67" t="e">
        <f t="shared" ca="1" si="17"/>
        <v>#N/A</v>
      </c>
      <c r="G62" s="67" t="e">
        <f t="shared" ca="1" si="18"/>
        <v>#N/A</v>
      </c>
      <c r="H62" s="67" t="e">
        <f>IF('Demand background (hide)'!AN50&lt;&gt;"",'SPC background (hide)'!C62,NA())</f>
        <v>#N/A</v>
      </c>
      <c r="I62" s="67">
        <f t="shared" ca="1" si="19"/>
        <v>1</v>
      </c>
      <c r="J62" s="5">
        <f t="shared" ca="1" si="20"/>
        <v>69.979541734860845</v>
      </c>
      <c r="K62" s="5">
        <f t="shared" ca="1" si="21"/>
        <v>211.65302782324056</v>
      </c>
      <c r="L62" s="5">
        <f t="shared" ca="1" si="22"/>
        <v>353.32651391162028</v>
      </c>
      <c r="M62" s="5">
        <f t="shared" ca="1" si="23"/>
        <v>495</v>
      </c>
      <c r="N62" s="5">
        <f t="shared" ca="1" si="24"/>
        <v>636.67348608837972</v>
      </c>
      <c r="O62" s="5">
        <f t="shared" ca="1" si="25"/>
        <v>778.34697217675944</v>
      </c>
      <c r="P62" s="5">
        <f t="shared" ca="1" si="26"/>
        <v>920.02045826513915</v>
      </c>
      <c r="Q62" s="5" t="e">
        <f t="shared" ca="1" si="27"/>
        <v>#N/A</v>
      </c>
      <c r="R62" s="5">
        <f t="shared" ca="1" si="32"/>
        <v>-1</v>
      </c>
      <c r="S62" s="67" t="e">
        <f t="shared" ca="1" si="33"/>
        <v>#N/A</v>
      </c>
      <c r="T62" s="67">
        <f t="shared" ca="1" si="34"/>
        <v>-1</v>
      </c>
      <c r="U62" s="67" t="e">
        <f t="shared" ca="1" si="35"/>
        <v>#N/A</v>
      </c>
      <c r="V62" s="5">
        <f t="shared" ca="1" si="14"/>
        <v>-1</v>
      </c>
      <c r="W62" s="5" t="e">
        <f t="shared" ca="1" si="28"/>
        <v>#N/A</v>
      </c>
      <c r="X62" s="67">
        <f t="shared" ca="1" si="29"/>
        <v>1</v>
      </c>
      <c r="Y62" s="67" t="e">
        <f t="shared" ca="1" si="36"/>
        <v>#N/A</v>
      </c>
      <c r="Z62" s="67" t="e">
        <f t="shared" ca="1" si="37"/>
        <v>#N/A</v>
      </c>
      <c r="AA62" s="5" t="str">
        <f>IF(Setup!$I$15="Yes",'Demand background (hide)'!AJ50+'SPC background (hide)'!C62,"")</f>
        <v/>
      </c>
      <c r="AC62" s="5">
        <f t="shared" ca="1" si="30"/>
        <v>551.5</v>
      </c>
      <c r="AD62" s="5">
        <f t="shared" ca="1" si="31"/>
        <v>664</v>
      </c>
    </row>
    <row r="63" spans="1:46" x14ac:dyDescent="0.2">
      <c r="A63" s="67">
        <f ca="1">Demand!C60</f>
        <v>8</v>
      </c>
      <c r="B63" s="67">
        <v>48</v>
      </c>
      <c r="C63" s="5">
        <f ca="1">'Demand background (hide)'!Y51</f>
        <v>790</v>
      </c>
      <c r="D63" s="67">
        <f t="shared" si="15"/>
        <v>0</v>
      </c>
      <c r="E63" s="67" t="e">
        <f t="shared" ca="1" si="16"/>
        <v>#N/A</v>
      </c>
      <c r="F63" s="67" t="e">
        <f t="shared" ca="1" si="17"/>
        <v>#N/A</v>
      </c>
      <c r="G63" s="67" t="e">
        <f t="shared" ca="1" si="18"/>
        <v>#N/A</v>
      </c>
      <c r="H63" s="67" t="e">
        <f>IF('Demand background (hide)'!AN51&lt;&gt;"",'SPC background (hide)'!C63,NA())</f>
        <v>#N/A</v>
      </c>
      <c r="I63" s="67">
        <f t="shared" ca="1" si="19"/>
        <v>1</v>
      </c>
      <c r="J63" s="5">
        <f t="shared" ca="1" si="20"/>
        <v>69.979541734860845</v>
      </c>
      <c r="K63" s="5">
        <f t="shared" ca="1" si="21"/>
        <v>211.65302782324056</v>
      </c>
      <c r="L63" s="5">
        <f t="shared" ca="1" si="22"/>
        <v>353.32651391162028</v>
      </c>
      <c r="M63" s="5">
        <f t="shared" ca="1" si="23"/>
        <v>495</v>
      </c>
      <c r="N63" s="5">
        <f t="shared" ca="1" si="24"/>
        <v>636.67348608837972</v>
      </c>
      <c r="O63" s="5">
        <f t="shared" ca="1" si="25"/>
        <v>778.34697217675944</v>
      </c>
      <c r="P63" s="5">
        <f t="shared" ca="1" si="26"/>
        <v>920.02045826513915</v>
      </c>
      <c r="Q63" s="5" t="e">
        <f t="shared" ca="1" si="27"/>
        <v>#N/A</v>
      </c>
      <c r="R63" s="5">
        <f t="shared" ca="1" si="32"/>
        <v>2</v>
      </c>
      <c r="S63" s="67" t="e">
        <f t="shared" ca="1" si="33"/>
        <v>#N/A</v>
      </c>
      <c r="T63" s="67">
        <f t="shared" ca="1" si="34"/>
        <v>2</v>
      </c>
      <c r="U63" s="67" t="e">
        <f t="shared" ca="1" si="35"/>
        <v>#N/A</v>
      </c>
      <c r="V63" s="5">
        <f t="shared" ca="1" si="14"/>
        <v>1</v>
      </c>
      <c r="W63" s="5" t="e">
        <f t="shared" ca="1" si="28"/>
        <v>#N/A</v>
      </c>
      <c r="X63" s="67">
        <f t="shared" ca="1" si="29"/>
        <v>1</v>
      </c>
      <c r="Y63" s="67" t="e">
        <f t="shared" ca="1" si="36"/>
        <v>#N/A</v>
      </c>
      <c r="Z63" s="67" t="e">
        <f t="shared" ca="1" si="37"/>
        <v>#N/A</v>
      </c>
      <c r="AA63" s="5" t="str">
        <f>IF(Setup!$I$15="Yes",'Demand background (hide)'!AJ51+'SPC background (hide)'!C63,"")</f>
        <v/>
      </c>
      <c r="AC63" s="5">
        <f t="shared" ca="1" si="30"/>
        <v>551.5</v>
      </c>
      <c r="AD63" s="5">
        <f t="shared" ca="1" si="31"/>
        <v>664</v>
      </c>
    </row>
    <row r="64" spans="1:46" x14ac:dyDescent="0.2">
      <c r="A64" s="67">
        <f ca="1">Demand!C61</f>
        <v>9</v>
      </c>
      <c r="B64" s="67">
        <v>49</v>
      </c>
      <c r="C64" s="5">
        <f ca="1">'Demand background (hide)'!Y52</f>
        <v>330</v>
      </c>
      <c r="D64" s="67">
        <f t="shared" si="15"/>
        <v>0</v>
      </c>
      <c r="E64" s="67" t="e">
        <f t="shared" ca="1" si="16"/>
        <v>#N/A</v>
      </c>
      <c r="F64" s="67" t="e">
        <f t="shared" ca="1" si="17"/>
        <v>#N/A</v>
      </c>
      <c r="G64" s="67" t="e">
        <f t="shared" ca="1" si="18"/>
        <v>#N/A</v>
      </c>
      <c r="H64" s="67" t="e">
        <f>IF('Demand background (hide)'!AN52&lt;&gt;"",'SPC background (hide)'!C64,NA())</f>
        <v>#N/A</v>
      </c>
      <c r="I64" s="67">
        <f t="shared" ca="1" si="19"/>
        <v>1</v>
      </c>
      <c r="J64" s="5">
        <f t="shared" ca="1" si="20"/>
        <v>69.979541734860845</v>
      </c>
      <c r="K64" s="5">
        <f t="shared" ca="1" si="21"/>
        <v>211.65302782324056</v>
      </c>
      <c r="L64" s="5">
        <f t="shared" ca="1" si="22"/>
        <v>353.32651391162028</v>
      </c>
      <c r="M64" s="5">
        <f t="shared" ca="1" si="23"/>
        <v>495</v>
      </c>
      <c r="N64" s="5">
        <f t="shared" ca="1" si="24"/>
        <v>636.67348608837972</v>
      </c>
      <c r="O64" s="5">
        <f t="shared" ca="1" si="25"/>
        <v>778.34697217675944</v>
      </c>
      <c r="P64" s="5">
        <f t="shared" ca="1" si="26"/>
        <v>920.02045826513915</v>
      </c>
      <c r="Q64" s="5" t="e">
        <f t="shared" ca="1" si="27"/>
        <v>#N/A</v>
      </c>
      <c r="R64" s="5">
        <f t="shared" ca="1" si="32"/>
        <v>-1</v>
      </c>
      <c r="S64" s="67" t="e">
        <f t="shared" ca="1" si="33"/>
        <v>#N/A</v>
      </c>
      <c r="T64" s="67">
        <f t="shared" ca="1" si="34"/>
        <v>-2</v>
      </c>
      <c r="U64" s="67" t="e">
        <f t="shared" ca="1" si="35"/>
        <v>#N/A</v>
      </c>
      <c r="V64" s="5">
        <f t="shared" ca="1" si="14"/>
        <v>-1</v>
      </c>
      <c r="W64" s="5" t="e">
        <f t="shared" ca="1" si="28"/>
        <v>#N/A</v>
      </c>
      <c r="X64" s="67">
        <f t="shared" ca="1" si="29"/>
        <v>-1</v>
      </c>
      <c r="Y64" s="67" t="e">
        <f t="shared" ca="1" si="36"/>
        <v>#N/A</v>
      </c>
      <c r="Z64" s="67" t="e">
        <f t="shared" ca="1" si="37"/>
        <v>#N/A</v>
      </c>
      <c r="AA64" s="5" t="str">
        <f>IF(Setup!$I$15="Yes",'Demand background (hide)'!AJ52+'SPC background (hide)'!C64,"")</f>
        <v/>
      </c>
      <c r="AC64" s="5">
        <f t="shared" ca="1" si="30"/>
        <v>551.5</v>
      </c>
      <c r="AD64" s="5">
        <f t="shared" ca="1" si="31"/>
        <v>664</v>
      </c>
    </row>
    <row r="65" spans="1:30" x14ac:dyDescent="0.2">
      <c r="A65" s="67">
        <f ca="1">Demand!C62</f>
        <v>10</v>
      </c>
      <c r="B65" s="67">
        <v>50</v>
      </c>
      <c r="C65" s="5">
        <f ca="1">'Demand background (hide)'!Y53</f>
        <v>590</v>
      </c>
      <c r="D65" s="67">
        <f t="shared" si="15"/>
        <v>0</v>
      </c>
      <c r="E65" s="67" t="e">
        <f t="shared" ca="1" si="16"/>
        <v>#N/A</v>
      </c>
      <c r="F65" s="67" t="e">
        <f t="shared" ca="1" si="17"/>
        <v>#N/A</v>
      </c>
      <c r="G65" s="67" t="e">
        <f t="shared" ca="1" si="18"/>
        <v>#N/A</v>
      </c>
      <c r="H65" s="67" t="e">
        <f>IF('Demand background (hide)'!AN53&lt;&gt;"",'SPC background (hide)'!C65,NA())</f>
        <v>#N/A</v>
      </c>
      <c r="I65" s="67">
        <f t="shared" ca="1" si="19"/>
        <v>1</v>
      </c>
      <c r="J65" s="5">
        <f t="shared" ca="1" si="20"/>
        <v>69.979541734860845</v>
      </c>
      <c r="K65" s="5">
        <f t="shared" ca="1" si="21"/>
        <v>211.65302782324056</v>
      </c>
      <c r="L65" s="5">
        <f t="shared" ca="1" si="22"/>
        <v>353.32651391162028</v>
      </c>
      <c r="M65" s="5">
        <f t="shared" ca="1" si="23"/>
        <v>495</v>
      </c>
      <c r="N65" s="5">
        <f t="shared" ca="1" si="24"/>
        <v>636.67348608837972</v>
      </c>
      <c r="O65" s="5">
        <f t="shared" ca="1" si="25"/>
        <v>778.34697217675944</v>
      </c>
      <c r="P65" s="5">
        <f t="shared" ca="1" si="26"/>
        <v>920.02045826513915</v>
      </c>
      <c r="Q65" s="5" t="e">
        <f t="shared" ca="1" si="27"/>
        <v>#N/A</v>
      </c>
      <c r="R65" s="5">
        <f t="shared" ca="1" si="32"/>
        <v>1</v>
      </c>
      <c r="S65" s="67" t="e">
        <f t="shared" ca="1" si="33"/>
        <v>#N/A</v>
      </c>
      <c r="T65" s="67">
        <f t="shared" ca="1" si="34"/>
        <v>1</v>
      </c>
      <c r="U65" s="67" t="e">
        <f t="shared" ca="1" si="35"/>
        <v>#N/A</v>
      </c>
      <c r="V65" s="5">
        <f t="shared" ca="1" si="14"/>
        <v>1</v>
      </c>
      <c r="W65" s="5" t="e">
        <f t="shared" ca="1" si="28"/>
        <v>#N/A</v>
      </c>
      <c r="X65" s="67">
        <f t="shared" ca="1" si="29"/>
        <v>1</v>
      </c>
      <c r="Y65" s="67" t="e">
        <f t="shared" ca="1" si="36"/>
        <v>#N/A</v>
      </c>
      <c r="Z65" s="67" t="e">
        <f t="shared" ca="1" si="37"/>
        <v>#N/A</v>
      </c>
      <c r="AA65" s="5" t="str">
        <f>IF(Setup!$I$15="Yes",'Demand background (hide)'!AJ53+'SPC background (hide)'!C65,"")</f>
        <v/>
      </c>
      <c r="AC65" s="5">
        <f t="shared" ca="1" si="30"/>
        <v>551.5</v>
      </c>
      <c r="AD65" s="5">
        <f t="shared" ca="1" si="31"/>
        <v>664</v>
      </c>
    </row>
    <row r="66" spans="1:30" x14ac:dyDescent="0.2">
      <c r="A66" s="67">
        <f ca="1">Demand!C63</f>
        <v>11</v>
      </c>
      <c r="B66" s="67">
        <v>51</v>
      </c>
      <c r="C66" s="5">
        <f ca="1">'Demand background (hide)'!Y54</f>
        <v>420</v>
      </c>
      <c r="D66" s="67">
        <f t="shared" si="15"/>
        <v>0</v>
      </c>
      <c r="E66" s="67" t="e">
        <f t="shared" ca="1" si="16"/>
        <v>#N/A</v>
      </c>
      <c r="F66" s="67" t="e">
        <f t="shared" ca="1" si="17"/>
        <v>#N/A</v>
      </c>
      <c r="G66" s="67" t="e">
        <f t="shared" ca="1" si="18"/>
        <v>#N/A</v>
      </c>
      <c r="H66" s="67" t="e">
        <f>IF('Demand background (hide)'!AN54&lt;&gt;"",'SPC background (hide)'!C66,NA())</f>
        <v>#N/A</v>
      </c>
      <c r="I66" s="67">
        <f t="shared" ca="1" si="19"/>
        <v>1</v>
      </c>
      <c r="J66" s="5">
        <f t="shared" ca="1" si="20"/>
        <v>69.979541734860845</v>
      </c>
      <c r="K66" s="5">
        <f t="shared" ca="1" si="21"/>
        <v>211.65302782324056</v>
      </c>
      <c r="L66" s="5">
        <f t="shared" ca="1" si="22"/>
        <v>353.32651391162028</v>
      </c>
      <c r="M66" s="5">
        <f t="shared" ca="1" si="23"/>
        <v>495</v>
      </c>
      <c r="N66" s="5">
        <f t="shared" ca="1" si="24"/>
        <v>636.67348608837972</v>
      </c>
      <c r="O66" s="5">
        <f t="shared" ca="1" si="25"/>
        <v>778.34697217675944</v>
      </c>
      <c r="P66" s="5">
        <f t="shared" ca="1" si="26"/>
        <v>920.02045826513915</v>
      </c>
      <c r="Q66" s="5" t="e">
        <f t="shared" ca="1" si="27"/>
        <v>#N/A</v>
      </c>
      <c r="R66" s="5">
        <f t="shared" ca="1" si="32"/>
        <v>-1</v>
      </c>
      <c r="S66" s="67" t="e">
        <f t="shared" ca="1" si="33"/>
        <v>#N/A</v>
      </c>
      <c r="T66" s="67">
        <f t="shared" ca="1" si="34"/>
        <v>-1</v>
      </c>
      <c r="U66" s="67" t="e">
        <f t="shared" ca="1" si="35"/>
        <v>#N/A</v>
      </c>
      <c r="V66" s="5">
        <f t="shared" ca="1" si="14"/>
        <v>-1</v>
      </c>
      <c r="W66" s="5" t="e">
        <f t="shared" ca="1" si="28"/>
        <v>#N/A</v>
      </c>
      <c r="X66" s="67">
        <f t="shared" ca="1" si="29"/>
        <v>-1</v>
      </c>
      <c r="Y66" s="67" t="e">
        <f t="shared" ca="1" si="36"/>
        <v>#N/A</v>
      </c>
      <c r="Z66" s="67" t="e">
        <f t="shared" ca="1" si="37"/>
        <v>#N/A</v>
      </c>
      <c r="AA66" s="5" t="str">
        <f>IF(Setup!$I$15="Yes",'Demand background (hide)'!AJ54+'SPC background (hide)'!C66,"")</f>
        <v/>
      </c>
      <c r="AC66" s="5">
        <f t="shared" ca="1" si="30"/>
        <v>551.5</v>
      </c>
      <c r="AD66" s="5">
        <f t="shared" ca="1" si="31"/>
        <v>664</v>
      </c>
    </row>
    <row r="67" spans="1:30" x14ac:dyDescent="0.2">
      <c r="A67" s="67">
        <f ca="1">Demand!C64</f>
        <v>12</v>
      </c>
      <c r="B67" s="67">
        <v>52</v>
      </c>
      <c r="C67" s="5">
        <f ca="1">'Demand background (hide)'!Y55</f>
        <v>780</v>
      </c>
      <c r="D67" s="67">
        <f t="shared" si="15"/>
        <v>0</v>
      </c>
      <c r="E67" s="67" t="e">
        <f t="shared" ca="1" si="16"/>
        <v>#N/A</v>
      </c>
      <c r="F67" s="67" t="e">
        <f t="shared" ca="1" si="17"/>
        <v>#N/A</v>
      </c>
      <c r="G67" s="67" t="e">
        <f t="shared" ca="1" si="18"/>
        <v>#N/A</v>
      </c>
      <c r="H67" s="67" t="e">
        <f>IF('Demand background (hide)'!AN55&lt;&gt;"",'SPC background (hide)'!C67,NA())</f>
        <v>#N/A</v>
      </c>
      <c r="I67" s="67">
        <f t="shared" ca="1" si="19"/>
        <v>1</v>
      </c>
      <c r="J67" s="5">
        <f t="shared" ca="1" si="20"/>
        <v>69.979541734860845</v>
      </c>
      <c r="K67" s="5">
        <f t="shared" ca="1" si="21"/>
        <v>211.65302782324056</v>
      </c>
      <c r="L67" s="5">
        <f t="shared" ca="1" si="22"/>
        <v>353.32651391162028</v>
      </c>
      <c r="M67" s="5">
        <f t="shared" ca="1" si="23"/>
        <v>495</v>
      </c>
      <c r="N67" s="5">
        <f t="shared" ca="1" si="24"/>
        <v>636.67348608837972</v>
      </c>
      <c r="O67" s="5">
        <f t="shared" ca="1" si="25"/>
        <v>778.34697217675944</v>
      </c>
      <c r="P67" s="5">
        <f t="shared" ca="1" si="26"/>
        <v>920.02045826513915</v>
      </c>
      <c r="Q67" s="5" t="e">
        <f t="shared" ca="1" si="27"/>
        <v>#N/A</v>
      </c>
      <c r="R67" s="5">
        <f t="shared" ca="1" si="32"/>
        <v>2</v>
      </c>
      <c r="S67" s="67" t="e">
        <f t="shared" ca="1" si="33"/>
        <v>#N/A</v>
      </c>
      <c r="T67" s="67">
        <f t="shared" ca="1" si="34"/>
        <v>2</v>
      </c>
      <c r="U67" s="67" t="e">
        <f t="shared" ca="1" si="35"/>
        <v>#N/A</v>
      </c>
      <c r="V67" s="5">
        <f t="shared" ca="1" si="14"/>
        <v>1</v>
      </c>
      <c r="W67" s="5" t="e">
        <f t="shared" ca="1" si="28"/>
        <v>#N/A</v>
      </c>
      <c r="X67" s="67">
        <f t="shared" ca="1" si="29"/>
        <v>1</v>
      </c>
      <c r="Y67" s="67" t="e">
        <f t="shared" ca="1" si="36"/>
        <v>#N/A</v>
      </c>
      <c r="Z67" s="67" t="e">
        <f t="shared" ca="1" si="37"/>
        <v>#N/A</v>
      </c>
      <c r="AA67" s="5" t="str">
        <f>IF(Setup!$I$15="Yes",'Demand background (hide)'!AJ55+'SPC background (hide)'!C67,"")</f>
        <v/>
      </c>
      <c r="AC67" s="5">
        <f t="shared" ca="1" si="30"/>
        <v>551.5</v>
      </c>
      <c r="AD67" s="5">
        <f t="shared" ca="1" si="31"/>
        <v>664</v>
      </c>
    </row>
    <row r="68" spans="1:30" x14ac:dyDescent="0.2">
      <c r="A68" s="67">
        <f ca="1">Demand!C65</f>
        <v>13</v>
      </c>
      <c r="B68" s="67">
        <v>53</v>
      </c>
      <c r="C68" s="5">
        <f ca="1">'Demand background (hide)'!Y56</f>
        <v>370</v>
      </c>
      <c r="D68" s="67">
        <f t="shared" si="15"/>
        <v>0</v>
      </c>
      <c r="E68" s="67" t="e">
        <f t="shared" ca="1" si="16"/>
        <v>#N/A</v>
      </c>
      <c r="F68" s="67" t="e">
        <f t="shared" ca="1" si="17"/>
        <v>#N/A</v>
      </c>
      <c r="G68" s="67" t="e">
        <f t="shared" ca="1" si="18"/>
        <v>#N/A</v>
      </c>
      <c r="H68" s="67" t="e">
        <f>IF('Demand background (hide)'!AN56&lt;&gt;"",'SPC background (hide)'!C68,NA())</f>
        <v>#N/A</v>
      </c>
      <c r="I68" s="67">
        <f t="shared" ca="1" si="19"/>
        <v>1</v>
      </c>
      <c r="J68" s="5">
        <f t="shared" ca="1" si="20"/>
        <v>69.979541734860845</v>
      </c>
      <c r="K68" s="5">
        <f t="shared" ca="1" si="21"/>
        <v>211.65302782324056</v>
      </c>
      <c r="L68" s="5">
        <f t="shared" ca="1" si="22"/>
        <v>353.32651391162028</v>
      </c>
      <c r="M68" s="5">
        <f t="shared" ca="1" si="23"/>
        <v>495</v>
      </c>
      <c r="N68" s="5">
        <f t="shared" ca="1" si="24"/>
        <v>636.67348608837972</v>
      </c>
      <c r="O68" s="5">
        <f t="shared" ca="1" si="25"/>
        <v>778.34697217675944</v>
      </c>
      <c r="P68" s="5">
        <f t="shared" ca="1" si="26"/>
        <v>920.02045826513915</v>
      </c>
      <c r="Q68" s="5" t="e">
        <f t="shared" ca="1" si="27"/>
        <v>#N/A</v>
      </c>
      <c r="R68" s="5">
        <f t="shared" ca="1" si="32"/>
        <v>-1</v>
      </c>
      <c r="S68" s="67" t="e">
        <f t="shared" ca="1" si="33"/>
        <v>#N/A</v>
      </c>
      <c r="T68" s="67">
        <f t="shared" ca="1" si="34"/>
        <v>-1</v>
      </c>
      <c r="U68" s="67" t="e">
        <f t="shared" ca="1" si="35"/>
        <v>#N/A</v>
      </c>
      <c r="V68" s="5">
        <f t="shared" ca="1" si="14"/>
        <v>-1</v>
      </c>
      <c r="W68" s="5" t="e">
        <f t="shared" ca="1" si="28"/>
        <v>#N/A</v>
      </c>
      <c r="X68" s="67">
        <f t="shared" ca="1" si="29"/>
        <v>-1</v>
      </c>
      <c r="Y68" s="67" t="e">
        <f t="shared" ca="1" si="36"/>
        <v>#N/A</v>
      </c>
      <c r="Z68" s="67" t="e">
        <f t="shared" ca="1" si="37"/>
        <v>#N/A</v>
      </c>
      <c r="AA68" s="5" t="str">
        <f>IF(Setup!$I$15="Yes",'Demand background (hide)'!AJ56+'SPC background (hide)'!C68,"")</f>
        <v/>
      </c>
      <c r="AC68" s="5">
        <f t="shared" ca="1" si="30"/>
        <v>551.5</v>
      </c>
      <c r="AD68" s="5">
        <f t="shared" ca="1" si="31"/>
        <v>664</v>
      </c>
    </row>
    <row r="69" spans="1:30" x14ac:dyDescent="0.2">
      <c r="A69" s="67">
        <f ca="1">Demand!C66</f>
        <v>14</v>
      </c>
      <c r="B69" s="67">
        <v>54</v>
      </c>
      <c r="C69" s="5">
        <f ca="1">'Demand background (hide)'!Y57</f>
        <v>450</v>
      </c>
      <c r="D69" s="67">
        <f t="shared" si="15"/>
        <v>0</v>
      </c>
      <c r="E69" s="67" t="e">
        <f t="shared" ca="1" si="16"/>
        <v>#N/A</v>
      </c>
      <c r="F69" s="67" t="e">
        <f t="shared" ca="1" si="17"/>
        <v>#N/A</v>
      </c>
      <c r="G69" s="67" t="e">
        <f t="shared" ca="1" si="18"/>
        <v>#N/A</v>
      </c>
      <c r="H69" s="67" t="e">
        <f>IF('Demand background (hide)'!AN57&lt;&gt;"",'SPC background (hide)'!C69,NA())</f>
        <v>#N/A</v>
      </c>
      <c r="I69" s="67">
        <f t="shared" ca="1" si="19"/>
        <v>1</v>
      </c>
      <c r="J69" s="5">
        <f t="shared" ca="1" si="20"/>
        <v>69.979541734860845</v>
      </c>
      <c r="K69" s="5">
        <f t="shared" ca="1" si="21"/>
        <v>211.65302782324056</v>
      </c>
      <c r="L69" s="5">
        <f t="shared" ca="1" si="22"/>
        <v>353.32651391162028</v>
      </c>
      <c r="M69" s="5">
        <f t="shared" ca="1" si="23"/>
        <v>495</v>
      </c>
      <c r="N69" s="5">
        <f t="shared" ca="1" si="24"/>
        <v>636.67348608837972</v>
      </c>
      <c r="O69" s="5">
        <f t="shared" ca="1" si="25"/>
        <v>778.34697217675944</v>
      </c>
      <c r="P69" s="5">
        <f t="shared" ca="1" si="26"/>
        <v>920.02045826513915</v>
      </c>
      <c r="Q69" s="5" t="e">
        <f t="shared" ca="1" si="27"/>
        <v>#N/A</v>
      </c>
      <c r="R69" s="5">
        <f t="shared" ca="1" si="32"/>
        <v>-1</v>
      </c>
      <c r="S69" s="67" t="e">
        <f t="shared" ca="1" si="33"/>
        <v>#N/A</v>
      </c>
      <c r="T69" s="67">
        <f t="shared" ca="1" si="34"/>
        <v>-1</v>
      </c>
      <c r="U69" s="67" t="e">
        <f t="shared" ca="1" si="35"/>
        <v>#N/A</v>
      </c>
      <c r="V69" s="5">
        <f t="shared" ca="1" si="14"/>
        <v>-1</v>
      </c>
      <c r="W69" s="5" t="e">
        <f t="shared" ca="1" si="28"/>
        <v>#N/A</v>
      </c>
      <c r="X69" s="67">
        <f t="shared" ca="1" si="29"/>
        <v>1</v>
      </c>
      <c r="Y69" s="67" t="e">
        <f t="shared" ca="1" si="36"/>
        <v>#N/A</v>
      </c>
      <c r="Z69" s="67" t="e">
        <f t="shared" ca="1" si="37"/>
        <v>#N/A</v>
      </c>
      <c r="AA69" s="5" t="str">
        <f>IF(Setup!$I$15="Yes",'Demand background (hide)'!AJ57+'SPC background (hide)'!C69,"")</f>
        <v/>
      </c>
      <c r="AC69" s="5">
        <f t="shared" ca="1" si="30"/>
        <v>551.5</v>
      </c>
      <c r="AD69" s="5">
        <f t="shared" ca="1" si="31"/>
        <v>664</v>
      </c>
    </row>
    <row r="70" spans="1:30" x14ac:dyDescent="0.2">
      <c r="A70" s="67">
        <f ca="1">Demand!C67</f>
        <v>15</v>
      </c>
      <c r="B70" s="67">
        <v>55</v>
      </c>
      <c r="C70" s="5">
        <f ca="1">'Demand background (hide)'!Y58</f>
        <v>430</v>
      </c>
      <c r="D70" s="67">
        <f t="shared" si="15"/>
        <v>0</v>
      </c>
      <c r="E70" s="67" t="e">
        <f t="shared" ca="1" si="16"/>
        <v>#N/A</v>
      </c>
      <c r="F70" s="67" t="e">
        <f t="shared" ca="1" si="17"/>
        <v>#N/A</v>
      </c>
      <c r="G70" s="67" t="e">
        <f t="shared" ca="1" si="18"/>
        <v>#N/A</v>
      </c>
      <c r="H70" s="67" t="e">
        <f>IF('Demand background (hide)'!AN58&lt;&gt;"",'SPC background (hide)'!C70,NA())</f>
        <v>#N/A</v>
      </c>
      <c r="I70" s="67">
        <f t="shared" ca="1" si="19"/>
        <v>1</v>
      </c>
      <c r="J70" s="5">
        <f t="shared" ca="1" si="20"/>
        <v>69.979541734860845</v>
      </c>
      <c r="K70" s="5">
        <f t="shared" ca="1" si="21"/>
        <v>211.65302782324056</v>
      </c>
      <c r="L70" s="5">
        <f t="shared" ca="1" si="22"/>
        <v>353.32651391162028</v>
      </c>
      <c r="M70" s="5">
        <f t="shared" ca="1" si="23"/>
        <v>495</v>
      </c>
      <c r="N70" s="5">
        <f t="shared" ca="1" si="24"/>
        <v>636.67348608837972</v>
      </c>
      <c r="O70" s="5">
        <f t="shared" ca="1" si="25"/>
        <v>778.34697217675944</v>
      </c>
      <c r="P70" s="5">
        <f t="shared" ca="1" si="26"/>
        <v>920.02045826513915</v>
      </c>
      <c r="Q70" s="5" t="e">
        <f t="shared" ca="1" si="27"/>
        <v>#N/A</v>
      </c>
      <c r="R70" s="5">
        <f t="shared" ca="1" si="32"/>
        <v>-1</v>
      </c>
      <c r="S70" s="67" t="e">
        <f t="shared" ca="1" si="33"/>
        <v>#N/A</v>
      </c>
      <c r="T70" s="67">
        <f t="shared" ca="1" si="34"/>
        <v>-1</v>
      </c>
      <c r="U70" s="67" t="e">
        <f t="shared" ca="1" si="35"/>
        <v>#N/A</v>
      </c>
      <c r="V70" s="5">
        <f t="shared" ca="1" si="14"/>
        <v>-1</v>
      </c>
      <c r="W70" s="5" t="e">
        <f t="shared" ca="1" si="28"/>
        <v>#N/A</v>
      </c>
      <c r="X70" s="67">
        <f t="shared" ca="1" si="29"/>
        <v>-1</v>
      </c>
      <c r="Y70" s="67" t="e">
        <f t="shared" ca="1" si="36"/>
        <v>#N/A</v>
      </c>
      <c r="Z70" s="67" t="e">
        <f t="shared" ca="1" si="37"/>
        <v>#N/A</v>
      </c>
      <c r="AA70" s="5" t="str">
        <f>IF(Setup!$I$15="Yes",'Demand background (hide)'!AJ58+'SPC background (hide)'!C70,"")</f>
        <v/>
      </c>
      <c r="AC70" s="5">
        <f t="shared" ca="1" si="30"/>
        <v>551.5</v>
      </c>
      <c r="AD70" s="5">
        <f t="shared" ca="1" si="31"/>
        <v>664</v>
      </c>
    </row>
    <row r="71" spans="1:30" x14ac:dyDescent="0.2">
      <c r="A71" s="67">
        <f ca="1">Demand!C68</f>
        <v>16</v>
      </c>
      <c r="B71" s="67">
        <v>56</v>
      </c>
      <c r="C71" s="5">
        <f ca="1">'Demand background (hide)'!Y59</f>
        <v>620</v>
      </c>
      <c r="D71" s="67">
        <f t="shared" si="15"/>
        <v>0</v>
      </c>
      <c r="E71" s="67" t="e">
        <f t="shared" ca="1" si="16"/>
        <v>#N/A</v>
      </c>
      <c r="F71" s="67" t="e">
        <f t="shared" ca="1" si="17"/>
        <v>#N/A</v>
      </c>
      <c r="G71" s="67" t="e">
        <f t="shared" ca="1" si="18"/>
        <v>#N/A</v>
      </c>
      <c r="H71" s="67" t="e">
        <f>IF('Demand background (hide)'!AN59&lt;&gt;"",'SPC background (hide)'!C71,NA())</f>
        <v>#N/A</v>
      </c>
      <c r="I71" s="67">
        <f t="shared" ca="1" si="19"/>
        <v>1</v>
      </c>
      <c r="J71" s="5">
        <f t="shared" ca="1" si="20"/>
        <v>69.979541734860845</v>
      </c>
      <c r="K71" s="5">
        <f t="shared" ca="1" si="21"/>
        <v>211.65302782324056</v>
      </c>
      <c r="L71" s="5">
        <f t="shared" ca="1" si="22"/>
        <v>353.32651391162028</v>
      </c>
      <c r="M71" s="5">
        <f t="shared" ca="1" si="23"/>
        <v>495</v>
      </c>
      <c r="N71" s="5">
        <f t="shared" ca="1" si="24"/>
        <v>636.67348608837972</v>
      </c>
      <c r="O71" s="5">
        <f t="shared" ca="1" si="25"/>
        <v>778.34697217675944</v>
      </c>
      <c r="P71" s="5">
        <f t="shared" ca="1" si="26"/>
        <v>920.02045826513915</v>
      </c>
      <c r="Q71" s="5" t="e">
        <f t="shared" ca="1" si="27"/>
        <v>#N/A</v>
      </c>
      <c r="R71" s="5">
        <f t="shared" ca="1" si="32"/>
        <v>1</v>
      </c>
      <c r="S71" s="67" t="e">
        <f t="shared" ca="1" si="33"/>
        <v>#N/A</v>
      </c>
      <c r="T71" s="67">
        <f t="shared" ca="1" si="34"/>
        <v>1</v>
      </c>
      <c r="U71" s="67" t="e">
        <f t="shared" ca="1" si="35"/>
        <v>#N/A</v>
      </c>
      <c r="V71" s="5">
        <f t="shared" ca="1" si="14"/>
        <v>1</v>
      </c>
      <c r="W71" s="5" t="e">
        <f t="shared" ca="1" si="28"/>
        <v>#N/A</v>
      </c>
      <c r="X71" s="67">
        <f t="shared" ca="1" si="29"/>
        <v>1</v>
      </c>
      <c r="Y71" s="67" t="e">
        <f t="shared" ca="1" si="36"/>
        <v>#N/A</v>
      </c>
      <c r="Z71" s="67" t="e">
        <f t="shared" ca="1" si="37"/>
        <v>#N/A</v>
      </c>
      <c r="AA71" s="5" t="str">
        <f>IF(Setup!$I$15="Yes",'Demand background (hide)'!AJ59+'SPC background (hide)'!C71,"")</f>
        <v/>
      </c>
      <c r="AC71" s="5">
        <f t="shared" ca="1" si="30"/>
        <v>551.5</v>
      </c>
      <c r="AD71" s="5">
        <f t="shared" ca="1" si="31"/>
        <v>664</v>
      </c>
    </row>
    <row r="72" spans="1:30" x14ac:dyDescent="0.2">
      <c r="A72" s="67">
        <f ca="1">Demand!C69</f>
        <v>17</v>
      </c>
      <c r="B72" s="67">
        <v>57</v>
      </c>
      <c r="C72" s="5">
        <f ca="1">'Demand background (hide)'!Y60</f>
        <v>430</v>
      </c>
      <c r="D72" s="67">
        <f t="shared" si="15"/>
        <v>0</v>
      </c>
      <c r="E72" s="67" t="e">
        <f t="shared" ca="1" si="16"/>
        <v>#N/A</v>
      </c>
      <c r="F72" s="67" t="e">
        <f t="shared" ca="1" si="17"/>
        <v>#N/A</v>
      </c>
      <c r="G72" s="67" t="e">
        <f t="shared" ca="1" si="18"/>
        <v>#N/A</v>
      </c>
      <c r="H72" s="67" t="e">
        <f>IF('Demand background (hide)'!AN60&lt;&gt;"",'SPC background (hide)'!C72,NA())</f>
        <v>#N/A</v>
      </c>
      <c r="I72" s="67">
        <f t="shared" ca="1" si="19"/>
        <v>1</v>
      </c>
      <c r="J72" s="5">
        <f t="shared" ca="1" si="20"/>
        <v>69.979541734860845</v>
      </c>
      <c r="K72" s="5">
        <f t="shared" ca="1" si="21"/>
        <v>211.65302782324056</v>
      </c>
      <c r="L72" s="5">
        <f t="shared" ca="1" si="22"/>
        <v>353.32651391162028</v>
      </c>
      <c r="M72" s="5">
        <f t="shared" ca="1" si="23"/>
        <v>495</v>
      </c>
      <c r="N72" s="5">
        <f t="shared" ca="1" si="24"/>
        <v>636.67348608837972</v>
      </c>
      <c r="O72" s="5">
        <f t="shared" ca="1" si="25"/>
        <v>778.34697217675944</v>
      </c>
      <c r="P72" s="5">
        <f t="shared" ca="1" si="26"/>
        <v>920.02045826513915</v>
      </c>
      <c r="Q72" s="5" t="e">
        <f t="shared" ca="1" si="27"/>
        <v>#N/A</v>
      </c>
      <c r="R72" s="5">
        <f t="shared" ca="1" si="32"/>
        <v>-1</v>
      </c>
      <c r="S72" s="67" t="e">
        <f t="shared" ca="1" si="33"/>
        <v>#N/A</v>
      </c>
      <c r="T72" s="67">
        <f t="shared" ca="1" si="34"/>
        <v>-1</v>
      </c>
      <c r="U72" s="67" t="e">
        <f t="shared" ca="1" si="35"/>
        <v>#N/A</v>
      </c>
      <c r="V72" s="5">
        <f t="shared" ca="1" si="14"/>
        <v>-1</v>
      </c>
      <c r="W72" s="5" t="e">
        <f t="shared" ca="1" si="28"/>
        <v>#N/A</v>
      </c>
      <c r="X72" s="67">
        <f t="shared" ca="1" si="29"/>
        <v>-1</v>
      </c>
      <c r="Y72" s="67" t="e">
        <f t="shared" ca="1" si="36"/>
        <v>#N/A</v>
      </c>
      <c r="Z72" s="67" t="e">
        <f t="shared" ca="1" si="37"/>
        <v>#N/A</v>
      </c>
      <c r="AA72" s="5" t="str">
        <f>IF(Setup!$I$15="Yes",'Demand background (hide)'!AJ60+'SPC background (hide)'!C72,"")</f>
        <v/>
      </c>
      <c r="AC72" s="5">
        <f t="shared" ca="1" si="30"/>
        <v>551.5</v>
      </c>
      <c r="AD72" s="5">
        <f t="shared" ca="1" si="31"/>
        <v>664</v>
      </c>
    </row>
    <row r="73" spans="1:30" x14ac:dyDescent="0.2">
      <c r="A73" s="67">
        <f ca="1">Demand!C70</f>
        <v>18</v>
      </c>
      <c r="B73" s="67">
        <v>58</v>
      </c>
      <c r="C73" s="5">
        <f ca="1">'Demand background (hide)'!Y61</f>
        <v>620</v>
      </c>
      <c r="D73" s="67">
        <f t="shared" si="15"/>
        <v>0</v>
      </c>
      <c r="E73" s="67" t="e">
        <f t="shared" ca="1" si="16"/>
        <v>#N/A</v>
      </c>
      <c r="F73" s="67" t="e">
        <f t="shared" ca="1" si="17"/>
        <v>#N/A</v>
      </c>
      <c r="G73" s="67" t="e">
        <f t="shared" ca="1" si="18"/>
        <v>#N/A</v>
      </c>
      <c r="H73" s="67" t="e">
        <f>IF('Demand background (hide)'!AN61&lt;&gt;"",'SPC background (hide)'!C73,NA())</f>
        <v>#N/A</v>
      </c>
      <c r="I73" s="67">
        <f t="shared" ca="1" si="19"/>
        <v>1</v>
      </c>
      <c r="J73" s="5">
        <f t="shared" ca="1" si="20"/>
        <v>69.979541734860845</v>
      </c>
      <c r="K73" s="5">
        <f t="shared" ca="1" si="21"/>
        <v>211.65302782324056</v>
      </c>
      <c r="L73" s="5">
        <f t="shared" ca="1" si="22"/>
        <v>353.32651391162028</v>
      </c>
      <c r="M73" s="5">
        <f t="shared" ca="1" si="23"/>
        <v>495</v>
      </c>
      <c r="N73" s="5">
        <f t="shared" ca="1" si="24"/>
        <v>636.67348608837972</v>
      </c>
      <c r="O73" s="5">
        <f t="shared" ca="1" si="25"/>
        <v>778.34697217675944</v>
      </c>
      <c r="P73" s="5">
        <f t="shared" ca="1" si="26"/>
        <v>920.02045826513915</v>
      </c>
      <c r="Q73" s="5" t="e">
        <f t="shared" ca="1" si="27"/>
        <v>#N/A</v>
      </c>
      <c r="R73" s="5">
        <f t="shared" ca="1" si="32"/>
        <v>1</v>
      </c>
      <c r="S73" s="67" t="e">
        <f t="shared" ca="1" si="33"/>
        <v>#N/A</v>
      </c>
      <c r="T73" s="67">
        <f t="shared" ca="1" si="34"/>
        <v>1</v>
      </c>
      <c r="U73" s="67" t="e">
        <f t="shared" ca="1" si="35"/>
        <v>#N/A</v>
      </c>
      <c r="V73" s="5">
        <f t="shared" ca="1" si="14"/>
        <v>1</v>
      </c>
      <c r="W73" s="5" t="e">
        <f t="shared" ca="1" si="28"/>
        <v>#N/A</v>
      </c>
      <c r="X73" s="67">
        <f t="shared" ca="1" si="29"/>
        <v>1</v>
      </c>
      <c r="Y73" s="67" t="e">
        <f t="shared" ca="1" si="36"/>
        <v>#N/A</v>
      </c>
      <c r="Z73" s="67" t="e">
        <f t="shared" ca="1" si="37"/>
        <v>#N/A</v>
      </c>
      <c r="AA73" s="5" t="str">
        <f>IF(Setup!$I$15="Yes",'Demand background (hide)'!AJ61+'SPC background (hide)'!C73,"")</f>
        <v/>
      </c>
      <c r="AC73" s="5">
        <f t="shared" ca="1" si="30"/>
        <v>551.5</v>
      </c>
      <c r="AD73" s="5">
        <f t="shared" ca="1" si="31"/>
        <v>664</v>
      </c>
    </row>
    <row r="74" spans="1:30" x14ac:dyDescent="0.2">
      <c r="A74" s="67">
        <f ca="1">Demand!C71</f>
        <v>19</v>
      </c>
      <c r="B74" s="67">
        <v>59</v>
      </c>
      <c r="C74" s="5">
        <f ca="1">'Demand background (hide)'!Y62</f>
        <v>270</v>
      </c>
      <c r="D74" s="67">
        <f t="shared" si="15"/>
        <v>0</v>
      </c>
      <c r="E74" s="67" t="e">
        <f t="shared" ca="1" si="16"/>
        <v>#N/A</v>
      </c>
      <c r="F74" s="67" t="e">
        <f t="shared" ca="1" si="17"/>
        <v>#N/A</v>
      </c>
      <c r="G74" s="67" t="e">
        <f t="shared" ca="1" si="18"/>
        <v>#N/A</v>
      </c>
      <c r="H74" s="67" t="e">
        <f>IF('Demand background (hide)'!AN62&lt;&gt;"",'SPC background (hide)'!C74,NA())</f>
        <v>#N/A</v>
      </c>
      <c r="I74" s="67">
        <f t="shared" ca="1" si="19"/>
        <v>1</v>
      </c>
      <c r="J74" s="5">
        <f t="shared" ca="1" si="20"/>
        <v>69.979541734860845</v>
      </c>
      <c r="K74" s="5">
        <f t="shared" ca="1" si="21"/>
        <v>211.65302782324056</v>
      </c>
      <c r="L74" s="5">
        <f t="shared" ca="1" si="22"/>
        <v>353.32651391162028</v>
      </c>
      <c r="M74" s="5">
        <f t="shared" ca="1" si="23"/>
        <v>495</v>
      </c>
      <c r="N74" s="5">
        <f t="shared" ca="1" si="24"/>
        <v>636.67348608837972</v>
      </c>
      <c r="O74" s="5">
        <f t="shared" ca="1" si="25"/>
        <v>778.34697217675944</v>
      </c>
      <c r="P74" s="5">
        <f t="shared" ca="1" si="26"/>
        <v>920.02045826513915</v>
      </c>
      <c r="Q74" s="5" t="e">
        <f t="shared" ca="1" si="27"/>
        <v>#N/A</v>
      </c>
      <c r="R74" s="5">
        <f t="shared" ca="1" si="32"/>
        <v>-1</v>
      </c>
      <c r="S74" s="67" t="e">
        <f t="shared" ca="1" si="33"/>
        <v>#N/A</v>
      </c>
      <c r="T74" s="67">
        <f t="shared" ca="1" si="34"/>
        <v>-2</v>
      </c>
      <c r="U74" s="67" t="e">
        <f t="shared" ca="1" si="35"/>
        <v>#N/A</v>
      </c>
      <c r="V74" s="5">
        <f t="shared" ca="1" si="14"/>
        <v>-1</v>
      </c>
      <c r="W74" s="5" t="e">
        <f t="shared" ca="1" si="28"/>
        <v>#N/A</v>
      </c>
      <c r="X74" s="67">
        <f t="shared" ca="1" si="29"/>
        <v>-1</v>
      </c>
      <c r="Y74" s="67" t="e">
        <f t="shared" ca="1" si="36"/>
        <v>#N/A</v>
      </c>
      <c r="Z74" s="67" t="e">
        <f t="shared" ca="1" si="37"/>
        <v>#N/A</v>
      </c>
      <c r="AA74" s="5" t="str">
        <f>IF(Setup!$I$15="Yes",'Demand background (hide)'!AJ62+'SPC background (hide)'!C74,"")</f>
        <v/>
      </c>
      <c r="AC74" s="5">
        <f t="shared" ca="1" si="30"/>
        <v>551.5</v>
      </c>
      <c r="AD74" s="5">
        <f t="shared" ca="1" si="31"/>
        <v>664</v>
      </c>
    </row>
    <row r="75" spans="1:30" x14ac:dyDescent="0.2">
      <c r="A75" s="67">
        <f ca="1">Demand!C72</f>
        <v>20</v>
      </c>
      <c r="B75" s="67">
        <v>60</v>
      </c>
      <c r="C75" s="5">
        <f ca="1">'Demand background (hide)'!Y63</f>
        <v>510</v>
      </c>
      <c r="D75" s="67">
        <f t="shared" si="15"/>
        <v>0</v>
      </c>
      <c r="E75" s="67" t="e">
        <f t="shared" ca="1" si="16"/>
        <v>#N/A</v>
      </c>
      <c r="F75" s="67" t="e">
        <f t="shared" ca="1" si="17"/>
        <v>#N/A</v>
      </c>
      <c r="G75" s="67" t="e">
        <f t="shared" ca="1" si="18"/>
        <v>#N/A</v>
      </c>
      <c r="H75" s="67" t="e">
        <f>IF('Demand background (hide)'!AN63&lt;&gt;"",'SPC background (hide)'!C75,NA())</f>
        <v>#N/A</v>
      </c>
      <c r="I75" s="67">
        <f t="shared" ca="1" si="19"/>
        <v>1</v>
      </c>
      <c r="J75" s="5">
        <f t="shared" ca="1" si="20"/>
        <v>69.979541734860845</v>
      </c>
      <c r="K75" s="5">
        <f t="shared" ca="1" si="21"/>
        <v>211.65302782324056</v>
      </c>
      <c r="L75" s="5">
        <f t="shared" ca="1" si="22"/>
        <v>353.32651391162028</v>
      </c>
      <c r="M75" s="5">
        <f t="shared" ca="1" si="23"/>
        <v>495</v>
      </c>
      <c r="N75" s="5">
        <f t="shared" ca="1" si="24"/>
        <v>636.67348608837972</v>
      </c>
      <c r="O75" s="5">
        <f t="shared" ca="1" si="25"/>
        <v>778.34697217675944</v>
      </c>
      <c r="P75" s="5">
        <f t="shared" ca="1" si="26"/>
        <v>920.02045826513915</v>
      </c>
      <c r="Q75" s="5" t="e">
        <f t="shared" ca="1" si="27"/>
        <v>#N/A</v>
      </c>
      <c r="R75" s="5">
        <f t="shared" ca="1" si="32"/>
        <v>1</v>
      </c>
      <c r="S75" s="67" t="e">
        <f t="shared" ca="1" si="33"/>
        <v>#N/A</v>
      </c>
      <c r="T75" s="67">
        <f t="shared" ca="1" si="34"/>
        <v>1</v>
      </c>
      <c r="U75" s="67" t="e">
        <f t="shared" ca="1" si="35"/>
        <v>#N/A</v>
      </c>
      <c r="V75" s="5">
        <f t="shared" ca="1" si="14"/>
        <v>1</v>
      </c>
      <c r="W75" s="5" t="e">
        <f t="shared" ca="1" si="28"/>
        <v>#N/A</v>
      </c>
      <c r="X75" s="67">
        <f t="shared" ca="1" si="29"/>
        <v>1</v>
      </c>
      <c r="Y75" s="67" t="e">
        <f t="shared" ca="1" si="36"/>
        <v>#N/A</v>
      </c>
      <c r="Z75" s="67" t="e">
        <f t="shared" ca="1" si="37"/>
        <v>#N/A</v>
      </c>
      <c r="AA75" s="5" t="str">
        <f>IF(Setup!$I$15="Yes",'Demand background (hide)'!AJ63+'SPC background (hide)'!C75,"")</f>
        <v/>
      </c>
      <c r="AC75" s="5">
        <f t="shared" ca="1" si="30"/>
        <v>551.5</v>
      </c>
      <c r="AD75" s="5">
        <f t="shared" ca="1" si="31"/>
        <v>664</v>
      </c>
    </row>
    <row r="76" spans="1:30" x14ac:dyDescent="0.2">
      <c r="A76" s="67">
        <f ca="1">Demand!C73</f>
        <v>21</v>
      </c>
      <c r="B76" s="67">
        <v>61</v>
      </c>
      <c r="C76" s="5">
        <f ca="1">'Demand background (hide)'!Y64</f>
        <v>280</v>
      </c>
      <c r="D76" s="67">
        <f t="shared" si="15"/>
        <v>0</v>
      </c>
      <c r="E76" s="67" t="e">
        <f t="shared" ca="1" si="16"/>
        <v>#N/A</v>
      </c>
      <c r="F76" s="67" t="e">
        <f t="shared" ca="1" si="17"/>
        <v>#N/A</v>
      </c>
      <c r="G76" s="67" t="e">
        <f t="shared" ca="1" si="18"/>
        <v>#N/A</v>
      </c>
      <c r="H76" s="67" t="e">
        <f>IF('Demand background (hide)'!AN64&lt;&gt;"",'SPC background (hide)'!C76,NA())</f>
        <v>#N/A</v>
      </c>
      <c r="I76" s="67">
        <f t="shared" ca="1" si="19"/>
        <v>1</v>
      </c>
      <c r="J76" s="5">
        <f t="shared" ca="1" si="20"/>
        <v>69.979541734860845</v>
      </c>
      <c r="K76" s="5">
        <f t="shared" ca="1" si="21"/>
        <v>211.65302782324056</v>
      </c>
      <c r="L76" s="5">
        <f t="shared" ca="1" si="22"/>
        <v>353.32651391162028</v>
      </c>
      <c r="M76" s="5">
        <f t="shared" ca="1" si="23"/>
        <v>495</v>
      </c>
      <c r="N76" s="5">
        <f t="shared" ca="1" si="24"/>
        <v>636.67348608837972</v>
      </c>
      <c r="O76" s="5">
        <f t="shared" ca="1" si="25"/>
        <v>778.34697217675944</v>
      </c>
      <c r="P76" s="5">
        <f t="shared" ca="1" si="26"/>
        <v>920.02045826513915</v>
      </c>
      <c r="Q76" s="5" t="e">
        <f t="shared" ca="1" si="27"/>
        <v>#N/A</v>
      </c>
      <c r="R76" s="5">
        <f t="shared" ca="1" si="32"/>
        <v>-1</v>
      </c>
      <c r="S76" s="67" t="e">
        <f t="shared" ca="1" si="33"/>
        <v>#N/A</v>
      </c>
      <c r="T76" s="67">
        <f t="shared" ca="1" si="34"/>
        <v>-2</v>
      </c>
      <c r="U76" s="67" t="e">
        <f t="shared" ca="1" si="35"/>
        <v>#N/A</v>
      </c>
      <c r="V76" s="5">
        <f t="shared" ca="1" si="14"/>
        <v>-1</v>
      </c>
      <c r="W76" s="5" t="e">
        <f t="shared" ca="1" si="28"/>
        <v>#N/A</v>
      </c>
      <c r="X76" s="67">
        <f t="shared" ca="1" si="29"/>
        <v>-1</v>
      </c>
      <c r="Y76" s="67" t="e">
        <f t="shared" ca="1" si="36"/>
        <v>#N/A</v>
      </c>
      <c r="Z76" s="67" t="e">
        <f t="shared" ca="1" si="37"/>
        <v>#N/A</v>
      </c>
      <c r="AA76" s="5" t="str">
        <f>IF(Setup!$I$15="Yes",'Demand background (hide)'!AJ64+'SPC background (hide)'!C76,"")</f>
        <v/>
      </c>
      <c r="AC76" s="5">
        <f t="shared" ca="1" si="30"/>
        <v>551.5</v>
      </c>
      <c r="AD76" s="5">
        <f t="shared" ca="1" si="31"/>
        <v>664</v>
      </c>
    </row>
    <row r="77" spans="1:30" x14ac:dyDescent="0.2">
      <c r="A77" s="67">
        <f ca="1">Demand!C74</f>
        <v>22</v>
      </c>
      <c r="B77" s="67">
        <v>62</v>
      </c>
      <c r="C77" s="5">
        <f ca="1">'Demand background (hide)'!Y65</f>
        <v>720</v>
      </c>
      <c r="D77" s="67">
        <f t="shared" si="15"/>
        <v>0</v>
      </c>
      <c r="E77" s="67" t="e">
        <f t="shared" ca="1" si="16"/>
        <v>#N/A</v>
      </c>
      <c r="F77" s="67" t="e">
        <f t="shared" ca="1" si="17"/>
        <v>#N/A</v>
      </c>
      <c r="G77" s="67" t="e">
        <f t="shared" ca="1" si="18"/>
        <v>#N/A</v>
      </c>
      <c r="H77" s="67" t="e">
        <f>IF('Demand background (hide)'!AN65&lt;&gt;"",'SPC background (hide)'!C77,NA())</f>
        <v>#N/A</v>
      </c>
      <c r="I77" s="67">
        <f t="shared" ca="1" si="19"/>
        <v>1</v>
      </c>
      <c r="J77" s="5">
        <f t="shared" ca="1" si="20"/>
        <v>69.979541734860845</v>
      </c>
      <c r="K77" s="5">
        <f t="shared" ca="1" si="21"/>
        <v>211.65302782324056</v>
      </c>
      <c r="L77" s="5">
        <f t="shared" ca="1" si="22"/>
        <v>353.32651391162028</v>
      </c>
      <c r="M77" s="5">
        <f t="shared" ca="1" si="23"/>
        <v>495</v>
      </c>
      <c r="N77" s="5">
        <f t="shared" ca="1" si="24"/>
        <v>636.67348608837972</v>
      </c>
      <c r="O77" s="5">
        <f t="shared" ca="1" si="25"/>
        <v>778.34697217675944</v>
      </c>
      <c r="P77" s="5">
        <f t="shared" ca="1" si="26"/>
        <v>920.02045826513915</v>
      </c>
      <c r="Q77" s="5" t="e">
        <f t="shared" ca="1" si="27"/>
        <v>#N/A</v>
      </c>
      <c r="R77" s="5">
        <f t="shared" ca="1" si="32"/>
        <v>1</v>
      </c>
      <c r="S77" s="67" t="e">
        <f t="shared" ca="1" si="33"/>
        <v>#N/A</v>
      </c>
      <c r="T77" s="67">
        <f t="shared" ca="1" si="34"/>
        <v>2</v>
      </c>
      <c r="U77" s="67" t="e">
        <f t="shared" ca="1" si="35"/>
        <v>#N/A</v>
      </c>
      <c r="V77" s="5">
        <f t="shared" ca="1" si="14"/>
        <v>1</v>
      </c>
      <c r="W77" s="5" t="e">
        <f t="shared" ca="1" si="28"/>
        <v>#N/A</v>
      </c>
      <c r="X77" s="67">
        <f t="shared" ca="1" si="29"/>
        <v>1</v>
      </c>
      <c r="Y77" s="67" t="e">
        <f t="shared" ca="1" si="36"/>
        <v>#N/A</v>
      </c>
      <c r="Z77" s="67" t="e">
        <f t="shared" ca="1" si="37"/>
        <v>#N/A</v>
      </c>
      <c r="AA77" s="5" t="str">
        <f>IF(Setup!$I$15="Yes",'Demand background (hide)'!AJ65+'SPC background (hide)'!C77,"")</f>
        <v/>
      </c>
      <c r="AC77" s="5">
        <f t="shared" ca="1" si="30"/>
        <v>551.5</v>
      </c>
      <c r="AD77" s="5">
        <f t="shared" ca="1" si="31"/>
        <v>664</v>
      </c>
    </row>
    <row r="78" spans="1:30" x14ac:dyDescent="0.2">
      <c r="A78" s="67">
        <f ca="1">Demand!C75</f>
        <v>23</v>
      </c>
      <c r="B78" s="67">
        <v>63</v>
      </c>
      <c r="C78" s="5">
        <f ca="1">'Demand background (hide)'!Y66</f>
        <v>270</v>
      </c>
      <c r="D78" s="67">
        <f t="shared" si="15"/>
        <v>0</v>
      </c>
      <c r="E78" s="67" t="e">
        <f t="shared" ca="1" si="16"/>
        <v>#N/A</v>
      </c>
      <c r="F78" s="67" t="e">
        <f t="shared" ca="1" si="17"/>
        <v>#N/A</v>
      </c>
      <c r="G78" s="67" t="e">
        <f t="shared" ca="1" si="18"/>
        <v>#N/A</v>
      </c>
      <c r="H78" s="67" t="e">
        <f>IF('Demand background (hide)'!AN66&lt;&gt;"",'SPC background (hide)'!C78,NA())</f>
        <v>#N/A</v>
      </c>
      <c r="I78" s="67">
        <f t="shared" ca="1" si="19"/>
        <v>1</v>
      </c>
      <c r="J78" s="5">
        <f t="shared" ca="1" si="20"/>
        <v>69.979541734860845</v>
      </c>
      <c r="K78" s="5">
        <f t="shared" ca="1" si="21"/>
        <v>211.65302782324056</v>
      </c>
      <c r="L78" s="5">
        <f t="shared" ca="1" si="22"/>
        <v>353.32651391162028</v>
      </c>
      <c r="M78" s="5">
        <f t="shared" ca="1" si="23"/>
        <v>495</v>
      </c>
      <c r="N78" s="5">
        <f t="shared" ca="1" si="24"/>
        <v>636.67348608837972</v>
      </c>
      <c r="O78" s="5">
        <f t="shared" ca="1" si="25"/>
        <v>778.34697217675944</v>
      </c>
      <c r="P78" s="5">
        <f t="shared" ca="1" si="26"/>
        <v>920.02045826513915</v>
      </c>
      <c r="Q78" s="5" t="e">
        <f t="shared" ca="1" si="27"/>
        <v>#N/A</v>
      </c>
      <c r="R78" s="5">
        <f t="shared" ca="1" si="32"/>
        <v>-1</v>
      </c>
      <c r="S78" s="67" t="e">
        <f t="shared" ca="1" si="33"/>
        <v>#N/A</v>
      </c>
      <c r="T78" s="67">
        <f t="shared" ca="1" si="34"/>
        <v>-2</v>
      </c>
      <c r="U78" s="67" t="e">
        <f t="shared" ca="1" si="35"/>
        <v>#N/A</v>
      </c>
      <c r="V78" s="5">
        <f t="shared" ca="1" si="14"/>
        <v>-1</v>
      </c>
      <c r="W78" s="5" t="e">
        <f t="shared" ca="1" si="28"/>
        <v>#N/A</v>
      </c>
      <c r="X78" s="67">
        <f t="shared" ca="1" si="29"/>
        <v>-1</v>
      </c>
      <c r="Y78" s="67" t="e">
        <f t="shared" ca="1" si="36"/>
        <v>#N/A</v>
      </c>
      <c r="Z78" s="67" t="e">
        <f t="shared" ca="1" si="37"/>
        <v>#N/A</v>
      </c>
      <c r="AA78" s="5" t="str">
        <f>IF(Setup!$I$15="Yes",'Demand background (hide)'!AJ66+'SPC background (hide)'!C78,"")</f>
        <v/>
      </c>
      <c r="AC78" s="5">
        <f t="shared" ca="1" si="30"/>
        <v>551.5</v>
      </c>
      <c r="AD78" s="5">
        <f t="shared" ca="1" si="31"/>
        <v>664</v>
      </c>
    </row>
    <row r="79" spans="1:30" x14ac:dyDescent="0.2">
      <c r="A79" s="67">
        <f ca="1">Demand!C76</f>
        <v>24</v>
      </c>
      <c r="B79" s="67">
        <v>64</v>
      </c>
      <c r="C79" s="5">
        <f ca="1">'Demand background (hide)'!Y67</f>
        <v>390</v>
      </c>
      <c r="D79" s="67">
        <f t="shared" si="15"/>
        <v>0</v>
      </c>
      <c r="E79" s="67" t="e">
        <f t="shared" ca="1" si="16"/>
        <v>#N/A</v>
      </c>
      <c r="F79" s="67" t="e">
        <f t="shared" ca="1" si="17"/>
        <v>#N/A</v>
      </c>
      <c r="G79" s="67" t="e">
        <f t="shared" ca="1" si="18"/>
        <v>#N/A</v>
      </c>
      <c r="H79" s="67" t="e">
        <f>IF('Demand background (hide)'!AN67&lt;&gt;"",'SPC background (hide)'!C79,NA())</f>
        <v>#N/A</v>
      </c>
      <c r="I79" s="67">
        <f t="shared" ca="1" si="19"/>
        <v>1</v>
      </c>
      <c r="J79" s="5">
        <f t="shared" ca="1" si="20"/>
        <v>69.979541734860845</v>
      </c>
      <c r="K79" s="5">
        <f t="shared" ca="1" si="21"/>
        <v>211.65302782324056</v>
      </c>
      <c r="L79" s="5">
        <f t="shared" ca="1" si="22"/>
        <v>353.32651391162028</v>
      </c>
      <c r="M79" s="5">
        <f t="shared" ca="1" si="23"/>
        <v>495</v>
      </c>
      <c r="N79" s="5">
        <f t="shared" ca="1" si="24"/>
        <v>636.67348608837972</v>
      </c>
      <c r="O79" s="5">
        <f t="shared" ca="1" si="25"/>
        <v>778.34697217675944</v>
      </c>
      <c r="P79" s="5">
        <f t="shared" ca="1" si="26"/>
        <v>920.02045826513915</v>
      </c>
      <c r="Q79" s="5" t="e">
        <f t="shared" ca="1" si="27"/>
        <v>#N/A</v>
      </c>
      <c r="R79" s="5">
        <f t="shared" ca="1" si="32"/>
        <v>-1</v>
      </c>
      <c r="S79" s="67" t="e">
        <f t="shared" ca="1" si="33"/>
        <v>#N/A</v>
      </c>
      <c r="T79" s="67">
        <f t="shared" ca="1" si="34"/>
        <v>-1</v>
      </c>
      <c r="U79" s="67" t="e">
        <f t="shared" ca="1" si="35"/>
        <v>#N/A</v>
      </c>
      <c r="V79" s="5">
        <f t="shared" ca="1" si="14"/>
        <v>-1</v>
      </c>
      <c r="W79" s="5" t="e">
        <f t="shared" ca="1" si="28"/>
        <v>#N/A</v>
      </c>
      <c r="X79" s="67">
        <f t="shared" ca="1" si="29"/>
        <v>1</v>
      </c>
      <c r="Y79" s="67" t="e">
        <f t="shared" ca="1" si="36"/>
        <v>#N/A</v>
      </c>
      <c r="Z79" s="67" t="e">
        <f t="shared" ca="1" si="37"/>
        <v>#N/A</v>
      </c>
      <c r="AA79" s="5" t="str">
        <f>IF(Setup!$I$15="Yes",'Demand background (hide)'!AJ67+'SPC background (hide)'!C79,"")</f>
        <v/>
      </c>
      <c r="AC79" s="5">
        <f t="shared" ca="1" si="30"/>
        <v>551.5</v>
      </c>
      <c r="AD79" s="5">
        <f t="shared" ca="1" si="31"/>
        <v>664</v>
      </c>
    </row>
    <row r="80" spans="1:30" x14ac:dyDescent="0.2">
      <c r="A80" s="67">
        <f ca="1">Demand!C77</f>
        <v>25</v>
      </c>
      <c r="B80" s="67">
        <v>65</v>
      </c>
      <c r="C80" s="5">
        <f ca="1">'Demand background (hide)'!Y68</f>
        <v>500</v>
      </c>
      <c r="D80" s="67">
        <f t="shared" si="15"/>
        <v>0</v>
      </c>
      <c r="E80" s="67" t="e">
        <f t="shared" ca="1" si="16"/>
        <v>#N/A</v>
      </c>
      <c r="F80" s="67" t="e">
        <f t="shared" ca="1" si="17"/>
        <v>#N/A</v>
      </c>
      <c r="G80" s="67" t="e">
        <f t="shared" ca="1" si="18"/>
        <v>#N/A</v>
      </c>
      <c r="H80" s="67" t="e">
        <f>IF('Demand background (hide)'!AN68&lt;&gt;"",'SPC background (hide)'!C80,NA())</f>
        <v>#N/A</v>
      </c>
      <c r="I80" s="67">
        <f t="shared" ca="1" si="19"/>
        <v>1</v>
      </c>
      <c r="J80" s="5">
        <f t="shared" ca="1" si="20"/>
        <v>69.979541734860845</v>
      </c>
      <c r="K80" s="5">
        <f t="shared" ca="1" si="21"/>
        <v>211.65302782324056</v>
      </c>
      <c r="L80" s="5">
        <f t="shared" ca="1" si="22"/>
        <v>353.32651391162028</v>
      </c>
      <c r="M80" s="5">
        <f t="shared" ca="1" si="23"/>
        <v>495</v>
      </c>
      <c r="N80" s="5">
        <f t="shared" ca="1" si="24"/>
        <v>636.67348608837972</v>
      </c>
      <c r="O80" s="5">
        <f t="shared" ca="1" si="25"/>
        <v>778.34697217675944</v>
      </c>
      <c r="P80" s="5">
        <f t="shared" ca="1" si="26"/>
        <v>920.02045826513915</v>
      </c>
      <c r="Q80" s="5" t="e">
        <f t="shared" ca="1" si="27"/>
        <v>#N/A</v>
      </c>
      <c r="R80" s="5">
        <f t="shared" ca="1" si="32"/>
        <v>1</v>
      </c>
      <c r="S80" s="67" t="e">
        <f t="shared" ca="1" si="33"/>
        <v>#N/A</v>
      </c>
      <c r="T80" s="67">
        <f t="shared" ca="1" si="34"/>
        <v>1</v>
      </c>
      <c r="U80" s="67" t="e">
        <f t="shared" ca="1" si="35"/>
        <v>#N/A</v>
      </c>
      <c r="V80" s="5">
        <f t="shared" ref="V80:V143" ca="1" si="38">IF(C80&lt;M80,-1,IF(C80&gt;M80,1,0))</f>
        <v>1</v>
      </c>
      <c r="W80" s="5" t="e">
        <f t="shared" ca="1" si="28"/>
        <v>#N/A</v>
      </c>
      <c r="X80" s="67">
        <f t="shared" ca="1" si="29"/>
        <v>1</v>
      </c>
      <c r="Y80" s="67" t="e">
        <f t="shared" ca="1" si="36"/>
        <v>#N/A</v>
      </c>
      <c r="Z80" s="67" t="e">
        <f t="shared" ca="1" si="37"/>
        <v>#N/A</v>
      </c>
      <c r="AA80" s="5" t="str">
        <f>IF(Setup!$I$15="Yes",'Demand background (hide)'!AJ68+'SPC background (hide)'!C80,"")</f>
        <v/>
      </c>
      <c r="AC80" s="5">
        <f t="shared" ca="1" si="30"/>
        <v>551.5</v>
      </c>
      <c r="AD80" s="5">
        <f t="shared" ca="1" si="31"/>
        <v>664</v>
      </c>
    </row>
    <row r="81" spans="1:30" x14ac:dyDescent="0.2">
      <c r="A81" s="67">
        <f ca="1">Demand!C78</f>
        <v>26</v>
      </c>
      <c r="B81" s="67">
        <v>66</v>
      </c>
      <c r="C81" s="5">
        <f ca="1">'Demand background (hide)'!Y69</f>
        <v>310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1</v>
      </c>
      <c r="J81" s="5">
        <f t="shared" ref="J81:J144" ca="1" si="44">VLOOKUP($A81,$AG$2:$AQ$54,COLUMN(E$1),0)</f>
        <v>69.979541734860845</v>
      </c>
      <c r="K81" s="5">
        <f t="shared" ref="K81:K144" ca="1" si="45">VLOOKUP($A81,$AG$2:$AQ$54,COLUMN(F$1),0)</f>
        <v>211.65302782324056</v>
      </c>
      <c r="L81" s="5">
        <f t="shared" ref="L81:L144" ca="1" si="46">VLOOKUP($A81,$AG$2:$AQ$54,COLUMN(G$1),0)</f>
        <v>353.32651391162028</v>
      </c>
      <c r="M81" s="5">
        <f t="shared" ref="M81:M144" ca="1" si="47">VLOOKUP($A81,$AG$2:$AQ$54,COLUMN(H$1),0)</f>
        <v>495</v>
      </c>
      <c r="N81" s="5">
        <f t="shared" ref="N81:N144" ca="1" si="48">VLOOKUP($A81,$AG$2:$AQ$54,COLUMN(I$1),0)</f>
        <v>636.67348608837972</v>
      </c>
      <c r="O81" s="5">
        <f t="shared" ref="O81:O144" ca="1" si="49">VLOOKUP($A81,$AG$2:$AQ$54,COLUMN(J$1),0)</f>
        <v>778.34697217675944</v>
      </c>
      <c r="P81" s="5">
        <f t="shared" ref="P81:P144" ca="1" si="50">VLOOKUP($A81,$AG$2:$AQ$54,COLUMN(K$1),0)</f>
        <v>920.02045826513915</v>
      </c>
      <c r="Q81" s="5" t="e">
        <f t="shared" ref="Q81:Q144" ca="1" si="51">IF(ISNA(H81)=TRUE,IF(OR(C81&gt;P81,C81&lt;J81),C81,NA()),NA())</f>
        <v>#N/A</v>
      </c>
      <c r="R81" s="5">
        <f t="shared" ca="1" si="32"/>
        <v>-1</v>
      </c>
      <c r="S81" s="67" t="e">
        <f t="shared" ca="1" si="33"/>
        <v>#N/A</v>
      </c>
      <c r="T81" s="67">
        <f t="shared" ca="1" si="34"/>
        <v>-2</v>
      </c>
      <c r="U81" s="67" t="e">
        <f t="shared" ca="1" si="35"/>
        <v>#N/A</v>
      </c>
      <c r="V81" s="5">
        <f t="shared" ca="1" si="38"/>
        <v>-1</v>
      </c>
      <c r="W81" s="5" t="e">
        <f t="shared" ref="W81:W144" ca="1" si="52">IF(ISNA(H81)=TRUE,IF(ABS(SUM(V81:V89))=9,C81,NA()),NA())</f>
        <v>#N/A</v>
      </c>
      <c r="X81" s="67">
        <f t="shared" ref="X81:X144" ca="1" si="53">IF(C81&gt;C80,1,IF(C81&lt;C80,-1,0))</f>
        <v>-1</v>
      </c>
      <c r="Y81" s="67" t="e">
        <f t="shared" ca="1" si="36"/>
        <v>#N/A</v>
      </c>
      <c r="Z81" s="67" t="e">
        <f t="shared" ca="1" si="37"/>
        <v>#N/A</v>
      </c>
      <c r="AA81" s="5" t="str">
        <f>IF(Setup!$I$15="Yes",'Demand background (hide)'!AJ69+'SPC background (hide)'!C81,"")</f>
        <v/>
      </c>
      <c r="AC81" s="5">
        <f t="shared" ref="AC81:AC144" ca="1" si="54">VLOOKUP($A81,$AG$2:$AS$54,12,0)</f>
        <v>551.5</v>
      </c>
      <c r="AD81" s="5">
        <f t="shared" ref="AD81:AD144" ca="1" si="55">VLOOKUP($A81,$AG$2:$AS$54,13,0)</f>
        <v>664</v>
      </c>
    </row>
    <row r="82" spans="1:30" x14ac:dyDescent="0.2">
      <c r="A82" s="67">
        <f ca="1">Demand!C79</f>
        <v>27</v>
      </c>
      <c r="B82" s="67">
        <v>67</v>
      </c>
      <c r="C82" s="5">
        <f ca="1">'Demand background (hide)'!Y70</f>
        <v>820</v>
      </c>
      <c r="D82" s="67">
        <f t="shared" si="39"/>
        <v>0</v>
      </c>
      <c r="E82" s="67" t="e">
        <f t="shared" ca="1" si="40"/>
        <v>#N/A</v>
      </c>
      <c r="F82" s="67" t="e">
        <f t="shared" ca="1" si="41"/>
        <v>#N/A</v>
      </c>
      <c r="G82" s="67" t="e">
        <f t="shared" ca="1" si="42"/>
        <v>#N/A</v>
      </c>
      <c r="H82" s="67" t="e">
        <f>IF('Demand background (hide)'!AN70&lt;&gt;"",'SPC background (hide)'!C82,NA())</f>
        <v>#N/A</v>
      </c>
      <c r="I82" s="67">
        <f t="shared" ca="1" si="43"/>
        <v>1</v>
      </c>
      <c r="J82" s="5">
        <f t="shared" ca="1" si="44"/>
        <v>69.979541734860845</v>
      </c>
      <c r="K82" s="5">
        <f t="shared" ca="1" si="45"/>
        <v>211.65302782324056</v>
      </c>
      <c r="L82" s="5">
        <f t="shared" ca="1" si="46"/>
        <v>353.32651391162028</v>
      </c>
      <c r="M82" s="5">
        <f t="shared" ca="1" si="47"/>
        <v>495</v>
      </c>
      <c r="N82" s="5">
        <f t="shared" ca="1" si="48"/>
        <v>636.67348608837972</v>
      </c>
      <c r="O82" s="5">
        <f t="shared" ca="1" si="49"/>
        <v>778.34697217675944</v>
      </c>
      <c r="P82" s="5">
        <f t="shared" ca="1" si="50"/>
        <v>920.02045826513915</v>
      </c>
      <c r="Q82" s="5" t="e">
        <f t="shared" ca="1" si="51"/>
        <v>#N/A</v>
      </c>
      <c r="R82" s="5">
        <f t="shared" ref="R82:R145" ca="1" si="56">IF(C82&gt;O82,2,IF(C82&lt;K82,-2,IF(C82&gt;M82,1,IF(C82&lt;M82,-1,0))))</f>
        <v>2</v>
      </c>
      <c r="S82" s="67" t="e">
        <f t="shared" ref="S82:S145" ca="1" si="57">IF(ISNA(H82),IF(ABS(SUM(R82:R84))&gt;=5,C82,NA()),NA())</f>
        <v>#N/A</v>
      </c>
      <c r="T82" s="67">
        <f t="shared" ref="T82:T145" ca="1" si="58">IF(C82&gt;N82,2,IF(C82&lt;L82,-2,IF(C82&gt;M82,1,IF(C82&lt;M82,-1,0))))</f>
        <v>2</v>
      </c>
      <c r="U82" s="67" t="e">
        <f t="shared" ref="U82:U145" ca="1" si="59">IF(ISNA(H82)=TRUE,IF(ABS(SUM(T82:T86))&gt;=9,C82,NA()),NA())</f>
        <v>#N/A</v>
      </c>
      <c r="V82" s="5">
        <f t="shared" ca="1" si="38"/>
        <v>1</v>
      </c>
      <c r="W82" s="5" t="e">
        <f t="shared" ca="1" si="52"/>
        <v>#N/A</v>
      </c>
      <c r="X82" s="67">
        <f t="shared" ca="1" si="53"/>
        <v>1</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f t="shared" ca="1" si="54"/>
        <v>551.5</v>
      </c>
      <c r="AD82" s="5">
        <f t="shared" ca="1" si="55"/>
        <v>664</v>
      </c>
    </row>
    <row r="83" spans="1:30" x14ac:dyDescent="0.2">
      <c r="A83" s="67">
        <f ca="1">Demand!C80</f>
        <v>28</v>
      </c>
      <c r="B83" s="67">
        <v>68</v>
      </c>
      <c r="C83" s="5">
        <f ca="1">'Demand background (hide)'!Y71</f>
        <v>640</v>
      </c>
      <c r="D83" s="67">
        <f t="shared" si="39"/>
        <v>0</v>
      </c>
      <c r="E83" s="67" t="e">
        <f t="shared" ca="1" si="40"/>
        <v>#N/A</v>
      </c>
      <c r="F83" s="67" t="e">
        <f t="shared" ca="1" si="41"/>
        <v>#N/A</v>
      </c>
      <c r="G83" s="67" t="e">
        <f t="shared" ca="1" si="42"/>
        <v>#N/A</v>
      </c>
      <c r="H83" s="67" t="e">
        <f>IF('Demand background (hide)'!AN71&lt;&gt;"",'SPC background (hide)'!C83,NA())</f>
        <v>#N/A</v>
      </c>
      <c r="I83" s="67">
        <f t="shared" ca="1" si="43"/>
        <v>1</v>
      </c>
      <c r="J83" s="5">
        <f t="shared" ca="1" si="44"/>
        <v>69.979541734860845</v>
      </c>
      <c r="K83" s="5">
        <f t="shared" ca="1" si="45"/>
        <v>211.65302782324056</v>
      </c>
      <c r="L83" s="5">
        <f t="shared" ca="1" si="46"/>
        <v>353.32651391162028</v>
      </c>
      <c r="M83" s="5">
        <f t="shared" ca="1" si="47"/>
        <v>495</v>
      </c>
      <c r="N83" s="5">
        <f t="shared" ca="1" si="48"/>
        <v>636.67348608837972</v>
      </c>
      <c r="O83" s="5">
        <f t="shared" ca="1" si="49"/>
        <v>778.34697217675944</v>
      </c>
      <c r="P83" s="5">
        <f t="shared" ca="1" si="50"/>
        <v>920.02045826513915</v>
      </c>
      <c r="Q83" s="5" t="e">
        <f t="shared" ca="1" si="51"/>
        <v>#N/A</v>
      </c>
      <c r="R83" s="5">
        <f t="shared" ca="1" si="56"/>
        <v>1</v>
      </c>
      <c r="S83" s="67" t="e">
        <f t="shared" ca="1" si="57"/>
        <v>#N/A</v>
      </c>
      <c r="T83" s="67">
        <f t="shared" ca="1" si="58"/>
        <v>2</v>
      </c>
      <c r="U83" s="67" t="e">
        <f t="shared" ca="1" si="59"/>
        <v>#N/A</v>
      </c>
      <c r="V83" s="5">
        <f t="shared" ca="1" si="38"/>
        <v>1</v>
      </c>
      <c r="W83" s="5" t="e">
        <f t="shared" ca="1" si="52"/>
        <v>#N/A</v>
      </c>
      <c r="X83" s="67">
        <f t="shared" ca="1" si="53"/>
        <v>-1</v>
      </c>
      <c r="Y83" s="67" t="e">
        <f t="shared" ca="1" si="60"/>
        <v>#N/A</v>
      </c>
      <c r="Z83" s="67" t="e">
        <f t="shared" ca="1" si="61"/>
        <v>#N/A</v>
      </c>
      <c r="AA83" s="5" t="str">
        <f>IF(Setup!$I$15="Yes",'Demand background (hide)'!AJ71+'SPC background (hide)'!C83,"")</f>
        <v/>
      </c>
      <c r="AC83" s="5">
        <f t="shared" ca="1" si="54"/>
        <v>551.5</v>
      </c>
      <c r="AD83" s="5">
        <f t="shared" ca="1" si="55"/>
        <v>664</v>
      </c>
    </row>
    <row r="84" spans="1:30" x14ac:dyDescent="0.2">
      <c r="A84" s="67">
        <f ca="1">Demand!C81</f>
        <v>29</v>
      </c>
      <c r="B84" s="67">
        <v>69</v>
      </c>
      <c r="C84" s="5">
        <f ca="1">'Demand background (hide)'!Y72</f>
        <v>460</v>
      </c>
      <c r="D84" s="67">
        <f t="shared" si="39"/>
        <v>0</v>
      </c>
      <c r="E84" s="67" t="e">
        <f t="shared" ca="1" si="40"/>
        <v>#N/A</v>
      </c>
      <c r="F84" s="67" t="e">
        <f t="shared" ca="1" si="41"/>
        <v>#N/A</v>
      </c>
      <c r="G84" s="67" t="e">
        <f t="shared" ca="1" si="42"/>
        <v>#N/A</v>
      </c>
      <c r="H84" s="67" t="e">
        <f>IF('Demand background (hide)'!AN72&lt;&gt;"",'SPC background (hide)'!C84,NA())</f>
        <v>#N/A</v>
      </c>
      <c r="I84" s="67">
        <f t="shared" ca="1" si="43"/>
        <v>1</v>
      </c>
      <c r="J84" s="5">
        <f t="shared" ca="1" si="44"/>
        <v>69.979541734860845</v>
      </c>
      <c r="K84" s="5">
        <f t="shared" ca="1" si="45"/>
        <v>211.65302782324056</v>
      </c>
      <c r="L84" s="5">
        <f t="shared" ca="1" si="46"/>
        <v>353.32651391162028</v>
      </c>
      <c r="M84" s="5">
        <f t="shared" ca="1" si="47"/>
        <v>495</v>
      </c>
      <c r="N84" s="5">
        <f t="shared" ca="1" si="48"/>
        <v>636.67348608837972</v>
      </c>
      <c r="O84" s="5">
        <f t="shared" ca="1" si="49"/>
        <v>778.34697217675944</v>
      </c>
      <c r="P84" s="5">
        <f t="shared" ca="1" si="50"/>
        <v>920.02045826513915</v>
      </c>
      <c r="Q84" s="5" t="e">
        <f t="shared" ca="1" si="51"/>
        <v>#N/A</v>
      </c>
      <c r="R84" s="5">
        <f t="shared" ca="1" si="56"/>
        <v>-1</v>
      </c>
      <c r="S84" s="67" t="e">
        <f t="shared" ca="1" si="57"/>
        <v>#N/A</v>
      </c>
      <c r="T84" s="67">
        <f t="shared" ca="1" si="58"/>
        <v>-1</v>
      </c>
      <c r="U84" s="67" t="e">
        <f t="shared" ca="1" si="59"/>
        <v>#N/A</v>
      </c>
      <c r="V84" s="5">
        <f t="shared" ca="1" si="38"/>
        <v>-1</v>
      </c>
      <c r="W84" s="5" t="e">
        <f t="shared" ca="1" si="52"/>
        <v>#N/A</v>
      </c>
      <c r="X84" s="67">
        <f t="shared" ca="1" si="53"/>
        <v>-1</v>
      </c>
      <c r="Y84" s="67" t="e">
        <f t="shared" ca="1" si="60"/>
        <v>#N/A</v>
      </c>
      <c r="Z84" s="67" t="e">
        <f t="shared" ca="1" si="61"/>
        <v>#N/A</v>
      </c>
      <c r="AA84" s="5" t="str">
        <f>IF(Setup!$I$15="Yes",'Demand background (hide)'!AJ72+'SPC background (hide)'!C84,"")</f>
        <v/>
      </c>
      <c r="AC84" s="5">
        <f t="shared" ca="1" si="54"/>
        <v>551.5</v>
      </c>
      <c r="AD84" s="5">
        <f t="shared" ca="1" si="55"/>
        <v>664</v>
      </c>
    </row>
    <row r="85" spans="1:30" x14ac:dyDescent="0.2">
      <c r="A85" s="67">
        <f ca="1">Demand!C82</f>
        <v>30</v>
      </c>
      <c r="B85" s="67">
        <v>70</v>
      </c>
      <c r="C85" s="5">
        <f ca="1">'Demand background (hide)'!Y73</f>
        <v>770</v>
      </c>
      <c r="D85" s="67">
        <f t="shared" si="39"/>
        <v>0</v>
      </c>
      <c r="E85" s="67" t="e">
        <f t="shared" ca="1" si="40"/>
        <v>#N/A</v>
      </c>
      <c r="F85" s="67" t="e">
        <f t="shared" ca="1" si="41"/>
        <v>#N/A</v>
      </c>
      <c r="G85" s="67" t="e">
        <f t="shared" ca="1" si="42"/>
        <v>#N/A</v>
      </c>
      <c r="H85" s="67" t="e">
        <f>IF('Demand background (hide)'!AN73&lt;&gt;"",'SPC background (hide)'!C85,NA())</f>
        <v>#N/A</v>
      </c>
      <c r="I85" s="67">
        <f t="shared" ca="1" si="43"/>
        <v>1</v>
      </c>
      <c r="J85" s="5">
        <f t="shared" ca="1" si="44"/>
        <v>69.979541734860845</v>
      </c>
      <c r="K85" s="5">
        <f t="shared" ca="1" si="45"/>
        <v>211.65302782324056</v>
      </c>
      <c r="L85" s="5">
        <f t="shared" ca="1" si="46"/>
        <v>353.32651391162028</v>
      </c>
      <c r="M85" s="5">
        <f t="shared" ca="1" si="47"/>
        <v>495</v>
      </c>
      <c r="N85" s="5">
        <f t="shared" ca="1" si="48"/>
        <v>636.67348608837972</v>
      </c>
      <c r="O85" s="5">
        <f t="shared" ca="1" si="49"/>
        <v>778.34697217675944</v>
      </c>
      <c r="P85" s="5">
        <f t="shared" ca="1" si="50"/>
        <v>920.02045826513915</v>
      </c>
      <c r="Q85" s="5" t="e">
        <f t="shared" ca="1" si="51"/>
        <v>#N/A</v>
      </c>
      <c r="R85" s="5">
        <f t="shared" ca="1" si="56"/>
        <v>1</v>
      </c>
      <c r="S85" s="67" t="e">
        <f t="shared" ca="1" si="57"/>
        <v>#N/A</v>
      </c>
      <c r="T85" s="67">
        <f t="shared" ca="1" si="58"/>
        <v>2</v>
      </c>
      <c r="U85" s="67" t="e">
        <f t="shared" ca="1" si="59"/>
        <v>#N/A</v>
      </c>
      <c r="V85" s="5">
        <f t="shared" ca="1" si="38"/>
        <v>1</v>
      </c>
      <c r="W85" s="5" t="e">
        <f t="shared" ca="1" si="52"/>
        <v>#N/A</v>
      </c>
      <c r="X85" s="67">
        <f t="shared" ca="1" si="53"/>
        <v>1</v>
      </c>
      <c r="Y85" s="67" t="e">
        <f t="shared" ca="1" si="60"/>
        <v>#N/A</v>
      </c>
      <c r="Z85" s="67" t="e">
        <f t="shared" ca="1" si="61"/>
        <v>#N/A</v>
      </c>
      <c r="AA85" s="5" t="str">
        <f>IF(Setup!$I$15="Yes",'Demand background (hide)'!AJ73+'SPC background (hide)'!C85,"")</f>
        <v/>
      </c>
      <c r="AC85" s="5">
        <f t="shared" ca="1" si="54"/>
        <v>551.5</v>
      </c>
      <c r="AD85" s="5">
        <f t="shared" ca="1" si="55"/>
        <v>664</v>
      </c>
    </row>
    <row r="86" spans="1:30" x14ac:dyDescent="0.2">
      <c r="A86" s="67">
        <f ca="1">Demand!C83</f>
        <v>31</v>
      </c>
      <c r="B86" s="67">
        <v>71</v>
      </c>
      <c r="C86" s="5">
        <f ca="1">'Demand background (hide)'!Y74</f>
        <v>430</v>
      </c>
      <c r="D86" s="67">
        <f t="shared" si="39"/>
        <v>0</v>
      </c>
      <c r="E86" s="67" t="e">
        <f t="shared" ca="1" si="40"/>
        <v>#N/A</v>
      </c>
      <c r="F86" s="67" t="e">
        <f t="shared" ca="1" si="41"/>
        <v>#N/A</v>
      </c>
      <c r="G86" s="67" t="e">
        <f t="shared" ca="1" si="42"/>
        <v>#N/A</v>
      </c>
      <c r="H86" s="67" t="e">
        <f>IF('Demand background (hide)'!AN74&lt;&gt;"",'SPC background (hide)'!C86,NA())</f>
        <v>#N/A</v>
      </c>
      <c r="I86" s="67">
        <f t="shared" ca="1" si="43"/>
        <v>1</v>
      </c>
      <c r="J86" s="5">
        <f t="shared" ca="1" si="44"/>
        <v>69.979541734860845</v>
      </c>
      <c r="K86" s="5">
        <f t="shared" ca="1" si="45"/>
        <v>211.65302782324056</v>
      </c>
      <c r="L86" s="5">
        <f t="shared" ca="1" si="46"/>
        <v>353.32651391162028</v>
      </c>
      <c r="M86" s="5">
        <f t="shared" ca="1" si="47"/>
        <v>495</v>
      </c>
      <c r="N86" s="5">
        <f t="shared" ca="1" si="48"/>
        <v>636.67348608837972</v>
      </c>
      <c r="O86" s="5">
        <f t="shared" ca="1" si="49"/>
        <v>778.34697217675944</v>
      </c>
      <c r="P86" s="5">
        <f t="shared" ca="1" si="50"/>
        <v>920.02045826513915</v>
      </c>
      <c r="Q86" s="5" t="e">
        <f t="shared" ca="1" si="51"/>
        <v>#N/A</v>
      </c>
      <c r="R86" s="5">
        <f t="shared" ca="1" si="56"/>
        <v>-1</v>
      </c>
      <c r="S86" s="67" t="e">
        <f t="shared" ca="1" si="57"/>
        <v>#N/A</v>
      </c>
      <c r="T86" s="67">
        <f t="shared" ca="1" si="58"/>
        <v>-1</v>
      </c>
      <c r="U86" s="67" t="e">
        <f t="shared" ca="1" si="59"/>
        <v>#N/A</v>
      </c>
      <c r="V86" s="5">
        <f t="shared" ca="1" si="38"/>
        <v>-1</v>
      </c>
      <c r="W86" s="5" t="e">
        <f t="shared" ca="1" si="52"/>
        <v>#N/A</v>
      </c>
      <c r="X86" s="67">
        <f t="shared" ca="1" si="53"/>
        <v>-1</v>
      </c>
      <c r="Y86" s="67" t="e">
        <f t="shared" ca="1" si="60"/>
        <v>#N/A</v>
      </c>
      <c r="Z86" s="67" t="e">
        <f t="shared" ca="1" si="61"/>
        <v>#N/A</v>
      </c>
      <c r="AA86" s="5" t="str">
        <f>IF(Setup!$I$15="Yes",'Demand background (hide)'!AJ74+'SPC background (hide)'!C86,"")</f>
        <v/>
      </c>
      <c r="AC86" s="5">
        <f t="shared" ca="1" si="54"/>
        <v>551.5</v>
      </c>
      <c r="AD86" s="5">
        <f t="shared" ca="1" si="55"/>
        <v>664</v>
      </c>
    </row>
    <row r="87" spans="1:30" x14ac:dyDescent="0.2">
      <c r="A87" s="67">
        <f ca="1">Demand!C84</f>
        <v>32</v>
      </c>
      <c r="B87" s="67">
        <v>72</v>
      </c>
      <c r="C87" s="5">
        <f ca="1">'Demand background (hide)'!Y75</f>
        <v>490</v>
      </c>
      <c r="D87" s="67">
        <f t="shared" si="39"/>
        <v>0</v>
      </c>
      <c r="E87" s="67" t="e">
        <f t="shared" ca="1" si="40"/>
        <v>#N/A</v>
      </c>
      <c r="F87" s="67" t="e">
        <f t="shared" ca="1" si="41"/>
        <v>#N/A</v>
      </c>
      <c r="G87" s="67" t="e">
        <f t="shared" ca="1" si="42"/>
        <v>#N/A</v>
      </c>
      <c r="H87" s="67" t="e">
        <f>IF('Demand background (hide)'!AN75&lt;&gt;"",'SPC background (hide)'!C87,NA())</f>
        <v>#N/A</v>
      </c>
      <c r="I87" s="67">
        <f t="shared" ca="1" si="43"/>
        <v>1</v>
      </c>
      <c r="J87" s="5">
        <f t="shared" ca="1" si="44"/>
        <v>69.979541734860845</v>
      </c>
      <c r="K87" s="5">
        <f t="shared" ca="1" si="45"/>
        <v>211.65302782324056</v>
      </c>
      <c r="L87" s="5">
        <f t="shared" ca="1" si="46"/>
        <v>353.32651391162028</v>
      </c>
      <c r="M87" s="5">
        <f t="shared" ca="1" si="47"/>
        <v>495</v>
      </c>
      <c r="N87" s="5">
        <f t="shared" ca="1" si="48"/>
        <v>636.67348608837972</v>
      </c>
      <c r="O87" s="5">
        <f t="shared" ca="1" si="49"/>
        <v>778.34697217675944</v>
      </c>
      <c r="P87" s="5">
        <f t="shared" ca="1" si="50"/>
        <v>920.02045826513915</v>
      </c>
      <c r="Q87" s="5" t="e">
        <f t="shared" ca="1" si="51"/>
        <v>#N/A</v>
      </c>
      <c r="R87" s="5">
        <f t="shared" ca="1" si="56"/>
        <v>-1</v>
      </c>
      <c r="S87" s="67" t="e">
        <f t="shared" ca="1" si="57"/>
        <v>#N/A</v>
      </c>
      <c r="T87" s="67">
        <f t="shared" ca="1" si="58"/>
        <v>-1</v>
      </c>
      <c r="U87" s="67" t="e">
        <f t="shared" ca="1" si="59"/>
        <v>#N/A</v>
      </c>
      <c r="V87" s="5">
        <f t="shared" ca="1" si="38"/>
        <v>-1</v>
      </c>
      <c r="W87" s="5" t="e">
        <f t="shared" ca="1" si="52"/>
        <v>#N/A</v>
      </c>
      <c r="X87" s="67">
        <f t="shared" ca="1" si="53"/>
        <v>1</v>
      </c>
      <c r="Y87" s="67" t="e">
        <f t="shared" ca="1" si="60"/>
        <v>#N/A</v>
      </c>
      <c r="Z87" s="67" t="e">
        <f t="shared" ca="1" si="61"/>
        <v>#N/A</v>
      </c>
      <c r="AA87" s="5" t="str">
        <f>IF(Setup!$I$15="Yes",'Demand background (hide)'!AJ75+'SPC background (hide)'!C87,"")</f>
        <v/>
      </c>
      <c r="AC87" s="5">
        <f t="shared" ca="1" si="54"/>
        <v>551.5</v>
      </c>
      <c r="AD87" s="5">
        <f t="shared" ca="1" si="55"/>
        <v>664</v>
      </c>
    </row>
    <row r="88" spans="1:30" x14ac:dyDescent="0.2">
      <c r="A88" s="67">
        <f ca="1">Demand!C85</f>
        <v>33</v>
      </c>
      <c r="B88" s="67">
        <v>73</v>
      </c>
      <c r="C88" s="5">
        <f ca="1">'Demand background (hide)'!Y76</f>
        <v>600</v>
      </c>
      <c r="D88" s="67">
        <f t="shared" si="39"/>
        <v>0</v>
      </c>
      <c r="E88" s="67" t="e">
        <f t="shared" ca="1" si="40"/>
        <v>#N/A</v>
      </c>
      <c r="F88" s="67" t="e">
        <f t="shared" ca="1" si="41"/>
        <v>#N/A</v>
      </c>
      <c r="G88" s="67" t="e">
        <f t="shared" ca="1" si="42"/>
        <v>#N/A</v>
      </c>
      <c r="H88" s="67" t="e">
        <f>IF('Demand background (hide)'!AN76&lt;&gt;"",'SPC background (hide)'!C88,NA())</f>
        <v>#N/A</v>
      </c>
      <c r="I88" s="67">
        <f t="shared" ca="1" si="43"/>
        <v>1</v>
      </c>
      <c r="J88" s="5">
        <f t="shared" ca="1" si="44"/>
        <v>69.979541734860845</v>
      </c>
      <c r="K88" s="5">
        <f t="shared" ca="1" si="45"/>
        <v>211.65302782324056</v>
      </c>
      <c r="L88" s="5">
        <f t="shared" ca="1" si="46"/>
        <v>353.32651391162028</v>
      </c>
      <c r="M88" s="5">
        <f t="shared" ca="1" si="47"/>
        <v>495</v>
      </c>
      <c r="N88" s="5">
        <f t="shared" ca="1" si="48"/>
        <v>636.67348608837972</v>
      </c>
      <c r="O88" s="5">
        <f t="shared" ca="1" si="49"/>
        <v>778.34697217675944</v>
      </c>
      <c r="P88" s="5">
        <f t="shared" ca="1" si="50"/>
        <v>920.02045826513915</v>
      </c>
      <c r="Q88" s="5" t="e">
        <f t="shared" ca="1" si="51"/>
        <v>#N/A</v>
      </c>
      <c r="R88" s="5">
        <f t="shared" ca="1" si="56"/>
        <v>1</v>
      </c>
      <c r="S88" s="67" t="e">
        <f t="shared" ca="1" si="57"/>
        <v>#N/A</v>
      </c>
      <c r="T88" s="67">
        <f t="shared" ca="1" si="58"/>
        <v>1</v>
      </c>
      <c r="U88" s="67" t="e">
        <f t="shared" ca="1" si="59"/>
        <v>#N/A</v>
      </c>
      <c r="V88" s="5">
        <f t="shared" ca="1" si="38"/>
        <v>1</v>
      </c>
      <c r="W88" s="5" t="e">
        <f t="shared" ca="1" si="52"/>
        <v>#N/A</v>
      </c>
      <c r="X88" s="67">
        <f t="shared" ca="1" si="53"/>
        <v>1</v>
      </c>
      <c r="Y88" s="67" t="e">
        <f t="shared" ca="1" si="60"/>
        <v>#N/A</v>
      </c>
      <c r="Z88" s="67" t="e">
        <f t="shared" ca="1" si="61"/>
        <v>#N/A</v>
      </c>
      <c r="AA88" s="5" t="str">
        <f>IF(Setup!$I$15="Yes",'Demand background (hide)'!AJ76+'SPC background (hide)'!C88,"")</f>
        <v/>
      </c>
      <c r="AC88" s="5">
        <f t="shared" ca="1" si="54"/>
        <v>551.5</v>
      </c>
      <c r="AD88" s="5">
        <f t="shared" ca="1" si="55"/>
        <v>664</v>
      </c>
    </row>
    <row r="89" spans="1:30" x14ac:dyDescent="0.2">
      <c r="A89" s="67">
        <f ca="1">Demand!C86</f>
        <v>34</v>
      </c>
      <c r="B89" s="67">
        <v>74</v>
      </c>
      <c r="C89" s="5">
        <f ca="1">'Demand background (hide)'!Y77</f>
        <v>590</v>
      </c>
      <c r="D89" s="67">
        <f t="shared" si="39"/>
        <v>0</v>
      </c>
      <c r="E89" s="67" t="e">
        <f t="shared" ca="1" si="40"/>
        <v>#N/A</v>
      </c>
      <c r="F89" s="67" t="e">
        <f t="shared" ca="1" si="41"/>
        <v>#N/A</v>
      </c>
      <c r="G89" s="67" t="e">
        <f t="shared" ca="1" si="42"/>
        <v>#N/A</v>
      </c>
      <c r="H89" s="67" t="e">
        <f>IF('Demand background (hide)'!AN77&lt;&gt;"",'SPC background (hide)'!C89,NA())</f>
        <v>#N/A</v>
      </c>
      <c r="I89" s="67">
        <f t="shared" ca="1" si="43"/>
        <v>1</v>
      </c>
      <c r="J89" s="5">
        <f t="shared" ca="1" si="44"/>
        <v>69.979541734860845</v>
      </c>
      <c r="K89" s="5">
        <f t="shared" ca="1" si="45"/>
        <v>211.65302782324056</v>
      </c>
      <c r="L89" s="5">
        <f t="shared" ca="1" si="46"/>
        <v>353.32651391162028</v>
      </c>
      <c r="M89" s="5">
        <f t="shared" ca="1" si="47"/>
        <v>495</v>
      </c>
      <c r="N89" s="5">
        <f t="shared" ca="1" si="48"/>
        <v>636.67348608837972</v>
      </c>
      <c r="O89" s="5">
        <f t="shared" ca="1" si="49"/>
        <v>778.34697217675944</v>
      </c>
      <c r="P89" s="5">
        <f t="shared" ca="1" si="50"/>
        <v>920.02045826513915</v>
      </c>
      <c r="Q89" s="5" t="e">
        <f t="shared" ca="1" si="51"/>
        <v>#N/A</v>
      </c>
      <c r="R89" s="5">
        <f t="shared" ca="1" si="56"/>
        <v>1</v>
      </c>
      <c r="S89" s="67" t="e">
        <f t="shared" ca="1" si="57"/>
        <v>#N/A</v>
      </c>
      <c r="T89" s="67">
        <f t="shared" ca="1" si="58"/>
        <v>1</v>
      </c>
      <c r="U89" s="67" t="e">
        <f t="shared" ca="1" si="59"/>
        <v>#N/A</v>
      </c>
      <c r="V89" s="5">
        <f t="shared" ca="1" si="38"/>
        <v>1</v>
      </c>
      <c r="W89" s="5" t="e">
        <f t="shared" ca="1" si="52"/>
        <v>#N/A</v>
      </c>
      <c r="X89" s="67">
        <f t="shared" ca="1" si="53"/>
        <v>-1</v>
      </c>
      <c r="Y89" s="67" t="e">
        <f t="shared" ca="1" si="60"/>
        <v>#N/A</v>
      </c>
      <c r="Z89" s="67" t="e">
        <f t="shared" ca="1" si="61"/>
        <v>#N/A</v>
      </c>
      <c r="AA89" s="5" t="str">
        <f>IF(Setup!$I$15="Yes",'Demand background (hide)'!AJ77+'SPC background (hide)'!C89,"")</f>
        <v/>
      </c>
      <c r="AC89" s="5">
        <f t="shared" ca="1" si="54"/>
        <v>551.5</v>
      </c>
      <c r="AD89" s="5">
        <f t="shared" ca="1" si="55"/>
        <v>664</v>
      </c>
    </row>
    <row r="90" spans="1:30" x14ac:dyDescent="0.2">
      <c r="A90" s="67">
        <f ca="1">Demand!C87</f>
        <v>35</v>
      </c>
      <c r="B90" s="67">
        <v>75</v>
      </c>
      <c r="C90" s="5">
        <f ca="1">'Demand background (hide)'!Y78</f>
        <v>730</v>
      </c>
      <c r="D90" s="67">
        <f t="shared" si="39"/>
        <v>0</v>
      </c>
      <c r="E90" s="67" t="e">
        <f t="shared" ca="1" si="40"/>
        <v>#N/A</v>
      </c>
      <c r="F90" s="67" t="e">
        <f t="shared" ca="1" si="41"/>
        <v>#N/A</v>
      </c>
      <c r="G90" s="67" t="e">
        <f t="shared" ca="1" si="42"/>
        <v>#N/A</v>
      </c>
      <c r="H90" s="67" t="e">
        <f>IF('Demand background (hide)'!AN78&lt;&gt;"",'SPC background (hide)'!C90,NA())</f>
        <v>#N/A</v>
      </c>
      <c r="I90" s="67">
        <f t="shared" ca="1" si="43"/>
        <v>1</v>
      </c>
      <c r="J90" s="5">
        <f t="shared" ca="1" si="44"/>
        <v>69.979541734860845</v>
      </c>
      <c r="K90" s="5">
        <f t="shared" ca="1" si="45"/>
        <v>211.65302782324056</v>
      </c>
      <c r="L90" s="5">
        <f t="shared" ca="1" si="46"/>
        <v>353.32651391162028</v>
      </c>
      <c r="M90" s="5">
        <f t="shared" ca="1" si="47"/>
        <v>495</v>
      </c>
      <c r="N90" s="5">
        <f t="shared" ca="1" si="48"/>
        <v>636.67348608837972</v>
      </c>
      <c r="O90" s="5">
        <f t="shared" ca="1" si="49"/>
        <v>778.34697217675944</v>
      </c>
      <c r="P90" s="5">
        <f t="shared" ca="1" si="50"/>
        <v>920.02045826513915</v>
      </c>
      <c r="Q90" s="5" t="e">
        <f t="shared" ca="1" si="51"/>
        <v>#N/A</v>
      </c>
      <c r="R90" s="5">
        <f t="shared" ca="1" si="56"/>
        <v>1</v>
      </c>
      <c r="S90" s="67" t="e">
        <f t="shared" ca="1" si="57"/>
        <v>#N/A</v>
      </c>
      <c r="T90" s="67">
        <f t="shared" ca="1" si="58"/>
        <v>2</v>
      </c>
      <c r="U90" s="67" t="e">
        <f t="shared" ca="1" si="59"/>
        <v>#N/A</v>
      </c>
      <c r="V90" s="5">
        <f t="shared" ca="1" si="38"/>
        <v>1</v>
      </c>
      <c r="W90" s="5" t="e">
        <f t="shared" ca="1" si="52"/>
        <v>#N/A</v>
      </c>
      <c r="X90" s="67">
        <f t="shared" ca="1" si="53"/>
        <v>1</v>
      </c>
      <c r="Y90" s="67" t="e">
        <f t="shared" ca="1" si="60"/>
        <v>#N/A</v>
      </c>
      <c r="Z90" s="67" t="e">
        <f t="shared" ca="1" si="61"/>
        <v>#N/A</v>
      </c>
      <c r="AA90" s="5" t="str">
        <f>IF(Setup!$I$15="Yes",'Demand background (hide)'!AJ78+'SPC background (hide)'!C90,"")</f>
        <v/>
      </c>
      <c r="AC90" s="5">
        <f t="shared" ca="1" si="54"/>
        <v>551.5</v>
      </c>
      <c r="AD90" s="5">
        <f t="shared" ca="1" si="55"/>
        <v>664</v>
      </c>
    </row>
    <row r="91" spans="1:30" x14ac:dyDescent="0.2">
      <c r="A91" s="67">
        <f ca="1">Demand!C88</f>
        <v>36</v>
      </c>
      <c r="B91" s="67">
        <v>76</v>
      </c>
      <c r="C91" s="5">
        <f ca="1">'Demand background (hide)'!Y79</f>
        <v>500</v>
      </c>
      <c r="D91" s="67">
        <f t="shared" si="39"/>
        <v>0</v>
      </c>
      <c r="E91" s="67" t="e">
        <f t="shared" ca="1" si="40"/>
        <v>#N/A</v>
      </c>
      <c r="F91" s="67" t="e">
        <f t="shared" ca="1" si="41"/>
        <v>#N/A</v>
      </c>
      <c r="G91" s="67" t="e">
        <f t="shared" ca="1" si="42"/>
        <v>#N/A</v>
      </c>
      <c r="H91" s="67" t="e">
        <f>IF('Demand background (hide)'!AN79&lt;&gt;"",'SPC background (hide)'!C91,NA())</f>
        <v>#N/A</v>
      </c>
      <c r="I91" s="67">
        <f t="shared" ca="1" si="43"/>
        <v>1</v>
      </c>
      <c r="J91" s="5">
        <f t="shared" ca="1" si="44"/>
        <v>69.979541734860845</v>
      </c>
      <c r="K91" s="5">
        <f t="shared" ca="1" si="45"/>
        <v>211.65302782324056</v>
      </c>
      <c r="L91" s="5">
        <f t="shared" ca="1" si="46"/>
        <v>353.32651391162028</v>
      </c>
      <c r="M91" s="5">
        <f t="shared" ca="1" si="47"/>
        <v>495</v>
      </c>
      <c r="N91" s="5">
        <f t="shared" ca="1" si="48"/>
        <v>636.67348608837972</v>
      </c>
      <c r="O91" s="5">
        <f t="shared" ca="1" si="49"/>
        <v>778.34697217675944</v>
      </c>
      <c r="P91" s="5">
        <f t="shared" ca="1" si="50"/>
        <v>920.02045826513915</v>
      </c>
      <c r="Q91" s="5" t="e">
        <f t="shared" ca="1" si="51"/>
        <v>#N/A</v>
      </c>
      <c r="R91" s="5">
        <f t="shared" ca="1" si="56"/>
        <v>1</v>
      </c>
      <c r="S91" s="67" t="e">
        <f t="shared" ca="1" si="57"/>
        <v>#N/A</v>
      </c>
      <c r="T91" s="67">
        <f t="shared" ca="1" si="58"/>
        <v>1</v>
      </c>
      <c r="U91" s="67" t="e">
        <f t="shared" ca="1" si="59"/>
        <v>#N/A</v>
      </c>
      <c r="V91" s="5">
        <f t="shared" ca="1" si="38"/>
        <v>1</v>
      </c>
      <c r="W91" s="5" t="e">
        <f t="shared" ca="1" si="52"/>
        <v>#N/A</v>
      </c>
      <c r="X91" s="67">
        <f t="shared" ca="1" si="53"/>
        <v>-1</v>
      </c>
      <c r="Y91" s="67" t="e">
        <f t="shared" ca="1" si="60"/>
        <v>#N/A</v>
      </c>
      <c r="Z91" s="67" t="e">
        <f t="shared" ca="1" si="61"/>
        <v>#N/A</v>
      </c>
      <c r="AA91" s="5" t="str">
        <f>IF(Setup!$I$15="Yes",'Demand background (hide)'!AJ79+'SPC background (hide)'!C91,"")</f>
        <v/>
      </c>
      <c r="AC91" s="5">
        <f t="shared" ca="1" si="54"/>
        <v>551.5</v>
      </c>
      <c r="AD91" s="5">
        <f t="shared" ca="1" si="55"/>
        <v>664</v>
      </c>
    </row>
    <row r="92" spans="1:30" x14ac:dyDescent="0.2">
      <c r="A92" s="67">
        <f ca="1">Demand!C89</f>
        <v>37</v>
      </c>
      <c r="B92" s="67">
        <v>77</v>
      </c>
      <c r="C92" s="5">
        <f ca="1">'Demand background (hide)'!Y80</f>
        <v>700</v>
      </c>
      <c r="D92" s="67">
        <f t="shared" si="39"/>
        <v>0</v>
      </c>
      <c r="E92" s="67" t="e">
        <f t="shared" ca="1" si="40"/>
        <v>#N/A</v>
      </c>
      <c r="F92" s="67" t="e">
        <f t="shared" ca="1" si="41"/>
        <v>#N/A</v>
      </c>
      <c r="G92" s="67" t="e">
        <f t="shared" ca="1" si="42"/>
        <v>#N/A</v>
      </c>
      <c r="H92" s="67" t="e">
        <f>IF('Demand background (hide)'!AN80&lt;&gt;"",'SPC background (hide)'!C92,NA())</f>
        <v>#N/A</v>
      </c>
      <c r="I92" s="67">
        <f t="shared" ca="1" si="43"/>
        <v>1</v>
      </c>
      <c r="J92" s="5">
        <f t="shared" ca="1" si="44"/>
        <v>69.979541734860845</v>
      </c>
      <c r="K92" s="5">
        <f t="shared" ca="1" si="45"/>
        <v>211.65302782324056</v>
      </c>
      <c r="L92" s="5">
        <f t="shared" ca="1" si="46"/>
        <v>353.32651391162028</v>
      </c>
      <c r="M92" s="5">
        <f t="shared" ca="1" si="47"/>
        <v>495</v>
      </c>
      <c r="N92" s="5">
        <f t="shared" ca="1" si="48"/>
        <v>636.67348608837972</v>
      </c>
      <c r="O92" s="5">
        <f t="shared" ca="1" si="49"/>
        <v>778.34697217675944</v>
      </c>
      <c r="P92" s="5">
        <f t="shared" ca="1" si="50"/>
        <v>920.02045826513915</v>
      </c>
      <c r="Q92" s="5" t="e">
        <f t="shared" ca="1" si="51"/>
        <v>#N/A</v>
      </c>
      <c r="R92" s="5">
        <f t="shared" ca="1" si="56"/>
        <v>1</v>
      </c>
      <c r="S92" s="67" t="e">
        <f t="shared" ca="1" si="57"/>
        <v>#N/A</v>
      </c>
      <c r="T92" s="67">
        <f t="shared" ca="1" si="58"/>
        <v>2</v>
      </c>
      <c r="U92" s="67" t="e">
        <f t="shared" ca="1" si="59"/>
        <v>#N/A</v>
      </c>
      <c r="V92" s="5">
        <f t="shared" ca="1" si="38"/>
        <v>1</v>
      </c>
      <c r="W92" s="5" t="e">
        <f t="shared" ca="1" si="52"/>
        <v>#N/A</v>
      </c>
      <c r="X92" s="67">
        <f t="shared" ca="1" si="53"/>
        <v>1</v>
      </c>
      <c r="Y92" s="67" t="e">
        <f t="shared" ca="1" si="60"/>
        <v>#N/A</v>
      </c>
      <c r="Z92" s="67" t="e">
        <f t="shared" ca="1" si="61"/>
        <v>#N/A</v>
      </c>
      <c r="AA92" s="5" t="str">
        <f>IF(Setup!$I$15="Yes",'Demand background (hide)'!AJ80+'SPC background (hide)'!C92,"")</f>
        <v/>
      </c>
      <c r="AC92" s="5">
        <f t="shared" ca="1" si="54"/>
        <v>551.5</v>
      </c>
      <c r="AD92" s="5">
        <f t="shared" ca="1" si="55"/>
        <v>664</v>
      </c>
    </row>
    <row r="93" spans="1:30" x14ac:dyDescent="0.2">
      <c r="A93" s="67">
        <f ca="1">Demand!C90</f>
        <v>38</v>
      </c>
      <c r="B93" s="67">
        <v>78</v>
      </c>
      <c r="C93" s="5">
        <f ca="1">'Demand background (hide)'!Y81</f>
        <v>520</v>
      </c>
      <c r="D93" s="67">
        <f t="shared" si="39"/>
        <v>0</v>
      </c>
      <c r="E93" s="67" t="e">
        <f t="shared" ca="1" si="40"/>
        <v>#N/A</v>
      </c>
      <c r="F93" s="67" t="e">
        <f t="shared" ca="1" si="41"/>
        <v>#N/A</v>
      </c>
      <c r="G93" s="67" t="e">
        <f t="shared" ca="1" si="42"/>
        <v>#N/A</v>
      </c>
      <c r="H93" s="67" t="e">
        <f>IF('Demand background (hide)'!AN81&lt;&gt;"",'SPC background (hide)'!C93,NA())</f>
        <v>#N/A</v>
      </c>
      <c r="I93" s="67">
        <f t="shared" ca="1" si="43"/>
        <v>1</v>
      </c>
      <c r="J93" s="5">
        <f t="shared" ca="1" si="44"/>
        <v>69.979541734860845</v>
      </c>
      <c r="K93" s="5">
        <f t="shared" ca="1" si="45"/>
        <v>211.65302782324056</v>
      </c>
      <c r="L93" s="5">
        <f t="shared" ca="1" si="46"/>
        <v>353.32651391162028</v>
      </c>
      <c r="M93" s="5">
        <f t="shared" ca="1" si="47"/>
        <v>495</v>
      </c>
      <c r="N93" s="5">
        <f t="shared" ca="1" si="48"/>
        <v>636.67348608837972</v>
      </c>
      <c r="O93" s="5">
        <f t="shared" ca="1" si="49"/>
        <v>778.34697217675944</v>
      </c>
      <c r="P93" s="5">
        <f t="shared" ca="1" si="50"/>
        <v>920.02045826513915</v>
      </c>
      <c r="Q93" s="5" t="e">
        <f t="shared" ca="1" si="51"/>
        <v>#N/A</v>
      </c>
      <c r="R93" s="5">
        <f t="shared" ca="1" si="56"/>
        <v>1</v>
      </c>
      <c r="S93" s="67" t="e">
        <f t="shared" ca="1" si="57"/>
        <v>#N/A</v>
      </c>
      <c r="T93" s="67">
        <f t="shared" ca="1" si="58"/>
        <v>1</v>
      </c>
      <c r="U93" s="67" t="e">
        <f t="shared" ca="1" si="59"/>
        <v>#N/A</v>
      </c>
      <c r="V93" s="5">
        <f t="shared" ca="1" si="38"/>
        <v>1</v>
      </c>
      <c r="W93" s="5" t="e">
        <f t="shared" ca="1" si="52"/>
        <v>#N/A</v>
      </c>
      <c r="X93" s="67">
        <f t="shared" ca="1" si="53"/>
        <v>-1</v>
      </c>
      <c r="Y93" s="67" t="e">
        <f t="shared" ca="1" si="60"/>
        <v>#N/A</v>
      </c>
      <c r="Z93" s="67" t="e">
        <f t="shared" ca="1" si="61"/>
        <v>#N/A</v>
      </c>
      <c r="AA93" s="5" t="str">
        <f>IF(Setup!$I$15="Yes",'Demand background (hide)'!AJ81+'SPC background (hide)'!C93,"")</f>
        <v/>
      </c>
      <c r="AC93" s="5">
        <f t="shared" ca="1" si="54"/>
        <v>551.5</v>
      </c>
      <c r="AD93" s="5">
        <f t="shared" ca="1" si="55"/>
        <v>664</v>
      </c>
    </row>
    <row r="94" spans="1:30" x14ac:dyDescent="0.2">
      <c r="A94" s="67">
        <f ca="1">Demand!C91</f>
        <v>39</v>
      </c>
      <c r="B94" s="67">
        <v>79</v>
      </c>
      <c r="C94" s="5">
        <f ca="1">'Demand background (hide)'!Y82</f>
        <v>560</v>
      </c>
      <c r="D94" s="67">
        <f t="shared" si="39"/>
        <v>0</v>
      </c>
      <c r="E94" s="67" t="e">
        <f t="shared" ca="1" si="40"/>
        <v>#N/A</v>
      </c>
      <c r="F94" s="67" t="e">
        <f t="shared" ca="1" si="41"/>
        <v>#N/A</v>
      </c>
      <c r="G94" s="67" t="e">
        <f t="shared" ca="1" si="42"/>
        <v>#N/A</v>
      </c>
      <c r="H94" s="67" t="e">
        <f>IF('Demand background (hide)'!AN82&lt;&gt;"",'SPC background (hide)'!C94,NA())</f>
        <v>#N/A</v>
      </c>
      <c r="I94" s="67">
        <f t="shared" ca="1" si="43"/>
        <v>1</v>
      </c>
      <c r="J94" s="5">
        <f t="shared" ca="1" si="44"/>
        <v>69.979541734860845</v>
      </c>
      <c r="K94" s="5">
        <f t="shared" ca="1" si="45"/>
        <v>211.65302782324056</v>
      </c>
      <c r="L94" s="5">
        <f t="shared" ca="1" si="46"/>
        <v>353.32651391162028</v>
      </c>
      <c r="M94" s="5">
        <f t="shared" ca="1" si="47"/>
        <v>495</v>
      </c>
      <c r="N94" s="5">
        <f t="shared" ca="1" si="48"/>
        <v>636.67348608837972</v>
      </c>
      <c r="O94" s="5">
        <f t="shared" ca="1" si="49"/>
        <v>778.34697217675944</v>
      </c>
      <c r="P94" s="5">
        <f t="shared" ca="1" si="50"/>
        <v>920.02045826513915</v>
      </c>
      <c r="Q94" s="5" t="e">
        <f t="shared" ca="1" si="51"/>
        <v>#N/A</v>
      </c>
      <c r="R94" s="5">
        <f t="shared" ca="1" si="56"/>
        <v>1</v>
      </c>
      <c r="S94" s="67" t="e">
        <f t="shared" ca="1" si="57"/>
        <v>#N/A</v>
      </c>
      <c r="T94" s="67">
        <f t="shared" ca="1" si="58"/>
        <v>1</v>
      </c>
      <c r="U94" s="67" t="e">
        <f t="shared" ca="1" si="59"/>
        <v>#N/A</v>
      </c>
      <c r="V94" s="5">
        <f t="shared" ca="1" si="38"/>
        <v>1</v>
      </c>
      <c r="W94" s="5" t="e">
        <f t="shared" ca="1" si="52"/>
        <v>#N/A</v>
      </c>
      <c r="X94" s="67">
        <f t="shared" ca="1" si="53"/>
        <v>1</v>
      </c>
      <c r="Y94" s="67" t="e">
        <f t="shared" ca="1" si="60"/>
        <v>#N/A</v>
      </c>
      <c r="Z94" s="67" t="e">
        <f t="shared" ca="1" si="61"/>
        <v>#N/A</v>
      </c>
      <c r="AA94" s="5" t="str">
        <f>IF(Setup!$I$15="Yes",'Demand background (hide)'!AJ82+'SPC background (hide)'!C94,"")</f>
        <v/>
      </c>
      <c r="AC94" s="5">
        <f t="shared" ca="1" si="54"/>
        <v>551.5</v>
      </c>
      <c r="AD94" s="5">
        <f t="shared" ca="1" si="55"/>
        <v>664</v>
      </c>
    </row>
    <row r="95" spans="1:30" x14ac:dyDescent="0.2">
      <c r="A95" s="67">
        <f ca="1">Demand!C92</f>
        <v>40</v>
      </c>
      <c r="B95" s="67">
        <v>80</v>
      </c>
      <c r="C95" s="5">
        <f ca="1">'Demand background (hide)'!Y83</f>
        <v>490</v>
      </c>
      <c r="D95" s="67">
        <f t="shared" si="39"/>
        <v>0</v>
      </c>
      <c r="E95" s="67" t="e">
        <f t="shared" ca="1" si="40"/>
        <v>#N/A</v>
      </c>
      <c r="F95" s="67" t="e">
        <f t="shared" ca="1" si="41"/>
        <v>#N/A</v>
      </c>
      <c r="G95" s="67" t="e">
        <f t="shared" ca="1" si="42"/>
        <v>#N/A</v>
      </c>
      <c r="H95" s="67" t="e">
        <f>IF('Demand background (hide)'!AN83&lt;&gt;"",'SPC background (hide)'!C95,NA())</f>
        <v>#N/A</v>
      </c>
      <c r="I95" s="67">
        <f t="shared" ca="1" si="43"/>
        <v>1</v>
      </c>
      <c r="J95" s="5">
        <f t="shared" ca="1" si="44"/>
        <v>69.979541734860845</v>
      </c>
      <c r="K95" s="5">
        <f t="shared" ca="1" si="45"/>
        <v>211.65302782324056</v>
      </c>
      <c r="L95" s="5">
        <f t="shared" ca="1" si="46"/>
        <v>353.32651391162028</v>
      </c>
      <c r="M95" s="5">
        <f t="shared" ca="1" si="47"/>
        <v>495</v>
      </c>
      <c r="N95" s="5">
        <f t="shared" ca="1" si="48"/>
        <v>636.67348608837972</v>
      </c>
      <c r="O95" s="5">
        <f t="shared" ca="1" si="49"/>
        <v>778.34697217675944</v>
      </c>
      <c r="P95" s="5">
        <f t="shared" ca="1" si="50"/>
        <v>920.02045826513915</v>
      </c>
      <c r="Q95" s="5" t="e">
        <f t="shared" ca="1" si="51"/>
        <v>#N/A</v>
      </c>
      <c r="R95" s="5">
        <f t="shared" ca="1" si="56"/>
        <v>-1</v>
      </c>
      <c r="S95" s="67" t="e">
        <f t="shared" ca="1" si="57"/>
        <v>#N/A</v>
      </c>
      <c r="T95" s="67">
        <f t="shared" ca="1" si="58"/>
        <v>-1</v>
      </c>
      <c r="U95" s="67" t="e">
        <f t="shared" ca="1" si="59"/>
        <v>#N/A</v>
      </c>
      <c r="V95" s="5">
        <f t="shared" ca="1" si="38"/>
        <v>-1</v>
      </c>
      <c r="W95" s="5" t="e">
        <f t="shared" ca="1" si="52"/>
        <v>#N/A</v>
      </c>
      <c r="X95" s="67">
        <f t="shared" ca="1" si="53"/>
        <v>-1</v>
      </c>
      <c r="Y95" s="67" t="e">
        <f t="shared" ca="1" si="60"/>
        <v>#N/A</v>
      </c>
      <c r="Z95" s="67" t="e">
        <f t="shared" ca="1" si="61"/>
        <v>#N/A</v>
      </c>
      <c r="AA95" s="5" t="str">
        <f>IF(Setup!$I$15="Yes",'Demand background (hide)'!AJ83+'SPC background (hide)'!C95,"")</f>
        <v/>
      </c>
      <c r="AC95" s="5">
        <f t="shared" ca="1" si="54"/>
        <v>551.5</v>
      </c>
      <c r="AD95" s="5">
        <f t="shared" ca="1" si="55"/>
        <v>664</v>
      </c>
    </row>
    <row r="96" spans="1:30" x14ac:dyDescent="0.2">
      <c r="A96" s="67">
        <f ca="1">Demand!C93</f>
        <v>41</v>
      </c>
      <c r="B96" s="67">
        <v>81</v>
      </c>
      <c r="C96" s="5">
        <f ca="1">'Demand background (hide)'!Y84</f>
        <v>320</v>
      </c>
      <c r="D96" s="67">
        <f t="shared" si="39"/>
        <v>0</v>
      </c>
      <c r="E96" s="67" t="e">
        <f t="shared" ca="1" si="40"/>
        <v>#N/A</v>
      </c>
      <c r="F96" s="67" t="e">
        <f t="shared" ca="1" si="41"/>
        <v>#N/A</v>
      </c>
      <c r="G96" s="67" t="e">
        <f t="shared" ca="1" si="42"/>
        <v>#N/A</v>
      </c>
      <c r="H96" s="67" t="e">
        <f>IF('Demand background (hide)'!AN84&lt;&gt;"",'SPC background (hide)'!C96,NA())</f>
        <v>#N/A</v>
      </c>
      <c r="I96" s="67">
        <f t="shared" ca="1" si="43"/>
        <v>1</v>
      </c>
      <c r="J96" s="5">
        <f t="shared" ca="1" si="44"/>
        <v>69.979541734860845</v>
      </c>
      <c r="K96" s="5">
        <f t="shared" ca="1" si="45"/>
        <v>211.65302782324056</v>
      </c>
      <c r="L96" s="5">
        <f t="shared" ca="1" si="46"/>
        <v>353.32651391162028</v>
      </c>
      <c r="M96" s="5">
        <f t="shared" ca="1" si="47"/>
        <v>495</v>
      </c>
      <c r="N96" s="5">
        <f t="shared" ca="1" si="48"/>
        <v>636.67348608837972</v>
      </c>
      <c r="O96" s="5">
        <f t="shared" ca="1" si="49"/>
        <v>778.34697217675944</v>
      </c>
      <c r="P96" s="5">
        <f t="shared" ca="1" si="50"/>
        <v>920.02045826513915</v>
      </c>
      <c r="Q96" s="5" t="e">
        <f t="shared" ca="1" si="51"/>
        <v>#N/A</v>
      </c>
      <c r="R96" s="5">
        <f t="shared" ca="1" si="56"/>
        <v>-1</v>
      </c>
      <c r="S96" s="67" t="e">
        <f t="shared" ca="1" si="57"/>
        <v>#N/A</v>
      </c>
      <c r="T96" s="67">
        <f t="shared" ca="1" si="58"/>
        <v>-2</v>
      </c>
      <c r="U96" s="67" t="e">
        <f t="shared" ca="1" si="59"/>
        <v>#N/A</v>
      </c>
      <c r="V96" s="5">
        <f t="shared" ca="1" si="38"/>
        <v>-1</v>
      </c>
      <c r="W96" s="5" t="e">
        <f t="shared" ca="1" si="52"/>
        <v>#N/A</v>
      </c>
      <c r="X96" s="67">
        <f t="shared" ca="1" si="53"/>
        <v>-1</v>
      </c>
      <c r="Y96" s="67" t="e">
        <f t="shared" ca="1" si="60"/>
        <v>#N/A</v>
      </c>
      <c r="Z96" s="67" t="e">
        <f t="shared" ca="1" si="61"/>
        <v>#N/A</v>
      </c>
      <c r="AA96" s="5" t="str">
        <f>IF(Setup!$I$15="Yes",'Demand background (hide)'!AJ84+'SPC background (hide)'!C96,"")</f>
        <v/>
      </c>
      <c r="AC96" s="5">
        <f t="shared" ca="1" si="54"/>
        <v>551.5</v>
      </c>
      <c r="AD96" s="5">
        <f t="shared" ca="1" si="55"/>
        <v>664</v>
      </c>
    </row>
    <row r="97" spans="1:30" x14ac:dyDescent="0.2">
      <c r="A97" s="67">
        <f ca="1">Demand!C94</f>
        <v>42</v>
      </c>
      <c r="B97" s="67">
        <v>82</v>
      </c>
      <c r="C97" s="5">
        <f ca="1">'Demand background (hide)'!Y85</f>
        <v>470</v>
      </c>
      <c r="D97" s="67">
        <f t="shared" si="39"/>
        <v>0</v>
      </c>
      <c r="E97" s="67" t="e">
        <f t="shared" ca="1" si="40"/>
        <v>#N/A</v>
      </c>
      <c r="F97" s="67" t="e">
        <f t="shared" ca="1" si="41"/>
        <v>#N/A</v>
      </c>
      <c r="G97" s="67" t="e">
        <f t="shared" ca="1" si="42"/>
        <v>#N/A</v>
      </c>
      <c r="H97" s="67" t="e">
        <f>IF('Demand background (hide)'!AN85&lt;&gt;"",'SPC background (hide)'!C97,NA())</f>
        <v>#N/A</v>
      </c>
      <c r="I97" s="67">
        <f t="shared" ca="1" si="43"/>
        <v>1</v>
      </c>
      <c r="J97" s="5">
        <f t="shared" ca="1" si="44"/>
        <v>69.979541734860845</v>
      </c>
      <c r="K97" s="5">
        <f t="shared" ca="1" si="45"/>
        <v>211.65302782324056</v>
      </c>
      <c r="L97" s="5">
        <f t="shared" ca="1" si="46"/>
        <v>353.32651391162028</v>
      </c>
      <c r="M97" s="5">
        <f t="shared" ca="1" si="47"/>
        <v>495</v>
      </c>
      <c r="N97" s="5">
        <f t="shared" ca="1" si="48"/>
        <v>636.67348608837972</v>
      </c>
      <c r="O97" s="5">
        <f t="shared" ca="1" si="49"/>
        <v>778.34697217675944</v>
      </c>
      <c r="P97" s="5">
        <f t="shared" ca="1" si="50"/>
        <v>920.02045826513915</v>
      </c>
      <c r="Q97" s="5" t="e">
        <f t="shared" ca="1" si="51"/>
        <v>#N/A</v>
      </c>
      <c r="R97" s="5">
        <f t="shared" ca="1" si="56"/>
        <v>-1</v>
      </c>
      <c r="S97" s="67" t="e">
        <f t="shared" ca="1" si="57"/>
        <v>#N/A</v>
      </c>
      <c r="T97" s="67">
        <f t="shared" ca="1" si="58"/>
        <v>-1</v>
      </c>
      <c r="U97" s="67" t="e">
        <f t="shared" ca="1" si="59"/>
        <v>#N/A</v>
      </c>
      <c r="V97" s="5">
        <f t="shared" ca="1" si="38"/>
        <v>-1</v>
      </c>
      <c r="W97" s="5" t="e">
        <f t="shared" ca="1" si="52"/>
        <v>#N/A</v>
      </c>
      <c r="X97" s="67">
        <f t="shared" ca="1" si="53"/>
        <v>1</v>
      </c>
      <c r="Y97" s="67" t="e">
        <f t="shared" ca="1" si="60"/>
        <v>#N/A</v>
      </c>
      <c r="Z97" s="67" t="e">
        <f t="shared" ca="1" si="61"/>
        <v>#N/A</v>
      </c>
      <c r="AA97" s="5" t="str">
        <f>IF(Setup!$I$15="Yes",'Demand background (hide)'!AJ85+'SPC background (hide)'!C97,"")</f>
        <v/>
      </c>
      <c r="AC97" s="5">
        <f t="shared" ca="1" si="54"/>
        <v>551.5</v>
      </c>
      <c r="AD97" s="5">
        <f t="shared" ca="1" si="55"/>
        <v>664</v>
      </c>
    </row>
    <row r="98" spans="1:30" x14ac:dyDescent="0.2">
      <c r="A98" s="67">
        <f ca="1">Demand!C95</f>
        <v>43</v>
      </c>
      <c r="B98" s="67">
        <v>83</v>
      </c>
      <c r="C98" s="5">
        <f ca="1">'Demand background (hide)'!Y86</f>
        <v>540</v>
      </c>
      <c r="D98" s="67">
        <f t="shared" si="39"/>
        <v>0</v>
      </c>
      <c r="E98" s="67" t="e">
        <f t="shared" ca="1" si="40"/>
        <v>#N/A</v>
      </c>
      <c r="F98" s="67" t="e">
        <f t="shared" ca="1" si="41"/>
        <v>#N/A</v>
      </c>
      <c r="G98" s="67" t="e">
        <f t="shared" ca="1" si="42"/>
        <v>#N/A</v>
      </c>
      <c r="H98" s="67" t="e">
        <f>IF('Demand background (hide)'!AN86&lt;&gt;"",'SPC background (hide)'!C98,NA())</f>
        <v>#N/A</v>
      </c>
      <c r="I98" s="67">
        <f t="shared" ca="1" si="43"/>
        <v>1</v>
      </c>
      <c r="J98" s="5">
        <f t="shared" ca="1" si="44"/>
        <v>69.979541734860845</v>
      </c>
      <c r="K98" s="5">
        <f t="shared" ca="1" si="45"/>
        <v>211.65302782324056</v>
      </c>
      <c r="L98" s="5">
        <f t="shared" ca="1" si="46"/>
        <v>353.32651391162028</v>
      </c>
      <c r="M98" s="5">
        <f t="shared" ca="1" si="47"/>
        <v>495</v>
      </c>
      <c r="N98" s="5">
        <f t="shared" ca="1" si="48"/>
        <v>636.67348608837972</v>
      </c>
      <c r="O98" s="5">
        <f t="shared" ca="1" si="49"/>
        <v>778.34697217675944</v>
      </c>
      <c r="P98" s="5">
        <f t="shared" ca="1" si="50"/>
        <v>920.02045826513915</v>
      </c>
      <c r="Q98" s="5" t="e">
        <f t="shared" ca="1" si="51"/>
        <v>#N/A</v>
      </c>
      <c r="R98" s="5">
        <f t="shared" ca="1" si="56"/>
        <v>1</v>
      </c>
      <c r="S98" s="67" t="e">
        <f t="shared" ca="1" si="57"/>
        <v>#N/A</v>
      </c>
      <c r="T98" s="67">
        <f t="shared" ca="1" si="58"/>
        <v>1</v>
      </c>
      <c r="U98" s="67" t="e">
        <f t="shared" ca="1" si="59"/>
        <v>#N/A</v>
      </c>
      <c r="V98" s="5">
        <f t="shared" ca="1" si="38"/>
        <v>1</v>
      </c>
      <c r="W98" s="5" t="e">
        <f t="shared" ca="1" si="52"/>
        <v>#N/A</v>
      </c>
      <c r="X98" s="67">
        <f t="shared" ca="1" si="53"/>
        <v>1</v>
      </c>
      <c r="Y98" s="67" t="e">
        <f t="shared" ca="1" si="60"/>
        <v>#N/A</v>
      </c>
      <c r="Z98" s="67" t="e">
        <f t="shared" ca="1" si="61"/>
        <v>#N/A</v>
      </c>
      <c r="AA98" s="5" t="str">
        <f>IF(Setup!$I$15="Yes",'Demand background (hide)'!AJ86+'SPC background (hide)'!C98,"")</f>
        <v/>
      </c>
      <c r="AC98" s="5">
        <f t="shared" ca="1" si="54"/>
        <v>551.5</v>
      </c>
      <c r="AD98" s="5">
        <f t="shared" ca="1" si="55"/>
        <v>664</v>
      </c>
    </row>
    <row r="99" spans="1:30" x14ac:dyDescent="0.2">
      <c r="A99" s="67">
        <f ca="1">Demand!C96</f>
        <v>44</v>
      </c>
      <c r="B99" s="67">
        <v>84</v>
      </c>
      <c r="C99" s="5">
        <f ca="1">'Demand background (hide)'!Y87</f>
        <v>340</v>
      </c>
      <c r="D99" s="67">
        <f t="shared" si="39"/>
        <v>0</v>
      </c>
      <c r="E99" s="67" t="e">
        <f t="shared" ca="1" si="40"/>
        <v>#N/A</v>
      </c>
      <c r="F99" s="67" t="e">
        <f t="shared" ca="1" si="41"/>
        <v>#N/A</v>
      </c>
      <c r="G99" s="67" t="e">
        <f t="shared" ca="1" si="42"/>
        <v>#N/A</v>
      </c>
      <c r="H99" s="67" t="e">
        <f>IF('Demand background (hide)'!AN87&lt;&gt;"",'SPC background (hide)'!C99,NA())</f>
        <v>#N/A</v>
      </c>
      <c r="I99" s="67">
        <f t="shared" ca="1" si="43"/>
        <v>1</v>
      </c>
      <c r="J99" s="5">
        <f t="shared" ca="1" si="44"/>
        <v>69.979541734860845</v>
      </c>
      <c r="K99" s="5">
        <f t="shared" ca="1" si="45"/>
        <v>211.65302782324056</v>
      </c>
      <c r="L99" s="5">
        <f t="shared" ca="1" si="46"/>
        <v>353.32651391162028</v>
      </c>
      <c r="M99" s="5">
        <f t="shared" ca="1" si="47"/>
        <v>495</v>
      </c>
      <c r="N99" s="5">
        <f t="shared" ca="1" si="48"/>
        <v>636.67348608837972</v>
      </c>
      <c r="O99" s="5">
        <f t="shared" ca="1" si="49"/>
        <v>778.34697217675944</v>
      </c>
      <c r="P99" s="5">
        <f t="shared" ca="1" si="50"/>
        <v>920.02045826513915</v>
      </c>
      <c r="Q99" s="5" t="e">
        <f t="shared" ca="1" si="51"/>
        <v>#N/A</v>
      </c>
      <c r="R99" s="5">
        <f t="shared" ca="1" si="56"/>
        <v>-1</v>
      </c>
      <c r="S99" s="67" t="e">
        <f t="shared" ca="1" si="57"/>
        <v>#N/A</v>
      </c>
      <c r="T99" s="67">
        <f t="shared" ca="1" si="58"/>
        <v>-2</v>
      </c>
      <c r="U99" s="67" t="e">
        <f t="shared" ca="1" si="59"/>
        <v>#N/A</v>
      </c>
      <c r="V99" s="5">
        <f t="shared" ca="1" si="38"/>
        <v>-1</v>
      </c>
      <c r="W99" s="5" t="e">
        <f t="shared" ca="1" si="52"/>
        <v>#N/A</v>
      </c>
      <c r="X99" s="67">
        <f t="shared" ca="1" si="53"/>
        <v>-1</v>
      </c>
      <c r="Y99" s="67" t="e">
        <f t="shared" ca="1" si="60"/>
        <v>#N/A</v>
      </c>
      <c r="Z99" s="67" t="e">
        <f t="shared" ca="1" si="61"/>
        <v>#N/A</v>
      </c>
      <c r="AA99" s="5" t="str">
        <f>IF(Setup!$I$15="Yes",'Demand background (hide)'!AJ87+'SPC background (hide)'!C99,"")</f>
        <v/>
      </c>
      <c r="AC99" s="5">
        <f t="shared" ca="1" si="54"/>
        <v>551.5</v>
      </c>
      <c r="AD99" s="5">
        <f t="shared" ca="1" si="55"/>
        <v>664</v>
      </c>
    </row>
    <row r="100" spans="1:30" x14ac:dyDescent="0.2">
      <c r="A100" s="67">
        <f ca="1">Demand!C97</f>
        <v>45</v>
      </c>
      <c r="B100" s="67">
        <v>85</v>
      </c>
      <c r="C100" s="5">
        <f ca="1">'Demand background (hide)'!Y88</f>
        <v>530</v>
      </c>
      <c r="D100" s="67">
        <f t="shared" si="39"/>
        <v>0</v>
      </c>
      <c r="E100" s="67" t="e">
        <f t="shared" ca="1" si="40"/>
        <v>#N/A</v>
      </c>
      <c r="F100" s="67" t="e">
        <f t="shared" ca="1" si="41"/>
        <v>#N/A</v>
      </c>
      <c r="G100" s="67" t="e">
        <f t="shared" ca="1" si="42"/>
        <v>#N/A</v>
      </c>
      <c r="H100" s="67" t="e">
        <f>IF('Demand background (hide)'!AN88&lt;&gt;"",'SPC background (hide)'!C100,NA())</f>
        <v>#N/A</v>
      </c>
      <c r="I100" s="67">
        <f t="shared" ca="1" si="43"/>
        <v>1</v>
      </c>
      <c r="J100" s="5">
        <f t="shared" ca="1" si="44"/>
        <v>69.979541734860845</v>
      </c>
      <c r="K100" s="5">
        <f t="shared" ca="1" si="45"/>
        <v>211.65302782324056</v>
      </c>
      <c r="L100" s="5">
        <f t="shared" ca="1" si="46"/>
        <v>353.32651391162028</v>
      </c>
      <c r="M100" s="5">
        <f t="shared" ca="1" si="47"/>
        <v>495</v>
      </c>
      <c r="N100" s="5">
        <f t="shared" ca="1" si="48"/>
        <v>636.67348608837972</v>
      </c>
      <c r="O100" s="5">
        <f t="shared" ca="1" si="49"/>
        <v>778.34697217675944</v>
      </c>
      <c r="P100" s="5">
        <f t="shared" ca="1" si="50"/>
        <v>920.02045826513915</v>
      </c>
      <c r="Q100" s="5" t="e">
        <f t="shared" ca="1" si="51"/>
        <v>#N/A</v>
      </c>
      <c r="R100" s="5">
        <f t="shared" ca="1" si="56"/>
        <v>1</v>
      </c>
      <c r="S100" s="67" t="e">
        <f t="shared" ca="1" si="57"/>
        <v>#N/A</v>
      </c>
      <c r="T100" s="67">
        <f t="shared" ca="1" si="58"/>
        <v>1</v>
      </c>
      <c r="U100" s="67" t="e">
        <f t="shared" ca="1" si="59"/>
        <v>#N/A</v>
      </c>
      <c r="V100" s="5">
        <f t="shared" ca="1" si="38"/>
        <v>1</v>
      </c>
      <c r="W100" s="5" t="e">
        <f t="shared" ca="1" si="52"/>
        <v>#N/A</v>
      </c>
      <c r="X100" s="67">
        <f t="shared" ca="1" si="53"/>
        <v>1</v>
      </c>
      <c r="Y100" s="67" t="e">
        <f t="shared" ca="1" si="60"/>
        <v>#N/A</v>
      </c>
      <c r="Z100" s="67" t="e">
        <f t="shared" ca="1" si="61"/>
        <v>#N/A</v>
      </c>
      <c r="AA100" s="5" t="str">
        <f>IF(Setup!$I$15="Yes",'Demand background (hide)'!AJ88+'SPC background (hide)'!C100,"")</f>
        <v/>
      </c>
      <c r="AC100" s="5">
        <f t="shared" ca="1" si="54"/>
        <v>551.5</v>
      </c>
      <c r="AD100" s="5">
        <f t="shared" ca="1" si="55"/>
        <v>664</v>
      </c>
    </row>
    <row r="101" spans="1:30" x14ac:dyDescent="0.2">
      <c r="A101" s="67">
        <f ca="1">Demand!C98</f>
        <v>46</v>
      </c>
      <c r="B101" s="67">
        <v>86</v>
      </c>
      <c r="C101" s="5">
        <f ca="1">'Demand background (hide)'!Y89</f>
        <v>580</v>
      </c>
      <c r="D101" s="67">
        <f t="shared" si="39"/>
        <v>0</v>
      </c>
      <c r="E101" s="67" t="e">
        <f t="shared" ca="1" si="40"/>
        <v>#N/A</v>
      </c>
      <c r="F101" s="67" t="e">
        <f t="shared" ca="1" si="41"/>
        <v>#N/A</v>
      </c>
      <c r="G101" s="67" t="e">
        <f t="shared" ca="1" si="42"/>
        <v>#N/A</v>
      </c>
      <c r="H101" s="67" t="e">
        <f>IF('Demand background (hide)'!AN89&lt;&gt;"",'SPC background (hide)'!C101,NA())</f>
        <v>#N/A</v>
      </c>
      <c r="I101" s="67">
        <f t="shared" ca="1" si="43"/>
        <v>1</v>
      </c>
      <c r="J101" s="5">
        <f t="shared" ca="1" si="44"/>
        <v>69.979541734860845</v>
      </c>
      <c r="K101" s="5">
        <f t="shared" ca="1" si="45"/>
        <v>211.65302782324056</v>
      </c>
      <c r="L101" s="5">
        <f t="shared" ca="1" si="46"/>
        <v>353.32651391162028</v>
      </c>
      <c r="M101" s="5">
        <f t="shared" ca="1" si="47"/>
        <v>495</v>
      </c>
      <c r="N101" s="5">
        <f t="shared" ca="1" si="48"/>
        <v>636.67348608837972</v>
      </c>
      <c r="O101" s="5">
        <f t="shared" ca="1" si="49"/>
        <v>778.34697217675944</v>
      </c>
      <c r="P101" s="5">
        <f t="shared" ca="1" si="50"/>
        <v>920.02045826513915</v>
      </c>
      <c r="Q101" s="5" t="e">
        <f t="shared" ca="1" si="51"/>
        <v>#N/A</v>
      </c>
      <c r="R101" s="5">
        <f t="shared" ca="1" si="56"/>
        <v>1</v>
      </c>
      <c r="S101" s="67" t="e">
        <f t="shared" ca="1" si="57"/>
        <v>#N/A</v>
      </c>
      <c r="T101" s="67">
        <f t="shared" ca="1" si="58"/>
        <v>1</v>
      </c>
      <c r="U101" s="67" t="e">
        <f t="shared" ca="1" si="59"/>
        <v>#N/A</v>
      </c>
      <c r="V101" s="5">
        <f t="shared" ca="1" si="38"/>
        <v>1</v>
      </c>
      <c r="W101" s="5" t="e">
        <f t="shared" ca="1" si="52"/>
        <v>#N/A</v>
      </c>
      <c r="X101" s="67">
        <f t="shared" ca="1" si="53"/>
        <v>1</v>
      </c>
      <c r="Y101" s="67" t="e">
        <f t="shared" ca="1" si="60"/>
        <v>#N/A</v>
      </c>
      <c r="Z101" s="67" t="e">
        <f t="shared" ca="1" si="61"/>
        <v>#N/A</v>
      </c>
      <c r="AA101" s="5" t="str">
        <f>IF(Setup!$I$15="Yes",'Demand background (hide)'!AJ89+'SPC background (hide)'!C101,"")</f>
        <v/>
      </c>
      <c r="AC101" s="5">
        <f t="shared" ca="1" si="54"/>
        <v>551.5</v>
      </c>
      <c r="AD101" s="5">
        <f t="shared" ca="1" si="55"/>
        <v>664</v>
      </c>
    </row>
    <row r="102" spans="1:30" x14ac:dyDescent="0.2">
      <c r="A102" s="67">
        <f ca="1">Demand!C99</f>
        <v>47</v>
      </c>
      <c r="B102" s="67">
        <v>87</v>
      </c>
      <c r="C102" s="5">
        <f ca="1">'Demand background (hide)'!Y90</f>
        <v>460</v>
      </c>
      <c r="D102" s="67">
        <f t="shared" si="39"/>
        <v>0</v>
      </c>
      <c r="E102" s="67" t="e">
        <f t="shared" ca="1" si="40"/>
        <v>#N/A</v>
      </c>
      <c r="F102" s="67" t="e">
        <f t="shared" ca="1" si="41"/>
        <v>#N/A</v>
      </c>
      <c r="G102" s="67" t="e">
        <f t="shared" ca="1" si="42"/>
        <v>#N/A</v>
      </c>
      <c r="H102" s="67" t="e">
        <f>IF('Demand background (hide)'!AN90&lt;&gt;"",'SPC background (hide)'!C102,NA())</f>
        <v>#N/A</v>
      </c>
      <c r="I102" s="67">
        <f t="shared" ca="1" si="43"/>
        <v>1</v>
      </c>
      <c r="J102" s="5">
        <f t="shared" ca="1" si="44"/>
        <v>69.979541734860845</v>
      </c>
      <c r="K102" s="5">
        <f t="shared" ca="1" si="45"/>
        <v>211.65302782324056</v>
      </c>
      <c r="L102" s="5">
        <f t="shared" ca="1" si="46"/>
        <v>353.32651391162028</v>
      </c>
      <c r="M102" s="5">
        <f t="shared" ca="1" si="47"/>
        <v>495</v>
      </c>
      <c r="N102" s="5">
        <f t="shared" ca="1" si="48"/>
        <v>636.67348608837972</v>
      </c>
      <c r="O102" s="5">
        <f t="shared" ca="1" si="49"/>
        <v>778.34697217675944</v>
      </c>
      <c r="P102" s="5">
        <f t="shared" ca="1" si="50"/>
        <v>920.02045826513915</v>
      </c>
      <c r="Q102" s="5" t="e">
        <f t="shared" ca="1" si="51"/>
        <v>#N/A</v>
      </c>
      <c r="R102" s="5">
        <f t="shared" ca="1" si="56"/>
        <v>-1</v>
      </c>
      <c r="S102" s="67" t="e">
        <f t="shared" ca="1" si="57"/>
        <v>#N/A</v>
      </c>
      <c r="T102" s="67">
        <f t="shared" ca="1" si="58"/>
        <v>-1</v>
      </c>
      <c r="U102" s="67" t="e">
        <f t="shared" ca="1" si="59"/>
        <v>#N/A</v>
      </c>
      <c r="V102" s="5">
        <f t="shared" ca="1" si="38"/>
        <v>-1</v>
      </c>
      <c r="W102" s="5" t="e">
        <f t="shared" ca="1" si="52"/>
        <v>#N/A</v>
      </c>
      <c r="X102" s="67">
        <f t="shared" ca="1" si="53"/>
        <v>-1</v>
      </c>
      <c r="Y102" s="67" t="e">
        <f t="shared" ca="1" si="60"/>
        <v>#N/A</v>
      </c>
      <c r="Z102" s="67" t="e">
        <f t="shared" ca="1" si="61"/>
        <v>#N/A</v>
      </c>
      <c r="AA102" s="5" t="str">
        <f>IF(Setup!$I$15="Yes",'Demand background (hide)'!AJ90+'SPC background (hide)'!C102,"")</f>
        <v/>
      </c>
      <c r="AC102" s="5">
        <f t="shared" ca="1" si="54"/>
        <v>551.5</v>
      </c>
      <c r="AD102" s="5">
        <f t="shared" ca="1" si="55"/>
        <v>664</v>
      </c>
    </row>
    <row r="103" spans="1:30" x14ac:dyDescent="0.2">
      <c r="A103" s="67">
        <f ca="1">Demand!C100</f>
        <v>48</v>
      </c>
      <c r="B103" s="67">
        <v>88</v>
      </c>
      <c r="C103" s="5">
        <f ca="1">'Demand background (hide)'!Y91</f>
        <v>500</v>
      </c>
      <c r="D103" s="67">
        <f t="shared" si="39"/>
        <v>0</v>
      </c>
      <c r="E103" s="67" t="e">
        <f t="shared" ca="1" si="40"/>
        <v>#N/A</v>
      </c>
      <c r="F103" s="67" t="e">
        <f t="shared" ca="1" si="41"/>
        <v>#N/A</v>
      </c>
      <c r="G103" s="67" t="e">
        <f t="shared" ca="1" si="42"/>
        <v>#N/A</v>
      </c>
      <c r="H103" s="67" t="e">
        <f>IF('Demand background (hide)'!AN91&lt;&gt;"",'SPC background (hide)'!C103,NA())</f>
        <v>#N/A</v>
      </c>
      <c r="I103" s="67">
        <f t="shared" ca="1" si="43"/>
        <v>1</v>
      </c>
      <c r="J103" s="5">
        <f t="shared" ca="1" si="44"/>
        <v>69.979541734860845</v>
      </c>
      <c r="K103" s="5">
        <f t="shared" ca="1" si="45"/>
        <v>211.65302782324056</v>
      </c>
      <c r="L103" s="5">
        <f t="shared" ca="1" si="46"/>
        <v>353.32651391162028</v>
      </c>
      <c r="M103" s="5">
        <f t="shared" ca="1" si="47"/>
        <v>495</v>
      </c>
      <c r="N103" s="5">
        <f t="shared" ca="1" si="48"/>
        <v>636.67348608837972</v>
      </c>
      <c r="O103" s="5">
        <f t="shared" ca="1" si="49"/>
        <v>778.34697217675944</v>
      </c>
      <c r="P103" s="5">
        <f t="shared" ca="1" si="50"/>
        <v>920.02045826513915</v>
      </c>
      <c r="Q103" s="5" t="e">
        <f t="shared" ca="1" si="51"/>
        <v>#N/A</v>
      </c>
      <c r="R103" s="5">
        <f t="shared" ca="1" si="56"/>
        <v>1</v>
      </c>
      <c r="S103" s="67" t="e">
        <f t="shared" ca="1" si="57"/>
        <v>#N/A</v>
      </c>
      <c r="T103" s="67">
        <f t="shared" ca="1" si="58"/>
        <v>1</v>
      </c>
      <c r="U103" s="67" t="e">
        <f t="shared" ca="1" si="59"/>
        <v>#N/A</v>
      </c>
      <c r="V103" s="5">
        <f t="shared" ca="1" si="38"/>
        <v>1</v>
      </c>
      <c r="W103" s="5" t="e">
        <f t="shared" ca="1" si="52"/>
        <v>#N/A</v>
      </c>
      <c r="X103" s="67">
        <f t="shared" ca="1" si="53"/>
        <v>1</v>
      </c>
      <c r="Y103" s="67" t="e">
        <f t="shared" ca="1" si="60"/>
        <v>#N/A</v>
      </c>
      <c r="Z103" s="67" t="e">
        <f t="shared" ca="1" si="61"/>
        <v>#N/A</v>
      </c>
      <c r="AA103" s="5" t="str">
        <f>IF(Setup!$I$15="Yes",'Demand background (hide)'!AJ91+'SPC background (hide)'!C103,"")</f>
        <v/>
      </c>
      <c r="AC103" s="5">
        <f t="shared" ca="1" si="54"/>
        <v>551.5</v>
      </c>
      <c r="AD103" s="5">
        <f t="shared" ca="1" si="55"/>
        <v>664</v>
      </c>
    </row>
    <row r="104" spans="1:30" x14ac:dyDescent="0.2">
      <c r="A104" s="67">
        <f ca="1">Demand!C101</f>
        <v>49</v>
      </c>
      <c r="B104" s="67">
        <v>89</v>
      </c>
      <c r="C104" s="5">
        <f ca="1">'Demand background (hide)'!Y92</f>
        <v>510</v>
      </c>
      <c r="D104" s="67">
        <f t="shared" si="39"/>
        <v>0</v>
      </c>
      <c r="E104" s="67" t="e">
        <f t="shared" ca="1" si="40"/>
        <v>#N/A</v>
      </c>
      <c r="F104" s="67" t="e">
        <f t="shared" ca="1" si="41"/>
        <v>#N/A</v>
      </c>
      <c r="G104" s="67" t="e">
        <f t="shared" ca="1" si="42"/>
        <v>#N/A</v>
      </c>
      <c r="H104" s="67" t="e">
        <f>IF('Demand background (hide)'!AN92&lt;&gt;"",'SPC background (hide)'!C104,NA())</f>
        <v>#N/A</v>
      </c>
      <c r="I104" s="67">
        <f t="shared" ca="1" si="43"/>
        <v>1</v>
      </c>
      <c r="J104" s="5">
        <f t="shared" ca="1" si="44"/>
        <v>69.979541734860845</v>
      </c>
      <c r="K104" s="5">
        <f t="shared" ca="1" si="45"/>
        <v>211.65302782324056</v>
      </c>
      <c r="L104" s="5">
        <f t="shared" ca="1" si="46"/>
        <v>353.32651391162028</v>
      </c>
      <c r="M104" s="5">
        <f t="shared" ca="1" si="47"/>
        <v>495</v>
      </c>
      <c r="N104" s="5">
        <f t="shared" ca="1" si="48"/>
        <v>636.67348608837972</v>
      </c>
      <c r="O104" s="5">
        <f t="shared" ca="1" si="49"/>
        <v>778.34697217675944</v>
      </c>
      <c r="P104" s="5">
        <f t="shared" ca="1" si="50"/>
        <v>920.02045826513915</v>
      </c>
      <c r="Q104" s="5" t="e">
        <f t="shared" ca="1" si="51"/>
        <v>#N/A</v>
      </c>
      <c r="R104" s="5">
        <f t="shared" ca="1" si="56"/>
        <v>1</v>
      </c>
      <c r="S104" s="67" t="e">
        <f t="shared" ca="1" si="57"/>
        <v>#N/A</v>
      </c>
      <c r="T104" s="67">
        <f t="shared" ca="1" si="58"/>
        <v>1</v>
      </c>
      <c r="U104" s="67" t="e">
        <f t="shared" ca="1" si="59"/>
        <v>#N/A</v>
      </c>
      <c r="V104" s="5">
        <f t="shared" ca="1" si="38"/>
        <v>1</v>
      </c>
      <c r="W104" s="5" t="e">
        <f t="shared" ca="1" si="52"/>
        <v>#N/A</v>
      </c>
      <c r="X104" s="67">
        <f t="shared" ca="1" si="53"/>
        <v>1</v>
      </c>
      <c r="Y104" s="67" t="e">
        <f t="shared" ca="1" si="60"/>
        <v>#N/A</v>
      </c>
      <c r="Z104" s="67" t="e">
        <f t="shared" ca="1" si="61"/>
        <v>#N/A</v>
      </c>
      <c r="AA104" s="5" t="str">
        <f>IF(Setup!$I$15="Yes",'Demand background (hide)'!AJ92+'SPC background (hide)'!C104,"")</f>
        <v/>
      </c>
      <c r="AC104" s="5">
        <f t="shared" ca="1" si="54"/>
        <v>551.5</v>
      </c>
      <c r="AD104" s="5">
        <f t="shared" ca="1" si="55"/>
        <v>664</v>
      </c>
    </row>
    <row r="105" spans="1:30" x14ac:dyDescent="0.2">
      <c r="A105" s="67">
        <f ca="1">Demand!C102</f>
        <v>50</v>
      </c>
      <c r="B105" s="67">
        <v>90</v>
      </c>
      <c r="C105" s="5">
        <f ca="1">'Demand background (hide)'!Y93</f>
        <v>510</v>
      </c>
      <c r="D105" s="67">
        <f t="shared" si="39"/>
        <v>0</v>
      </c>
      <c r="E105" s="67" t="e">
        <f t="shared" ca="1" si="40"/>
        <v>#N/A</v>
      </c>
      <c r="F105" s="67" t="e">
        <f t="shared" ca="1" si="41"/>
        <v>#N/A</v>
      </c>
      <c r="G105" s="67" t="e">
        <f t="shared" ca="1" si="42"/>
        <v>#N/A</v>
      </c>
      <c r="H105" s="67" t="e">
        <f>IF('Demand background (hide)'!AN93&lt;&gt;"",'SPC background (hide)'!C105,NA())</f>
        <v>#N/A</v>
      </c>
      <c r="I105" s="67">
        <f t="shared" ca="1" si="43"/>
        <v>1</v>
      </c>
      <c r="J105" s="5">
        <f t="shared" ca="1" si="44"/>
        <v>69.979541734860845</v>
      </c>
      <c r="K105" s="5">
        <f t="shared" ca="1" si="45"/>
        <v>211.65302782324056</v>
      </c>
      <c r="L105" s="5">
        <f t="shared" ca="1" si="46"/>
        <v>353.32651391162028</v>
      </c>
      <c r="M105" s="5">
        <f t="shared" ca="1" si="47"/>
        <v>495</v>
      </c>
      <c r="N105" s="5">
        <f t="shared" ca="1" si="48"/>
        <v>636.67348608837972</v>
      </c>
      <c r="O105" s="5">
        <f t="shared" ca="1" si="49"/>
        <v>778.34697217675944</v>
      </c>
      <c r="P105" s="5">
        <f t="shared" ca="1" si="50"/>
        <v>920.02045826513915</v>
      </c>
      <c r="Q105" s="5" t="e">
        <f t="shared" ca="1" si="51"/>
        <v>#N/A</v>
      </c>
      <c r="R105" s="5">
        <f t="shared" ca="1" si="56"/>
        <v>1</v>
      </c>
      <c r="S105" s="67" t="e">
        <f t="shared" ca="1" si="57"/>
        <v>#N/A</v>
      </c>
      <c r="T105" s="67">
        <f t="shared" ca="1" si="58"/>
        <v>1</v>
      </c>
      <c r="U105" s="67" t="e">
        <f t="shared" ca="1" si="59"/>
        <v>#N/A</v>
      </c>
      <c r="V105" s="5">
        <f t="shared" ca="1" si="38"/>
        <v>1</v>
      </c>
      <c r="W105" s="5" t="e">
        <f t="shared" ca="1" si="52"/>
        <v>#N/A</v>
      </c>
      <c r="X105" s="67">
        <f t="shared" ca="1" si="53"/>
        <v>0</v>
      </c>
      <c r="Y105" s="67" t="e">
        <f t="shared" ca="1" si="60"/>
        <v>#N/A</v>
      </c>
      <c r="Z105" s="67" t="e">
        <f t="shared" ca="1" si="61"/>
        <v>#N/A</v>
      </c>
      <c r="AA105" s="5" t="str">
        <f>IF(Setup!$I$15="Yes",'Demand background (hide)'!AJ93+'SPC background (hide)'!C105,"")</f>
        <v/>
      </c>
      <c r="AC105" s="5">
        <f t="shared" ca="1" si="54"/>
        <v>551.5</v>
      </c>
      <c r="AD105" s="5">
        <f t="shared" ca="1" si="55"/>
        <v>664</v>
      </c>
    </row>
    <row r="106" spans="1:30" x14ac:dyDescent="0.2">
      <c r="A106" s="67">
        <f ca="1">Demand!C103</f>
        <v>51</v>
      </c>
      <c r="B106" s="67">
        <v>91</v>
      </c>
      <c r="C106" s="5">
        <f ca="1">'Demand background (hide)'!Y94</f>
        <v>390</v>
      </c>
      <c r="D106" s="67">
        <f t="shared" si="39"/>
        <v>0</v>
      </c>
      <c r="E106" s="67" t="e">
        <f t="shared" ca="1" si="40"/>
        <v>#N/A</v>
      </c>
      <c r="F106" s="67" t="e">
        <f t="shared" ca="1" si="41"/>
        <v>#N/A</v>
      </c>
      <c r="G106" s="67" t="e">
        <f t="shared" ca="1" si="42"/>
        <v>#N/A</v>
      </c>
      <c r="H106" s="67" t="e">
        <f>IF('Demand background (hide)'!AN94&lt;&gt;"",'SPC background (hide)'!C106,NA())</f>
        <v>#N/A</v>
      </c>
      <c r="I106" s="67">
        <f t="shared" ca="1" si="43"/>
        <v>1</v>
      </c>
      <c r="J106" s="5">
        <f t="shared" ca="1" si="44"/>
        <v>69.979541734860845</v>
      </c>
      <c r="K106" s="5">
        <f t="shared" ca="1" si="45"/>
        <v>211.65302782324056</v>
      </c>
      <c r="L106" s="5">
        <f t="shared" ca="1" si="46"/>
        <v>353.32651391162028</v>
      </c>
      <c r="M106" s="5">
        <f t="shared" ca="1" si="47"/>
        <v>495</v>
      </c>
      <c r="N106" s="5">
        <f t="shared" ca="1" si="48"/>
        <v>636.67348608837972</v>
      </c>
      <c r="O106" s="5">
        <f t="shared" ca="1" si="49"/>
        <v>778.34697217675944</v>
      </c>
      <c r="P106" s="5">
        <f t="shared" ca="1" si="50"/>
        <v>920.02045826513915</v>
      </c>
      <c r="Q106" s="5" t="e">
        <f t="shared" ca="1" si="51"/>
        <v>#N/A</v>
      </c>
      <c r="R106" s="5">
        <f t="shared" ca="1" si="56"/>
        <v>-1</v>
      </c>
      <c r="S106" s="67" t="e">
        <f t="shared" ca="1" si="57"/>
        <v>#N/A</v>
      </c>
      <c r="T106" s="67">
        <f t="shared" ca="1" si="58"/>
        <v>-1</v>
      </c>
      <c r="U106" s="67" t="e">
        <f t="shared" ca="1" si="59"/>
        <v>#N/A</v>
      </c>
      <c r="V106" s="5">
        <f t="shared" ca="1" si="38"/>
        <v>-1</v>
      </c>
      <c r="W106" s="5" t="e">
        <f t="shared" ca="1" si="52"/>
        <v>#N/A</v>
      </c>
      <c r="X106" s="67">
        <f t="shared" ca="1" si="53"/>
        <v>-1</v>
      </c>
      <c r="Y106" s="67" t="e">
        <f t="shared" ca="1" si="60"/>
        <v>#N/A</v>
      </c>
      <c r="Z106" s="67" t="e">
        <f t="shared" ca="1" si="61"/>
        <v>#N/A</v>
      </c>
      <c r="AA106" s="5" t="str">
        <f>IF(Setup!$I$15="Yes",'Demand background (hide)'!AJ94+'SPC background (hide)'!C106,"")</f>
        <v/>
      </c>
      <c r="AC106" s="5">
        <f t="shared" ca="1" si="54"/>
        <v>551.5</v>
      </c>
      <c r="AD106" s="5">
        <f t="shared" ca="1" si="55"/>
        <v>664</v>
      </c>
    </row>
    <row r="107" spans="1:30" x14ac:dyDescent="0.2">
      <c r="A107" s="67">
        <f ca="1">Demand!C104</f>
        <v>52</v>
      </c>
      <c r="B107" s="67">
        <v>92</v>
      </c>
      <c r="C107" s="5">
        <f ca="1">'Demand background (hide)'!Y95</f>
        <v>440</v>
      </c>
      <c r="D107" s="67">
        <f t="shared" si="39"/>
        <v>0</v>
      </c>
      <c r="E107" s="67" t="e">
        <f t="shared" ca="1" si="40"/>
        <v>#N/A</v>
      </c>
      <c r="F107" s="67" t="e">
        <f t="shared" ca="1" si="41"/>
        <v>#N/A</v>
      </c>
      <c r="G107" s="67" t="e">
        <f t="shared" ca="1" si="42"/>
        <v>#N/A</v>
      </c>
      <c r="H107" s="67" t="e">
        <f>IF('Demand background (hide)'!AN95&lt;&gt;"",'SPC background (hide)'!C107,NA())</f>
        <v>#N/A</v>
      </c>
      <c r="I107" s="67">
        <f t="shared" ca="1" si="43"/>
        <v>1</v>
      </c>
      <c r="J107" s="5">
        <f t="shared" ca="1" si="44"/>
        <v>69.979541734860845</v>
      </c>
      <c r="K107" s="5">
        <f t="shared" ca="1" si="45"/>
        <v>211.65302782324056</v>
      </c>
      <c r="L107" s="5">
        <f t="shared" ca="1" si="46"/>
        <v>353.32651391162028</v>
      </c>
      <c r="M107" s="5">
        <f t="shared" ca="1" si="47"/>
        <v>495</v>
      </c>
      <c r="N107" s="5">
        <f t="shared" ca="1" si="48"/>
        <v>636.67348608837972</v>
      </c>
      <c r="O107" s="5">
        <f t="shared" ca="1" si="49"/>
        <v>778.34697217675944</v>
      </c>
      <c r="P107" s="5">
        <f t="shared" ca="1" si="50"/>
        <v>920.02045826513915</v>
      </c>
      <c r="Q107" s="5" t="e">
        <f t="shared" ca="1" si="51"/>
        <v>#N/A</v>
      </c>
      <c r="R107" s="5">
        <f t="shared" ca="1" si="56"/>
        <v>-1</v>
      </c>
      <c r="S107" s="67" t="e">
        <f t="shared" ca="1" si="57"/>
        <v>#N/A</v>
      </c>
      <c r="T107" s="67">
        <f t="shared" ca="1" si="58"/>
        <v>-1</v>
      </c>
      <c r="U107" s="67" t="e">
        <f t="shared" ca="1" si="59"/>
        <v>#N/A</v>
      </c>
      <c r="V107" s="5">
        <f t="shared" ca="1" si="38"/>
        <v>-1</v>
      </c>
      <c r="W107" s="5" t="e">
        <f t="shared" ca="1" si="52"/>
        <v>#N/A</v>
      </c>
      <c r="X107" s="67">
        <f t="shared" ca="1" si="53"/>
        <v>1</v>
      </c>
      <c r="Y107" s="67" t="e">
        <f t="shared" ca="1" si="60"/>
        <v>#N/A</v>
      </c>
      <c r="Z107" s="67" t="e">
        <f t="shared" ca="1" si="61"/>
        <v>#N/A</v>
      </c>
      <c r="AA107" s="5" t="str">
        <f>IF(Setup!$I$15="Yes",'Demand background (hide)'!AJ95+'SPC background (hide)'!C107,"")</f>
        <v/>
      </c>
      <c r="AC107" s="5">
        <f t="shared" ca="1" si="54"/>
        <v>551.5</v>
      </c>
      <c r="AD107" s="5">
        <f t="shared" ca="1" si="55"/>
        <v>664</v>
      </c>
    </row>
    <row r="108" spans="1:30" x14ac:dyDescent="0.2">
      <c r="A108" s="67">
        <f ca="1">Demand!C105</f>
        <v>1</v>
      </c>
      <c r="B108" s="67">
        <v>93</v>
      </c>
      <c r="C108" s="5">
        <f ca="1">'Demand background (hide)'!Y96</f>
        <v>700</v>
      </c>
      <c r="D108" s="67">
        <f t="shared" si="39"/>
        <v>0</v>
      </c>
      <c r="E108" s="67" t="e">
        <f t="shared" ca="1" si="40"/>
        <v>#N/A</v>
      </c>
      <c r="F108" s="67" t="e">
        <f t="shared" ca="1" si="41"/>
        <v>#N/A</v>
      </c>
      <c r="G108" s="67" t="e">
        <f t="shared" ca="1" si="42"/>
        <v>#N/A</v>
      </c>
      <c r="H108" s="67" t="e">
        <f>IF('Demand background (hide)'!AN96&lt;&gt;"",'SPC background (hide)'!C108,NA())</f>
        <v>#N/A</v>
      </c>
      <c r="I108" s="67">
        <f t="shared" ca="1" si="43"/>
        <v>1</v>
      </c>
      <c r="J108" s="5">
        <f t="shared" ca="1" si="44"/>
        <v>69.979541734860845</v>
      </c>
      <c r="K108" s="5">
        <f t="shared" ca="1" si="45"/>
        <v>211.65302782324056</v>
      </c>
      <c r="L108" s="5">
        <f t="shared" ca="1" si="46"/>
        <v>353.32651391162028</v>
      </c>
      <c r="M108" s="5">
        <f t="shared" ca="1" si="47"/>
        <v>495</v>
      </c>
      <c r="N108" s="5">
        <f t="shared" ca="1" si="48"/>
        <v>636.67348608837972</v>
      </c>
      <c r="O108" s="5">
        <f t="shared" ca="1" si="49"/>
        <v>778.34697217675944</v>
      </c>
      <c r="P108" s="5">
        <f t="shared" ca="1" si="50"/>
        <v>920.02045826513915</v>
      </c>
      <c r="Q108" s="5" t="e">
        <f t="shared" ca="1" si="51"/>
        <v>#N/A</v>
      </c>
      <c r="R108" s="5">
        <f t="shared" ca="1" si="56"/>
        <v>1</v>
      </c>
      <c r="S108" s="67" t="e">
        <f t="shared" ca="1" si="57"/>
        <v>#N/A</v>
      </c>
      <c r="T108" s="67">
        <f t="shared" ca="1" si="58"/>
        <v>2</v>
      </c>
      <c r="U108" s="67" t="e">
        <f t="shared" ca="1" si="59"/>
        <v>#N/A</v>
      </c>
      <c r="V108" s="5">
        <f t="shared" ca="1" si="38"/>
        <v>1</v>
      </c>
      <c r="W108" s="5" t="e">
        <f t="shared" ca="1" si="52"/>
        <v>#N/A</v>
      </c>
      <c r="X108" s="67">
        <f t="shared" ca="1" si="53"/>
        <v>1</v>
      </c>
      <c r="Y108" s="67" t="e">
        <f t="shared" ca="1" si="60"/>
        <v>#N/A</v>
      </c>
      <c r="Z108" s="67" t="e">
        <f t="shared" ca="1" si="61"/>
        <v>#N/A</v>
      </c>
      <c r="AA108" s="5" t="str">
        <f>IF(Setup!$I$15="Yes",'Demand background (hide)'!AJ96+'SPC background (hide)'!C108,"")</f>
        <v/>
      </c>
      <c r="AC108" s="5">
        <f t="shared" ca="1" si="54"/>
        <v>551.5</v>
      </c>
      <c r="AD108" s="5">
        <f t="shared" ca="1" si="55"/>
        <v>664</v>
      </c>
    </row>
    <row r="109" spans="1:30" x14ac:dyDescent="0.2">
      <c r="A109" s="67">
        <f ca="1">Demand!C106</f>
        <v>2</v>
      </c>
      <c r="B109" s="67">
        <v>94</v>
      </c>
      <c r="C109" s="5">
        <f ca="1">'Demand background (hide)'!Y97</f>
        <v>570</v>
      </c>
      <c r="D109" s="67">
        <f t="shared" si="39"/>
        <v>0</v>
      </c>
      <c r="E109" s="67" t="e">
        <f t="shared" ca="1" si="40"/>
        <v>#N/A</v>
      </c>
      <c r="F109" s="67" t="e">
        <f t="shared" ca="1" si="41"/>
        <v>#N/A</v>
      </c>
      <c r="G109" s="67" t="e">
        <f t="shared" ca="1" si="42"/>
        <v>#N/A</v>
      </c>
      <c r="H109" s="67" t="e">
        <f>IF('Demand background (hide)'!AN97&lt;&gt;"",'SPC background (hide)'!C109,NA())</f>
        <v>#N/A</v>
      </c>
      <c r="I109" s="67">
        <f t="shared" ca="1" si="43"/>
        <v>1</v>
      </c>
      <c r="J109" s="5">
        <f t="shared" ca="1" si="44"/>
        <v>69.979541734860845</v>
      </c>
      <c r="K109" s="5">
        <f t="shared" ca="1" si="45"/>
        <v>211.65302782324056</v>
      </c>
      <c r="L109" s="5">
        <f t="shared" ca="1" si="46"/>
        <v>353.32651391162028</v>
      </c>
      <c r="M109" s="5">
        <f t="shared" ca="1" si="47"/>
        <v>495</v>
      </c>
      <c r="N109" s="5">
        <f t="shared" ca="1" si="48"/>
        <v>636.67348608837972</v>
      </c>
      <c r="O109" s="5">
        <f t="shared" ca="1" si="49"/>
        <v>778.34697217675944</v>
      </c>
      <c r="P109" s="5">
        <f t="shared" ca="1" si="50"/>
        <v>920.02045826513915</v>
      </c>
      <c r="Q109" s="5" t="e">
        <f t="shared" ca="1" si="51"/>
        <v>#N/A</v>
      </c>
      <c r="R109" s="5">
        <f t="shared" ca="1" si="56"/>
        <v>1</v>
      </c>
      <c r="S109" s="67" t="e">
        <f t="shared" ca="1" si="57"/>
        <v>#N/A</v>
      </c>
      <c r="T109" s="67">
        <f t="shared" ca="1" si="58"/>
        <v>1</v>
      </c>
      <c r="U109" s="67" t="e">
        <f t="shared" ca="1" si="59"/>
        <v>#N/A</v>
      </c>
      <c r="V109" s="5">
        <f t="shared" ca="1" si="38"/>
        <v>1</v>
      </c>
      <c r="W109" s="5" t="e">
        <f t="shared" ca="1" si="52"/>
        <v>#N/A</v>
      </c>
      <c r="X109" s="67">
        <f t="shared" ca="1" si="53"/>
        <v>-1</v>
      </c>
      <c r="Y109" s="67" t="e">
        <f t="shared" ca="1" si="60"/>
        <v>#N/A</v>
      </c>
      <c r="Z109" s="67" t="e">
        <f t="shared" ca="1" si="61"/>
        <v>#N/A</v>
      </c>
      <c r="AA109" s="5" t="str">
        <f>IF(Setup!$I$15="Yes",'Demand background (hide)'!AJ97+'SPC background (hide)'!C109,"")</f>
        <v/>
      </c>
      <c r="AC109" s="5">
        <f t="shared" ca="1" si="54"/>
        <v>551.5</v>
      </c>
      <c r="AD109" s="5">
        <f t="shared" ca="1" si="55"/>
        <v>664</v>
      </c>
    </row>
    <row r="110" spans="1:30" x14ac:dyDescent="0.2">
      <c r="A110" s="67">
        <f ca="1">Demand!C107</f>
        <v>3</v>
      </c>
      <c r="B110" s="67">
        <v>95</v>
      </c>
      <c r="C110" s="5">
        <f ca="1">'Demand background (hide)'!Y98</f>
        <v>520</v>
      </c>
      <c r="D110" s="67">
        <f t="shared" si="39"/>
        <v>0</v>
      </c>
      <c r="E110" s="67" t="e">
        <f t="shared" ca="1" si="40"/>
        <v>#N/A</v>
      </c>
      <c r="F110" s="67" t="e">
        <f t="shared" ca="1" si="41"/>
        <v>#N/A</v>
      </c>
      <c r="G110" s="67" t="e">
        <f t="shared" ca="1" si="42"/>
        <v>#N/A</v>
      </c>
      <c r="H110" s="67" t="e">
        <f>IF('Demand background (hide)'!AN98&lt;&gt;"",'SPC background (hide)'!C110,NA())</f>
        <v>#N/A</v>
      </c>
      <c r="I110" s="67">
        <f t="shared" ca="1" si="43"/>
        <v>1</v>
      </c>
      <c r="J110" s="5">
        <f t="shared" ca="1" si="44"/>
        <v>69.979541734860845</v>
      </c>
      <c r="K110" s="5">
        <f t="shared" ca="1" si="45"/>
        <v>211.65302782324056</v>
      </c>
      <c r="L110" s="5">
        <f t="shared" ca="1" si="46"/>
        <v>353.32651391162028</v>
      </c>
      <c r="M110" s="5">
        <f t="shared" ca="1" si="47"/>
        <v>495</v>
      </c>
      <c r="N110" s="5">
        <f t="shared" ca="1" si="48"/>
        <v>636.67348608837972</v>
      </c>
      <c r="O110" s="5">
        <f t="shared" ca="1" si="49"/>
        <v>778.34697217675944</v>
      </c>
      <c r="P110" s="5">
        <f t="shared" ca="1" si="50"/>
        <v>920.02045826513915</v>
      </c>
      <c r="Q110" s="5" t="e">
        <f t="shared" ca="1" si="51"/>
        <v>#N/A</v>
      </c>
      <c r="R110" s="5">
        <f t="shared" ca="1" si="56"/>
        <v>1</v>
      </c>
      <c r="S110" s="67" t="e">
        <f t="shared" ca="1" si="57"/>
        <v>#N/A</v>
      </c>
      <c r="T110" s="67">
        <f t="shared" ca="1" si="58"/>
        <v>1</v>
      </c>
      <c r="U110" s="67" t="e">
        <f t="shared" ca="1" si="59"/>
        <v>#N/A</v>
      </c>
      <c r="V110" s="5">
        <f t="shared" ca="1" si="38"/>
        <v>1</v>
      </c>
      <c r="W110" s="5" t="e">
        <f t="shared" ca="1" si="52"/>
        <v>#N/A</v>
      </c>
      <c r="X110" s="67">
        <f t="shared" ca="1" si="53"/>
        <v>-1</v>
      </c>
      <c r="Y110" s="67" t="e">
        <f t="shared" ca="1" si="60"/>
        <v>#N/A</v>
      </c>
      <c r="Z110" s="67" t="e">
        <f t="shared" ca="1" si="61"/>
        <v>#N/A</v>
      </c>
      <c r="AA110" s="5" t="str">
        <f>IF(Setup!$I$15="Yes",'Demand background (hide)'!AJ98+'SPC background (hide)'!C110,"")</f>
        <v/>
      </c>
      <c r="AC110" s="5">
        <f t="shared" ca="1" si="54"/>
        <v>551.5</v>
      </c>
      <c r="AD110" s="5">
        <f t="shared" ca="1" si="55"/>
        <v>664</v>
      </c>
    </row>
    <row r="111" spans="1:30" x14ac:dyDescent="0.2">
      <c r="A111" s="67">
        <f ca="1">Demand!C108</f>
        <v>4</v>
      </c>
      <c r="B111" s="67">
        <v>96</v>
      </c>
      <c r="C111" s="5">
        <f ca="1">'Demand background (hide)'!Y99</f>
        <v>630</v>
      </c>
      <c r="D111" s="67">
        <f t="shared" si="39"/>
        <v>0</v>
      </c>
      <c r="E111" s="67" t="e">
        <f t="shared" ca="1" si="40"/>
        <v>#N/A</v>
      </c>
      <c r="F111" s="67" t="e">
        <f t="shared" ca="1" si="41"/>
        <v>#N/A</v>
      </c>
      <c r="G111" s="67" t="e">
        <f t="shared" ca="1" si="42"/>
        <v>#N/A</v>
      </c>
      <c r="H111" s="67" t="e">
        <f>IF('Demand background (hide)'!AN99&lt;&gt;"",'SPC background (hide)'!C111,NA())</f>
        <v>#N/A</v>
      </c>
      <c r="I111" s="67">
        <f t="shared" ca="1" si="43"/>
        <v>1</v>
      </c>
      <c r="J111" s="5">
        <f t="shared" ca="1" si="44"/>
        <v>69.979541734860845</v>
      </c>
      <c r="K111" s="5">
        <f t="shared" ca="1" si="45"/>
        <v>211.65302782324056</v>
      </c>
      <c r="L111" s="5">
        <f t="shared" ca="1" si="46"/>
        <v>353.32651391162028</v>
      </c>
      <c r="M111" s="5">
        <f t="shared" ca="1" si="47"/>
        <v>495</v>
      </c>
      <c r="N111" s="5">
        <f t="shared" ca="1" si="48"/>
        <v>636.67348608837972</v>
      </c>
      <c r="O111" s="5">
        <f t="shared" ca="1" si="49"/>
        <v>778.34697217675944</v>
      </c>
      <c r="P111" s="5">
        <f t="shared" ca="1" si="50"/>
        <v>920.02045826513915</v>
      </c>
      <c r="Q111" s="5" t="e">
        <f t="shared" ca="1" si="51"/>
        <v>#N/A</v>
      </c>
      <c r="R111" s="5">
        <f t="shared" ca="1" si="56"/>
        <v>1</v>
      </c>
      <c r="S111" s="67" t="e">
        <f t="shared" ca="1" si="57"/>
        <v>#N/A</v>
      </c>
      <c r="T111" s="67">
        <f t="shared" ca="1" si="58"/>
        <v>1</v>
      </c>
      <c r="U111" s="67" t="e">
        <f t="shared" ca="1" si="59"/>
        <v>#N/A</v>
      </c>
      <c r="V111" s="5">
        <f t="shared" ca="1" si="38"/>
        <v>1</v>
      </c>
      <c r="W111" s="5" t="e">
        <f t="shared" ca="1" si="52"/>
        <v>#N/A</v>
      </c>
      <c r="X111" s="67">
        <f t="shared" ca="1" si="53"/>
        <v>1</v>
      </c>
      <c r="Y111" s="67" t="e">
        <f t="shared" ca="1" si="60"/>
        <v>#N/A</v>
      </c>
      <c r="Z111" s="67" t="e">
        <f t="shared" ca="1" si="61"/>
        <v>#N/A</v>
      </c>
      <c r="AA111" s="5" t="str">
        <f>IF(Setup!$I$15="Yes",'Demand background (hide)'!AJ99+'SPC background (hide)'!C111,"")</f>
        <v/>
      </c>
      <c r="AC111" s="5">
        <f t="shared" ca="1" si="54"/>
        <v>551.5</v>
      </c>
      <c r="AD111" s="5">
        <f t="shared" ca="1" si="55"/>
        <v>664</v>
      </c>
    </row>
    <row r="112" spans="1:30" x14ac:dyDescent="0.2">
      <c r="A112" s="67">
        <f ca="1">Demand!C109</f>
        <v>5</v>
      </c>
      <c r="B112" s="67">
        <v>97</v>
      </c>
      <c r="C112" s="5">
        <f ca="1">'Demand background (hide)'!Y100</f>
        <v>550</v>
      </c>
      <c r="D112" s="67">
        <f t="shared" si="39"/>
        <v>0</v>
      </c>
      <c r="E112" s="67" t="e">
        <f t="shared" ca="1" si="40"/>
        <v>#N/A</v>
      </c>
      <c r="F112" s="67" t="e">
        <f t="shared" ca="1" si="41"/>
        <v>#N/A</v>
      </c>
      <c r="G112" s="67" t="e">
        <f t="shared" ca="1" si="42"/>
        <v>#N/A</v>
      </c>
      <c r="H112" s="67" t="e">
        <f>IF('Demand background (hide)'!AN100&lt;&gt;"",'SPC background (hide)'!C112,NA())</f>
        <v>#N/A</v>
      </c>
      <c r="I112" s="67">
        <f t="shared" ca="1" si="43"/>
        <v>1</v>
      </c>
      <c r="J112" s="5">
        <f t="shared" ca="1" si="44"/>
        <v>69.979541734860845</v>
      </c>
      <c r="K112" s="5">
        <f t="shared" ca="1" si="45"/>
        <v>211.65302782324056</v>
      </c>
      <c r="L112" s="5">
        <f t="shared" ca="1" si="46"/>
        <v>353.32651391162028</v>
      </c>
      <c r="M112" s="5">
        <f t="shared" ca="1" si="47"/>
        <v>495</v>
      </c>
      <c r="N112" s="5">
        <f t="shared" ca="1" si="48"/>
        <v>636.67348608837972</v>
      </c>
      <c r="O112" s="5">
        <f t="shared" ca="1" si="49"/>
        <v>778.34697217675944</v>
      </c>
      <c r="P112" s="5">
        <f t="shared" ca="1" si="50"/>
        <v>920.02045826513915</v>
      </c>
      <c r="Q112" s="5" t="e">
        <f t="shared" ca="1" si="51"/>
        <v>#N/A</v>
      </c>
      <c r="R112" s="5">
        <f t="shared" ca="1" si="56"/>
        <v>1</v>
      </c>
      <c r="S112" s="67" t="e">
        <f t="shared" ca="1" si="57"/>
        <v>#N/A</v>
      </c>
      <c r="T112" s="67">
        <f t="shared" ca="1" si="58"/>
        <v>1</v>
      </c>
      <c r="U112" s="67" t="e">
        <f t="shared" ca="1" si="59"/>
        <v>#N/A</v>
      </c>
      <c r="V112" s="5">
        <f t="shared" ca="1" si="38"/>
        <v>1</v>
      </c>
      <c r="W112" s="5" t="e">
        <f t="shared" ca="1" si="52"/>
        <v>#N/A</v>
      </c>
      <c r="X112" s="67">
        <f t="shared" ca="1" si="53"/>
        <v>-1</v>
      </c>
      <c r="Y112" s="67" t="e">
        <f t="shared" ca="1" si="60"/>
        <v>#N/A</v>
      </c>
      <c r="Z112" s="67" t="e">
        <f t="shared" ca="1" si="61"/>
        <v>#N/A</v>
      </c>
      <c r="AA112" s="5" t="str">
        <f>IF(Setup!$I$15="Yes",'Demand background (hide)'!AJ100+'SPC background (hide)'!C112,"")</f>
        <v/>
      </c>
      <c r="AC112" s="5">
        <f t="shared" ca="1" si="54"/>
        <v>551.5</v>
      </c>
      <c r="AD112" s="5">
        <f t="shared" ca="1" si="55"/>
        <v>664</v>
      </c>
    </row>
    <row r="113" spans="1:30" x14ac:dyDescent="0.2">
      <c r="A113" s="67">
        <f ca="1">Demand!C110</f>
        <v>6</v>
      </c>
      <c r="B113" s="67">
        <v>98</v>
      </c>
      <c r="C113" s="5">
        <f ca="1">'Demand background (hide)'!Y101</f>
        <v>350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69.979541734860845</v>
      </c>
      <c r="K113" s="5">
        <f t="shared" ca="1" si="45"/>
        <v>211.65302782324056</v>
      </c>
      <c r="L113" s="5">
        <f t="shared" ca="1" si="46"/>
        <v>353.32651391162028</v>
      </c>
      <c r="M113" s="5">
        <f t="shared" ca="1" si="47"/>
        <v>495</v>
      </c>
      <c r="N113" s="5">
        <f t="shared" ca="1" si="48"/>
        <v>636.67348608837972</v>
      </c>
      <c r="O113" s="5">
        <f t="shared" ca="1" si="49"/>
        <v>778.34697217675944</v>
      </c>
      <c r="P113" s="5">
        <f t="shared" ca="1" si="50"/>
        <v>920.02045826513915</v>
      </c>
      <c r="Q113" s="5" t="e">
        <f t="shared" ca="1" si="51"/>
        <v>#N/A</v>
      </c>
      <c r="R113" s="5">
        <f t="shared" ca="1" si="56"/>
        <v>-1</v>
      </c>
      <c r="S113" s="67" t="e">
        <f t="shared" ca="1" si="57"/>
        <v>#N/A</v>
      </c>
      <c r="T113" s="67">
        <f t="shared" ca="1" si="58"/>
        <v>-2</v>
      </c>
      <c r="U113" s="67" t="e">
        <f t="shared" ca="1" si="59"/>
        <v>#N/A</v>
      </c>
      <c r="V113" s="5">
        <f t="shared" ca="1" si="38"/>
        <v>-1</v>
      </c>
      <c r="W113" s="5" t="e">
        <f t="shared" ca="1" si="52"/>
        <v>#N/A</v>
      </c>
      <c r="X113" s="67">
        <f t="shared" ca="1" si="53"/>
        <v>-1</v>
      </c>
      <c r="Y113" s="67" t="e">
        <f t="shared" ca="1" si="60"/>
        <v>#N/A</v>
      </c>
      <c r="Z113" s="67" t="e">
        <f t="shared" ca="1" si="61"/>
        <v>#N/A</v>
      </c>
      <c r="AA113" s="5" t="str">
        <f>IF(Setup!$I$15="Yes",'Demand background (hide)'!AJ101+'SPC background (hide)'!C113,"")</f>
        <v/>
      </c>
      <c r="AC113" s="5">
        <f t="shared" ca="1" si="54"/>
        <v>551.5</v>
      </c>
      <c r="AD113" s="5">
        <f t="shared" ca="1" si="55"/>
        <v>664</v>
      </c>
    </row>
    <row r="114" spans="1:30" x14ac:dyDescent="0.2">
      <c r="A114" s="67">
        <f ca="1">Demand!C111</f>
        <v>7</v>
      </c>
      <c r="B114" s="67">
        <v>99</v>
      </c>
      <c r="C114" s="5">
        <f ca="1">'Demand background (hide)'!Y102</f>
        <v>410</v>
      </c>
      <c r="D114" s="67">
        <f t="shared" si="39"/>
        <v>1</v>
      </c>
      <c r="E114" s="67" t="e">
        <f t="shared" ca="1" si="40"/>
        <v>#N/A</v>
      </c>
      <c r="F114" s="67" t="e">
        <f t="shared" ca="1" si="41"/>
        <v>#N/A</v>
      </c>
      <c r="G114" s="67" t="e">
        <f t="shared" ca="1" si="42"/>
        <v>#N/A</v>
      </c>
      <c r="H114" s="67" t="e">
        <f>IF('Demand background (hide)'!AN102&lt;&gt;"",'SPC background (hide)'!C114,NA())</f>
        <v>#N/A</v>
      </c>
      <c r="I114" s="67">
        <f t="shared" ca="1" si="43"/>
        <v>1</v>
      </c>
      <c r="J114" s="5">
        <f t="shared" ca="1" si="44"/>
        <v>69.979541734860845</v>
      </c>
      <c r="K114" s="5">
        <f t="shared" ca="1" si="45"/>
        <v>211.65302782324056</v>
      </c>
      <c r="L114" s="5">
        <f t="shared" ca="1" si="46"/>
        <v>353.32651391162028</v>
      </c>
      <c r="M114" s="5">
        <f t="shared" ca="1" si="47"/>
        <v>495</v>
      </c>
      <c r="N114" s="5">
        <f t="shared" ca="1" si="48"/>
        <v>636.67348608837972</v>
      </c>
      <c r="O114" s="5">
        <f t="shared" ca="1" si="49"/>
        <v>778.34697217675944</v>
      </c>
      <c r="P114" s="5">
        <f t="shared" ca="1" si="50"/>
        <v>920.02045826513915</v>
      </c>
      <c r="Q114" s="5" t="e">
        <f t="shared" ca="1" si="51"/>
        <v>#N/A</v>
      </c>
      <c r="R114" s="5">
        <f t="shared" ca="1" si="56"/>
        <v>-1</v>
      </c>
      <c r="S114" s="67" t="e">
        <f t="shared" ca="1" si="57"/>
        <v>#N/A</v>
      </c>
      <c r="T114" s="67">
        <f t="shared" ca="1" si="58"/>
        <v>-1</v>
      </c>
      <c r="U114" s="67" t="e">
        <f t="shared" ca="1" si="59"/>
        <v>#N/A</v>
      </c>
      <c r="V114" s="5">
        <f t="shared" ca="1" si="38"/>
        <v>-1</v>
      </c>
      <c r="W114" s="5" t="e">
        <f t="shared" ca="1" si="52"/>
        <v>#N/A</v>
      </c>
      <c r="X114" s="67">
        <f t="shared" ca="1" si="53"/>
        <v>1</v>
      </c>
      <c r="Y114" s="67" t="e">
        <f t="shared" ca="1" si="60"/>
        <v>#N/A</v>
      </c>
      <c r="Z114" s="67" t="e">
        <f t="shared" ca="1" si="61"/>
        <v>#N/A</v>
      </c>
      <c r="AA114" s="5" t="str">
        <f>IF(Setup!$I$15="Yes",'Demand background (hide)'!AJ102+'SPC background (hide)'!C114,"")</f>
        <v/>
      </c>
      <c r="AC114" s="5">
        <f t="shared" ca="1" si="54"/>
        <v>551.5</v>
      </c>
      <c r="AD114" s="5">
        <f t="shared" ca="1" si="55"/>
        <v>664</v>
      </c>
    </row>
    <row r="115" spans="1:30" x14ac:dyDescent="0.2">
      <c r="A115" s="67">
        <f ca="1">Demand!C112</f>
        <v>8</v>
      </c>
      <c r="B115" s="67">
        <v>100</v>
      </c>
      <c r="C115" s="5">
        <f ca="1">'Demand background (hide)'!Y103</f>
        <v>450</v>
      </c>
      <c r="D115" s="67">
        <f t="shared" si="39"/>
        <v>1</v>
      </c>
      <c r="E115" s="67" t="e">
        <f t="shared" ca="1" si="40"/>
        <v>#N/A</v>
      </c>
      <c r="F115" s="67" t="e">
        <f t="shared" ca="1" si="41"/>
        <v>#N/A</v>
      </c>
      <c r="G115" s="67" t="e">
        <f t="shared" ca="1" si="42"/>
        <v>#N/A</v>
      </c>
      <c r="H115" s="67" t="e">
        <f>IF('Demand background (hide)'!AN103&lt;&gt;"",'SPC background (hide)'!C115,NA())</f>
        <v>#N/A</v>
      </c>
      <c r="I115" s="67">
        <f t="shared" ca="1" si="43"/>
        <v>1</v>
      </c>
      <c r="J115" s="5">
        <f t="shared" ca="1" si="44"/>
        <v>69.979541734860845</v>
      </c>
      <c r="K115" s="5">
        <f t="shared" ca="1" si="45"/>
        <v>211.65302782324056</v>
      </c>
      <c r="L115" s="5">
        <f t="shared" ca="1" si="46"/>
        <v>353.32651391162028</v>
      </c>
      <c r="M115" s="5">
        <f t="shared" ca="1" si="47"/>
        <v>495</v>
      </c>
      <c r="N115" s="5">
        <f t="shared" ca="1" si="48"/>
        <v>636.67348608837972</v>
      </c>
      <c r="O115" s="5">
        <f t="shared" ca="1" si="49"/>
        <v>778.34697217675944</v>
      </c>
      <c r="P115" s="5">
        <f t="shared" ca="1" si="50"/>
        <v>920.02045826513915</v>
      </c>
      <c r="Q115" s="5" t="e">
        <f t="shared" ca="1" si="51"/>
        <v>#N/A</v>
      </c>
      <c r="R115" s="5">
        <f t="shared" ca="1" si="56"/>
        <v>-1</v>
      </c>
      <c r="S115" s="67" t="e">
        <f t="shared" ca="1" si="57"/>
        <v>#N/A</v>
      </c>
      <c r="T115" s="67">
        <f t="shared" ca="1" si="58"/>
        <v>-1</v>
      </c>
      <c r="U115" s="67" t="e">
        <f t="shared" ca="1" si="59"/>
        <v>#N/A</v>
      </c>
      <c r="V115" s="5">
        <f t="shared" ca="1" si="38"/>
        <v>-1</v>
      </c>
      <c r="W115" s="5" t="e">
        <f t="shared" ca="1" si="52"/>
        <v>#N/A</v>
      </c>
      <c r="X115" s="67">
        <f t="shared" ca="1" si="53"/>
        <v>1</v>
      </c>
      <c r="Y115" s="67" t="e">
        <f t="shared" ca="1" si="60"/>
        <v>#N/A</v>
      </c>
      <c r="Z115" s="67" t="e">
        <f t="shared" ca="1" si="61"/>
        <v>#N/A</v>
      </c>
      <c r="AA115" s="5" t="str">
        <f>IF(Setup!$I$15="Yes",'Demand background (hide)'!AJ103+'SPC background (hide)'!C115,"")</f>
        <v/>
      </c>
      <c r="AC115" s="5">
        <f t="shared" ca="1" si="54"/>
        <v>551.5</v>
      </c>
      <c r="AD115" s="5">
        <f t="shared" ca="1" si="55"/>
        <v>664</v>
      </c>
    </row>
    <row r="116" spans="1:30" x14ac:dyDescent="0.2">
      <c r="A116" s="67">
        <f ca="1">Demand!C113</f>
        <v>9</v>
      </c>
      <c r="B116" s="67">
        <v>101</v>
      </c>
      <c r="C116" s="5">
        <f ca="1">'Demand background (hide)'!Y104</f>
        <v>270</v>
      </c>
      <c r="D116" s="67">
        <f t="shared" si="39"/>
        <v>1</v>
      </c>
      <c r="E116" s="67" t="e">
        <f t="shared" ca="1" si="40"/>
        <v>#N/A</v>
      </c>
      <c r="F116" s="67" t="e">
        <f t="shared" ca="1" si="41"/>
        <v>#N/A</v>
      </c>
      <c r="G116" s="67" t="e">
        <f t="shared" ca="1" si="42"/>
        <v>#N/A</v>
      </c>
      <c r="H116" s="67" t="e">
        <f>IF('Demand background (hide)'!AN104&lt;&gt;"",'SPC background (hide)'!C116,NA())</f>
        <v>#N/A</v>
      </c>
      <c r="I116" s="67">
        <f t="shared" ca="1" si="43"/>
        <v>1</v>
      </c>
      <c r="J116" s="5">
        <f t="shared" ca="1" si="44"/>
        <v>69.979541734860845</v>
      </c>
      <c r="K116" s="5">
        <f t="shared" ca="1" si="45"/>
        <v>211.65302782324056</v>
      </c>
      <c r="L116" s="5">
        <f t="shared" ca="1" si="46"/>
        <v>353.32651391162028</v>
      </c>
      <c r="M116" s="5">
        <f t="shared" ca="1" si="47"/>
        <v>495</v>
      </c>
      <c r="N116" s="5">
        <f t="shared" ca="1" si="48"/>
        <v>636.67348608837972</v>
      </c>
      <c r="O116" s="5">
        <f t="shared" ca="1" si="49"/>
        <v>778.34697217675944</v>
      </c>
      <c r="P116" s="5">
        <f t="shared" ca="1" si="50"/>
        <v>920.02045826513915</v>
      </c>
      <c r="Q116" s="5" t="e">
        <f t="shared" ca="1" si="51"/>
        <v>#N/A</v>
      </c>
      <c r="R116" s="5">
        <f t="shared" ca="1" si="56"/>
        <v>-1</v>
      </c>
      <c r="S116" s="67" t="e">
        <f t="shared" ca="1" si="57"/>
        <v>#N/A</v>
      </c>
      <c r="T116" s="67">
        <f t="shared" ca="1" si="58"/>
        <v>-2</v>
      </c>
      <c r="U116" s="67" t="e">
        <f t="shared" ca="1" si="59"/>
        <v>#N/A</v>
      </c>
      <c r="V116" s="5">
        <f t="shared" ca="1" si="38"/>
        <v>-1</v>
      </c>
      <c r="W116" s="5" t="e">
        <f t="shared" ca="1" si="52"/>
        <v>#N/A</v>
      </c>
      <c r="X116" s="67">
        <f t="shared" ca="1" si="53"/>
        <v>-1</v>
      </c>
      <c r="Y116" s="67" t="e">
        <f t="shared" ca="1" si="60"/>
        <v>#N/A</v>
      </c>
      <c r="Z116" s="67" t="e">
        <f t="shared" ca="1" si="61"/>
        <v>#N/A</v>
      </c>
      <c r="AA116" s="5" t="str">
        <f>IF(Setup!$I$15="Yes",'Demand background (hide)'!AJ104+'SPC background (hide)'!C116,"")</f>
        <v/>
      </c>
      <c r="AC116" s="5">
        <f t="shared" ca="1" si="54"/>
        <v>551.5</v>
      </c>
      <c r="AD116" s="5">
        <f t="shared" ca="1" si="55"/>
        <v>664</v>
      </c>
    </row>
    <row r="117" spans="1:30" x14ac:dyDescent="0.2">
      <c r="A117" s="67">
        <f ca="1">Demand!C114</f>
        <v>10</v>
      </c>
      <c r="B117" s="67">
        <v>102</v>
      </c>
      <c r="C117" s="5">
        <f ca="1">'Demand background (hide)'!Y105</f>
        <v>780</v>
      </c>
      <c r="D117" s="67">
        <f t="shared" si="39"/>
        <v>1</v>
      </c>
      <c r="E117" s="67" t="e">
        <f t="shared" ca="1" si="40"/>
        <v>#N/A</v>
      </c>
      <c r="F117" s="67" t="e">
        <f t="shared" ca="1" si="41"/>
        <v>#N/A</v>
      </c>
      <c r="G117" s="67" t="e">
        <f t="shared" ca="1" si="42"/>
        <v>#N/A</v>
      </c>
      <c r="H117" s="67" t="e">
        <f>IF('Demand background (hide)'!AN105&lt;&gt;"",'SPC background (hide)'!C117,NA())</f>
        <v>#N/A</v>
      </c>
      <c r="I117" s="67">
        <f t="shared" ca="1" si="43"/>
        <v>1</v>
      </c>
      <c r="J117" s="5">
        <f t="shared" ca="1" si="44"/>
        <v>69.979541734860845</v>
      </c>
      <c r="K117" s="5">
        <f t="shared" ca="1" si="45"/>
        <v>211.65302782324056</v>
      </c>
      <c r="L117" s="5">
        <f t="shared" ca="1" si="46"/>
        <v>353.32651391162028</v>
      </c>
      <c r="M117" s="5">
        <f t="shared" ca="1" si="47"/>
        <v>495</v>
      </c>
      <c r="N117" s="5">
        <f t="shared" ca="1" si="48"/>
        <v>636.67348608837972</v>
      </c>
      <c r="O117" s="5">
        <f t="shared" ca="1" si="49"/>
        <v>778.34697217675944</v>
      </c>
      <c r="P117" s="5">
        <f t="shared" ca="1" si="50"/>
        <v>920.02045826513915</v>
      </c>
      <c r="Q117" s="5" t="e">
        <f t="shared" ca="1" si="51"/>
        <v>#N/A</v>
      </c>
      <c r="R117" s="5">
        <f t="shared" ca="1" si="56"/>
        <v>2</v>
      </c>
      <c r="S117" s="67" t="e">
        <f t="shared" ca="1" si="57"/>
        <v>#N/A</v>
      </c>
      <c r="T117" s="67">
        <f t="shared" ca="1" si="58"/>
        <v>2</v>
      </c>
      <c r="U117" s="67" t="e">
        <f t="shared" ca="1" si="59"/>
        <v>#N/A</v>
      </c>
      <c r="V117" s="5">
        <f t="shared" ca="1" si="38"/>
        <v>1</v>
      </c>
      <c r="W117" s="5" t="e">
        <f t="shared" ca="1" si="52"/>
        <v>#N/A</v>
      </c>
      <c r="X117" s="67">
        <f t="shared" ca="1" si="53"/>
        <v>1</v>
      </c>
      <c r="Y117" s="67" t="e">
        <f t="shared" ca="1" si="60"/>
        <v>#N/A</v>
      </c>
      <c r="Z117" s="67" t="e">
        <f t="shared" ca="1" si="61"/>
        <v>#N/A</v>
      </c>
      <c r="AA117" s="5" t="str">
        <f>IF(Setup!$I$15="Yes",'Demand background (hide)'!AJ105+'SPC background (hide)'!C117,"")</f>
        <v/>
      </c>
      <c r="AC117" s="5">
        <f t="shared" ca="1" si="54"/>
        <v>551.5</v>
      </c>
      <c r="AD117" s="5">
        <f t="shared" ca="1" si="55"/>
        <v>664</v>
      </c>
    </row>
    <row r="118" spans="1:30" x14ac:dyDescent="0.2">
      <c r="A118" s="67">
        <f ca="1">Demand!C115</f>
        <v>11</v>
      </c>
      <c r="B118" s="67">
        <v>103</v>
      </c>
      <c r="C118" s="5">
        <f ca="1">'Demand background (hide)'!Y106</f>
        <v>740</v>
      </c>
      <c r="D118" s="67">
        <f t="shared" si="39"/>
        <v>1</v>
      </c>
      <c r="E118" s="67" t="e">
        <f t="shared" ca="1" si="40"/>
        <v>#N/A</v>
      </c>
      <c r="F118" s="67" t="e">
        <f t="shared" ca="1" si="41"/>
        <v>#N/A</v>
      </c>
      <c r="G118" s="67" t="e">
        <f t="shared" ca="1" si="42"/>
        <v>#N/A</v>
      </c>
      <c r="H118" s="67" t="e">
        <f>IF('Demand background (hide)'!AN106&lt;&gt;"",'SPC background (hide)'!C118,NA())</f>
        <v>#N/A</v>
      </c>
      <c r="I118" s="67">
        <f t="shared" ca="1" si="43"/>
        <v>1</v>
      </c>
      <c r="J118" s="5">
        <f t="shared" ca="1" si="44"/>
        <v>69.979541734860845</v>
      </c>
      <c r="K118" s="5">
        <f t="shared" ca="1" si="45"/>
        <v>211.65302782324056</v>
      </c>
      <c r="L118" s="5">
        <f t="shared" ca="1" si="46"/>
        <v>353.32651391162028</v>
      </c>
      <c r="M118" s="5">
        <f t="shared" ca="1" si="47"/>
        <v>495</v>
      </c>
      <c r="N118" s="5">
        <f t="shared" ca="1" si="48"/>
        <v>636.67348608837972</v>
      </c>
      <c r="O118" s="5">
        <f t="shared" ca="1" si="49"/>
        <v>778.34697217675944</v>
      </c>
      <c r="P118" s="5">
        <f t="shared" ca="1" si="50"/>
        <v>920.02045826513915</v>
      </c>
      <c r="Q118" s="5" t="e">
        <f t="shared" ca="1" si="51"/>
        <v>#N/A</v>
      </c>
      <c r="R118" s="5">
        <f t="shared" ca="1" si="56"/>
        <v>1</v>
      </c>
      <c r="S118" s="67" t="e">
        <f t="shared" ca="1" si="57"/>
        <v>#N/A</v>
      </c>
      <c r="T118" s="67">
        <f t="shared" ca="1" si="58"/>
        <v>2</v>
      </c>
      <c r="U118" s="67" t="e">
        <f t="shared" ca="1" si="59"/>
        <v>#N/A</v>
      </c>
      <c r="V118" s="5">
        <f t="shared" ca="1" si="38"/>
        <v>1</v>
      </c>
      <c r="W118" s="5" t="e">
        <f t="shared" ca="1" si="52"/>
        <v>#N/A</v>
      </c>
      <c r="X118" s="67">
        <f t="shared" ca="1" si="53"/>
        <v>-1</v>
      </c>
      <c r="Y118" s="67" t="e">
        <f t="shared" ca="1" si="60"/>
        <v>#N/A</v>
      </c>
      <c r="Z118" s="67" t="e">
        <f t="shared" ca="1" si="61"/>
        <v>#N/A</v>
      </c>
      <c r="AA118" s="5" t="str">
        <f>IF(Setup!$I$15="Yes",'Demand background (hide)'!AJ106+'SPC background (hide)'!C118,"")</f>
        <v/>
      </c>
      <c r="AC118" s="5">
        <f t="shared" ca="1" si="54"/>
        <v>551.5</v>
      </c>
      <c r="AD118" s="5">
        <f t="shared" ca="1" si="55"/>
        <v>664</v>
      </c>
    </row>
    <row r="119" spans="1:30" x14ac:dyDescent="0.2">
      <c r="A119" s="67">
        <f ca="1">Demand!C116</f>
        <v>12</v>
      </c>
      <c r="B119" s="67">
        <v>104</v>
      </c>
      <c r="C119" s="5">
        <f ca="1">'Demand background (hide)'!Y107</f>
        <v>510</v>
      </c>
      <c r="D119" s="67">
        <f t="shared" si="39"/>
        <v>1</v>
      </c>
      <c r="E119" s="67" t="e">
        <f t="shared" ca="1" si="40"/>
        <v>#N/A</v>
      </c>
      <c r="F119" s="67" t="e">
        <f t="shared" ca="1" si="41"/>
        <v>#N/A</v>
      </c>
      <c r="G119" s="67" t="e">
        <f t="shared" ca="1" si="42"/>
        <v>#N/A</v>
      </c>
      <c r="H119" s="67" t="e">
        <f>IF('Demand background (hide)'!AN107&lt;&gt;"",'SPC background (hide)'!C119,NA())</f>
        <v>#N/A</v>
      </c>
      <c r="I119" s="67">
        <f t="shared" ca="1" si="43"/>
        <v>1</v>
      </c>
      <c r="J119" s="5">
        <f t="shared" ca="1" si="44"/>
        <v>69.979541734860845</v>
      </c>
      <c r="K119" s="5">
        <f t="shared" ca="1" si="45"/>
        <v>211.65302782324056</v>
      </c>
      <c r="L119" s="5">
        <f t="shared" ca="1" si="46"/>
        <v>353.32651391162028</v>
      </c>
      <c r="M119" s="5">
        <f t="shared" ca="1" si="47"/>
        <v>495</v>
      </c>
      <c r="N119" s="5">
        <f t="shared" ca="1" si="48"/>
        <v>636.67348608837972</v>
      </c>
      <c r="O119" s="5">
        <f t="shared" ca="1" si="49"/>
        <v>778.34697217675944</v>
      </c>
      <c r="P119" s="5">
        <f t="shared" ca="1" si="50"/>
        <v>920.02045826513915</v>
      </c>
      <c r="Q119" s="5" t="e">
        <f t="shared" ca="1" si="51"/>
        <v>#N/A</v>
      </c>
      <c r="R119" s="5">
        <f t="shared" ca="1" si="56"/>
        <v>1</v>
      </c>
      <c r="S119" s="67" t="e">
        <f t="shared" ca="1" si="57"/>
        <v>#N/A</v>
      </c>
      <c r="T119" s="67">
        <f t="shared" ca="1" si="58"/>
        <v>1</v>
      </c>
      <c r="U119" s="67" t="e">
        <f t="shared" ca="1" si="59"/>
        <v>#N/A</v>
      </c>
      <c r="V119" s="5">
        <f t="shared" ca="1" si="38"/>
        <v>1</v>
      </c>
      <c r="W119" s="5" t="e">
        <f t="shared" ca="1" si="52"/>
        <v>#N/A</v>
      </c>
      <c r="X119" s="67">
        <f t="shared" ca="1" si="53"/>
        <v>-1</v>
      </c>
      <c r="Y119" s="67" t="e">
        <f t="shared" ca="1" si="60"/>
        <v>#N/A</v>
      </c>
      <c r="Z119" s="67" t="e">
        <f t="shared" ca="1" si="61"/>
        <v>#N/A</v>
      </c>
      <c r="AA119" s="5" t="str">
        <f>IF(Setup!$I$15="Yes",'Demand background (hide)'!AJ107+'SPC background (hide)'!C119,"")</f>
        <v/>
      </c>
      <c r="AC119" s="5">
        <f t="shared" ca="1" si="54"/>
        <v>551.5</v>
      </c>
      <c r="AD119" s="5">
        <f t="shared" ca="1" si="55"/>
        <v>664</v>
      </c>
    </row>
    <row r="120" spans="1:30" x14ac:dyDescent="0.2">
      <c r="A120" s="67">
        <f ca="1">Demand!C117</f>
        <v>13</v>
      </c>
      <c r="B120" s="67">
        <v>105</v>
      </c>
      <c r="C120" s="5">
        <f ca="1">'Demand background (hide)'!Y108</f>
        <v>390</v>
      </c>
      <c r="D120" s="67">
        <f t="shared" si="39"/>
        <v>1</v>
      </c>
      <c r="E120" s="67" t="e">
        <f t="shared" ca="1" si="40"/>
        <v>#N/A</v>
      </c>
      <c r="F120" s="67" t="e">
        <f t="shared" ca="1" si="41"/>
        <v>#N/A</v>
      </c>
      <c r="G120" s="67" t="e">
        <f t="shared" ca="1" si="42"/>
        <v>#N/A</v>
      </c>
      <c r="H120" s="67" t="e">
        <f>IF('Demand background (hide)'!AN108&lt;&gt;"",'SPC background (hide)'!C120,NA())</f>
        <v>#N/A</v>
      </c>
      <c r="I120" s="67">
        <f t="shared" ca="1" si="43"/>
        <v>1</v>
      </c>
      <c r="J120" s="5">
        <f t="shared" ca="1" si="44"/>
        <v>69.979541734860845</v>
      </c>
      <c r="K120" s="5">
        <f t="shared" ca="1" si="45"/>
        <v>211.65302782324056</v>
      </c>
      <c r="L120" s="5">
        <f t="shared" ca="1" si="46"/>
        <v>353.32651391162028</v>
      </c>
      <c r="M120" s="5">
        <f t="shared" ca="1" si="47"/>
        <v>495</v>
      </c>
      <c r="N120" s="5">
        <f t="shared" ca="1" si="48"/>
        <v>636.67348608837972</v>
      </c>
      <c r="O120" s="5">
        <f t="shared" ca="1" si="49"/>
        <v>778.34697217675944</v>
      </c>
      <c r="P120" s="5">
        <f t="shared" ca="1" si="50"/>
        <v>920.02045826513915</v>
      </c>
      <c r="Q120" s="5" t="e">
        <f t="shared" ca="1" si="51"/>
        <v>#N/A</v>
      </c>
      <c r="R120" s="5">
        <f t="shared" ca="1" si="56"/>
        <v>-1</v>
      </c>
      <c r="S120" s="67" t="e">
        <f t="shared" ca="1" si="57"/>
        <v>#N/A</v>
      </c>
      <c r="T120" s="67">
        <f t="shared" ca="1" si="58"/>
        <v>-1</v>
      </c>
      <c r="U120" s="67" t="e">
        <f t="shared" ca="1" si="59"/>
        <v>#N/A</v>
      </c>
      <c r="V120" s="5">
        <f t="shared" ca="1" si="38"/>
        <v>-1</v>
      </c>
      <c r="W120" s="5" t="e">
        <f t="shared" ca="1" si="52"/>
        <v>#N/A</v>
      </c>
      <c r="X120" s="67">
        <f t="shared" ca="1" si="53"/>
        <v>-1</v>
      </c>
      <c r="Y120" s="67" t="e">
        <f t="shared" ca="1" si="60"/>
        <v>#N/A</v>
      </c>
      <c r="Z120" s="67" t="e">
        <f t="shared" ca="1" si="61"/>
        <v>#N/A</v>
      </c>
      <c r="AA120" s="5" t="str">
        <f>IF(Setup!$I$15="Yes",'Demand background (hide)'!AJ108+'SPC background (hide)'!C120,"")</f>
        <v/>
      </c>
      <c r="AC120" s="5">
        <f t="shared" ca="1" si="54"/>
        <v>551.5</v>
      </c>
      <c r="AD120" s="5">
        <f t="shared" ca="1" si="55"/>
        <v>664</v>
      </c>
    </row>
    <row r="121" spans="1:30" x14ac:dyDescent="0.2">
      <c r="A121" s="67">
        <f ca="1">Demand!C118</f>
        <v>14</v>
      </c>
      <c r="B121" s="67">
        <v>106</v>
      </c>
      <c r="C121" s="5">
        <f ca="1">'Demand background (hide)'!Y109</f>
        <v>270</v>
      </c>
      <c r="D121" s="67">
        <f t="shared" si="39"/>
        <v>1</v>
      </c>
      <c r="E121" s="67" t="e">
        <f t="shared" ca="1" si="40"/>
        <v>#N/A</v>
      </c>
      <c r="F121" s="67" t="e">
        <f t="shared" ca="1" si="41"/>
        <v>#N/A</v>
      </c>
      <c r="G121" s="67" t="e">
        <f t="shared" ca="1" si="42"/>
        <v>#N/A</v>
      </c>
      <c r="H121" s="67" t="e">
        <f>IF('Demand background (hide)'!AN109&lt;&gt;"",'SPC background (hide)'!C121,NA())</f>
        <v>#N/A</v>
      </c>
      <c r="I121" s="67">
        <f t="shared" ca="1" si="43"/>
        <v>1</v>
      </c>
      <c r="J121" s="5">
        <f t="shared" ca="1" si="44"/>
        <v>69.979541734860845</v>
      </c>
      <c r="K121" s="5">
        <f t="shared" ca="1" si="45"/>
        <v>211.65302782324056</v>
      </c>
      <c r="L121" s="5">
        <f t="shared" ca="1" si="46"/>
        <v>353.32651391162028</v>
      </c>
      <c r="M121" s="5">
        <f t="shared" ca="1" si="47"/>
        <v>495</v>
      </c>
      <c r="N121" s="5">
        <f t="shared" ca="1" si="48"/>
        <v>636.67348608837972</v>
      </c>
      <c r="O121" s="5">
        <f t="shared" ca="1" si="49"/>
        <v>778.34697217675944</v>
      </c>
      <c r="P121" s="5">
        <f t="shared" ca="1" si="50"/>
        <v>920.02045826513915</v>
      </c>
      <c r="Q121" s="5" t="e">
        <f t="shared" ca="1" si="51"/>
        <v>#N/A</v>
      </c>
      <c r="R121" s="5">
        <f t="shared" ca="1" si="56"/>
        <v>-1</v>
      </c>
      <c r="S121" s="67" t="e">
        <f t="shared" ca="1" si="57"/>
        <v>#N/A</v>
      </c>
      <c r="T121" s="67">
        <f t="shared" ca="1" si="58"/>
        <v>-2</v>
      </c>
      <c r="U121" s="67" t="e">
        <f t="shared" ca="1" si="59"/>
        <v>#N/A</v>
      </c>
      <c r="V121" s="5">
        <f t="shared" ca="1" si="38"/>
        <v>-1</v>
      </c>
      <c r="W121" s="5" t="e">
        <f t="shared" ca="1" si="52"/>
        <v>#N/A</v>
      </c>
      <c r="X121" s="67">
        <f t="shared" ca="1" si="53"/>
        <v>-1</v>
      </c>
      <c r="Y121" s="67" t="e">
        <f t="shared" ca="1" si="60"/>
        <v>#N/A</v>
      </c>
      <c r="Z121" s="67" t="e">
        <f t="shared" ca="1" si="61"/>
        <v>#N/A</v>
      </c>
      <c r="AA121" s="5" t="str">
        <f>IF(Setup!$I$15="Yes",'Demand background (hide)'!AJ109+'SPC background (hide)'!C121,"")</f>
        <v/>
      </c>
      <c r="AC121" s="5">
        <f t="shared" ca="1" si="54"/>
        <v>551.5</v>
      </c>
      <c r="AD121" s="5">
        <f t="shared" ca="1" si="55"/>
        <v>664</v>
      </c>
    </row>
    <row r="122" spans="1:30" x14ac:dyDescent="0.2">
      <c r="A122" s="67">
        <f ca="1">Demand!C119</f>
        <v>15</v>
      </c>
      <c r="B122" s="67">
        <v>107</v>
      </c>
      <c r="C122" s="5">
        <f ca="1">'Demand background (hide)'!Y110</f>
        <v>570</v>
      </c>
      <c r="D122" s="67">
        <f t="shared" si="39"/>
        <v>1</v>
      </c>
      <c r="E122" s="67" t="e">
        <f t="shared" ca="1" si="40"/>
        <v>#N/A</v>
      </c>
      <c r="F122" s="67" t="e">
        <f t="shared" ca="1" si="41"/>
        <v>#N/A</v>
      </c>
      <c r="G122" s="67" t="e">
        <f t="shared" ca="1" si="42"/>
        <v>#N/A</v>
      </c>
      <c r="H122" s="67" t="e">
        <f>IF('Demand background (hide)'!AN110&lt;&gt;"",'SPC background (hide)'!C122,NA())</f>
        <v>#N/A</v>
      </c>
      <c r="I122" s="67">
        <f t="shared" ca="1" si="43"/>
        <v>1</v>
      </c>
      <c r="J122" s="5">
        <f t="shared" ca="1" si="44"/>
        <v>69.979541734860845</v>
      </c>
      <c r="K122" s="5">
        <f t="shared" ca="1" si="45"/>
        <v>211.65302782324056</v>
      </c>
      <c r="L122" s="5">
        <f t="shared" ca="1" si="46"/>
        <v>353.32651391162028</v>
      </c>
      <c r="M122" s="5">
        <f t="shared" ca="1" si="47"/>
        <v>495</v>
      </c>
      <c r="N122" s="5">
        <f t="shared" ca="1" si="48"/>
        <v>636.67348608837972</v>
      </c>
      <c r="O122" s="5">
        <f t="shared" ca="1" si="49"/>
        <v>778.34697217675944</v>
      </c>
      <c r="P122" s="5">
        <f t="shared" ca="1" si="50"/>
        <v>920.02045826513915</v>
      </c>
      <c r="Q122" s="5" t="e">
        <f t="shared" ca="1" si="51"/>
        <v>#N/A</v>
      </c>
      <c r="R122" s="5">
        <f t="shared" ca="1" si="56"/>
        <v>1</v>
      </c>
      <c r="S122" s="67" t="e">
        <f t="shared" ca="1" si="57"/>
        <v>#N/A</v>
      </c>
      <c r="T122" s="67">
        <f t="shared" ca="1" si="58"/>
        <v>1</v>
      </c>
      <c r="U122" s="67" t="e">
        <f t="shared" ca="1" si="59"/>
        <v>#N/A</v>
      </c>
      <c r="V122" s="5">
        <f t="shared" ca="1" si="38"/>
        <v>1</v>
      </c>
      <c r="W122" s="5" t="e">
        <f t="shared" ca="1" si="52"/>
        <v>#N/A</v>
      </c>
      <c r="X122" s="67">
        <f t="shared" ca="1" si="53"/>
        <v>1</v>
      </c>
      <c r="Y122" s="67" t="e">
        <f t="shared" ca="1" si="60"/>
        <v>#N/A</v>
      </c>
      <c r="Z122" s="67" t="e">
        <f t="shared" ca="1" si="61"/>
        <v>#N/A</v>
      </c>
      <c r="AA122" s="5" t="str">
        <f>IF(Setup!$I$15="Yes",'Demand background (hide)'!AJ110+'SPC background (hide)'!C122,"")</f>
        <v/>
      </c>
      <c r="AC122" s="5">
        <f t="shared" ca="1" si="54"/>
        <v>551.5</v>
      </c>
      <c r="AD122" s="5">
        <f t="shared" ca="1" si="55"/>
        <v>664</v>
      </c>
    </row>
    <row r="123" spans="1:30" x14ac:dyDescent="0.2">
      <c r="A123" s="67">
        <f ca="1">Demand!C120</f>
        <v>16</v>
      </c>
      <c r="B123" s="67">
        <v>108</v>
      </c>
      <c r="C123" s="5">
        <f ca="1">'Demand background (hide)'!Y111</f>
        <v>690</v>
      </c>
      <c r="D123" s="67">
        <f t="shared" si="39"/>
        <v>1</v>
      </c>
      <c r="E123" s="67" t="e">
        <f t="shared" ca="1" si="40"/>
        <v>#N/A</v>
      </c>
      <c r="F123" s="67" t="e">
        <f t="shared" ca="1" si="41"/>
        <v>#N/A</v>
      </c>
      <c r="G123" s="67" t="e">
        <f t="shared" ca="1" si="42"/>
        <v>#N/A</v>
      </c>
      <c r="H123" s="67" t="e">
        <f>IF('Demand background (hide)'!AN111&lt;&gt;"",'SPC background (hide)'!C123,NA())</f>
        <v>#N/A</v>
      </c>
      <c r="I123" s="67">
        <f t="shared" ca="1" si="43"/>
        <v>1</v>
      </c>
      <c r="J123" s="5">
        <f t="shared" ca="1" si="44"/>
        <v>69.979541734860845</v>
      </c>
      <c r="K123" s="5">
        <f t="shared" ca="1" si="45"/>
        <v>211.65302782324056</v>
      </c>
      <c r="L123" s="5">
        <f t="shared" ca="1" si="46"/>
        <v>353.32651391162028</v>
      </c>
      <c r="M123" s="5">
        <f t="shared" ca="1" si="47"/>
        <v>495</v>
      </c>
      <c r="N123" s="5">
        <f t="shared" ca="1" si="48"/>
        <v>636.67348608837972</v>
      </c>
      <c r="O123" s="5">
        <f t="shared" ca="1" si="49"/>
        <v>778.34697217675944</v>
      </c>
      <c r="P123" s="5">
        <f t="shared" ca="1" si="50"/>
        <v>920.02045826513915</v>
      </c>
      <c r="Q123" s="5" t="e">
        <f t="shared" ca="1" si="51"/>
        <v>#N/A</v>
      </c>
      <c r="R123" s="5">
        <f t="shared" ca="1" si="56"/>
        <v>1</v>
      </c>
      <c r="S123" s="67" t="e">
        <f t="shared" ca="1" si="57"/>
        <v>#N/A</v>
      </c>
      <c r="T123" s="67">
        <f t="shared" ca="1" si="58"/>
        <v>2</v>
      </c>
      <c r="U123" s="67" t="e">
        <f t="shared" ca="1" si="59"/>
        <v>#N/A</v>
      </c>
      <c r="V123" s="5">
        <f t="shared" ca="1" si="38"/>
        <v>1</v>
      </c>
      <c r="W123" s="5" t="e">
        <f t="shared" ca="1" si="52"/>
        <v>#N/A</v>
      </c>
      <c r="X123" s="67">
        <f t="shared" ca="1" si="53"/>
        <v>1</v>
      </c>
      <c r="Y123" s="67" t="e">
        <f t="shared" ca="1" si="60"/>
        <v>#N/A</v>
      </c>
      <c r="Z123" s="67" t="e">
        <f t="shared" ca="1" si="61"/>
        <v>#N/A</v>
      </c>
      <c r="AA123" s="5" t="str">
        <f>IF(Setup!$I$15="Yes",'Demand background (hide)'!AJ111+'SPC background (hide)'!C123,"")</f>
        <v/>
      </c>
      <c r="AC123" s="5">
        <f t="shared" ca="1" si="54"/>
        <v>551.5</v>
      </c>
      <c r="AD123" s="5">
        <f t="shared" ca="1" si="55"/>
        <v>664</v>
      </c>
    </row>
    <row r="124" spans="1:30" x14ac:dyDescent="0.2">
      <c r="A124" s="67">
        <f ca="1">Demand!C121</f>
        <v>17</v>
      </c>
      <c r="B124" s="67">
        <v>109</v>
      </c>
      <c r="C124" s="5">
        <f ca="1">'Demand background (hide)'!Y112</f>
        <v>410</v>
      </c>
      <c r="D124" s="67">
        <f t="shared" si="39"/>
        <v>1</v>
      </c>
      <c r="E124" s="67" t="e">
        <f t="shared" ca="1" si="40"/>
        <v>#N/A</v>
      </c>
      <c r="F124" s="67" t="e">
        <f t="shared" ca="1" si="41"/>
        <v>#N/A</v>
      </c>
      <c r="G124" s="67" t="e">
        <f t="shared" ca="1" si="42"/>
        <v>#N/A</v>
      </c>
      <c r="H124" s="67" t="e">
        <f>IF('Demand background (hide)'!AN112&lt;&gt;"",'SPC background (hide)'!C124,NA())</f>
        <v>#N/A</v>
      </c>
      <c r="I124" s="67">
        <f t="shared" ca="1" si="43"/>
        <v>1</v>
      </c>
      <c r="J124" s="5">
        <f t="shared" ca="1" si="44"/>
        <v>69.979541734860845</v>
      </c>
      <c r="K124" s="5">
        <f t="shared" ca="1" si="45"/>
        <v>211.65302782324056</v>
      </c>
      <c r="L124" s="5">
        <f t="shared" ca="1" si="46"/>
        <v>353.32651391162028</v>
      </c>
      <c r="M124" s="5">
        <f t="shared" ca="1" si="47"/>
        <v>495</v>
      </c>
      <c r="N124" s="5">
        <f t="shared" ca="1" si="48"/>
        <v>636.67348608837972</v>
      </c>
      <c r="O124" s="5">
        <f t="shared" ca="1" si="49"/>
        <v>778.34697217675944</v>
      </c>
      <c r="P124" s="5">
        <f t="shared" ca="1" si="50"/>
        <v>920.02045826513915</v>
      </c>
      <c r="Q124" s="5" t="e">
        <f t="shared" ca="1" si="51"/>
        <v>#N/A</v>
      </c>
      <c r="R124" s="5">
        <f t="shared" ca="1" si="56"/>
        <v>-1</v>
      </c>
      <c r="S124" s="67" t="e">
        <f t="shared" ca="1" si="57"/>
        <v>#N/A</v>
      </c>
      <c r="T124" s="67">
        <f t="shared" ca="1" si="58"/>
        <v>-1</v>
      </c>
      <c r="U124" s="67" t="e">
        <f t="shared" ca="1" si="59"/>
        <v>#N/A</v>
      </c>
      <c r="V124" s="5">
        <f t="shared" ca="1" si="38"/>
        <v>-1</v>
      </c>
      <c r="W124" s="5" t="e">
        <f t="shared" ca="1" si="52"/>
        <v>#N/A</v>
      </c>
      <c r="X124" s="67">
        <f t="shared" ca="1" si="53"/>
        <v>-1</v>
      </c>
      <c r="Y124" s="67" t="e">
        <f t="shared" ca="1" si="60"/>
        <v>#N/A</v>
      </c>
      <c r="Z124" s="67" t="e">
        <f t="shared" ca="1" si="61"/>
        <v>#N/A</v>
      </c>
      <c r="AA124" s="5" t="str">
        <f>IF(Setup!$I$15="Yes",'Demand background (hide)'!AJ112+'SPC background (hide)'!C124,"")</f>
        <v/>
      </c>
      <c r="AC124" s="5">
        <f t="shared" ca="1" si="54"/>
        <v>551.5</v>
      </c>
      <c r="AD124" s="5">
        <f t="shared" ca="1" si="55"/>
        <v>664</v>
      </c>
    </row>
    <row r="125" spans="1:30" x14ac:dyDescent="0.2">
      <c r="A125" s="67">
        <f ca="1">Demand!C122</f>
        <v>18</v>
      </c>
      <c r="B125" s="67">
        <v>110</v>
      </c>
      <c r="C125" s="5">
        <f ca="1">'Demand background (hide)'!Y113</f>
        <v>400</v>
      </c>
      <c r="D125" s="67">
        <f t="shared" si="39"/>
        <v>1</v>
      </c>
      <c r="E125" s="67" t="e">
        <f t="shared" ca="1" si="40"/>
        <v>#N/A</v>
      </c>
      <c r="F125" s="67" t="e">
        <f t="shared" ca="1" si="41"/>
        <v>#N/A</v>
      </c>
      <c r="G125" s="67" t="e">
        <f t="shared" ca="1" si="42"/>
        <v>#N/A</v>
      </c>
      <c r="H125" s="67" t="e">
        <f>IF('Demand background (hide)'!AN113&lt;&gt;"",'SPC background (hide)'!C125,NA())</f>
        <v>#N/A</v>
      </c>
      <c r="I125" s="67">
        <f t="shared" ca="1" si="43"/>
        <v>1</v>
      </c>
      <c r="J125" s="5">
        <f t="shared" ca="1" si="44"/>
        <v>69.979541734860845</v>
      </c>
      <c r="K125" s="5">
        <f t="shared" ca="1" si="45"/>
        <v>211.65302782324056</v>
      </c>
      <c r="L125" s="5">
        <f t="shared" ca="1" si="46"/>
        <v>353.32651391162028</v>
      </c>
      <c r="M125" s="5">
        <f t="shared" ca="1" si="47"/>
        <v>495</v>
      </c>
      <c r="N125" s="5">
        <f t="shared" ca="1" si="48"/>
        <v>636.67348608837972</v>
      </c>
      <c r="O125" s="5">
        <f t="shared" ca="1" si="49"/>
        <v>778.34697217675944</v>
      </c>
      <c r="P125" s="5">
        <f t="shared" ca="1" si="50"/>
        <v>920.02045826513915</v>
      </c>
      <c r="Q125" s="5" t="e">
        <f t="shared" ca="1" si="51"/>
        <v>#N/A</v>
      </c>
      <c r="R125" s="5">
        <f t="shared" ca="1" si="56"/>
        <v>-1</v>
      </c>
      <c r="S125" s="67" t="e">
        <f t="shared" ca="1" si="57"/>
        <v>#N/A</v>
      </c>
      <c r="T125" s="67">
        <f t="shared" ca="1" si="58"/>
        <v>-1</v>
      </c>
      <c r="U125" s="67" t="e">
        <f t="shared" ca="1" si="59"/>
        <v>#N/A</v>
      </c>
      <c r="V125" s="5">
        <f t="shared" ca="1" si="38"/>
        <v>-1</v>
      </c>
      <c r="W125" s="5" t="e">
        <f t="shared" ca="1" si="52"/>
        <v>#N/A</v>
      </c>
      <c r="X125" s="67">
        <f t="shared" ca="1" si="53"/>
        <v>-1</v>
      </c>
      <c r="Y125" s="67" t="e">
        <f t="shared" ca="1" si="60"/>
        <v>#N/A</v>
      </c>
      <c r="Z125" s="67" t="e">
        <f t="shared" ca="1" si="61"/>
        <v>#N/A</v>
      </c>
      <c r="AA125" s="5" t="str">
        <f>IF(Setup!$I$15="Yes",'Demand background (hide)'!AJ113+'SPC background (hide)'!C125,"")</f>
        <v/>
      </c>
      <c r="AC125" s="5">
        <f t="shared" ca="1" si="54"/>
        <v>551.5</v>
      </c>
      <c r="AD125" s="5">
        <f t="shared" ca="1" si="55"/>
        <v>664</v>
      </c>
    </row>
    <row r="126" spans="1:30" x14ac:dyDescent="0.2">
      <c r="A126" s="67">
        <f ca="1">Demand!C123</f>
        <v>19</v>
      </c>
      <c r="B126" s="67">
        <v>111</v>
      </c>
      <c r="C126" s="5">
        <f ca="1">'Demand background (hide)'!Y114</f>
        <v>650</v>
      </c>
      <c r="D126" s="67">
        <f t="shared" si="39"/>
        <v>1</v>
      </c>
      <c r="E126" s="67" t="e">
        <f t="shared" ca="1" si="40"/>
        <v>#N/A</v>
      </c>
      <c r="F126" s="67" t="e">
        <f t="shared" ca="1" si="41"/>
        <v>#N/A</v>
      </c>
      <c r="G126" s="67" t="e">
        <f t="shared" ca="1" si="42"/>
        <v>#N/A</v>
      </c>
      <c r="H126" s="67" t="e">
        <f>IF('Demand background (hide)'!AN114&lt;&gt;"",'SPC background (hide)'!C126,NA())</f>
        <v>#N/A</v>
      </c>
      <c r="I126" s="67">
        <f t="shared" ca="1" si="43"/>
        <v>1</v>
      </c>
      <c r="J126" s="5">
        <f t="shared" ca="1" si="44"/>
        <v>69.979541734860845</v>
      </c>
      <c r="K126" s="5">
        <f t="shared" ca="1" si="45"/>
        <v>211.65302782324056</v>
      </c>
      <c r="L126" s="5">
        <f t="shared" ca="1" si="46"/>
        <v>353.32651391162028</v>
      </c>
      <c r="M126" s="5">
        <f t="shared" ca="1" si="47"/>
        <v>495</v>
      </c>
      <c r="N126" s="5">
        <f t="shared" ca="1" si="48"/>
        <v>636.67348608837972</v>
      </c>
      <c r="O126" s="5">
        <f t="shared" ca="1" si="49"/>
        <v>778.34697217675944</v>
      </c>
      <c r="P126" s="5">
        <f t="shared" ca="1" si="50"/>
        <v>920.02045826513915</v>
      </c>
      <c r="Q126" s="5" t="e">
        <f t="shared" ca="1" si="51"/>
        <v>#N/A</v>
      </c>
      <c r="R126" s="5">
        <f t="shared" ca="1" si="56"/>
        <v>1</v>
      </c>
      <c r="S126" s="67" t="e">
        <f t="shared" ca="1" si="57"/>
        <v>#N/A</v>
      </c>
      <c r="T126" s="67">
        <f t="shared" ca="1" si="58"/>
        <v>2</v>
      </c>
      <c r="U126" s="67" t="e">
        <f t="shared" ca="1" si="59"/>
        <v>#N/A</v>
      </c>
      <c r="V126" s="5">
        <f t="shared" ca="1" si="38"/>
        <v>1</v>
      </c>
      <c r="W126" s="5" t="e">
        <f t="shared" ca="1" si="52"/>
        <v>#N/A</v>
      </c>
      <c r="X126" s="67">
        <f t="shared" ca="1" si="53"/>
        <v>1</v>
      </c>
      <c r="Y126" s="67" t="e">
        <f t="shared" ca="1" si="60"/>
        <v>#N/A</v>
      </c>
      <c r="Z126" s="67" t="e">
        <f t="shared" ca="1" si="61"/>
        <v>#N/A</v>
      </c>
      <c r="AA126" s="5" t="str">
        <f>IF(Setup!$I$15="Yes",'Demand background (hide)'!AJ114+'SPC background (hide)'!C126,"")</f>
        <v/>
      </c>
      <c r="AC126" s="5">
        <f t="shared" ca="1" si="54"/>
        <v>551.5</v>
      </c>
      <c r="AD126" s="5">
        <f t="shared" ca="1" si="55"/>
        <v>664</v>
      </c>
    </row>
    <row r="127" spans="1:30" x14ac:dyDescent="0.2">
      <c r="A127" s="67">
        <f ca="1">Demand!C124</f>
        <v>20</v>
      </c>
      <c r="B127" s="67">
        <v>112</v>
      </c>
      <c r="C127" s="5">
        <f ca="1">'Demand background (hide)'!Y115</f>
        <v>470</v>
      </c>
      <c r="D127" s="67">
        <f t="shared" si="39"/>
        <v>1</v>
      </c>
      <c r="E127" s="67" t="e">
        <f t="shared" ca="1" si="40"/>
        <v>#N/A</v>
      </c>
      <c r="F127" s="67" t="e">
        <f t="shared" ca="1" si="41"/>
        <v>#N/A</v>
      </c>
      <c r="G127" s="67" t="e">
        <f t="shared" ca="1" si="42"/>
        <v>#N/A</v>
      </c>
      <c r="H127" s="67" t="e">
        <f>IF('Demand background (hide)'!AN115&lt;&gt;"",'SPC background (hide)'!C127,NA())</f>
        <v>#N/A</v>
      </c>
      <c r="I127" s="67">
        <f t="shared" ca="1" si="43"/>
        <v>1</v>
      </c>
      <c r="J127" s="5">
        <f t="shared" ca="1" si="44"/>
        <v>69.979541734860845</v>
      </c>
      <c r="K127" s="5">
        <f t="shared" ca="1" si="45"/>
        <v>211.65302782324056</v>
      </c>
      <c r="L127" s="5">
        <f t="shared" ca="1" si="46"/>
        <v>353.32651391162028</v>
      </c>
      <c r="M127" s="5">
        <f t="shared" ca="1" si="47"/>
        <v>495</v>
      </c>
      <c r="N127" s="5">
        <f t="shared" ca="1" si="48"/>
        <v>636.67348608837972</v>
      </c>
      <c r="O127" s="5">
        <f t="shared" ca="1" si="49"/>
        <v>778.34697217675944</v>
      </c>
      <c r="P127" s="5">
        <f t="shared" ca="1" si="50"/>
        <v>920.02045826513915</v>
      </c>
      <c r="Q127" s="5" t="e">
        <f t="shared" ca="1" si="51"/>
        <v>#N/A</v>
      </c>
      <c r="R127" s="5">
        <f t="shared" ca="1" si="56"/>
        <v>-1</v>
      </c>
      <c r="S127" s="67" t="e">
        <f t="shared" ca="1" si="57"/>
        <v>#N/A</v>
      </c>
      <c r="T127" s="67">
        <f t="shared" ca="1" si="58"/>
        <v>-1</v>
      </c>
      <c r="U127" s="67" t="e">
        <f t="shared" ca="1" si="59"/>
        <v>#N/A</v>
      </c>
      <c r="V127" s="5">
        <f t="shared" ca="1" si="38"/>
        <v>-1</v>
      </c>
      <c r="W127" s="5" t="e">
        <f t="shared" ca="1" si="52"/>
        <v>#N/A</v>
      </c>
      <c r="X127" s="67">
        <f t="shared" ca="1" si="53"/>
        <v>-1</v>
      </c>
      <c r="Y127" s="67" t="e">
        <f t="shared" ca="1" si="60"/>
        <v>#N/A</v>
      </c>
      <c r="Z127" s="67" t="e">
        <f t="shared" ca="1" si="61"/>
        <v>#N/A</v>
      </c>
      <c r="AA127" s="5" t="str">
        <f>IF(Setup!$I$15="Yes",'Demand background (hide)'!AJ115+'SPC background (hide)'!C127,"")</f>
        <v/>
      </c>
      <c r="AC127" s="5">
        <f t="shared" ca="1" si="54"/>
        <v>551.5</v>
      </c>
      <c r="AD127" s="5">
        <f t="shared" ca="1" si="55"/>
        <v>664</v>
      </c>
    </row>
    <row r="128" spans="1:30" x14ac:dyDescent="0.2">
      <c r="A128" s="67">
        <f ca="1">Demand!C125</f>
        <v>21</v>
      </c>
      <c r="B128" s="67">
        <v>113</v>
      </c>
      <c r="C128" s="5">
        <f ca="1">'Demand background (hide)'!Y116</f>
        <v>410</v>
      </c>
      <c r="D128" s="67">
        <f t="shared" si="39"/>
        <v>1</v>
      </c>
      <c r="E128" s="67" t="e">
        <f t="shared" ca="1" si="40"/>
        <v>#N/A</v>
      </c>
      <c r="F128" s="67" t="e">
        <f t="shared" ca="1" si="41"/>
        <v>#N/A</v>
      </c>
      <c r="G128" s="67" t="e">
        <f t="shared" ca="1" si="42"/>
        <v>#N/A</v>
      </c>
      <c r="H128" s="67" t="e">
        <f>IF('Demand background (hide)'!AN116&lt;&gt;"",'SPC background (hide)'!C128,NA())</f>
        <v>#N/A</v>
      </c>
      <c r="I128" s="67">
        <f t="shared" ca="1" si="43"/>
        <v>1</v>
      </c>
      <c r="J128" s="5">
        <f t="shared" ca="1" si="44"/>
        <v>69.979541734860845</v>
      </c>
      <c r="K128" s="5">
        <f t="shared" ca="1" si="45"/>
        <v>211.65302782324056</v>
      </c>
      <c r="L128" s="5">
        <f t="shared" ca="1" si="46"/>
        <v>353.32651391162028</v>
      </c>
      <c r="M128" s="5">
        <f t="shared" ca="1" si="47"/>
        <v>495</v>
      </c>
      <c r="N128" s="5">
        <f t="shared" ca="1" si="48"/>
        <v>636.67348608837972</v>
      </c>
      <c r="O128" s="5">
        <f t="shared" ca="1" si="49"/>
        <v>778.34697217675944</v>
      </c>
      <c r="P128" s="5">
        <f t="shared" ca="1" si="50"/>
        <v>920.02045826513915</v>
      </c>
      <c r="Q128" s="5" t="e">
        <f t="shared" ca="1" si="51"/>
        <v>#N/A</v>
      </c>
      <c r="R128" s="5">
        <f t="shared" ca="1" si="56"/>
        <v>-1</v>
      </c>
      <c r="S128" s="67" t="e">
        <f t="shared" ca="1" si="57"/>
        <v>#N/A</v>
      </c>
      <c r="T128" s="67">
        <f t="shared" ca="1" si="58"/>
        <v>-1</v>
      </c>
      <c r="U128" s="67" t="e">
        <f t="shared" ca="1" si="59"/>
        <v>#N/A</v>
      </c>
      <c r="V128" s="5">
        <f t="shared" ca="1" si="38"/>
        <v>-1</v>
      </c>
      <c r="W128" s="5" t="e">
        <f t="shared" ca="1" si="52"/>
        <v>#N/A</v>
      </c>
      <c r="X128" s="67">
        <f t="shared" ca="1" si="53"/>
        <v>-1</v>
      </c>
      <c r="Y128" s="67" t="e">
        <f t="shared" ca="1" si="60"/>
        <v>#N/A</v>
      </c>
      <c r="Z128" s="67" t="e">
        <f t="shared" ca="1" si="61"/>
        <v>#N/A</v>
      </c>
      <c r="AA128" s="5" t="str">
        <f>IF(Setup!$I$15="Yes",'Demand background (hide)'!AJ116+'SPC background (hide)'!C128,"")</f>
        <v/>
      </c>
      <c r="AC128" s="5">
        <f t="shared" ca="1" si="54"/>
        <v>551.5</v>
      </c>
      <c r="AD128" s="5">
        <f t="shared" ca="1" si="55"/>
        <v>664</v>
      </c>
    </row>
    <row r="129" spans="1:30" x14ac:dyDescent="0.2">
      <c r="A129" s="67">
        <f ca="1">Demand!C126</f>
        <v>22</v>
      </c>
      <c r="B129" s="67">
        <v>114</v>
      </c>
      <c r="C129" s="5">
        <f ca="1">'Demand background (hide)'!Y117</f>
        <v>370</v>
      </c>
      <c r="D129" s="67">
        <f t="shared" si="39"/>
        <v>1</v>
      </c>
      <c r="E129" s="67" t="e">
        <f t="shared" ca="1" si="40"/>
        <v>#N/A</v>
      </c>
      <c r="F129" s="67" t="e">
        <f t="shared" ca="1" si="41"/>
        <v>#N/A</v>
      </c>
      <c r="G129" s="67" t="e">
        <f t="shared" ca="1" si="42"/>
        <v>#N/A</v>
      </c>
      <c r="H129" s="67" t="e">
        <f>IF('Demand background (hide)'!AN117&lt;&gt;"",'SPC background (hide)'!C129,NA())</f>
        <v>#N/A</v>
      </c>
      <c r="I129" s="67">
        <f t="shared" ca="1" si="43"/>
        <v>1</v>
      </c>
      <c r="J129" s="5">
        <f t="shared" ca="1" si="44"/>
        <v>69.979541734860845</v>
      </c>
      <c r="K129" s="5">
        <f t="shared" ca="1" si="45"/>
        <v>211.65302782324056</v>
      </c>
      <c r="L129" s="5">
        <f t="shared" ca="1" si="46"/>
        <v>353.32651391162028</v>
      </c>
      <c r="M129" s="5">
        <f t="shared" ca="1" si="47"/>
        <v>495</v>
      </c>
      <c r="N129" s="5">
        <f t="shared" ca="1" si="48"/>
        <v>636.67348608837972</v>
      </c>
      <c r="O129" s="5">
        <f t="shared" ca="1" si="49"/>
        <v>778.34697217675944</v>
      </c>
      <c r="P129" s="5">
        <f t="shared" ca="1" si="50"/>
        <v>920.02045826513915</v>
      </c>
      <c r="Q129" s="5" t="e">
        <f t="shared" ca="1" si="51"/>
        <v>#N/A</v>
      </c>
      <c r="R129" s="5">
        <f t="shared" ca="1" si="56"/>
        <v>-1</v>
      </c>
      <c r="S129" s="67" t="e">
        <f t="shared" ca="1" si="57"/>
        <v>#N/A</v>
      </c>
      <c r="T129" s="67">
        <f t="shared" ca="1" si="58"/>
        <v>-1</v>
      </c>
      <c r="U129" s="67" t="e">
        <f t="shared" ca="1" si="59"/>
        <v>#N/A</v>
      </c>
      <c r="V129" s="5">
        <f t="shared" ca="1" si="38"/>
        <v>-1</v>
      </c>
      <c r="W129" s="5" t="e">
        <f t="shared" ca="1" si="52"/>
        <v>#N/A</v>
      </c>
      <c r="X129" s="67">
        <f t="shared" ca="1" si="53"/>
        <v>-1</v>
      </c>
      <c r="Y129" s="67" t="e">
        <f t="shared" ca="1" si="60"/>
        <v>#N/A</v>
      </c>
      <c r="Z129" s="67" t="e">
        <f t="shared" ca="1" si="61"/>
        <v>#N/A</v>
      </c>
      <c r="AA129" s="5" t="str">
        <f>IF(Setup!$I$15="Yes",'Demand background (hide)'!AJ117+'SPC background (hide)'!C129,"")</f>
        <v/>
      </c>
      <c r="AC129" s="5">
        <f t="shared" ca="1" si="54"/>
        <v>551.5</v>
      </c>
      <c r="AD129" s="5">
        <f t="shared" ca="1" si="55"/>
        <v>664</v>
      </c>
    </row>
    <row r="130" spans="1:30" x14ac:dyDescent="0.2">
      <c r="A130" s="67">
        <f ca="1">Demand!C127</f>
        <v>23</v>
      </c>
      <c r="B130" s="67">
        <v>115</v>
      </c>
      <c r="C130" s="5">
        <f ca="1">'Demand background (hide)'!Y118</f>
        <v>430</v>
      </c>
      <c r="D130" s="67">
        <f t="shared" si="39"/>
        <v>1</v>
      </c>
      <c r="E130" s="67" t="e">
        <f t="shared" ca="1" si="40"/>
        <v>#N/A</v>
      </c>
      <c r="F130" s="67" t="e">
        <f t="shared" ca="1" si="41"/>
        <v>#N/A</v>
      </c>
      <c r="G130" s="67" t="e">
        <f t="shared" ca="1" si="42"/>
        <v>#N/A</v>
      </c>
      <c r="H130" s="67" t="e">
        <f>IF('Demand background (hide)'!AN118&lt;&gt;"",'SPC background (hide)'!C130,NA())</f>
        <v>#N/A</v>
      </c>
      <c r="I130" s="67">
        <f t="shared" ca="1" si="43"/>
        <v>1</v>
      </c>
      <c r="J130" s="5">
        <f t="shared" ca="1" si="44"/>
        <v>69.979541734860845</v>
      </c>
      <c r="K130" s="5">
        <f t="shared" ca="1" si="45"/>
        <v>211.65302782324056</v>
      </c>
      <c r="L130" s="5">
        <f t="shared" ca="1" si="46"/>
        <v>353.32651391162028</v>
      </c>
      <c r="M130" s="5">
        <f t="shared" ca="1" si="47"/>
        <v>495</v>
      </c>
      <c r="N130" s="5">
        <f t="shared" ca="1" si="48"/>
        <v>636.67348608837972</v>
      </c>
      <c r="O130" s="5">
        <f t="shared" ca="1" si="49"/>
        <v>778.34697217675944</v>
      </c>
      <c r="P130" s="5">
        <f t="shared" ca="1" si="50"/>
        <v>920.02045826513915</v>
      </c>
      <c r="Q130" s="5" t="e">
        <f t="shared" ca="1" si="51"/>
        <v>#N/A</v>
      </c>
      <c r="R130" s="5">
        <f t="shared" ca="1" si="56"/>
        <v>-1</v>
      </c>
      <c r="S130" s="67" t="e">
        <f t="shared" ca="1" si="57"/>
        <v>#N/A</v>
      </c>
      <c r="T130" s="67">
        <f t="shared" ca="1" si="58"/>
        <v>-1</v>
      </c>
      <c r="U130" s="67" t="e">
        <f t="shared" ca="1" si="59"/>
        <v>#N/A</v>
      </c>
      <c r="V130" s="5">
        <f t="shared" ca="1" si="38"/>
        <v>-1</v>
      </c>
      <c r="W130" s="5" t="e">
        <f t="shared" ca="1" si="52"/>
        <v>#N/A</v>
      </c>
      <c r="X130" s="67">
        <f t="shared" ca="1" si="53"/>
        <v>1</v>
      </c>
      <c r="Y130" s="67" t="e">
        <f t="shared" ca="1" si="60"/>
        <v>#N/A</v>
      </c>
      <c r="Z130" s="67" t="e">
        <f t="shared" ca="1" si="61"/>
        <v>#N/A</v>
      </c>
      <c r="AA130" s="5" t="str">
        <f>IF(Setup!$I$15="Yes",'Demand background (hide)'!AJ118+'SPC background (hide)'!C130,"")</f>
        <v/>
      </c>
      <c r="AC130" s="5">
        <f t="shared" ca="1" si="54"/>
        <v>551.5</v>
      </c>
      <c r="AD130" s="5">
        <f t="shared" ca="1" si="55"/>
        <v>664</v>
      </c>
    </row>
    <row r="131" spans="1:30" x14ac:dyDescent="0.2">
      <c r="A131" s="67">
        <f ca="1">Demand!C128</f>
        <v>24</v>
      </c>
      <c r="B131" s="67">
        <v>116</v>
      </c>
      <c r="C131" s="5">
        <f ca="1">'Demand background (hide)'!Y119</f>
        <v>630</v>
      </c>
      <c r="D131" s="67">
        <f t="shared" si="39"/>
        <v>1</v>
      </c>
      <c r="E131" s="67" t="e">
        <f t="shared" ca="1" si="40"/>
        <v>#N/A</v>
      </c>
      <c r="F131" s="67" t="e">
        <f t="shared" ca="1" si="41"/>
        <v>#N/A</v>
      </c>
      <c r="G131" s="67" t="e">
        <f t="shared" ca="1" si="42"/>
        <v>#N/A</v>
      </c>
      <c r="H131" s="67" t="e">
        <f>IF('Demand background (hide)'!AN119&lt;&gt;"",'SPC background (hide)'!C131,NA())</f>
        <v>#N/A</v>
      </c>
      <c r="I131" s="67">
        <f t="shared" ca="1" si="43"/>
        <v>1</v>
      </c>
      <c r="J131" s="5">
        <f t="shared" ca="1" si="44"/>
        <v>69.979541734860845</v>
      </c>
      <c r="K131" s="5">
        <f t="shared" ca="1" si="45"/>
        <v>211.65302782324056</v>
      </c>
      <c r="L131" s="5">
        <f t="shared" ca="1" si="46"/>
        <v>353.32651391162028</v>
      </c>
      <c r="M131" s="5">
        <f t="shared" ca="1" si="47"/>
        <v>495</v>
      </c>
      <c r="N131" s="5">
        <f t="shared" ca="1" si="48"/>
        <v>636.67348608837972</v>
      </c>
      <c r="O131" s="5">
        <f t="shared" ca="1" si="49"/>
        <v>778.34697217675944</v>
      </c>
      <c r="P131" s="5">
        <f t="shared" ca="1" si="50"/>
        <v>920.02045826513915</v>
      </c>
      <c r="Q131" s="5" t="e">
        <f t="shared" ca="1" si="51"/>
        <v>#N/A</v>
      </c>
      <c r="R131" s="5">
        <f t="shared" ca="1" si="56"/>
        <v>1</v>
      </c>
      <c r="S131" s="67" t="e">
        <f t="shared" ca="1" si="57"/>
        <v>#N/A</v>
      </c>
      <c r="T131" s="67">
        <f t="shared" ca="1" si="58"/>
        <v>1</v>
      </c>
      <c r="U131" s="67" t="e">
        <f t="shared" ca="1" si="59"/>
        <v>#N/A</v>
      </c>
      <c r="V131" s="5">
        <f t="shared" ca="1" si="38"/>
        <v>1</v>
      </c>
      <c r="W131" s="5" t="e">
        <f t="shared" ca="1" si="52"/>
        <v>#N/A</v>
      </c>
      <c r="X131" s="67">
        <f t="shared" ca="1" si="53"/>
        <v>1</v>
      </c>
      <c r="Y131" s="67" t="e">
        <f t="shared" ca="1" si="60"/>
        <v>#N/A</v>
      </c>
      <c r="Z131" s="67" t="e">
        <f t="shared" ca="1" si="61"/>
        <v>#N/A</v>
      </c>
      <c r="AA131" s="5" t="str">
        <f>IF(Setup!$I$15="Yes",'Demand background (hide)'!AJ119+'SPC background (hide)'!C131,"")</f>
        <v/>
      </c>
      <c r="AC131" s="5">
        <f t="shared" ca="1" si="54"/>
        <v>551.5</v>
      </c>
      <c r="AD131" s="5">
        <f t="shared" ca="1" si="55"/>
        <v>664</v>
      </c>
    </row>
    <row r="132" spans="1:30" x14ac:dyDescent="0.2">
      <c r="A132" s="67">
        <f ca="1">Demand!C129</f>
        <v>25</v>
      </c>
      <c r="B132" s="67">
        <v>117</v>
      </c>
      <c r="C132" s="5">
        <f ca="1">'Demand background (hide)'!Y120</f>
        <v>540</v>
      </c>
      <c r="D132" s="67">
        <f t="shared" si="39"/>
        <v>1</v>
      </c>
      <c r="E132" s="67" t="e">
        <f t="shared" ca="1" si="40"/>
        <v>#N/A</v>
      </c>
      <c r="F132" s="67" t="e">
        <f t="shared" ca="1" si="41"/>
        <v>#N/A</v>
      </c>
      <c r="G132" s="67" t="e">
        <f t="shared" ca="1" si="42"/>
        <v>#N/A</v>
      </c>
      <c r="H132" s="67" t="e">
        <f>IF('Demand background (hide)'!AN120&lt;&gt;"",'SPC background (hide)'!C132,NA())</f>
        <v>#N/A</v>
      </c>
      <c r="I132" s="67">
        <f t="shared" ca="1" si="43"/>
        <v>1</v>
      </c>
      <c r="J132" s="5">
        <f t="shared" ca="1" si="44"/>
        <v>69.979541734860845</v>
      </c>
      <c r="K132" s="5">
        <f t="shared" ca="1" si="45"/>
        <v>211.65302782324056</v>
      </c>
      <c r="L132" s="5">
        <f t="shared" ca="1" si="46"/>
        <v>353.32651391162028</v>
      </c>
      <c r="M132" s="5">
        <f t="shared" ca="1" si="47"/>
        <v>495</v>
      </c>
      <c r="N132" s="5">
        <f t="shared" ca="1" si="48"/>
        <v>636.67348608837972</v>
      </c>
      <c r="O132" s="5">
        <f t="shared" ca="1" si="49"/>
        <v>778.34697217675944</v>
      </c>
      <c r="P132" s="5">
        <f t="shared" ca="1" si="50"/>
        <v>920.02045826513915</v>
      </c>
      <c r="Q132" s="5" t="e">
        <f t="shared" ca="1" si="51"/>
        <v>#N/A</v>
      </c>
      <c r="R132" s="5">
        <f t="shared" ca="1" si="56"/>
        <v>1</v>
      </c>
      <c r="S132" s="67" t="e">
        <f t="shared" ca="1" si="57"/>
        <v>#N/A</v>
      </c>
      <c r="T132" s="67">
        <f t="shared" ca="1" si="58"/>
        <v>1</v>
      </c>
      <c r="U132" s="67" t="e">
        <f t="shared" ca="1" si="59"/>
        <v>#N/A</v>
      </c>
      <c r="V132" s="5">
        <f t="shared" ca="1" si="38"/>
        <v>1</v>
      </c>
      <c r="W132" s="5" t="e">
        <f t="shared" ca="1" si="52"/>
        <v>#N/A</v>
      </c>
      <c r="X132" s="67">
        <f t="shared" ca="1" si="53"/>
        <v>-1</v>
      </c>
      <c r="Y132" s="67" t="e">
        <f t="shared" ca="1" si="60"/>
        <v>#N/A</v>
      </c>
      <c r="Z132" s="67" t="e">
        <f t="shared" ca="1" si="61"/>
        <v>#N/A</v>
      </c>
      <c r="AA132" s="5" t="str">
        <f>IF(Setup!$I$15="Yes",'Demand background (hide)'!AJ120+'SPC background (hide)'!C132,"")</f>
        <v/>
      </c>
      <c r="AC132" s="5">
        <f t="shared" ca="1" si="54"/>
        <v>551.5</v>
      </c>
      <c r="AD132" s="5">
        <f t="shared" ca="1" si="55"/>
        <v>664</v>
      </c>
    </row>
    <row r="133" spans="1:30" x14ac:dyDescent="0.2">
      <c r="A133" s="67">
        <f ca="1">Demand!C130</f>
        <v>26</v>
      </c>
      <c r="B133" s="67">
        <v>118</v>
      </c>
      <c r="C133" s="5">
        <f ca="1">'Demand background (hide)'!Y121</f>
        <v>410</v>
      </c>
      <c r="D133" s="67">
        <f t="shared" si="39"/>
        <v>1</v>
      </c>
      <c r="E133" s="67" t="e">
        <f t="shared" ca="1" si="40"/>
        <v>#N/A</v>
      </c>
      <c r="F133" s="67" t="e">
        <f t="shared" ca="1" si="41"/>
        <v>#N/A</v>
      </c>
      <c r="G133" s="67" t="e">
        <f t="shared" ca="1" si="42"/>
        <v>#N/A</v>
      </c>
      <c r="H133" s="67" t="e">
        <f>IF('Demand background (hide)'!AN121&lt;&gt;"",'SPC background (hide)'!C133,NA())</f>
        <v>#N/A</v>
      </c>
      <c r="I133" s="67">
        <f t="shared" ca="1" si="43"/>
        <v>1</v>
      </c>
      <c r="J133" s="5">
        <f t="shared" ca="1" si="44"/>
        <v>69.979541734860845</v>
      </c>
      <c r="K133" s="5">
        <f t="shared" ca="1" si="45"/>
        <v>211.65302782324056</v>
      </c>
      <c r="L133" s="5">
        <f t="shared" ca="1" si="46"/>
        <v>353.32651391162028</v>
      </c>
      <c r="M133" s="5">
        <f t="shared" ca="1" si="47"/>
        <v>495</v>
      </c>
      <c r="N133" s="5">
        <f t="shared" ca="1" si="48"/>
        <v>636.67348608837972</v>
      </c>
      <c r="O133" s="5">
        <f t="shared" ca="1" si="49"/>
        <v>778.34697217675944</v>
      </c>
      <c r="P133" s="5">
        <f t="shared" ca="1" si="50"/>
        <v>920.02045826513915</v>
      </c>
      <c r="Q133" s="5" t="e">
        <f t="shared" ca="1" si="51"/>
        <v>#N/A</v>
      </c>
      <c r="R133" s="5">
        <f t="shared" ca="1" si="56"/>
        <v>-1</v>
      </c>
      <c r="S133" s="67" t="e">
        <f t="shared" ca="1" si="57"/>
        <v>#N/A</v>
      </c>
      <c r="T133" s="67">
        <f t="shared" ca="1" si="58"/>
        <v>-1</v>
      </c>
      <c r="U133" s="67" t="e">
        <f t="shared" ca="1" si="59"/>
        <v>#N/A</v>
      </c>
      <c r="V133" s="5">
        <f t="shared" ca="1" si="38"/>
        <v>-1</v>
      </c>
      <c r="W133" s="5" t="e">
        <f t="shared" ca="1" si="52"/>
        <v>#N/A</v>
      </c>
      <c r="X133" s="67">
        <f t="shared" ca="1" si="53"/>
        <v>-1</v>
      </c>
      <c r="Y133" s="67" t="e">
        <f t="shared" ca="1" si="60"/>
        <v>#N/A</v>
      </c>
      <c r="Z133" s="67" t="e">
        <f t="shared" ca="1" si="61"/>
        <v>#N/A</v>
      </c>
      <c r="AA133" s="5" t="str">
        <f>IF(Setup!$I$15="Yes",'Demand background (hide)'!AJ121+'SPC background (hide)'!C133,"")</f>
        <v/>
      </c>
      <c r="AC133" s="5">
        <f t="shared" ca="1" si="54"/>
        <v>551.5</v>
      </c>
      <c r="AD133" s="5">
        <f t="shared" ca="1" si="55"/>
        <v>664</v>
      </c>
    </row>
    <row r="134" spans="1:30" x14ac:dyDescent="0.2">
      <c r="A134" s="67">
        <f ca="1">Demand!C131</f>
        <v>27</v>
      </c>
      <c r="B134" s="67">
        <v>119</v>
      </c>
      <c r="C134" s="5">
        <f ca="1">'Demand background (hide)'!Y122</f>
        <v>460</v>
      </c>
      <c r="D134" s="67">
        <f t="shared" si="39"/>
        <v>1</v>
      </c>
      <c r="E134" s="67" t="e">
        <f t="shared" ca="1" si="40"/>
        <v>#N/A</v>
      </c>
      <c r="F134" s="67" t="e">
        <f t="shared" ca="1" si="41"/>
        <v>#N/A</v>
      </c>
      <c r="G134" s="67" t="e">
        <f t="shared" ca="1" si="42"/>
        <v>#N/A</v>
      </c>
      <c r="H134" s="67" t="e">
        <f>IF('Demand background (hide)'!AN122&lt;&gt;"",'SPC background (hide)'!C134,NA())</f>
        <v>#N/A</v>
      </c>
      <c r="I134" s="67">
        <f t="shared" ca="1" si="43"/>
        <v>1</v>
      </c>
      <c r="J134" s="5">
        <f t="shared" ca="1" si="44"/>
        <v>69.979541734860845</v>
      </c>
      <c r="K134" s="5">
        <f t="shared" ca="1" si="45"/>
        <v>211.65302782324056</v>
      </c>
      <c r="L134" s="5">
        <f t="shared" ca="1" si="46"/>
        <v>353.32651391162028</v>
      </c>
      <c r="M134" s="5">
        <f t="shared" ca="1" si="47"/>
        <v>495</v>
      </c>
      <c r="N134" s="5">
        <f t="shared" ca="1" si="48"/>
        <v>636.67348608837972</v>
      </c>
      <c r="O134" s="5">
        <f t="shared" ca="1" si="49"/>
        <v>778.34697217675944</v>
      </c>
      <c r="P134" s="5">
        <f t="shared" ca="1" si="50"/>
        <v>920.02045826513915</v>
      </c>
      <c r="Q134" s="5" t="e">
        <f t="shared" ca="1" si="51"/>
        <v>#N/A</v>
      </c>
      <c r="R134" s="5">
        <f t="shared" ca="1" si="56"/>
        <v>-1</v>
      </c>
      <c r="S134" s="67" t="e">
        <f t="shared" ca="1" si="57"/>
        <v>#N/A</v>
      </c>
      <c r="T134" s="67">
        <f t="shared" ca="1" si="58"/>
        <v>-1</v>
      </c>
      <c r="U134" s="67" t="e">
        <f t="shared" ca="1" si="59"/>
        <v>#N/A</v>
      </c>
      <c r="V134" s="5">
        <f t="shared" ca="1" si="38"/>
        <v>-1</v>
      </c>
      <c r="W134" s="5" t="e">
        <f t="shared" ca="1" si="52"/>
        <v>#N/A</v>
      </c>
      <c r="X134" s="67">
        <f t="shared" ca="1" si="53"/>
        <v>1</v>
      </c>
      <c r="Y134" s="67" t="e">
        <f t="shared" ca="1" si="60"/>
        <v>#N/A</v>
      </c>
      <c r="Z134" s="67" t="e">
        <f t="shared" ca="1" si="61"/>
        <v>#N/A</v>
      </c>
      <c r="AA134" s="5" t="str">
        <f>IF(Setup!$I$15="Yes",'Demand background (hide)'!AJ122+'SPC background (hide)'!C134,"")</f>
        <v/>
      </c>
      <c r="AC134" s="5">
        <f t="shared" ca="1" si="54"/>
        <v>551.5</v>
      </c>
      <c r="AD134" s="5">
        <f t="shared" ca="1" si="55"/>
        <v>664</v>
      </c>
    </row>
    <row r="135" spans="1:30" x14ac:dyDescent="0.2">
      <c r="A135" s="67">
        <f ca="1">Demand!C132</f>
        <v>28</v>
      </c>
      <c r="B135" s="67">
        <v>120</v>
      </c>
      <c r="C135" s="5">
        <f ca="1">'Demand background (hide)'!Y123</f>
        <v>620</v>
      </c>
      <c r="D135" s="67">
        <f t="shared" si="39"/>
        <v>1</v>
      </c>
      <c r="E135" s="67" t="e">
        <f t="shared" ca="1" si="40"/>
        <v>#N/A</v>
      </c>
      <c r="F135" s="67" t="e">
        <f t="shared" ca="1" si="41"/>
        <v>#N/A</v>
      </c>
      <c r="G135" s="67" t="e">
        <f t="shared" ca="1" si="42"/>
        <v>#N/A</v>
      </c>
      <c r="H135" s="67" t="e">
        <f>IF('Demand background (hide)'!AN123&lt;&gt;"",'SPC background (hide)'!C135,NA())</f>
        <v>#N/A</v>
      </c>
      <c r="I135" s="67">
        <f t="shared" ca="1" si="43"/>
        <v>1</v>
      </c>
      <c r="J135" s="5">
        <f t="shared" ca="1" si="44"/>
        <v>69.979541734860845</v>
      </c>
      <c r="K135" s="5">
        <f t="shared" ca="1" si="45"/>
        <v>211.65302782324056</v>
      </c>
      <c r="L135" s="5">
        <f t="shared" ca="1" si="46"/>
        <v>353.32651391162028</v>
      </c>
      <c r="M135" s="5">
        <f t="shared" ca="1" si="47"/>
        <v>495</v>
      </c>
      <c r="N135" s="5">
        <f t="shared" ca="1" si="48"/>
        <v>636.67348608837972</v>
      </c>
      <c r="O135" s="5">
        <f t="shared" ca="1" si="49"/>
        <v>778.34697217675944</v>
      </c>
      <c r="P135" s="5">
        <f t="shared" ca="1" si="50"/>
        <v>920.02045826513915</v>
      </c>
      <c r="Q135" s="5" t="e">
        <f t="shared" ca="1" si="51"/>
        <v>#N/A</v>
      </c>
      <c r="R135" s="5">
        <f t="shared" ca="1" si="56"/>
        <v>1</v>
      </c>
      <c r="S135" s="67" t="e">
        <f t="shared" ca="1" si="57"/>
        <v>#N/A</v>
      </c>
      <c r="T135" s="67">
        <f t="shared" ca="1" si="58"/>
        <v>1</v>
      </c>
      <c r="U135" s="67" t="e">
        <f t="shared" ca="1" si="59"/>
        <v>#N/A</v>
      </c>
      <c r="V135" s="5">
        <f t="shared" ca="1" si="38"/>
        <v>1</v>
      </c>
      <c r="W135" s="5" t="e">
        <f t="shared" ca="1" si="52"/>
        <v>#N/A</v>
      </c>
      <c r="X135" s="67">
        <f t="shared" ca="1" si="53"/>
        <v>1</v>
      </c>
      <c r="Y135" s="67" t="e">
        <f t="shared" ca="1" si="60"/>
        <v>#N/A</v>
      </c>
      <c r="Z135" s="67" t="e">
        <f t="shared" ca="1" si="61"/>
        <v>#N/A</v>
      </c>
      <c r="AA135" s="5" t="str">
        <f>IF(Setup!$I$15="Yes",'Demand background (hide)'!AJ123+'SPC background (hide)'!C135,"")</f>
        <v/>
      </c>
      <c r="AC135" s="5">
        <f t="shared" ca="1" si="54"/>
        <v>551.5</v>
      </c>
      <c r="AD135" s="5">
        <f t="shared" ca="1" si="55"/>
        <v>664</v>
      </c>
    </row>
    <row r="136" spans="1:30" x14ac:dyDescent="0.2">
      <c r="A136" s="67">
        <f ca="1">Demand!C133</f>
        <v>29</v>
      </c>
      <c r="B136" s="67">
        <v>121</v>
      </c>
      <c r="C136" s="5">
        <f ca="1">'Demand background (hide)'!Y124</f>
        <v>410</v>
      </c>
      <c r="D136" s="67">
        <f t="shared" si="39"/>
        <v>1</v>
      </c>
      <c r="E136" s="67" t="e">
        <f t="shared" ca="1" si="40"/>
        <v>#N/A</v>
      </c>
      <c r="F136" s="67" t="e">
        <f t="shared" ca="1" si="41"/>
        <v>#N/A</v>
      </c>
      <c r="G136" s="67" t="e">
        <f t="shared" ca="1" si="42"/>
        <v>#N/A</v>
      </c>
      <c r="H136" s="67" t="e">
        <f>IF('Demand background (hide)'!AN124&lt;&gt;"",'SPC background (hide)'!C136,NA())</f>
        <v>#N/A</v>
      </c>
      <c r="I136" s="67">
        <f t="shared" ca="1" si="43"/>
        <v>1</v>
      </c>
      <c r="J136" s="5">
        <f t="shared" ca="1" si="44"/>
        <v>69.979541734860845</v>
      </c>
      <c r="K136" s="5">
        <f t="shared" ca="1" si="45"/>
        <v>211.65302782324056</v>
      </c>
      <c r="L136" s="5">
        <f t="shared" ca="1" si="46"/>
        <v>353.32651391162028</v>
      </c>
      <c r="M136" s="5">
        <f t="shared" ca="1" si="47"/>
        <v>495</v>
      </c>
      <c r="N136" s="5">
        <f t="shared" ca="1" si="48"/>
        <v>636.67348608837972</v>
      </c>
      <c r="O136" s="5">
        <f t="shared" ca="1" si="49"/>
        <v>778.34697217675944</v>
      </c>
      <c r="P136" s="5">
        <f t="shared" ca="1" si="50"/>
        <v>920.02045826513915</v>
      </c>
      <c r="Q136" s="5" t="e">
        <f t="shared" ca="1" si="51"/>
        <v>#N/A</v>
      </c>
      <c r="R136" s="5">
        <f t="shared" ca="1" si="56"/>
        <v>-1</v>
      </c>
      <c r="S136" s="67" t="e">
        <f t="shared" ca="1" si="57"/>
        <v>#N/A</v>
      </c>
      <c r="T136" s="67">
        <f t="shared" ca="1" si="58"/>
        <v>-1</v>
      </c>
      <c r="U136" s="67" t="e">
        <f t="shared" ca="1" si="59"/>
        <v>#N/A</v>
      </c>
      <c r="V136" s="5">
        <f t="shared" ca="1" si="38"/>
        <v>-1</v>
      </c>
      <c r="W136" s="5" t="e">
        <f t="shared" ca="1" si="52"/>
        <v>#N/A</v>
      </c>
      <c r="X136" s="67">
        <f t="shared" ca="1" si="53"/>
        <v>-1</v>
      </c>
      <c r="Y136" s="67" t="e">
        <f t="shared" ca="1" si="60"/>
        <v>#N/A</v>
      </c>
      <c r="Z136" s="67" t="e">
        <f t="shared" ca="1" si="61"/>
        <v>#N/A</v>
      </c>
      <c r="AA136" s="5" t="str">
        <f>IF(Setup!$I$15="Yes",'Demand background (hide)'!AJ124+'SPC background (hide)'!C136,"")</f>
        <v/>
      </c>
      <c r="AC136" s="5">
        <f t="shared" ca="1" si="54"/>
        <v>551.5</v>
      </c>
      <c r="AD136" s="5">
        <f t="shared" ca="1" si="55"/>
        <v>664</v>
      </c>
    </row>
    <row r="137" spans="1:30" x14ac:dyDescent="0.2">
      <c r="A137" s="67">
        <f ca="1">Demand!C134</f>
        <v>30</v>
      </c>
      <c r="B137" s="67">
        <v>122</v>
      </c>
      <c r="C137" s="5">
        <f ca="1">'Demand background (hide)'!Y125</f>
        <v>420</v>
      </c>
      <c r="D137" s="67">
        <f t="shared" si="39"/>
        <v>1</v>
      </c>
      <c r="E137" s="67" t="e">
        <f t="shared" ca="1" si="40"/>
        <v>#N/A</v>
      </c>
      <c r="F137" s="67" t="e">
        <f t="shared" ca="1" si="41"/>
        <v>#N/A</v>
      </c>
      <c r="G137" s="67" t="e">
        <f t="shared" ca="1" si="42"/>
        <v>#N/A</v>
      </c>
      <c r="H137" s="67" t="e">
        <f>IF('Demand background (hide)'!AN125&lt;&gt;"",'SPC background (hide)'!C137,NA())</f>
        <v>#N/A</v>
      </c>
      <c r="I137" s="67">
        <f t="shared" ca="1" si="43"/>
        <v>1</v>
      </c>
      <c r="J137" s="5">
        <f t="shared" ca="1" si="44"/>
        <v>69.979541734860845</v>
      </c>
      <c r="K137" s="5">
        <f t="shared" ca="1" si="45"/>
        <v>211.65302782324056</v>
      </c>
      <c r="L137" s="5">
        <f t="shared" ca="1" si="46"/>
        <v>353.32651391162028</v>
      </c>
      <c r="M137" s="5">
        <f t="shared" ca="1" si="47"/>
        <v>495</v>
      </c>
      <c r="N137" s="5">
        <f t="shared" ca="1" si="48"/>
        <v>636.67348608837972</v>
      </c>
      <c r="O137" s="5">
        <f t="shared" ca="1" si="49"/>
        <v>778.34697217675944</v>
      </c>
      <c r="P137" s="5">
        <f t="shared" ca="1" si="50"/>
        <v>920.02045826513915</v>
      </c>
      <c r="Q137" s="5" t="e">
        <f t="shared" ca="1" si="51"/>
        <v>#N/A</v>
      </c>
      <c r="R137" s="5">
        <f t="shared" ca="1" si="56"/>
        <v>-1</v>
      </c>
      <c r="S137" s="67" t="e">
        <f t="shared" ca="1" si="57"/>
        <v>#N/A</v>
      </c>
      <c r="T137" s="67">
        <f t="shared" ca="1" si="58"/>
        <v>-1</v>
      </c>
      <c r="U137" s="67" t="e">
        <f t="shared" ca="1" si="59"/>
        <v>#N/A</v>
      </c>
      <c r="V137" s="5">
        <f t="shared" ca="1" si="38"/>
        <v>-1</v>
      </c>
      <c r="W137" s="5" t="e">
        <f t="shared" ca="1" si="52"/>
        <v>#N/A</v>
      </c>
      <c r="X137" s="67">
        <f t="shared" ca="1" si="53"/>
        <v>1</v>
      </c>
      <c r="Y137" s="67" t="e">
        <f t="shared" ca="1" si="60"/>
        <v>#N/A</v>
      </c>
      <c r="Z137" s="67" t="e">
        <f t="shared" ca="1" si="61"/>
        <v>#N/A</v>
      </c>
      <c r="AA137" s="5" t="str">
        <f>IF(Setup!$I$15="Yes",'Demand background (hide)'!AJ125+'SPC background (hide)'!C137,"")</f>
        <v/>
      </c>
      <c r="AC137" s="5">
        <f t="shared" ca="1" si="54"/>
        <v>551.5</v>
      </c>
      <c r="AD137" s="5">
        <f t="shared" ca="1" si="55"/>
        <v>664</v>
      </c>
    </row>
    <row r="138" spans="1:30" x14ac:dyDescent="0.2">
      <c r="A138" s="67">
        <f ca="1">Demand!C135</f>
        <v>31</v>
      </c>
      <c r="B138" s="67">
        <v>123</v>
      </c>
      <c r="C138" s="5">
        <f ca="1">'Demand background (hide)'!Y126</f>
        <v>270</v>
      </c>
      <c r="D138" s="67">
        <f t="shared" si="39"/>
        <v>1</v>
      </c>
      <c r="E138" s="67" t="e">
        <f t="shared" ca="1" si="40"/>
        <v>#N/A</v>
      </c>
      <c r="F138" s="67" t="e">
        <f t="shared" ca="1" si="41"/>
        <v>#N/A</v>
      </c>
      <c r="G138" s="67" t="e">
        <f t="shared" ca="1" si="42"/>
        <v>#N/A</v>
      </c>
      <c r="H138" s="67" t="e">
        <f>IF('Demand background (hide)'!AN126&lt;&gt;"",'SPC background (hide)'!C138,NA())</f>
        <v>#N/A</v>
      </c>
      <c r="I138" s="67">
        <f t="shared" ca="1" si="43"/>
        <v>1</v>
      </c>
      <c r="J138" s="5">
        <f t="shared" ca="1" si="44"/>
        <v>69.979541734860845</v>
      </c>
      <c r="K138" s="5">
        <f t="shared" ca="1" si="45"/>
        <v>211.65302782324056</v>
      </c>
      <c r="L138" s="5">
        <f t="shared" ca="1" si="46"/>
        <v>353.32651391162028</v>
      </c>
      <c r="M138" s="5">
        <f t="shared" ca="1" si="47"/>
        <v>495</v>
      </c>
      <c r="N138" s="5">
        <f t="shared" ca="1" si="48"/>
        <v>636.67348608837972</v>
      </c>
      <c r="O138" s="5">
        <f t="shared" ca="1" si="49"/>
        <v>778.34697217675944</v>
      </c>
      <c r="P138" s="5">
        <f t="shared" ca="1" si="50"/>
        <v>920.02045826513915</v>
      </c>
      <c r="Q138" s="5" t="e">
        <f t="shared" ca="1" si="51"/>
        <v>#N/A</v>
      </c>
      <c r="R138" s="5">
        <f t="shared" ca="1" si="56"/>
        <v>-1</v>
      </c>
      <c r="S138" s="67" t="e">
        <f t="shared" ca="1" si="57"/>
        <v>#N/A</v>
      </c>
      <c r="T138" s="67">
        <f t="shared" ca="1" si="58"/>
        <v>-2</v>
      </c>
      <c r="U138" s="67" t="e">
        <f t="shared" ca="1" si="59"/>
        <v>#N/A</v>
      </c>
      <c r="V138" s="5">
        <f t="shared" ca="1" si="38"/>
        <v>-1</v>
      </c>
      <c r="W138" s="5" t="e">
        <f t="shared" ca="1" si="52"/>
        <v>#N/A</v>
      </c>
      <c r="X138" s="67">
        <f t="shared" ca="1" si="53"/>
        <v>-1</v>
      </c>
      <c r="Y138" s="67" t="e">
        <f t="shared" ca="1" si="60"/>
        <v>#N/A</v>
      </c>
      <c r="Z138" s="67" t="e">
        <f t="shared" ca="1" si="61"/>
        <v>#N/A</v>
      </c>
      <c r="AA138" s="5" t="str">
        <f>IF(Setup!$I$15="Yes",'Demand background (hide)'!AJ126+'SPC background (hide)'!C138,"")</f>
        <v/>
      </c>
      <c r="AC138" s="5">
        <f t="shared" ca="1" si="54"/>
        <v>551.5</v>
      </c>
      <c r="AD138" s="5">
        <f t="shared" ca="1" si="55"/>
        <v>664</v>
      </c>
    </row>
    <row r="139" spans="1:30" x14ac:dyDescent="0.2">
      <c r="A139" s="67">
        <f ca="1">Demand!C136</f>
        <v>32</v>
      </c>
      <c r="B139" s="67">
        <v>124</v>
      </c>
      <c r="C139" s="5">
        <f ca="1">'Demand background (hide)'!Y127</f>
        <v>510</v>
      </c>
      <c r="D139" s="67">
        <f t="shared" si="39"/>
        <v>1</v>
      </c>
      <c r="E139" s="67" t="e">
        <f t="shared" ca="1" si="40"/>
        <v>#N/A</v>
      </c>
      <c r="F139" s="67" t="e">
        <f t="shared" ca="1" si="41"/>
        <v>#N/A</v>
      </c>
      <c r="G139" s="67" t="e">
        <f t="shared" ca="1" si="42"/>
        <v>#N/A</v>
      </c>
      <c r="H139" s="67" t="e">
        <f>IF('Demand background (hide)'!AN127&lt;&gt;"",'SPC background (hide)'!C139,NA())</f>
        <v>#N/A</v>
      </c>
      <c r="I139" s="67">
        <f t="shared" ca="1" si="43"/>
        <v>1</v>
      </c>
      <c r="J139" s="5">
        <f t="shared" ca="1" si="44"/>
        <v>69.979541734860845</v>
      </c>
      <c r="K139" s="5">
        <f t="shared" ca="1" si="45"/>
        <v>211.65302782324056</v>
      </c>
      <c r="L139" s="5">
        <f t="shared" ca="1" si="46"/>
        <v>353.32651391162028</v>
      </c>
      <c r="M139" s="5">
        <f t="shared" ca="1" si="47"/>
        <v>495</v>
      </c>
      <c r="N139" s="5">
        <f t="shared" ca="1" si="48"/>
        <v>636.67348608837972</v>
      </c>
      <c r="O139" s="5">
        <f t="shared" ca="1" si="49"/>
        <v>778.34697217675944</v>
      </c>
      <c r="P139" s="5">
        <f t="shared" ca="1" si="50"/>
        <v>920.02045826513915</v>
      </c>
      <c r="Q139" s="5" t="e">
        <f t="shared" ca="1" si="51"/>
        <v>#N/A</v>
      </c>
      <c r="R139" s="5">
        <f t="shared" ca="1" si="56"/>
        <v>1</v>
      </c>
      <c r="S139" s="67" t="e">
        <f t="shared" ca="1" si="57"/>
        <v>#N/A</v>
      </c>
      <c r="T139" s="67">
        <f t="shared" ca="1" si="58"/>
        <v>1</v>
      </c>
      <c r="U139" s="67" t="e">
        <f t="shared" ca="1" si="59"/>
        <v>#N/A</v>
      </c>
      <c r="V139" s="5">
        <f t="shared" ca="1" si="38"/>
        <v>1</v>
      </c>
      <c r="W139" s="5" t="e">
        <f t="shared" ca="1" si="52"/>
        <v>#N/A</v>
      </c>
      <c r="X139" s="67">
        <f t="shared" ca="1" si="53"/>
        <v>1</v>
      </c>
      <c r="Y139" s="67" t="e">
        <f t="shared" ca="1" si="60"/>
        <v>#N/A</v>
      </c>
      <c r="Z139" s="67" t="e">
        <f t="shared" ca="1" si="61"/>
        <v>#N/A</v>
      </c>
      <c r="AA139" s="5" t="str">
        <f>IF(Setup!$I$15="Yes",'Demand background (hide)'!AJ127+'SPC background (hide)'!C139,"")</f>
        <v/>
      </c>
      <c r="AC139" s="5">
        <f t="shared" ca="1" si="54"/>
        <v>551.5</v>
      </c>
      <c r="AD139" s="5">
        <f t="shared" ca="1" si="55"/>
        <v>664</v>
      </c>
    </row>
    <row r="140" spans="1:30" x14ac:dyDescent="0.2">
      <c r="A140" s="67">
        <f ca="1">Demand!C137</f>
        <v>33</v>
      </c>
      <c r="B140" s="67">
        <v>125</v>
      </c>
      <c r="C140" s="5">
        <f ca="1">'Demand background (hide)'!Y128</f>
        <v>710</v>
      </c>
      <c r="D140" s="67">
        <f t="shared" si="39"/>
        <v>1</v>
      </c>
      <c r="E140" s="67" t="e">
        <f t="shared" ca="1" si="40"/>
        <v>#N/A</v>
      </c>
      <c r="F140" s="67" t="e">
        <f t="shared" ca="1" si="41"/>
        <v>#N/A</v>
      </c>
      <c r="G140" s="67" t="e">
        <f t="shared" ca="1" si="42"/>
        <v>#N/A</v>
      </c>
      <c r="H140" s="67" t="e">
        <f>IF('Demand background (hide)'!AN128&lt;&gt;"",'SPC background (hide)'!C140,NA())</f>
        <v>#N/A</v>
      </c>
      <c r="I140" s="67">
        <f t="shared" ca="1" si="43"/>
        <v>1</v>
      </c>
      <c r="J140" s="5">
        <f t="shared" ca="1" si="44"/>
        <v>69.979541734860845</v>
      </c>
      <c r="K140" s="5">
        <f t="shared" ca="1" si="45"/>
        <v>211.65302782324056</v>
      </c>
      <c r="L140" s="5">
        <f t="shared" ca="1" si="46"/>
        <v>353.32651391162028</v>
      </c>
      <c r="M140" s="5">
        <f t="shared" ca="1" si="47"/>
        <v>495</v>
      </c>
      <c r="N140" s="5">
        <f t="shared" ca="1" si="48"/>
        <v>636.67348608837972</v>
      </c>
      <c r="O140" s="5">
        <f t="shared" ca="1" si="49"/>
        <v>778.34697217675944</v>
      </c>
      <c r="P140" s="5">
        <f t="shared" ca="1" si="50"/>
        <v>920.02045826513915</v>
      </c>
      <c r="Q140" s="5" t="e">
        <f t="shared" ca="1" si="51"/>
        <v>#N/A</v>
      </c>
      <c r="R140" s="5">
        <f t="shared" ca="1" si="56"/>
        <v>1</v>
      </c>
      <c r="S140" s="67" t="e">
        <f t="shared" ca="1" si="57"/>
        <v>#N/A</v>
      </c>
      <c r="T140" s="67">
        <f t="shared" ca="1" si="58"/>
        <v>2</v>
      </c>
      <c r="U140" s="67" t="e">
        <f t="shared" ca="1" si="59"/>
        <v>#N/A</v>
      </c>
      <c r="V140" s="5">
        <f t="shared" ca="1" si="38"/>
        <v>1</v>
      </c>
      <c r="W140" s="5" t="e">
        <f t="shared" ca="1" si="52"/>
        <v>#N/A</v>
      </c>
      <c r="X140" s="67">
        <f t="shared" ca="1" si="53"/>
        <v>1</v>
      </c>
      <c r="Y140" s="67" t="e">
        <f t="shared" ca="1" si="60"/>
        <v>#N/A</v>
      </c>
      <c r="Z140" s="67" t="e">
        <f t="shared" ca="1" si="61"/>
        <v>#N/A</v>
      </c>
      <c r="AA140" s="5" t="str">
        <f>IF(Setup!$I$15="Yes",'Demand background (hide)'!AJ128+'SPC background (hide)'!C140,"")</f>
        <v/>
      </c>
      <c r="AC140" s="5">
        <f t="shared" ca="1" si="54"/>
        <v>551.5</v>
      </c>
      <c r="AD140" s="5">
        <f t="shared" ca="1" si="55"/>
        <v>664</v>
      </c>
    </row>
    <row r="141" spans="1:30" x14ac:dyDescent="0.2">
      <c r="A141" s="67">
        <f ca="1">Demand!C138</f>
        <v>34</v>
      </c>
      <c r="B141" s="67">
        <v>126</v>
      </c>
      <c r="C141" s="5">
        <f ca="1">'Demand background (hide)'!Y129</f>
        <v>690</v>
      </c>
      <c r="D141" s="67">
        <f t="shared" si="39"/>
        <v>1</v>
      </c>
      <c r="E141" s="67" t="e">
        <f t="shared" ca="1" si="40"/>
        <v>#N/A</v>
      </c>
      <c r="F141" s="67" t="e">
        <f t="shared" ca="1" si="41"/>
        <v>#N/A</v>
      </c>
      <c r="G141" s="67" t="e">
        <f t="shared" ca="1" si="42"/>
        <v>#N/A</v>
      </c>
      <c r="H141" s="67" t="e">
        <f>IF('Demand background (hide)'!AN129&lt;&gt;"",'SPC background (hide)'!C141,NA())</f>
        <v>#N/A</v>
      </c>
      <c r="I141" s="67">
        <f t="shared" ca="1" si="43"/>
        <v>1</v>
      </c>
      <c r="J141" s="5">
        <f t="shared" ca="1" si="44"/>
        <v>69.979541734860845</v>
      </c>
      <c r="K141" s="5">
        <f t="shared" ca="1" si="45"/>
        <v>211.65302782324056</v>
      </c>
      <c r="L141" s="5">
        <f t="shared" ca="1" si="46"/>
        <v>353.32651391162028</v>
      </c>
      <c r="M141" s="5">
        <f t="shared" ca="1" si="47"/>
        <v>495</v>
      </c>
      <c r="N141" s="5">
        <f t="shared" ca="1" si="48"/>
        <v>636.67348608837972</v>
      </c>
      <c r="O141" s="5">
        <f t="shared" ca="1" si="49"/>
        <v>778.34697217675944</v>
      </c>
      <c r="P141" s="5">
        <f t="shared" ca="1" si="50"/>
        <v>920.02045826513915</v>
      </c>
      <c r="Q141" s="5" t="e">
        <f t="shared" ca="1" si="51"/>
        <v>#N/A</v>
      </c>
      <c r="R141" s="5">
        <f t="shared" ca="1" si="56"/>
        <v>1</v>
      </c>
      <c r="S141" s="67" t="e">
        <f t="shared" ca="1" si="57"/>
        <v>#N/A</v>
      </c>
      <c r="T141" s="67">
        <f t="shared" ca="1" si="58"/>
        <v>2</v>
      </c>
      <c r="U141" s="67" t="e">
        <f t="shared" ca="1" si="59"/>
        <v>#N/A</v>
      </c>
      <c r="V141" s="5">
        <f t="shared" ca="1" si="38"/>
        <v>1</v>
      </c>
      <c r="W141" s="5" t="e">
        <f t="shared" ca="1" si="52"/>
        <v>#N/A</v>
      </c>
      <c r="X141" s="67">
        <f t="shared" ca="1" si="53"/>
        <v>-1</v>
      </c>
      <c r="Y141" s="67" t="e">
        <f t="shared" ca="1" si="60"/>
        <v>#N/A</v>
      </c>
      <c r="Z141" s="67" t="e">
        <f t="shared" ca="1" si="61"/>
        <v>#N/A</v>
      </c>
      <c r="AA141" s="5" t="str">
        <f>IF(Setup!$I$15="Yes",'Demand background (hide)'!AJ129+'SPC background (hide)'!C141,"")</f>
        <v/>
      </c>
      <c r="AC141" s="5">
        <f t="shared" ca="1" si="54"/>
        <v>551.5</v>
      </c>
      <c r="AD141" s="5">
        <f t="shared" ca="1" si="55"/>
        <v>664</v>
      </c>
    </row>
    <row r="142" spans="1:30" x14ac:dyDescent="0.2">
      <c r="A142" s="67">
        <f ca="1">Demand!C139</f>
        <v>35</v>
      </c>
      <c r="B142" s="67">
        <v>127</v>
      </c>
      <c r="C142" s="5">
        <f ca="1">'Demand background (hide)'!Y130</f>
        <v>580</v>
      </c>
      <c r="D142" s="67">
        <f t="shared" si="39"/>
        <v>1</v>
      </c>
      <c r="E142" s="67" t="e">
        <f t="shared" ca="1" si="40"/>
        <v>#N/A</v>
      </c>
      <c r="F142" s="67" t="e">
        <f t="shared" ca="1" si="41"/>
        <v>#N/A</v>
      </c>
      <c r="G142" s="67" t="e">
        <f t="shared" ca="1" si="42"/>
        <v>#N/A</v>
      </c>
      <c r="H142" s="67" t="e">
        <f>IF('Demand background (hide)'!AN130&lt;&gt;"",'SPC background (hide)'!C142,NA())</f>
        <v>#N/A</v>
      </c>
      <c r="I142" s="67">
        <f t="shared" ca="1" si="43"/>
        <v>1</v>
      </c>
      <c r="J142" s="5">
        <f t="shared" ca="1" si="44"/>
        <v>69.979541734860845</v>
      </c>
      <c r="K142" s="5">
        <f t="shared" ca="1" si="45"/>
        <v>211.65302782324056</v>
      </c>
      <c r="L142" s="5">
        <f t="shared" ca="1" si="46"/>
        <v>353.32651391162028</v>
      </c>
      <c r="M142" s="5">
        <f t="shared" ca="1" si="47"/>
        <v>495</v>
      </c>
      <c r="N142" s="5">
        <f t="shared" ca="1" si="48"/>
        <v>636.67348608837972</v>
      </c>
      <c r="O142" s="5">
        <f t="shared" ca="1" si="49"/>
        <v>778.34697217675944</v>
      </c>
      <c r="P142" s="5">
        <f t="shared" ca="1" si="50"/>
        <v>920.02045826513915</v>
      </c>
      <c r="Q142" s="5" t="e">
        <f t="shared" ca="1" si="51"/>
        <v>#N/A</v>
      </c>
      <c r="R142" s="5">
        <f t="shared" ca="1" si="56"/>
        <v>1</v>
      </c>
      <c r="S142" s="67" t="e">
        <f t="shared" ca="1" si="57"/>
        <v>#N/A</v>
      </c>
      <c r="T142" s="67">
        <f t="shared" ca="1" si="58"/>
        <v>1</v>
      </c>
      <c r="U142" s="67" t="e">
        <f t="shared" ca="1" si="59"/>
        <v>#N/A</v>
      </c>
      <c r="V142" s="5">
        <f t="shared" ca="1" si="38"/>
        <v>1</v>
      </c>
      <c r="W142" s="5" t="e">
        <f t="shared" ca="1" si="52"/>
        <v>#N/A</v>
      </c>
      <c r="X142" s="67">
        <f t="shared" ca="1" si="53"/>
        <v>-1</v>
      </c>
      <c r="Y142" s="67" t="e">
        <f t="shared" ca="1" si="60"/>
        <v>#N/A</v>
      </c>
      <c r="Z142" s="67" t="e">
        <f t="shared" ca="1" si="61"/>
        <v>#N/A</v>
      </c>
      <c r="AA142" s="5" t="str">
        <f>IF(Setup!$I$15="Yes",'Demand background (hide)'!AJ130+'SPC background (hide)'!C142,"")</f>
        <v/>
      </c>
      <c r="AC142" s="5">
        <f t="shared" ca="1" si="54"/>
        <v>551.5</v>
      </c>
      <c r="AD142" s="5">
        <f t="shared" ca="1" si="55"/>
        <v>664</v>
      </c>
    </row>
    <row r="143" spans="1:30" x14ac:dyDescent="0.2">
      <c r="A143" s="67">
        <f ca="1">Demand!C140</f>
        <v>36</v>
      </c>
      <c r="B143" s="67">
        <v>128</v>
      </c>
      <c r="C143" s="5">
        <f ca="1">'Demand background (hide)'!Y131</f>
        <v>410</v>
      </c>
      <c r="D143" s="67">
        <f t="shared" si="39"/>
        <v>1</v>
      </c>
      <c r="E143" s="67" t="e">
        <f t="shared" ca="1" si="40"/>
        <v>#N/A</v>
      </c>
      <c r="F143" s="67" t="e">
        <f t="shared" ca="1" si="41"/>
        <v>#N/A</v>
      </c>
      <c r="G143" s="67" t="e">
        <f t="shared" ca="1" si="42"/>
        <v>#N/A</v>
      </c>
      <c r="H143" s="67" t="e">
        <f>IF('Demand background (hide)'!AN131&lt;&gt;"",'SPC background (hide)'!C143,NA())</f>
        <v>#N/A</v>
      </c>
      <c r="I143" s="67">
        <f t="shared" ca="1" si="43"/>
        <v>1</v>
      </c>
      <c r="J143" s="5">
        <f t="shared" ca="1" si="44"/>
        <v>69.979541734860845</v>
      </c>
      <c r="K143" s="5">
        <f t="shared" ca="1" si="45"/>
        <v>211.65302782324056</v>
      </c>
      <c r="L143" s="5">
        <f t="shared" ca="1" si="46"/>
        <v>353.32651391162028</v>
      </c>
      <c r="M143" s="5">
        <f t="shared" ca="1" si="47"/>
        <v>495</v>
      </c>
      <c r="N143" s="5">
        <f t="shared" ca="1" si="48"/>
        <v>636.67348608837972</v>
      </c>
      <c r="O143" s="5">
        <f t="shared" ca="1" si="49"/>
        <v>778.34697217675944</v>
      </c>
      <c r="P143" s="5">
        <f t="shared" ca="1" si="50"/>
        <v>920.02045826513915</v>
      </c>
      <c r="Q143" s="5" t="e">
        <f t="shared" ca="1" si="51"/>
        <v>#N/A</v>
      </c>
      <c r="R143" s="5">
        <f t="shared" ca="1" si="56"/>
        <v>-1</v>
      </c>
      <c r="S143" s="67" t="e">
        <f t="shared" ca="1" si="57"/>
        <v>#N/A</v>
      </c>
      <c r="T143" s="67">
        <f t="shared" ca="1" si="58"/>
        <v>-1</v>
      </c>
      <c r="U143" s="67" t="e">
        <f t="shared" ca="1" si="59"/>
        <v>#N/A</v>
      </c>
      <c r="V143" s="5">
        <f t="shared" ca="1" si="38"/>
        <v>-1</v>
      </c>
      <c r="W143" s="5" t="e">
        <f t="shared" ca="1" si="52"/>
        <v>#N/A</v>
      </c>
      <c r="X143" s="67">
        <f t="shared" ca="1" si="53"/>
        <v>-1</v>
      </c>
      <c r="Y143" s="67" t="e">
        <f t="shared" ca="1" si="60"/>
        <v>#N/A</v>
      </c>
      <c r="Z143" s="67" t="e">
        <f t="shared" ca="1" si="61"/>
        <v>#N/A</v>
      </c>
      <c r="AA143" s="5" t="str">
        <f>IF(Setup!$I$15="Yes",'Demand background (hide)'!AJ131+'SPC background (hide)'!C143,"")</f>
        <v/>
      </c>
      <c r="AC143" s="5">
        <f t="shared" ca="1" si="54"/>
        <v>551.5</v>
      </c>
      <c r="AD143" s="5">
        <f t="shared" ca="1" si="55"/>
        <v>664</v>
      </c>
    </row>
    <row r="144" spans="1:30" x14ac:dyDescent="0.2">
      <c r="A144" s="67">
        <f ca="1">Demand!C141</f>
        <v>37</v>
      </c>
      <c r="B144" s="67">
        <v>129</v>
      </c>
      <c r="C144" s="5">
        <f ca="1">'Demand background (hide)'!Y132</f>
        <v>370</v>
      </c>
      <c r="D144" s="67">
        <f t="shared" si="39"/>
        <v>1</v>
      </c>
      <c r="E144" s="67" t="e">
        <f t="shared" ca="1" si="40"/>
        <v>#N/A</v>
      </c>
      <c r="F144" s="67" t="e">
        <f t="shared" ca="1" si="41"/>
        <v>#N/A</v>
      </c>
      <c r="G144" s="67" t="e">
        <f t="shared" ca="1" si="42"/>
        <v>#N/A</v>
      </c>
      <c r="H144" s="67" t="e">
        <f>IF('Demand background (hide)'!AN132&lt;&gt;"",'SPC background (hide)'!C144,NA())</f>
        <v>#N/A</v>
      </c>
      <c r="I144" s="67">
        <f t="shared" ca="1" si="43"/>
        <v>1</v>
      </c>
      <c r="J144" s="5">
        <f t="shared" ca="1" si="44"/>
        <v>69.979541734860845</v>
      </c>
      <c r="K144" s="5">
        <f t="shared" ca="1" si="45"/>
        <v>211.65302782324056</v>
      </c>
      <c r="L144" s="5">
        <f t="shared" ca="1" si="46"/>
        <v>353.32651391162028</v>
      </c>
      <c r="M144" s="5">
        <f t="shared" ca="1" si="47"/>
        <v>495</v>
      </c>
      <c r="N144" s="5">
        <f t="shared" ca="1" si="48"/>
        <v>636.67348608837972</v>
      </c>
      <c r="O144" s="5">
        <f t="shared" ca="1" si="49"/>
        <v>778.34697217675944</v>
      </c>
      <c r="P144" s="5">
        <f t="shared" ca="1" si="50"/>
        <v>920.02045826513915</v>
      </c>
      <c r="Q144" s="5" t="e">
        <f t="shared" ca="1" si="51"/>
        <v>#N/A</v>
      </c>
      <c r="R144" s="5">
        <f t="shared" ca="1" si="56"/>
        <v>-1</v>
      </c>
      <c r="S144" s="67" t="e">
        <f t="shared" ca="1" si="57"/>
        <v>#N/A</v>
      </c>
      <c r="T144" s="67">
        <f t="shared" ca="1" si="58"/>
        <v>-1</v>
      </c>
      <c r="U144" s="67" t="e">
        <f t="shared" ca="1" si="59"/>
        <v>#N/A</v>
      </c>
      <c r="V144" s="5">
        <f t="shared" ref="V144:V207" ca="1" si="62">IF(C144&lt;M144,-1,IF(C144&gt;M144,1,0))</f>
        <v>-1</v>
      </c>
      <c r="W144" s="5" t="e">
        <f t="shared" ca="1" si="52"/>
        <v>#N/A</v>
      </c>
      <c r="X144" s="67">
        <f t="shared" ca="1" si="53"/>
        <v>-1</v>
      </c>
      <c r="Y144" s="67" t="e">
        <f t="shared" ca="1" si="60"/>
        <v>#N/A</v>
      </c>
      <c r="Z144" s="67" t="e">
        <f t="shared" ca="1" si="61"/>
        <v>#N/A</v>
      </c>
      <c r="AA144" s="5" t="str">
        <f>IF(Setup!$I$15="Yes",'Demand background (hide)'!AJ132+'SPC background (hide)'!C144,"")</f>
        <v/>
      </c>
      <c r="AC144" s="5">
        <f t="shared" ca="1" si="54"/>
        <v>551.5</v>
      </c>
      <c r="AD144" s="5">
        <f t="shared" ca="1" si="55"/>
        <v>664</v>
      </c>
    </row>
    <row r="145" spans="1:30" x14ac:dyDescent="0.2">
      <c r="A145" s="67">
        <f ca="1">Demand!C142</f>
        <v>38</v>
      </c>
      <c r="B145" s="67">
        <v>130</v>
      </c>
      <c r="C145" s="5">
        <f ca="1">'Demand background (hide)'!Y133</f>
        <v>590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1</v>
      </c>
      <c r="J145" s="5">
        <f t="shared" ref="J145:J208" ca="1" si="68">VLOOKUP($A145,$AG$2:$AQ$54,COLUMN(E$1),0)</f>
        <v>69.979541734860845</v>
      </c>
      <c r="K145" s="5">
        <f t="shared" ref="K145:K208" ca="1" si="69">VLOOKUP($A145,$AG$2:$AQ$54,COLUMN(F$1),0)</f>
        <v>211.65302782324056</v>
      </c>
      <c r="L145" s="5">
        <f t="shared" ref="L145:L208" ca="1" si="70">VLOOKUP($A145,$AG$2:$AQ$54,COLUMN(G$1),0)</f>
        <v>353.32651391162028</v>
      </c>
      <c r="M145" s="5">
        <f t="shared" ref="M145:M208" ca="1" si="71">VLOOKUP($A145,$AG$2:$AQ$54,COLUMN(H$1),0)</f>
        <v>495</v>
      </c>
      <c r="N145" s="5">
        <f t="shared" ref="N145:N208" ca="1" si="72">VLOOKUP($A145,$AG$2:$AQ$54,COLUMN(I$1),0)</f>
        <v>636.67348608837972</v>
      </c>
      <c r="O145" s="5">
        <f t="shared" ref="O145:O208" ca="1" si="73">VLOOKUP($A145,$AG$2:$AQ$54,COLUMN(J$1),0)</f>
        <v>778.34697217675944</v>
      </c>
      <c r="P145" s="5">
        <f t="shared" ref="P145:P208" ca="1" si="74">VLOOKUP($A145,$AG$2:$AQ$54,COLUMN(K$1),0)</f>
        <v>920.02045826513915</v>
      </c>
      <c r="Q145" s="5" t="e">
        <f t="shared" ref="Q145:Q208" ca="1" si="75">IF(ISNA(H145)=TRUE,IF(OR(C145&gt;P145,C145&lt;J145),C145,NA()),NA())</f>
        <v>#N/A</v>
      </c>
      <c r="R145" s="5">
        <f t="shared" ca="1" si="56"/>
        <v>1</v>
      </c>
      <c r="S145" s="67" t="e">
        <f t="shared" ca="1" si="57"/>
        <v>#N/A</v>
      </c>
      <c r="T145" s="67">
        <f t="shared" ca="1" si="58"/>
        <v>1</v>
      </c>
      <c r="U145" s="67" t="e">
        <f t="shared" ca="1" si="59"/>
        <v>#N/A</v>
      </c>
      <c r="V145" s="5">
        <f t="shared" ca="1" si="62"/>
        <v>1</v>
      </c>
      <c r="W145" s="5" t="e">
        <f t="shared" ref="W145:W208" ca="1" si="76">IF(ISNA(H145)=TRUE,IF(ABS(SUM(V145:V153))=9,C145,NA()),NA())</f>
        <v>#N/A</v>
      </c>
      <c r="X145" s="67">
        <f t="shared" ref="X145:X208" ca="1" si="77">IF(C145&gt;C144,1,IF(C145&lt;C144,-1,0))</f>
        <v>1</v>
      </c>
      <c r="Y145" s="67" t="e">
        <f t="shared" ca="1" si="60"/>
        <v>#N/A</v>
      </c>
      <c r="Z145" s="67" t="e">
        <f t="shared" ca="1" si="61"/>
        <v>#N/A</v>
      </c>
      <c r="AA145" s="5" t="str">
        <f>IF(Setup!$I$15="Yes",'Demand background (hide)'!AJ133+'SPC background (hide)'!C145,"")</f>
        <v/>
      </c>
      <c r="AC145" s="5">
        <f t="shared" ref="AC145:AC208" ca="1" si="78">VLOOKUP($A145,$AG$2:$AS$54,12,0)</f>
        <v>551.5</v>
      </c>
      <c r="AD145" s="5">
        <f t="shared" ref="AD145:AD208" ca="1" si="79">VLOOKUP($A145,$AG$2:$AS$54,13,0)</f>
        <v>664</v>
      </c>
    </row>
    <row r="146" spans="1:30" x14ac:dyDescent="0.2">
      <c r="A146" s="67">
        <f ca="1">Demand!C143</f>
        <v>39</v>
      </c>
      <c r="B146" s="67">
        <v>131</v>
      </c>
      <c r="C146" s="5">
        <f ca="1">'Demand background (hide)'!Y134</f>
        <v>570</v>
      </c>
      <c r="D146" s="67">
        <f t="shared" si="63"/>
        <v>1</v>
      </c>
      <c r="E146" s="67" t="e">
        <f t="shared" ca="1" si="64"/>
        <v>#N/A</v>
      </c>
      <c r="F146" s="67" t="e">
        <f t="shared" ca="1" si="65"/>
        <v>#N/A</v>
      </c>
      <c r="G146" s="67" t="e">
        <f t="shared" ca="1" si="66"/>
        <v>#N/A</v>
      </c>
      <c r="H146" s="67" t="e">
        <f>IF('Demand background (hide)'!AN134&lt;&gt;"",'SPC background (hide)'!C146,NA())</f>
        <v>#N/A</v>
      </c>
      <c r="I146" s="67">
        <f t="shared" ca="1" si="67"/>
        <v>1</v>
      </c>
      <c r="J146" s="5">
        <f t="shared" ca="1" si="68"/>
        <v>69.979541734860845</v>
      </c>
      <c r="K146" s="5">
        <f t="shared" ca="1" si="69"/>
        <v>211.65302782324056</v>
      </c>
      <c r="L146" s="5">
        <f t="shared" ca="1" si="70"/>
        <v>353.32651391162028</v>
      </c>
      <c r="M146" s="5">
        <f t="shared" ca="1" si="71"/>
        <v>495</v>
      </c>
      <c r="N146" s="5">
        <f t="shared" ca="1" si="72"/>
        <v>636.67348608837972</v>
      </c>
      <c r="O146" s="5">
        <f t="shared" ca="1" si="73"/>
        <v>778.34697217675944</v>
      </c>
      <c r="P146" s="5">
        <f t="shared" ca="1" si="74"/>
        <v>920.02045826513915</v>
      </c>
      <c r="Q146" s="5" t="e">
        <f t="shared" ca="1" si="75"/>
        <v>#N/A</v>
      </c>
      <c r="R146" s="5">
        <f t="shared" ref="R146:R209" ca="1" si="80">IF(C146&gt;O146,2,IF(C146&lt;K146,-2,IF(C146&gt;M146,1,IF(C146&lt;M146,-1,0))))</f>
        <v>1</v>
      </c>
      <c r="S146" s="67" t="e">
        <f t="shared" ref="S146:S209" ca="1" si="81">IF(ISNA(H146),IF(ABS(SUM(R146:R148))&gt;=5,C146,NA()),NA())</f>
        <v>#N/A</v>
      </c>
      <c r="T146" s="67">
        <f t="shared" ref="T146:T209" ca="1" si="82">IF(C146&gt;N146,2,IF(C146&lt;L146,-2,IF(C146&gt;M146,1,IF(C146&lt;M146,-1,0))))</f>
        <v>1</v>
      </c>
      <c r="U146" s="67" t="e">
        <f t="shared" ref="U146:U209" ca="1" si="83">IF(ISNA(H146)=TRUE,IF(ABS(SUM(T146:T150))&gt;=9,C146,NA()),NA())</f>
        <v>#N/A</v>
      </c>
      <c r="V146" s="5">
        <f t="shared" ca="1" si="62"/>
        <v>1</v>
      </c>
      <c r="W146" s="5" t="e">
        <f t="shared" ca="1" si="76"/>
        <v>#N/A</v>
      </c>
      <c r="X146" s="67">
        <f t="shared" ca="1" si="77"/>
        <v>-1</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f t="shared" ca="1" si="78"/>
        <v>551.5</v>
      </c>
      <c r="AD146" s="5">
        <f t="shared" ca="1" si="79"/>
        <v>664</v>
      </c>
    </row>
    <row r="147" spans="1:30" x14ac:dyDescent="0.2">
      <c r="A147" s="67">
        <f ca="1">Demand!C144</f>
        <v>40</v>
      </c>
      <c r="B147" s="67">
        <v>132</v>
      </c>
      <c r="C147" s="5">
        <f ca="1">'Demand background (hide)'!Y135</f>
        <v>490</v>
      </c>
      <c r="D147" s="67">
        <f t="shared" si="63"/>
        <v>1</v>
      </c>
      <c r="E147" s="67" t="e">
        <f t="shared" ca="1" si="64"/>
        <v>#N/A</v>
      </c>
      <c r="F147" s="67" t="e">
        <f t="shared" ca="1" si="65"/>
        <v>#N/A</v>
      </c>
      <c r="G147" s="67" t="e">
        <f t="shared" ca="1" si="66"/>
        <v>#N/A</v>
      </c>
      <c r="H147" s="67" t="e">
        <f>IF('Demand background (hide)'!AN135&lt;&gt;"",'SPC background (hide)'!C147,NA())</f>
        <v>#N/A</v>
      </c>
      <c r="I147" s="67">
        <f t="shared" ca="1" si="67"/>
        <v>1</v>
      </c>
      <c r="J147" s="5">
        <f t="shared" ca="1" si="68"/>
        <v>69.979541734860845</v>
      </c>
      <c r="K147" s="5">
        <f t="shared" ca="1" si="69"/>
        <v>211.65302782324056</v>
      </c>
      <c r="L147" s="5">
        <f t="shared" ca="1" si="70"/>
        <v>353.32651391162028</v>
      </c>
      <c r="M147" s="5">
        <f t="shared" ca="1" si="71"/>
        <v>495</v>
      </c>
      <c r="N147" s="5">
        <f t="shared" ca="1" si="72"/>
        <v>636.67348608837972</v>
      </c>
      <c r="O147" s="5">
        <f t="shared" ca="1" si="73"/>
        <v>778.34697217675944</v>
      </c>
      <c r="P147" s="5">
        <f t="shared" ca="1" si="74"/>
        <v>920.02045826513915</v>
      </c>
      <c r="Q147" s="5" t="e">
        <f t="shared" ca="1" si="75"/>
        <v>#N/A</v>
      </c>
      <c r="R147" s="5">
        <f t="shared" ca="1" si="80"/>
        <v>-1</v>
      </c>
      <c r="S147" s="67" t="e">
        <f t="shared" ca="1" si="81"/>
        <v>#N/A</v>
      </c>
      <c r="T147" s="67">
        <f t="shared" ca="1" si="82"/>
        <v>-1</v>
      </c>
      <c r="U147" s="67" t="e">
        <f t="shared" ca="1" si="83"/>
        <v>#N/A</v>
      </c>
      <c r="V147" s="5">
        <f t="shared" ca="1" si="62"/>
        <v>-1</v>
      </c>
      <c r="W147" s="5" t="e">
        <f t="shared" ca="1" si="76"/>
        <v>#N/A</v>
      </c>
      <c r="X147" s="67">
        <f t="shared" ca="1" si="77"/>
        <v>-1</v>
      </c>
      <c r="Y147" s="67" t="e">
        <f t="shared" ca="1" si="84"/>
        <v>#N/A</v>
      </c>
      <c r="Z147" s="67" t="e">
        <f t="shared" ca="1" si="85"/>
        <v>#N/A</v>
      </c>
      <c r="AA147" s="5" t="str">
        <f>IF(Setup!$I$15="Yes",'Demand background (hide)'!AJ135+'SPC background (hide)'!C147,"")</f>
        <v/>
      </c>
      <c r="AC147" s="5">
        <f t="shared" ca="1" si="78"/>
        <v>551.5</v>
      </c>
      <c r="AD147" s="5">
        <f t="shared" ca="1" si="79"/>
        <v>664</v>
      </c>
    </row>
    <row r="148" spans="1:30" x14ac:dyDescent="0.2">
      <c r="A148" s="67">
        <f ca="1">Demand!C145</f>
        <v>41</v>
      </c>
      <c r="B148" s="67">
        <v>133</v>
      </c>
      <c r="C148" s="5">
        <f ca="1">'Demand background (hide)'!Y136</f>
        <v>570</v>
      </c>
      <c r="D148" s="67">
        <f t="shared" si="63"/>
        <v>1</v>
      </c>
      <c r="E148" s="67" t="e">
        <f t="shared" ca="1" si="64"/>
        <v>#N/A</v>
      </c>
      <c r="F148" s="67" t="e">
        <f t="shared" ca="1" si="65"/>
        <v>#N/A</v>
      </c>
      <c r="G148" s="67" t="e">
        <f t="shared" ca="1" si="66"/>
        <v>#N/A</v>
      </c>
      <c r="H148" s="67" t="e">
        <f>IF('Demand background (hide)'!AN136&lt;&gt;"",'SPC background (hide)'!C148,NA())</f>
        <v>#N/A</v>
      </c>
      <c r="I148" s="67">
        <f t="shared" ca="1" si="67"/>
        <v>1</v>
      </c>
      <c r="J148" s="5">
        <f t="shared" ca="1" si="68"/>
        <v>69.979541734860845</v>
      </c>
      <c r="K148" s="5">
        <f t="shared" ca="1" si="69"/>
        <v>211.65302782324056</v>
      </c>
      <c r="L148" s="5">
        <f t="shared" ca="1" si="70"/>
        <v>353.32651391162028</v>
      </c>
      <c r="M148" s="5">
        <f t="shared" ca="1" si="71"/>
        <v>495</v>
      </c>
      <c r="N148" s="5">
        <f t="shared" ca="1" si="72"/>
        <v>636.67348608837972</v>
      </c>
      <c r="O148" s="5">
        <f t="shared" ca="1" si="73"/>
        <v>778.34697217675944</v>
      </c>
      <c r="P148" s="5">
        <f t="shared" ca="1" si="74"/>
        <v>920.02045826513915</v>
      </c>
      <c r="Q148" s="5" t="e">
        <f t="shared" ca="1" si="75"/>
        <v>#N/A</v>
      </c>
      <c r="R148" s="5">
        <f t="shared" ca="1" si="80"/>
        <v>1</v>
      </c>
      <c r="S148" s="67" t="e">
        <f t="shared" ca="1" si="81"/>
        <v>#N/A</v>
      </c>
      <c r="T148" s="67">
        <f t="shared" ca="1" si="82"/>
        <v>1</v>
      </c>
      <c r="U148" s="67" t="e">
        <f t="shared" ca="1" si="83"/>
        <v>#N/A</v>
      </c>
      <c r="V148" s="5">
        <f t="shared" ca="1" si="62"/>
        <v>1</v>
      </c>
      <c r="W148" s="5" t="e">
        <f t="shared" ca="1" si="76"/>
        <v>#N/A</v>
      </c>
      <c r="X148" s="67">
        <f t="shared" ca="1" si="77"/>
        <v>1</v>
      </c>
      <c r="Y148" s="67" t="e">
        <f t="shared" ca="1" si="84"/>
        <v>#N/A</v>
      </c>
      <c r="Z148" s="67" t="e">
        <f t="shared" ca="1" si="85"/>
        <v>#N/A</v>
      </c>
      <c r="AA148" s="5" t="str">
        <f>IF(Setup!$I$15="Yes",'Demand background (hide)'!AJ136+'SPC background (hide)'!C148,"")</f>
        <v/>
      </c>
      <c r="AC148" s="5">
        <f t="shared" ca="1" si="78"/>
        <v>551.5</v>
      </c>
      <c r="AD148" s="5">
        <f t="shared" ca="1" si="79"/>
        <v>664</v>
      </c>
    </row>
    <row r="149" spans="1:30" x14ac:dyDescent="0.2">
      <c r="A149" s="67">
        <f ca="1">Demand!C146</f>
        <v>42</v>
      </c>
      <c r="B149" s="67">
        <v>134</v>
      </c>
      <c r="C149" s="5">
        <f ca="1">'Demand background (hide)'!Y137</f>
        <v>330</v>
      </c>
      <c r="D149" s="67">
        <f t="shared" si="63"/>
        <v>1</v>
      </c>
      <c r="E149" s="67" t="e">
        <f t="shared" ca="1" si="64"/>
        <v>#N/A</v>
      </c>
      <c r="F149" s="67" t="e">
        <f t="shared" ca="1" si="65"/>
        <v>#N/A</v>
      </c>
      <c r="G149" s="67" t="e">
        <f t="shared" ca="1" si="66"/>
        <v>#N/A</v>
      </c>
      <c r="H149" s="67" t="e">
        <f>IF('Demand background (hide)'!AN137&lt;&gt;"",'SPC background (hide)'!C149,NA())</f>
        <v>#N/A</v>
      </c>
      <c r="I149" s="67">
        <f t="shared" ca="1" si="67"/>
        <v>1</v>
      </c>
      <c r="J149" s="5">
        <f t="shared" ca="1" si="68"/>
        <v>69.979541734860845</v>
      </c>
      <c r="K149" s="5">
        <f t="shared" ca="1" si="69"/>
        <v>211.65302782324056</v>
      </c>
      <c r="L149" s="5">
        <f t="shared" ca="1" si="70"/>
        <v>353.32651391162028</v>
      </c>
      <c r="M149" s="5">
        <f t="shared" ca="1" si="71"/>
        <v>495</v>
      </c>
      <c r="N149" s="5">
        <f t="shared" ca="1" si="72"/>
        <v>636.67348608837972</v>
      </c>
      <c r="O149" s="5">
        <f t="shared" ca="1" si="73"/>
        <v>778.34697217675944</v>
      </c>
      <c r="P149" s="5">
        <f t="shared" ca="1" si="74"/>
        <v>920.02045826513915</v>
      </c>
      <c r="Q149" s="5" t="e">
        <f t="shared" ca="1" si="75"/>
        <v>#N/A</v>
      </c>
      <c r="R149" s="5">
        <f t="shared" ca="1" si="80"/>
        <v>-1</v>
      </c>
      <c r="S149" s="67" t="e">
        <f t="shared" ca="1" si="81"/>
        <v>#N/A</v>
      </c>
      <c r="T149" s="67">
        <f t="shared" ca="1" si="82"/>
        <v>-2</v>
      </c>
      <c r="U149" s="67" t="e">
        <f t="shared" ca="1" si="83"/>
        <v>#N/A</v>
      </c>
      <c r="V149" s="5">
        <f t="shared" ca="1" si="62"/>
        <v>-1</v>
      </c>
      <c r="W149" s="5" t="e">
        <f t="shared" ca="1" si="76"/>
        <v>#N/A</v>
      </c>
      <c r="X149" s="67">
        <f t="shared" ca="1" si="77"/>
        <v>-1</v>
      </c>
      <c r="Y149" s="67" t="e">
        <f t="shared" ca="1" si="84"/>
        <v>#N/A</v>
      </c>
      <c r="Z149" s="67" t="e">
        <f t="shared" ca="1" si="85"/>
        <v>#N/A</v>
      </c>
      <c r="AA149" s="5" t="str">
        <f>IF(Setup!$I$15="Yes",'Demand background (hide)'!AJ137+'SPC background (hide)'!C149,"")</f>
        <v/>
      </c>
      <c r="AC149" s="5">
        <f t="shared" ca="1" si="78"/>
        <v>551.5</v>
      </c>
      <c r="AD149" s="5">
        <f t="shared" ca="1" si="79"/>
        <v>664</v>
      </c>
    </row>
    <row r="150" spans="1:30" x14ac:dyDescent="0.2">
      <c r="A150" s="67">
        <f ca="1">Demand!C147</f>
        <v>43</v>
      </c>
      <c r="B150" s="67">
        <v>135</v>
      </c>
      <c r="C150" s="5">
        <f ca="1">'Demand background (hide)'!Y138</f>
        <v>460</v>
      </c>
      <c r="D150" s="67">
        <f t="shared" si="63"/>
        <v>1</v>
      </c>
      <c r="E150" s="67" t="e">
        <f t="shared" ca="1" si="64"/>
        <v>#N/A</v>
      </c>
      <c r="F150" s="67" t="e">
        <f t="shared" ca="1" si="65"/>
        <v>#N/A</v>
      </c>
      <c r="G150" s="67" t="e">
        <f t="shared" ca="1" si="66"/>
        <v>#N/A</v>
      </c>
      <c r="H150" s="67" t="e">
        <f>IF('Demand background (hide)'!AN138&lt;&gt;"",'SPC background (hide)'!C150,NA())</f>
        <v>#N/A</v>
      </c>
      <c r="I150" s="67">
        <f t="shared" ca="1" si="67"/>
        <v>1</v>
      </c>
      <c r="J150" s="5">
        <f t="shared" ca="1" si="68"/>
        <v>69.979541734860845</v>
      </c>
      <c r="K150" s="5">
        <f t="shared" ca="1" si="69"/>
        <v>211.65302782324056</v>
      </c>
      <c r="L150" s="5">
        <f t="shared" ca="1" si="70"/>
        <v>353.32651391162028</v>
      </c>
      <c r="M150" s="5">
        <f t="shared" ca="1" si="71"/>
        <v>495</v>
      </c>
      <c r="N150" s="5">
        <f t="shared" ca="1" si="72"/>
        <v>636.67348608837972</v>
      </c>
      <c r="O150" s="5">
        <f t="shared" ca="1" si="73"/>
        <v>778.34697217675944</v>
      </c>
      <c r="P150" s="5">
        <f t="shared" ca="1" si="74"/>
        <v>920.02045826513915</v>
      </c>
      <c r="Q150" s="5" t="e">
        <f t="shared" ca="1" si="75"/>
        <v>#N/A</v>
      </c>
      <c r="R150" s="5">
        <f t="shared" ca="1" si="80"/>
        <v>-1</v>
      </c>
      <c r="S150" s="67" t="e">
        <f t="shared" ca="1" si="81"/>
        <v>#N/A</v>
      </c>
      <c r="T150" s="67">
        <f t="shared" ca="1" si="82"/>
        <v>-1</v>
      </c>
      <c r="U150" s="67" t="e">
        <f t="shared" ca="1" si="83"/>
        <v>#N/A</v>
      </c>
      <c r="V150" s="5">
        <f t="shared" ca="1" si="62"/>
        <v>-1</v>
      </c>
      <c r="W150" s="5" t="e">
        <f t="shared" ca="1" si="76"/>
        <v>#N/A</v>
      </c>
      <c r="X150" s="67">
        <f t="shared" ca="1" si="77"/>
        <v>1</v>
      </c>
      <c r="Y150" s="67" t="e">
        <f t="shared" ca="1" si="84"/>
        <v>#N/A</v>
      </c>
      <c r="Z150" s="67" t="e">
        <f t="shared" ca="1" si="85"/>
        <v>#N/A</v>
      </c>
      <c r="AA150" s="5" t="str">
        <f>IF(Setup!$I$15="Yes",'Demand background (hide)'!AJ138+'SPC background (hide)'!C150,"")</f>
        <v/>
      </c>
      <c r="AC150" s="5">
        <f t="shared" ca="1" si="78"/>
        <v>551.5</v>
      </c>
      <c r="AD150" s="5">
        <f t="shared" ca="1" si="79"/>
        <v>664</v>
      </c>
    </row>
    <row r="151" spans="1:30" x14ac:dyDescent="0.2">
      <c r="A151" s="67">
        <f ca="1">Demand!C148</f>
        <v>44</v>
      </c>
      <c r="B151" s="67">
        <v>136</v>
      </c>
      <c r="C151" s="5">
        <f ca="1">'Demand background (hide)'!Y139</f>
        <v>470</v>
      </c>
      <c r="D151" s="67">
        <f t="shared" si="63"/>
        <v>1</v>
      </c>
      <c r="E151" s="67" t="e">
        <f t="shared" ca="1" si="64"/>
        <v>#N/A</v>
      </c>
      <c r="F151" s="67" t="e">
        <f t="shared" ca="1" si="65"/>
        <v>#N/A</v>
      </c>
      <c r="G151" s="67" t="e">
        <f t="shared" ca="1" si="66"/>
        <v>#N/A</v>
      </c>
      <c r="H151" s="67" t="e">
        <f>IF('Demand background (hide)'!AN139&lt;&gt;"",'SPC background (hide)'!C151,NA())</f>
        <v>#N/A</v>
      </c>
      <c r="I151" s="67">
        <f t="shared" ca="1" si="67"/>
        <v>1</v>
      </c>
      <c r="J151" s="5">
        <f t="shared" ca="1" si="68"/>
        <v>69.979541734860845</v>
      </c>
      <c r="K151" s="5">
        <f t="shared" ca="1" si="69"/>
        <v>211.65302782324056</v>
      </c>
      <c r="L151" s="5">
        <f t="shared" ca="1" si="70"/>
        <v>353.32651391162028</v>
      </c>
      <c r="M151" s="5">
        <f t="shared" ca="1" si="71"/>
        <v>495</v>
      </c>
      <c r="N151" s="5">
        <f t="shared" ca="1" si="72"/>
        <v>636.67348608837972</v>
      </c>
      <c r="O151" s="5">
        <f t="shared" ca="1" si="73"/>
        <v>778.34697217675944</v>
      </c>
      <c r="P151" s="5">
        <f t="shared" ca="1" si="74"/>
        <v>920.02045826513915</v>
      </c>
      <c r="Q151" s="5" t="e">
        <f t="shared" ca="1" si="75"/>
        <v>#N/A</v>
      </c>
      <c r="R151" s="5">
        <f t="shared" ca="1" si="80"/>
        <v>-1</v>
      </c>
      <c r="S151" s="67" t="e">
        <f t="shared" ca="1" si="81"/>
        <v>#N/A</v>
      </c>
      <c r="T151" s="67">
        <f t="shared" ca="1" si="82"/>
        <v>-1</v>
      </c>
      <c r="U151" s="67" t="e">
        <f t="shared" ca="1" si="83"/>
        <v>#N/A</v>
      </c>
      <c r="V151" s="5">
        <f t="shared" ca="1" si="62"/>
        <v>-1</v>
      </c>
      <c r="W151" s="5" t="e">
        <f t="shared" ca="1" si="76"/>
        <v>#N/A</v>
      </c>
      <c r="X151" s="67">
        <f t="shared" ca="1" si="77"/>
        <v>1</v>
      </c>
      <c r="Y151" s="67" t="e">
        <f t="shared" ca="1" si="84"/>
        <v>#N/A</v>
      </c>
      <c r="Z151" s="67" t="e">
        <f t="shared" ca="1" si="85"/>
        <v>#N/A</v>
      </c>
      <c r="AA151" s="5" t="str">
        <f>IF(Setup!$I$15="Yes",'Demand background (hide)'!AJ139+'SPC background (hide)'!C151,"")</f>
        <v/>
      </c>
      <c r="AC151" s="5">
        <f t="shared" ca="1" si="78"/>
        <v>551.5</v>
      </c>
      <c r="AD151" s="5">
        <f t="shared" ca="1" si="79"/>
        <v>664</v>
      </c>
    </row>
    <row r="152" spans="1:30" x14ac:dyDescent="0.2">
      <c r="A152" s="67">
        <f ca="1">Demand!C149</f>
        <v>45</v>
      </c>
      <c r="B152" s="67">
        <v>137</v>
      </c>
      <c r="C152" s="5">
        <f ca="1">'Demand background (hide)'!Y140</f>
        <v>490</v>
      </c>
      <c r="D152" s="67">
        <f t="shared" si="63"/>
        <v>1</v>
      </c>
      <c r="E152" s="67" t="e">
        <f t="shared" ca="1" si="64"/>
        <v>#N/A</v>
      </c>
      <c r="F152" s="67" t="e">
        <f t="shared" ca="1" si="65"/>
        <v>#N/A</v>
      </c>
      <c r="G152" s="67" t="e">
        <f t="shared" ca="1" si="66"/>
        <v>#N/A</v>
      </c>
      <c r="H152" s="67" t="e">
        <f>IF('Demand background (hide)'!AN140&lt;&gt;"",'SPC background (hide)'!C152,NA())</f>
        <v>#N/A</v>
      </c>
      <c r="I152" s="67">
        <f t="shared" ca="1" si="67"/>
        <v>1</v>
      </c>
      <c r="J152" s="5">
        <f t="shared" ca="1" si="68"/>
        <v>69.979541734860845</v>
      </c>
      <c r="K152" s="5">
        <f t="shared" ca="1" si="69"/>
        <v>211.65302782324056</v>
      </c>
      <c r="L152" s="5">
        <f t="shared" ca="1" si="70"/>
        <v>353.32651391162028</v>
      </c>
      <c r="M152" s="5">
        <f t="shared" ca="1" si="71"/>
        <v>495</v>
      </c>
      <c r="N152" s="5">
        <f t="shared" ca="1" si="72"/>
        <v>636.67348608837972</v>
      </c>
      <c r="O152" s="5">
        <f t="shared" ca="1" si="73"/>
        <v>778.34697217675944</v>
      </c>
      <c r="P152" s="5">
        <f t="shared" ca="1" si="74"/>
        <v>920.02045826513915</v>
      </c>
      <c r="Q152" s="5" t="e">
        <f t="shared" ca="1" si="75"/>
        <v>#N/A</v>
      </c>
      <c r="R152" s="5">
        <f t="shared" ca="1" si="80"/>
        <v>-1</v>
      </c>
      <c r="S152" s="67" t="e">
        <f t="shared" ca="1" si="81"/>
        <v>#N/A</v>
      </c>
      <c r="T152" s="67">
        <f t="shared" ca="1" si="82"/>
        <v>-1</v>
      </c>
      <c r="U152" s="67" t="e">
        <f t="shared" ca="1" si="83"/>
        <v>#N/A</v>
      </c>
      <c r="V152" s="5">
        <f t="shared" ca="1" si="62"/>
        <v>-1</v>
      </c>
      <c r="W152" s="5" t="e">
        <f t="shared" ca="1" si="76"/>
        <v>#N/A</v>
      </c>
      <c r="X152" s="67">
        <f t="shared" ca="1" si="77"/>
        <v>1</v>
      </c>
      <c r="Y152" s="67" t="e">
        <f t="shared" ca="1" si="84"/>
        <v>#N/A</v>
      </c>
      <c r="Z152" s="67" t="e">
        <f t="shared" ca="1" si="85"/>
        <v>#N/A</v>
      </c>
      <c r="AA152" s="5" t="str">
        <f>IF(Setup!$I$15="Yes",'Demand background (hide)'!AJ140+'SPC background (hide)'!C152,"")</f>
        <v/>
      </c>
      <c r="AC152" s="5">
        <f t="shared" ca="1" si="78"/>
        <v>551.5</v>
      </c>
      <c r="AD152" s="5">
        <f t="shared" ca="1" si="79"/>
        <v>664</v>
      </c>
    </row>
    <row r="153" spans="1:30" x14ac:dyDescent="0.2">
      <c r="A153" s="67">
        <f ca="1">Demand!C150</f>
        <v>46</v>
      </c>
      <c r="B153" s="67">
        <v>138</v>
      </c>
      <c r="C153" s="5">
        <f ca="1">'Demand background (hide)'!Y141</f>
        <v>430</v>
      </c>
      <c r="D153" s="67">
        <f t="shared" si="63"/>
        <v>1</v>
      </c>
      <c r="E153" s="67" t="e">
        <f t="shared" ca="1" si="64"/>
        <v>#N/A</v>
      </c>
      <c r="F153" s="67" t="e">
        <f t="shared" ca="1" si="65"/>
        <v>#N/A</v>
      </c>
      <c r="G153" s="67" t="e">
        <f t="shared" ca="1" si="66"/>
        <v>#N/A</v>
      </c>
      <c r="H153" s="67" t="e">
        <f>IF('Demand background (hide)'!AN141&lt;&gt;"",'SPC background (hide)'!C153,NA())</f>
        <v>#N/A</v>
      </c>
      <c r="I153" s="67">
        <f t="shared" ca="1" si="67"/>
        <v>1</v>
      </c>
      <c r="J153" s="5">
        <f t="shared" ca="1" si="68"/>
        <v>69.979541734860845</v>
      </c>
      <c r="K153" s="5">
        <f t="shared" ca="1" si="69"/>
        <v>211.65302782324056</v>
      </c>
      <c r="L153" s="5">
        <f t="shared" ca="1" si="70"/>
        <v>353.32651391162028</v>
      </c>
      <c r="M153" s="5">
        <f t="shared" ca="1" si="71"/>
        <v>495</v>
      </c>
      <c r="N153" s="5">
        <f t="shared" ca="1" si="72"/>
        <v>636.67348608837972</v>
      </c>
      <c r="O153" s="5">
        <f t="shared" ca="1" si="73"/>
        <v>778.34697217675944</v>
      </c>
      <c r="P153" s="5">
        <f t="shared" ca="1" si="74"/>
        <v>920.02045826513915</v>
      </c>
      <c r="Q153" s="5" t="e">
        <f t="shared" ca="1" si="75"/>
        <v>#N/A</v>
      </c>
      <c r="R153" s="5">
        <f t="shared" ca="1" si="80"/>
        <v>-1</v>
      </c>
      <c r="S153" s="67" t="e">
        <f t="shared" ca="1" si="81"/>
        <v>#N/A</v>
      </c>
      <c r="T153" s="67">
        <f t="shared" ca="1" si="82"/>
        <v>-1</v>
      </c>
      <c r="U153" s="67" t="e">
        <f t="shared" ca="1" si="83"/>
        <v>#N/A</v>
      </c>
      <c r="V153" s="5">
        <f t="shared" ca="1" si="62"/>
        <v>-1</v>
      </c>
      <c r="W153" s="5" t="e">
        <f t="shared" ca="1" si="76"/>
        <v>#N/A</v>
      </c>
      <c r="X153" s="67">
        <f t="shared" ca="1" si="77"/>
        <v>-1</v>
      </c>
      <c r="Y153" s="67" t="e">
        <f t="shared" ca="1" si="84"/>
        <v>#N/A</v>
      </c>
      <c r="Z153" s="67" t="e">
        <f t="shared" ca="1" si="85"/>
        <v>#N/A</v>
      </c>
      <c r="AA153" s="5" t="str">
        <f>IF(Setup!$I$15="Yes",'Demand background (hide)'!AJ141+'SPC background (hide)'!C153,"")</f>
        <v/>
      </c>
      <c r="AC153" s="5">
        <f t="shared" ca="1" si="78"/>
        <v>551.5</v>
      </c>
      <c r="AD153" s="5">
        <f t="shared" ca="1" si="79"/>
        <v>664</v>
      </c>
    </row>
    <row r="154" spans="1:30" x14ac:dyDescent="0.2">
      <c r="A154" s="67">
        <f ca="1">Demand!C151</f>
        <v>47</v>
      </c>
      <c r="B154" s="67">
        <v>139</v>
      </c>
      <c r="C154" s="5">
        <f ca="1">'Demand background (hide)'!Y142</f>
        <v>470</v>
      </c>
      <c r="D154" s="67">
        <f t="shared" si="63"/>
        <v>1</v>
      </c>
      <c r="E154" s="67" t="e">
        <f t="shared" ca="1" si="64"/>
        <v>#N/A</v>
      </c>
      <c r="F154" s="67" t="e">
        <f t="shared" ca="1" si="65"/>
        <v>#N/A</v>
      </c>
      <c r="G154" s="67" t="e">
        <f t="shared" ca="1" si="66"/>
        <v>#N/A</v>
      </c>
      <c r="H154" s="67" t="e">
        <f>IF('Demand background (hide)'!AN142&lt;&gt;"",'SPC background (hide)'!C154,NA())</f>
        <v>#N/A</v>
      </c>
      <c r="I154" s="67">
        <f t="shared" ca="1" si="67"/>
        <v>1</v>
      </c>
      <c r="J154" s="5">
        <f t="shared" ca="1" si="68"/>
        <v>69.979541734860845</v>
      </c>
      <c r="K154" s="5">
        <f t="shared" ca="1" si="69"/>
        <v>211.65302782324056</v>
      </c>
      <c r="L154" s="5">
        <f t="shared" ca="1" si="70"/>
        <v>353.32651391162028</v>
      </c>
      <c r="M154" s="5">
        <f t="shared" ca="1" si="71"/>
        <v>495</v>
      </c>
      <c r="N154" s="5">
        <f t="shared" ca="1" si="72"/>
        <v>636.67348608837972</v>
      </c>
      <c r="O154" s="5">
        <f t="shared" ca="1" si="73"/>
        <v>778.34697217675944</v>
      </c>
      <c r="P154" s="5">
        <f t="shared" ca="1" si="74"/>
        <v>920.02045826513915</v>
      </c>
      <c r="Q154" s="5" t="e">
        <f t="shared" ca="1" si="75"/>
        <v>#N/A</v>
      </c>
      <c r="R154" s="5">
        <f t="shared" ca="1" si="80"/>
        <v>-1</v>
      </c>
      <c r="S154" s="67" t="e">
        <f t="shared" ca="1" si="81"/>
        <v>#N/A</v>
      </c>
      <c r="T154" s="67">
        <f t="shared" ca="1" si="82"/>
        <v>-1</v>
      </c>
      <c r="U154" s="67" t="e">
        <f t="shared" ca="1" si="83"/>
        <v>#N/A</v>
      </c>
      <c r="V154" s="5">
        <f t="shared" ca="1" si="62"/>
        <v>-1</v>
      </c>
      <c r="W154" s="5" t="e">
        <f t="shared" ca="1" si="76"/>
        <v>#N/A</v>
      </c>
      <c r="X154" s="67">
        <f t="shared" ca="1" si="77"/>
        <v>1</v>
      </c>
      <c r="Y154" s="67" t="e">
        <f t="shared" ca="1" si="84"/>
        <v>#N/A</v>
      </c>
      <c r="Z154" s="67" t="e">
        <f t="shared" ca="1" si="85"/>
        <v>#N/A</v>
      </c>
      <c r="AA154" s="5" t="str">
        <f>IF(Setup!$I$15="Yes",'Demand background (hide)'!AJ142+'SPC background (hide)'!C154,"")</f>
        <v/>
      </c>
      <c r="AC154" s="5">
        <f t="shared" ca="1" si="78"/>
        <v>551.5</v>
      </c>
      <c r="AD154" s="5">
        <f t="shared" ca="1" si="79"/>
        <v>664</v>
      </c>
    </row>
    <row r="155" spans="1:30" x14ac:dyDescent="0.2">
      <c r="A155" s="67">
        <f ca="1">Demand!C152</f>
        <v>48</v>
      </c>
      <c r="B155" s="67">
        <v>140</v>
      </c>
      <c r="C155" s="5">
        <f ca="1">'Demand background (hide)'!Y143</f>
        <v>720</v>
      </c>
      <c r="D155" s="67">
        <f t="shared" si="63"/>
        <v>1</v>
      </c>
      <c r="E155" s="67" t="e">
        <f t="shared" ca="1" si="64"/>
        <v>#N/A</v>
      </c>
      <c r="F155" s="67" t="e">
        <f t="shared" ca="1" si="65"/>
        <v>#N/A</v>
      </c>
      <c r="G155" s="67" t="e">
        <f t="shared" ca="1" si="66"/>
        <v>#N/A</v>
      </c>
      <c r="H155" s="67" t="e">
        <f>IF('Demand background (hide)'!AN143&lt;&gt;"",'SPC background (hide)'!C155,NA())</f>
        <v>#N/A</v>
      </c>
      <c r="I155" s="67">
        <f t="shared" ca="1" si="67"/>
        <v>1</v>
      </c>
      <c r="J155" s="5">
        <f t="shared" ca="1" si="68"/>
        <v>69.979541734860845</v>
      </c>
      <c r="K155" s="5">
        <f t="shared" ca="1" si="69"/>
        <v>211.65302782324056</v>
      </c>
      <c r="L155" s="5">
        <f t="shared" ca="1" si="70"/>
        <v>353.32651391162028</v>
      </c>
      <c r="M155" s="5">
        <f t="shared" ca="1" si="71"/>
        <v>495</v>
      </c>
      <c r="N155" s="5">
        <f t="shared" ca="1" si="72"/>
        <v>636.67348608837972</v>
      </c>
      <c r="O155" s="5">
        <f t="shared" ca="1" si="73"/>
        <v>778.34697217675944</v>
      </c>
      <c r="P155" s="5">
        <f t="shared" ca="1" si="74"/>
        <v>920.02045826513915</v>
      </c>
      <c r="Q155" s="5" t="e">
        <f t="shared" ca="1" si="75"/>
        <v>#N/A</v>
      </c>
      <c r="R155" s="5">
        <f t="shared" ca="1" si="80"/>
        <v>1</v>
      </c>
      <c r="S155" s="67" t="e">
        <f t="shared" ca="1" si="81"/>
        <v>#N/A</v>
      </c>
      <c r="T155" s="67">
        <f t="shared" ca="1" si="82"/>
        <v>2</v>
      </c>
      <c r="U155" s="67" t="e">
        <f t="shared" ca="1" si="83"/>
        <v>#N/A</v>
      </c>
      <c r="V155" s="5">
        <f t="shared" ca="1" si="62"/>
        <v>1</v>
      </c>
      <c r="W155" s="5" t="e">
        <f t="shared" ca="1" si="76"/>
        <v>#N/A</v>
      </c>
      <c r="X155" s="67">
        <f t="shared" ca="1" si="77"/>
        <v>1</v>
      </c>
      <c r="Y155" s="67" t="e">
        <f t="shared" ca="1" si="84"/>
        <v>#N/A</v>
      </c>
      <c r="Z155" s="67" t="e">
        <f t="shared" ca="1" si="85"/>
        <v>#N/A</v>
      </c>
      <c r="AA155" s="5" t="str">
        <f>IF(Setup!$I$15="Yes",'Demand background (hide)'!AJ143+'SPC background (hide)'!C155,"")</f>
        <v/>
      </c>
      <c r="AC155" s="5">
        <f t="shared" ca="1" si="78"/>
        <v>551.5</v>
      </c>
      <c r="AD155" s="5">
        <f t="shared" ca="1" si="79"/>
        <v>664</v>
      </c>
    </row>
    <row r="156" spans="1:30" x14ac:dyDescent="0.2">
      <c r="A156" s="67">
        <f ca="1">Demand!C153</f>
        <v>49</v>
      </c>
      <c r="B156" s="67">
        <v>141</v>
      </c>
      <c r="C156" s="5">
        <f ca="1">'Demand background (hide)'!Y144</f>
        <v>250</v>
      </c>
      <c r="D156" s="67">
        <f t="shared" si="63"/>
        <v>1</v>
      </c>
      <c r="E156" s="67" t="e">
        <f t="shared" ca="1" si="64"/>
        <v>#N/A</v>
      </c>
      <c r="F156" s="67" t="e">
        <f t="shared" ca="1" si="65"/>
        <v>#N/A</v>
      </c>
      <c r="G156" s="67" t="e">
        <f t="shared" ca="1" si="66"/>
        <v>#N/A</v>
      </c>
      <c r="H156" s="67" t="e">
        <f>IF('Demand background (hide)'!AN144&lt;&gt;"",'SPC background (hide)'!C156,NA())</f>
        <v>#N/A</v>
      </c>
      <c r="I156" s="67">
        <f t="shared" ca="1" si="67"/>
        <v>1</v>
      </c>
      <c r="J156" s="5">
        <f t="shared" ca="1" si="68"/>
        <v>69.979541734860845</v>
      </c>
      <c r="K156" s="5">
        <f t="shared" ca="1" si="69"/>
        <v>211.65302782324056</v>
      </c>
      <c r="L156" s="5">
        <f t="shared" ca="1" si="70"/>
        <v>353.32651391162028</v>
      </c>
      <c r="M156" s="5">
        <f t="shared" ca="1" si="71"/>
        <v>495</v>
      </c>
      <c r="N156" s="5">
        <f t="shared" ca="1" si="72"/>
        <v>636.67348608837972</v>
      </c>
      <c r="O156" s="5">
        <f t="shared" ca="1" si="73"/>
        <v>778.34697217675944</v>
      </c>
      <c r="P156" s="5">
        <f t="shared" ca="1" si="74"/>
        <v>920.02045826513915</v>
      </c>
      <c r="Q156" s="5" t="e">
        <f t="shared" ca="1" si="75"/>
        <v>#N/A</v>
      </c>
      <c r="R156" s="5">
        <f t="shared" ca="1" si="80"/>
        <v>-1</v>
      </c>
      <c r="S156" s="67" t="e">
        <f t="shared" ca="1" si="81"/>
        <v>#N/A</v>
      </c>
      <c r="T156" s="67">
        <f t="shared" ca="1" si="82"/>
        <v>-2</v>
      </c>
      <c r="U156" s="67" t="e">
        <f t="shared" ca="1" si="83"/>
        <v>#N/A</v>
      </c>
      <c r="V156" s="5">
        <f t="shared" ca="1" si="62"/>
        <v>-1</v>
      </c>
      <c r="W156" s="5" t="e">
        <f t="shared" ca="1" si="76"/>
        <v>#N/A</v>
      </c>
      <c r="X156" s="67">
        <f t="shared" ca="1" si="77"/>
        <v>-1</v>
      </c>
      <c r="Y156" s="67" t="e">
        <f t="shared" ca="1" si="84"/>
        <v>#N/A</v>
      </c>
      <c r="Z156" s="67" t="e">
        <f t="shared" ca="1" si="85"/>
        <v>#N/A</v>
      </c>
      <c r="AA156" s="5" t="str">
        <f>IF(Setup!$I$15="Yes",'Demand background (hide)'!AJ144+'SPC background (hide)'!C156,"")</f>
        <v/>
      </c>
      <c r="AC156" s="5">
        <f t="shared" ca="1" si="78"/>
        <v>551.5</v>
      </c>
      <c r="AD156" s="5">
        <f t="shared" ca="1" si="79"/>
        <v>664</v>
      </c>
    </row>
    <row r="157" spans="1:30" x14ac:dyDescent="0.2">
      <c r="A157" s="67">
        <f ca="1">Demand!C154</f>
        <v>50</v>
      </c>
      <c r="B157" s="67">
        <v>142</v>
      </c>
      <c r="C157" s="5">
        <f ca="1">'Demand background (hide)'!Y145</f>
        <v>550</v>
      </c>
      <c r="D157" s="67">
        <f t="shared" si="63"/>
        <v>1</v>
      </c>
      <c r="E157" s="67" t="e">
        <f t="shared" ca="1" si="64"/>
        <v>#N/A</v>
      </c>
      <c r="F157" s="67" t="e">
        <f t="shared" ca="1" si="65"/>
        <v>#N/A</v>
      </c>
      <c r="G157" s="67" t="e">
        <f t="shared" ca="1" si="66"/>
        <v>#N/A</v>
      </c>
      <c r="H157" s="67" t="e">
        <f>IF('Demand background (hide)'!AN145&lt;&gt;"",'SPC background (hide)'!C157,NA())</f>
        <v>#N/A</v>
      </c>
      <c r="I157" s="67">
        <f t="shared" ca="1" si="67"/>
        <v>1</v>
      </c>
      <c r="J157" s="5">
        <f t="shared" ca="1" si="68"/>
        <v>69.979541734860845</v>
      </c>
      <c r="K157" s="5">
        <f t="shared" ca="1" si="69"/>
        <v>211.65302782324056</v>
      </c>
      <c r="L157" s="5">
        <f t="shared" ca="1" si="70"/>
        <v>353.32651391162028</v>
      </c>
      <c r="M157" s="5">
        <f t="shared" ca="1" si="71"/>
        <v>495</v>
      </c>
      <c r="N157" s="5">
        <f t="shared" ca="1" si="72"/>
        <v>636.67348608837972</v>
      </c>
      <c r="O157" s="5">
        <f t="shared" ca="1" si="73"/>
        <v>778.34697217675944</v>
      </c>
      <c r="P157" s="5">
        <f t="shared" ca="1" si="74"/>
        <v>920.02045826513915</v>
      </c>
      <c r="Q157" s="5" t="e">
        <f t="shared" ca="1" si="75"/>
        <v>#N/A</v>
      </c>
      <c r="R157" s="5">
        <f t="shared" ca="1" si="80"/>
        <v>1</v>
      </c>
      <c r="S157" s="67" t="e">
        <f t="shared" ca="1" si="81"/>
        <v>#N/A</v>
      </c>
      <c r="T157" s="67">
        <f t="shared" ca="1" si="82"/>
        <v>1</v>
      </c>
      <c r="U157" s="67" t="e">
        <f t="shared" ca="1" si="83"/>
        <v>#N/A</v>
      </c>
      <c r="V157" s="5">
        <f t="shared" ca="1" si="62"/>
        <v>1</v>
      </c>
      <c r="W157" s="5" t="e">
        <f t="shared" ca="1" si="76"/>
        <v>#N/A</v>
      </c>
      <c r="X157" s="67">
        <f t="shared" ca="1" si="77"/>
        <v>1</v>
      </c>
      <c r="Y157" s="67" t="e">
        <f t="shared" ca="1" si="84"/>
        <v>#N/A</v>
      </c>
      <c r="Z157" s="67" t="e">
        <f t="shared" ca="1" si="85"/>
        <v>#N/A</v>
      </c>
      <c r="AA157" s="5" t="str">
        <f>IF(Setup!$I$15="Yes",'Demand background (hide)'!AJ145+'SPC background (hide)'!C157,"")</f>
        <v/>
      </c>
      <c r="AC157" s="5">
        <f t="shared" ca="1" si="78"/>
        <v>551.5</v>
      </c>
      <c r="AD157" s="5">
        <f t="shared" ca="1" si="79"/>
        <v>664</v>
      </c>
    </row>
    <row r="158" spans="1:30" x14ac:dyDescent="0.2">
      <c r="A158" s="67">
        <f ca="1">Demand!C155</f>
        <v>51</v>
      </c>
      <c r="B158" s="67">
        <v>143</v>
      </c>
      <c r="C158" s="5">
        <f ca="1">'Demand background (hide)'!Y146</f>
        <v>690</v>
      </c>
      <c r="D158" s="67">
        <f t="shared" si="63"/>
        <v>1</v>
      </c>
      <c r="E158" s="67" t="e">
        <f t="shared" ca="1" si="64"/>
        <v>#N/A</v>
      </c>
      <c r="F158" s="67" t="e">
        <f t="shared" ca="1" si="65"/>
        <v>#N/A</v>
      </c>
      <c r="G158" s="67" t="e">
        <f t="shared" ca="1" si="66"/>
        <v>#N/A</v>
      </c>
      <c r="H158" s="67" t="e">
        <f>IF('Demand background (hide)'!AN146&lt;&gt;"",'SPC background (hide)'!C158,NA())</f>
        <v>#N/A</v>
      </c>
      <c r="I158" s="67">
        <f t="shared" ca="1" si="67"/>
        <v>1</v>
      </c>
      <c r="J158" s="5">
        <f t="shared" ca="1" si="68"/>
        <v>69.979541734860845</v>
      </c>
      <c r="K158" s="5">
        <f t="shared" ca="1" si="69"/>
        <v>211.65302782324056</v>
      </c>
      <c r="L158" s="5">
        <f t="shared" ca="1" si="70"/>
        <v>353.32651391162028</v>
      </c>
      <c r="M158" s="5">
        <f t="shared" ca="1" si="71"/>
        <v>495</v>
      </c>
      <c r="N158" s="5">
        <f t="shared" ca="1" si="72"/>
        <v>636.67348608837972</v>
      </c>
      <c r="O158" s="5">
        <f t="shared" ca="1" si="73"/>
        <v>778.34697217675944</v>
      </c>
      <c r="P158" s="5">
        <f t="shared" ca="1" si="74"/>
        <v>920.02045826513915</v>
      </c>
      <c r="Q158" s="5" t="e">
        <f t="shared" ca="1" si="75"/>
        <v>#N/A</v>
      </c>
      <c r="R158" s="5">
        <f t="shared" ca="1" si="80"/>
        <v>1</v>
      </c>
      <c r="S158" s="67" t="e">
        <f t="shared" ca="1" si="81"/>
        <v>#N/A</v>
      </c>
      <c r="T158" s="67">
        <f t="shared" ca="1" si="82"/>
        <v>2</v>
      </c>
      <c r="U158" s="67" t="e">
        <f t="shared" ca="1" si="83"/>
        <v>#N/A</v>
      </c>
      <c r="V158" s="5">
        <f t="shared" ca="1" si="62"/>
        <v>1</v>
      </c>
      <c r="W158" s="5" t="e">
        <f t="shared" ca="1" si="76"/>
        <v>#N/A</v>
      </c>
      <c r="X158" s="67">
        <f t="shared" ca="1" si="77"/>
        <v>1</v>
      </c>
      <c r="Y158" s="67" t="e">
        <f t="shared" ca="1" si="84"/>
        <v>#N/A</v>
      </c>
      <c r="Z158" s="67" t="e">
        <f t="shared" ca="1" si="85"/>
        <v>#N/A</v>
      </c>
      <c r="AA158" s="5" t="str">
        <f>IF(Setup!$I$15="Yes",'Demand background (hide)'!AJ146+'SPC background (hide)'!C158,"")</f>
        <v/>
      </c>
      <c r="AC158" s="5">
        <f t="shared" ca="1" si="78"/>
        <v>551.5</v>
      </c>
      <c r="AD158" s="5">
        <f t="shared" ca="1" si="79"/>
        <v>664</v>
      </c>
    </row>
    <row r="159" spans="1:30" x14ac:dyDescent="0.2">
      <c r="A159" s="67">
        <f ca="1">Demand!C156</f>
        <v>52</v>
      </c>
      <c r="B159" s="67">
        <v>144</v>
      </c>
      <c r="C159" s="5">
        <f ca="1">'Demand background (hide)'!Y147</f>
        <v>370</v>
      </c>
      <c r="D159" s="67">
        <f t="shared" si="63"/>
        <v>1</v>
      </c>
      <c r="E159" s="67" t="e">
        <f t="shared" ca="1" si="64"/>
        <v>#N/A</v>
      </c>
      <c r="F159" s="67" t="e">
        <f t="shared" ca="1" si="65"/>
        <v>#N/A</v>
      </c>
      <c r="G159" s="67" t="e">
        <f t="shared" ca="1" si="66"/>
        <v>#N/A</v>
      </c>
      <c r="H159" s="67" t="e">
        <f>IF('Demand background (hide)'!AN147&lt;&gt;"",'SPC background (hide)'!C159,NA())</f>
        <v>#N/A</v>
      </c>
      <c r="I159" s="67">
        <f t="shared" ca="1" si="67"/>
        <v>1</v>
      </c>
      <c r="J159" s="5">
        <f t="shared" ca="1" si="68"/>
        <v>69.979541734860845</v>
      </c>
      <c r="K159" s="5">
        <f t="shared" ca="1" si="69"/>
        <v>211.65302782324056</v>
      </c>
      <c r="L159" s="5">
        <f t="shared" ca="1" si="70"/>
        <v>353.32651391162028</v>
      </c>
      <c r="M159" s="5">
        <f t="shared" ca="1" si="71"/>
        <v>495</v>
      </c>
      <c r="N159" s="5">
        <f t="shared" ca="1" si="72"/>
        <v>636.67348608837972</v>
      </c>
      <c r="O159" s="5">
        <f t="shared" ca="1" si="73"/>
        <v>778.34697217675944</v>
      </c>
      <c r="P159" s="5">
        <f t="shared" ca="1" si="74"/>
        <v>920.02045826513915</v>
      </c>
      <c r="Q159" s="5" t="e">
        <f t="shared" ca="1" si="75"/>
        <v>#N/A</v>
      </c>
      <c r="R159" s="5">
        <f t="shared" ca="1" si="80"/>
        <v>-1</v>
      </c>
      <c r="S159" s="67" t="e">
        <f t="shared" ca="1" si="81"/>
        <v>#N/A</v>
      </c>
      <c r="T159" s="67">
        <f t="shared" ca="1" si="82"/>
        <v>-1</v>
      </c>
      <c r="U159" s="67" t="e">
        <f t="shared" ca="1" si="83"/>
        <v>#N/A</v>
      </c>
      <c r="V159" s="5">
        <f t="shared" ca="1" si="62"/>
        <v>-1</v>
      </c>
      <c r="W159" s="5" t="e">
        <f t="shared" ca="1" si="76"/>
        <v>#N/A</v>
      </c>
      <c r="X159" s="67">
        <f t="shared" ca="1" si="77"/>
        <v>-1</v>
      </c>
      <c r="Y159" s="67" t="e">
        <f t="shared" ca="1" si="84"/>
        <v>#N/A</v>
      </c>
      <c r="Z159" s="67" t="e">
        <f t="shared" ca="1" si="85"/>
        <v>#N/A</v>
      </c>
      <c r="AA159" s="5" t="str">
        <f>IF(Setup!$I$15="Yes",'Demand background (hide)'!AJ147+'SPC background (hide)'!C159,"")</f>
        <v/>
      </c>
      <c r="AC159" s="5">
        <f t="shared" ca="1" si="78"/>
        <v>551.5</v>
      </c>
      <c r="AD159" s="5">
        <f t="shared" ca="1" si="79"/>
        <v>664</v>
      </c>
    </row>
    <row r="160" spans="1:30" x14ac:dyDescent="0.2">
      <c r="A160" s="67">
        <f ca="1">Demand!C157</f>
        <v>1</v>
      </c>
      <c r="B160" s="67">
        <v>145</v>
      </c>
      <c r="C160" s="5">
        <f ca="1">'Demand background (hide)'!Y148</f>
        <v>560</v>
      </c>
      <c r="D160" s="67">
        <f t="shared" si="63"/>
        <v>1</v>
      </c>
      <c r="E160" s="67" t="e">
        <f t="shared" ca="1" si="64"/>
        <v>#N/A</v>
      </c>
      <c r="F160" s="67" t="e">
        <f t="shared" ca="1" si="65"/>
        <v>#N/A</v>
      </c>
      <c r="G160" s="67" t="e">
        <f t="shared" ca="1" si="66"/>
        <v>#N/A</v>
      </c>
      <c r="H160" s="67" t="e">
        <f>IF('Demand background (hide)'!AN148&lt;&gt;"",'SPC background (hide)'!C160,NA())</f>
        <v>#N/A</v>
      </c>
      <c r="I160" s="67">
        <f t="shared" ca="1" si="67"/>
        <v>1</v>
      </c>
      <c r="J160" s="5">
        <f t="shared" ca="1" si="68"/>
        <v>69.979541734860845</v>
      </c>
      <c r="K160" s="5">
        <f t="shared" ca="1" si="69"/>
        <v>211.65302782324056</v>
      </c>
      <c r="L160" s="5">
        <f t="shared" ca="1" si="70"/>
        <v>353.32651391162028</v>
      </c>
      <c r="M160" s="5">
        <f t="shared" ca="1" si="71"/>
        <v>495</v>
      </c>
      <c r="N160" s="5">
        <f t="shared" ca="1" si="72"/>
        <v>636.67348608837972</v>
      </c>
      <c r="O160" s="5">
        <f t="shared" ca="1" si="73"/>
        <v>778.34697217675944</v>
      </c>
      <c r="P160" s="5">
        <f t="shared" ca="1" si="74"/>
        <v>920.02045826513915</v>
      </c>
      <c r="Q160" s="5" t="e">
        <f t="shared" ca="1" si="75"/>
        <v>#N/A</v>
      </c>
      <c r="R160" s="5">
        <f t="shared" ca="1" si="80"/>
        <v>1</v>
      </c>
      <c r="S160" s="67" t="e">
        <f t="shared" ca="1" si="81"/>
        <v>#N/A</v>
      </c>
      <c r="T160" s="67">
        <f t="shared" ca="1" si="82"/>
        <v>1</v>
      </c>
      <c r="U160" s="67" t="e">
        <f t="shared" ca="1" si="83"/>
        <v>#N/A</v>
      </c>
      <c r="V160" s="5">
        <f t="shared" ca="1" si="62"/>
        <v>1</v>
      </c>
      <c r="W160" s="5" t="e">
        <f t="shared" ca="1" si="76"/>
        <v>#N/A</v>
      </c>
      <c r="X160" s="67">
        <f t="shared" ca="1" si="77"/>
        <v>1</v>
      </c>
      <c r="Y160" s="67" t="e">
        <f t="shared" ca="1" si="84"/>
        <v>#N/A</v>
      </c>
      <c r="Z160" s="67" t="e">
        <f t="shared" ca="1" si="85"/>
        <v>#N/A</v>
      </c>
      <c r="AA160" s="5" t="str">
        <f>IF(Setup!$I$15="Yes",'Demand background (hide)'!AJ148+'SPC background (hide)'!C160,"")</f>
        <v/>
      </c>
      <c r="AC160" s="5">
        <f t="shared" ca="1" si="78"/>
        <v>551.5</v>
      </c>
      <c r="AD160" s="5">
        <f t="shared" ca="1" si="79"/>
        <v>664</v>
      </c>
    </row>
    <row r="161" spans="1:30" x14ac:dyDescent="0.2">
      <c r="A161" s="67">
        <f ca="1">Demand!C158</f>
        <v>2</v>
      </c>
      <c r="B161" s="67">
        <v>146</v>
      </c>
      <c r="C161" s="5">
        <f ca="1">'Demand background (hide)'!Y149</f>
        <v>270</v>
      </c>
      <c r="D161" s="67">
        <f t="shared" si="63"/>
        <v>1</v>
      </c>
      <c r="E161" s="67" t="e">
        <f t="shared" ca="1" si="64"/>
        <v>#N/A</v>
      </c>
      <c r="F161" s="67" t="e">
        <f t="shared" ca="1" si="65"/>
        <v>#N/A</v>
      </c>
      <c r="G161" s="67" t="e">
        <f t="shared" ca="1" si="66"/>
        <v>#N/A</v>
      </c>
      <c r="H161" s="67" t="e">
        <f>IF('Demand background (hide)'!AN149&lt;&gt;"",'SPC background (hide)'!C161,NA())</f>
        <v>#N/A</v>
      </c>
      <c r="I161" s="67">
        <f t="shared" ca="1" si="67"/>
        <v>1</v>
      </c>
      <c r="J161" s="5">
        <f t="shared" ca="1" si="68"/>
        <v>69.979541734860845</v>
      </c>
      <c r="K161" s="5">
        <f t="shared" ca="1" si="69"/>
        <v>211.65302782324056</v>
      </c>
      <c r="L161" s="5">
        <f t="shared" ca="1" si="70"/>
        <v>353.32651391162028</v>
      </c>
      <c r="M161" s="5">
        <f t="shared" ca="1" si="71"/>
        <v>495</v>
      </c>
      <c r="N161" s="5">
        <f t="shared" ca="1" si="72"/>
        <v>636.67348608837972</v>
      </c>
      <c r="O161" s="5">
        <f t="shared" ca="1" si="73"/>
        <v>778.34697217675944</v>
      </c>
      <c r="P161" s="5">
        <f t="shared" ca="1" si="74"/>
        <v>920.02045826513915</v>
      </c>
      <c r="Q161" s="5" t="e">
        <f t="shared" ca="1" si="75"/>
        <v>#N/A</v>
      </c>
      <c r="R161" s="5">
        <f t="shared" ca="1" si="80"/>
        <v>-1</v>
      </c>
      <c r="S161" s="67" t="e">
        <f t="shared" ca="1" si="81"/>
        <v>#N/A</v>
      </c>
      <c r="T161" s="67">
        <f t="shared" ca="1" si="82"/>
        <v>-2</v>
      </c>
      <c r="U161" s="67" t="e">
        <f t="shared" ca="1" si="83"/>
        <v>#N/A</v>
      </c>
      <c r="V161" s="5">
        <f t="shared" ca="1" si="62"/>
        <v>-1</v>
      </c>
      <c r="W161" s="5" t="e">
        <f t="shared" ca="1" si="76"/>
        <v>#N/A</v>
      </c>
      <c r="X161" s="67">
        <f t="shared" ca="1" si="77"/>
        <v>-1</v>
      </c>
      <c r="Y161" s="67" t="e">
        <f t="shared" ca="1" si="84"/>
        <v>#N/A</v>
      </c>
      <c r="Z161" s="67" t="e">
        <f t="shared" ca="1" si="85"/>
        <v>#N/A</v>
      </c>
      <c r="AA161" s="5" t="str">
        <f>IF(Setup!$I$15="Yes",'Demand background (hide)'!AJ149+'SPC background (hide)'!C161,"")</f>
        <v/>
      </c>
      <c r="AC161" s="5">
        <f t="shared" ca="1" si="78"/>
        <v>551.5</v>
      </c>
      <c r="AD161" s="5">
        <f t="shared" ca="1" si="79"/>
        <v>664</v>
      </c>
    </row>
    <row r="162" spans="1:30" x14ac:dyDescent="0.2">
      <c r="A162" s="67">
        <f ca="1">Demand!C159</f>
        <v>3</v>
      </c>
      <c r="B162" s="67">
        <v>147</v>
      </c>
      <c r="C162" s="5">
        <f ca="1">'Demand background (hide)'!Y150</f>
        <v>450</v>
      </c>
      <c r="D162" s="67">
        <f t="shared" si="63"/>
        <v>1</v>
      </c>
      <c r="E162" s="67" t="e">
        <f t="shared" ca="1" si="64"/>
        <v>#N/A</v>
      </c>
      <c r="F162" s="67" t="e">
        <f t="shared" ca="1" si="65"/>
        <v>#N/A</v>
      </c>
      <c r="G162" s="67" t="e">
        <f t="shared" ca="1" si="66"/>
        <v>#N/A</v>
      </c>
      <c r="H162" s="67" t="e">
        <f>IF('Demand background (hide)'!AN150&lt;&gt;"",'SPC background (hide)'!C162,NA())</f>
        <v>#N/A</v>
      </c>
      <c r="I162" s="67">
        <f t="shared" ca="1" si="67"/>
        <v>1</v>
      </c>
      <c r="J162" s="5">
        <f t="shared" ca="1" si="68"/>
        <v>69.979541734860845</v>
      </c>
      <c r="K162" s="5">
        <f t="shared" ca="1" si="69"/>
        <v>211.65302782324056</v>
      </c>
      <c r="L162" s="5">
        <f t="shared" ca="1" si="70"/>
        <v>353.32651391162028</v>
      </c>
      <c r="M162" s="5">
        <f t="shared" ca="1" si="71"/>
        <v>495</v>
      </c>
      <c r="N162" s="5">
        <f t="shared" ca="1" si="72"/>
        <v>636.67348608837972</v>
      </c>
      <c r="O162" s="5">
        <f t="shared" ca="1" si="73"/>
        <v>778.34697217675944</v>
      </c>
      <c r="P162" s="5">
        <f t="shared" ca="1" si="74"/>
        <v>920.02045826513915</v>
      </c>
      <c r="Q162" s="5" t="e">
        <f t="shared" ca="1" si="75"/>
        <v>#N/A</v>
      </c>
      <c r="R162" s="5">
        <f t="shared" ca="1" si="80"/>
        <v>-1</v>
      </c>
      <c r="S162" s="67" t="e">
        <f t="shared" ca="1" si="81"/>
        <v>#N/A</v>
      </c>
      <c r="T162" s="67">
        <f t="shared" ca="1" si="82"/>
        <v>-1</v>
      </c>
      <c r="U162" s="67" t="e">
        <f t="shared" ca="1" si="83"/>
        <v>#N/A</v>
      </c>
      <c r="V162" s="5">
        <f t="shared" ca="1" si="62"/>
        <v>-1</v>
      </c>
      <c r="W162" s="5" t="e">
        <f t="shared" ca="1" si="76"/>
        <v>#N/A</v>
      </c>
      <c r="X162" s="67">
        <f t="shared" ca="1" si="77"/>
        <v>1</v>
      </c>
      <c r="Y162" s="67" t="e">
        <f t="shared" ca="1" si="84"/>
        <v>#N/A</v>
      </c>
      <c r="Z162" s="67" t="e">
        <f t="shared" ca="1" si="85"/>
        <v>#N/A</v>
      </c>
      <c r="AA162" s="5" t="str">
        <f>IF(Setup!$I$15="Yes",'Demand background (hide)'!AJ150+'SPC background (hide)'!C162,"")</f>
        <v/>
      </c>
      <c r="AC162" s="5">
        <f t="shared" ca="1" si="78"/>
        <v>551.5</v>
      </c>
      <c r="AD162" s="5">
        <f t="shared" ca="1" si="79"/>
        <v>664</v>
      </c>
    </row>
    <row r="163" spans="1:30" x14ac:dyDescent="0.2">
      <c r="A163" s="67">
        <f ca="1">Demand!C160</f>
        <v>4</v>
      </c>
      <c r="B163" s="67">
        <v>148</v>
      </c>
      <c r="C163" s="5">
        <f ca="1">'Demand background (hide)'!Y151</f>
        <v>750</v>
      </c>
      <c r="D163" s="67">
        <f t="shared" si="63"/>
        <v>1</v>
      </c>
      <c r="E163" s="67" t="e">
        <f t="shared" ca="1" si="64"/>
        <v>#N/A</v>
      </c>
      <c r="F163" s="67" t="e">
        <f t="shared" ca="1" si="65"/>
        <v>#N/A</v>
      </c>
      <c r="G163" s="67" t="e">
        <f t="shared" ca="1" si="66"/>
        <v>#N/A</v>
      </c>
      <c r="H163" s="67" t="e">
        <f>IF('Demand background (hide)'!AN151&lt;&gt;"",'SPC background (hide)'!C163,NA())</f>
        <v>#N/A</v>
      </c>
      <c r="I163" s="67">
        <f t="shared" ca="1" si="67"/>
        <v>1</v>
      </c>
      <c r="J163" s="5">
        <f t="shared" ca="1" si="68"/>
        <v>69.979541734860845</v>
      </c>
      <c r="K163" s="5">
        <f t="shared" ca="1" si="69"/>
        <v>211.65302782324056</v>
      </c>
      <c r="L163" s="5">
        <f t="shared" ca="1" si="70"/>
        <v>353.32651391162028</v>
      </c>
      <c r="M163" s="5">
        <f t="shared" ca="1" si="71"/>
        <v>495</v>
      </c>
      <c r="N163" s="5">
        <f t="shared" ca="1" si="72"/>
        <v>636.67348608837972</v>
      </c>
      <c r="O163" s="5">
        <f t="shared" ca="1" si="73"/>
        <v>778.34697217675944</v>
      </c>
      <c r="P163" s="5">
        <f t="shared" ca="1" si="74"/>
        <v>920.02045826513915</v>
      </c>
      <c r="Q163" s="5" t="e">
        <f t="shared" ca="1" si="75"/>
        <v>#N/A</v>
      </c>
      <c r="R163" s="5">
        <f t="shared" ca="1" si="80"/>
        <v>1</v>
      </c>
      <c r="S163" s="67" t="e">
        <f t="shared" ca="1" si="81"/>
        <v>#N/A</v>
      </c>
      <c r="T163" s="67">
        <f t="shared" ca="1" si="82"/>
        <v>2</v>
      </c>
      <c r="U163" s="67" t="e">
        <f t="shared" ca="1" si="83"/>
        <v>#N/A</v>
      </c>
      <c r="V163" s="5">
        <f t="shared" ca="1" si="62"/>
        <v>1</v>
      </c>
      <c r="W163" s="5" t="e">
        <f t="shared" ca="1" si="76"/>
        <v>#N/A</v>
      </c>
      <c r="X163" s="67">
        <f t="shared" ca="1" si="77"/>
        <v>1</v>
      </c>
      <c r="Y163" s="67" t="e">
        <f t="shared" ca="1" si="84"/>
        <v>#N/A</v>
      </c>
      <c r="Z163" s="67" t="e">
        <f t="shared" ca="1" si="85"/>
        <v>#N/A</v>
      </c>
      <c r="AA163" s="5" t="str">
        <f>IF(Setup!$I$15="Yes",'Demand background (hide)'!AJ151+'SPC background (hide)'!C163,"")</f>
        <v/>
      </c>
      <c r="AC163" s="5">
        <f t="shared" ca="1" si="78"/>
        <v>551.5</v>
      </c>
      <c r="AD163" s="5">
        <f t="shared" ca="1" si="79"/>
        <v>664</v>
      </c>
    </row>
    <row r="164" spans="1:30" x14ac:dyDescent="0.2">
      <c r="A164" s="67">
        <f ca="1">Demand!C161</f>
        <v>5</v>
      </c>
      <c r="B164" s="67">
        <v>149</v>
      </c>
      <c r="C164" s="5">
        <f ca="1">'Demand background (hide)'!Y152</f>
        <v>390</v>
      </c>
      <c r="D164" s="67">
        <f t="shared" si="63"/>
        <v>1</v>
      </c>
      <c r="E164" s="67" t="e">
        <f t="shared" ca="1" si="64"/>
        <v>#N/A</v>
      </c>
      <c r="F164" s="67" t="e">
        <f t="shared" ca="1" si="65"/>
        <v>#N/A</v>
      </c>
      <c r="G164" s="67" t="e">
        <f t="shared" ca="1" si="66"/>
        <v>#N/A</v>
      </c>
      <c r="H164" s="67" t="e">
        <f>IF('Demand background (hide)'!AN152&lt;&gt;"",'SPC background (hide)'!C164,NA())</f>
        <v>#N/A</v>
      </c>
      <c r="I164" s="67">
        <f t="shared" ca="1" si="67"/>
        <v>1</v>
      </c>
      <c r="J164" s="5">
        <f t="shared" ca="1" si="68"/>
        <v>69.979541734860845</v>
      </c>
      <c r="K164" s="5">
        <f t="shared" ca="1" si="69"/>
        <v>211.65302782324056</v>
      </c>
      <c r="L164" s="5">
        <f t="shared" ca="1" si="70"/>
        <v>353.32651391162028</v>
      </c>
      <c r="M164" s="5">
        <f t="shared" ca="1" si="71"/>
        <v>495</v>
      </c>
      <c r="N164" s="5">
        <f t="shared" ca="1" si="72"/>
        <v>636.67348608837972</v>
      </c>
      <c r="O164" s="5">
        <f t="shared" ca="1" si="73"/>
        <v>778.34697217675944</v>
      </c>
      <c r="P164" s="5">
        <f t="shared" ca="1" si="74"/>
        <v>920.02045826513915</v>
      </c>
      <c r="Q164" s="5" t="e">
        <f t="shared" ca="1" si="75"/>
        <v>#N/A</v>
      </c>
      <c r="R164" s="5">
        <f t="shared" ca="1" si="80"/>
        <v>-1</v>
      </c>
      <c r="S164" s="67" t="e">
        <f t="shared" ca="1" si="81"/>
        <v>#N/A</v>
      </c>
      <c r="T164" s="67">
        <f t="shared" ca="1" si="82"/>
        <v>-1</v>
      </c>
      <c r="U164" s="67" t="e">
        <f t="shared" ca="1" si="83"/>
        <v>#N/A</v>
      </c>
      <c r="V164" s="5">
        <f t="shared" ca="1" si="62"/>
        <v>-1</v>
      </c>
      <c r="W164" s="5" t="e">
        <f t="shared" ca="1" si="76"/>
        <v>#N/A</v>
      </c>
      <c r="X164" s="67">
        <f t="shared" ca="1" si="77"/>
        <v>-1</v>
      </c>
      <c r="Y164" s="67" t="e">
        <f t="shared" ca="1" si="84"/>
        <v>#N/A</v>
      </c>
      <c r="Z164" s="67" t="e">
        <f t="shared" ca="1" si="85"/>
        <v>#N/A</v>
      </c>
      <c r="AA164" s="5" t="str">
        <f>IF(Setup!$I$15="Yes",'Demand background (hide)'!AJ152+'SPC background (hide)'!C164,"")</f>
        <v/>
      </c>
      <c r="AC164" s="5">
        <f t="shared" ca="1" si="78"/>
        <v>551.5</v>
      </c>
      <c r="AD164" s="5">
        <f t="shared" ca="1" si="79"/>
        <v>664</v>
      </c>
    </row>
    <row r="165" spans="1:30" x14ac:dyDescent="0.2">
      <c r="A165" s="67">
        <f ca="1">Demand!C162</f>
        <v>6</v>
      </c>
      <c r="B165" s="67">
        <v>150</v>
      </c>
      <c r="C165" s="5">
        <f ca="1">'Demand background (hide)'!Y153</f>
        <v>620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69.979541734860845</v>
      </c>
      <c r="K165" s="5">
        <f t="shared" ca="1" si="69"/>
        <v>211.65302782324056</v>
      </c>
      <c r="L165" s="5">
        <f t="shared" ca="1" si="70"/>
        <v>353.32651391162028</v>
      </c>
      <c r="M165" s="5">
        <f t="shared" ca="1" si="71"/>
        <v>495</v>
      </c>
      <c r="N165" s="5">
        <f t="shared" ca="1" si="72"/>
        <v>636.67348608837972</v>
      </c>
      <c r="O165" s="5">
        <f t="shared" ca="1" si="73"/>
        <v>778.34697217675944</v>
      </c>
      <c r="P165" s="5">
        <f t="shared" ca="1" si="74"/>
        <v>920.02045826513915</v>
      </c>
      <c r="Q165" s="5" t="e">
        <f t="shared" ca="1" si="75"/>
        <v>#N/A</v>
      </c>
      <c r="R165" s="5">
        <f t="shared" ca="1" si="80"/>
        <v>1</v>
      </c>
      <c r="S165" s="67" t="e">
        <f t="shared" ca="1" si="81"/>
        <v>#N/A</v>
      </c>
      <c r="T165" s="67">
        <f t="shared" ca="1" si="82"/>
        <v>1</v>
      </c>
      <c r="U165" s="67" t="e">
        <f t="shared" ca="1" si="83"/>
        <v>#N/A</v>
      </c>
      <c r="V165" s="5">
        <f t="shared" ca="1" si="62"/>
        <v>1</v>
      </c>
      <c r="W165" s="5" t="e">
        <f t="shared" ca="1" si="76"/>
        <v>#N/A</v>
      </c>
      <c r="X165" s="67">
        <f t="shared" ca="1" si="77"/>
        <v>1</v>
      </c>
      <c r="Y165" s="67" t="e">
        <f t="shared" ca="1" si="84"/>
        <v>#N/A</v>
      </c>
      <c r="Z165" s="67" t="e">
        <f t="shared" ca="1" si="85"/>
        <v>#N/A</v>
      </c>
      <c r="AA165" s="5" t="str">
        <f>IF(Setup!$I$15="Yes",'Demand background (hide)'!AJ153+'SPC background (hide)'!C165,"")</f>
        <v/>
      </c>
      <c r="AC165" s="5">
        <f t="shared" ca="1" si="78"/>
        <v>551.5</v>
      </c>
      <c r="AD165" s="5">
        <f t="shared" ca="1" si="79"/>
        <v>664</v>
      </c>
    </row>
    <row r="166" spans="1:30" x14ac:dyDescent="0.2">
      <c r="A166" s="67">
        <f ca="1">Demand!C163</f>
        <v>7</v>
      </c>
      <c r="B166" s="67">
        <v>151</v>
      </c>
      <c r="C166" s="5">
        <f ca="1">'Demand background (hide)'!Y154</f>
        <v>340</v>
      </c>
      <c r="D166" s="67">
        <f t="shared" si="63"/>
        <v>1</v>
      </c>
      <c r="E166" s="67" t="e">
        <f t="shared" ca="1" si="64"/>
        <v>#N/A</v>
      </c>
      <c r="F166" s="67" t="e">
        <f t="shared" ca="1" si="65"/>
        <v>#N/A</v>
      </c>
      <c r="G166" s="67" t="e">
        <f t="shared" ca="1" si="66"/>
        <v>#N/A</v>
      </c>
      <c r="H166" s="67" t="e">
        <f>IF('Demand background (hide)'!AN154&lt;&gt;"",'SPC background (hide)'!C166,NA())</f>
        <v>#N/A</v>
      </c>
      <c r="I166" s="67">
        <f t="shared" ca="1" si="67"/>
        <v>1</v>
      </c>
      <c r="J166" s="5">
        <f t="shared" ca="1" si="68"/>
        <v>69.979541734860845</v>
      </c>
      <c r="K166" s="5">
        <f t="shared" ca="1" si="69"/>
        <v>211.65302782324056</v>
      </c>
      <c r="L166" s="5">
        <f t="shared" ca="1" si="70"/>
        <v>353.32651391162028</v>
      </c>
      <c r="M166" s="5">
        <f t="shared" ca="1" si="71"/>
        <v>495</v>
      </c>
      <c r="N166" s="5">
        <f t="shared" ca="1" si="72"/>
        <v>636.67348608837972</v>
      </c>
      <c r="O166" s="5">
        <f t="shared" ca="1" si="73"/>
        <v>778.34697217675944</v>
      </c>
      <c r="P166" s="5">
        <f t="shared" ca="1" si="74"/>
        <v>920.02045826513915</v>
      </c>
      <c r="Q166" s="5" t="e">
        <f t="shared" ca="1" si="75"/>
        <v>#N/A</v>
      </c>
      <c r="R166" s="5">
        <f t="shared" ca="1" si="80"/>
        <v>-1</v>
      </c>
      <c r="S166" s="67" t="e">
        <f t="shared" ca="1" si="81"/>
        <v>#N/A</v>
      </c>
      <c r="T166" s="67">
        <f t="shared" ca="1" si="82"/>
        <v>-2</v>
      </c>
      <c r="U166" s="67" t="e">
        <f t="shared" ca="1" si="83"/>
        <v>#N/A</v>
      </c>
      <c r="V166" s="5">
        <f t="shared" ca="1" si="62"/>
        <v>-1</v>
      </c>
      <c r="W166" s="5" t="e">
        <f t="shared" ca="1" si="76"/>
        <v>#N/A</v>
      </c>
      <c r="X166" s="67">
        <f t="shared" ca="1" si="77"/>
        <v>-1</v>
      </c>
      <c r="Y166" s="67" t="e">
        <f t="shared" ca="1" si="84"/>
        <v>#N/A</v>
      </c>
      <c r="Z166" s="67" t="e">
        <f t="shared" ca="1" si="85"/>
        <v>#N/A</v>
      </c>
      <c r="AA166" s="5" t="str">
        <f>IF(Setup!$I$15="Yes",'Demand background (hide)'!AJ154+'SPC background (hide)'!C166,"")</f>
        <v/>
      </c>
      <c r="AC166" s="5">
        <f t="shared" ca="1" si="78"/>
        <v>551.5</v>
      </c>
      <c r="AD166" s="5">
        <f t="shared" ca="1" si="79"/>
        <v>664</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7" t="e">
        <f t="shared" ca="1" si="81"/>
        <v>#N/A</v>
      </c>
      <c r="T167" s="67" t="e">
        <f t="shared" ca="1" si="82"/>
        <v>#N/A</v>
      </c>
      <c r="U167" s="67" t="e">
        <f t="shared" ca="1" si="83"/>
        <v>#N/A</v>
      </c>
      <c r="V167" s="5" t="e">
        <f t="shared" ca="1" si="62"/>
        <v>#N/A</v>
      </c>
      <c r="W167" s="5" t="e">
        <f t="shared" ca="1" si="76"/>
        <v>#N/A</v>
      </c>
      <c r="X167" s="67">
        <f t="shared" ca="1" si="77"/>
        <v>-1</v>
      </c>
      <c r="Y167" s="67" t="e">
        <f t="shared" ca="1" si="84"/>
        <v>#N/A</v>
      </c>
      <c r="Z167" s="67" t="e">
        <f t="shared" ca="1" si="85"/>
        <v>#N/A</v>
      </c>
      <c r="AA167" s="5" t="str">
        <f>IF(Setup!$I$15="Yes",'Demand background (hide)'!AJ155+'SPC background (hide)'!C167,"")</f>
        <v/>
      </c>
      <c r="AC167" s="5" t="e">
        <f t="shared" ca="1" si="78"/>
        <v>#N/A</v>
      </c>
      <c r="AD167" s="5" t="e">
        <f t="shared" ca="1" si="79"/>
        <v>#N/A</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7" t="e">
        <f t="shared" ca="1" si="81"/>
        <v>#N/A</v>
      </c>
      <c r="T168" s="67" t="e">
        <f t="shared" ca="1" si="82"/>
        <v>#N/A</v>
      </c>
      <c r="U168" s="67" t="e">
        <f t="shared" ca="1" si="83"/>
        <v>#N/A</v>
      </c>
      <c r="V168" s="5" t="e">
        <f t="shared" ca="1" si="62"/>
        <v>#N/A</v>
      </c>
      <c r="W168" s="5" t="e">
        <f t="shared" ca="1" si="76"/>
        <v>#N/A</v>
      </c>
      <c r="X168" s="67">
        <f t="shared" ca="1" si="77"/>
        <v>0</v>
      </c>
      <c r="Y168" s="67" t="e">
        <f t="shared" ca="1" si="84"/>
        <v>#N/A</v>
      </c>
      <c r="Z168" s="67" t="e">
        <f t="shared" ca="1" si="85"/>
        <v>#N/A</v>
      </c>
      <c r="AA168" s="5" t="str">
        <f>IF(Setup!$I$15="Yes",'Demand background (hide)'!AJ156+'SPC background (hide)'!C168,"")</f>
        <v/>
      </c>
      <c r="AC168" s="5" t="e">
        <f t="shared" ca="1" si="78"/>
        <v>#N/A</v>
      </c>
      <c r="AD168" s="5" t="e">
        <f t="shared" ca="1" si="79"/>
        <v>#N/A</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7" t="e">
        <f t="shared" ca="1" si="81"/>
        <v>#N/A</v>
      </c>
      <c r="T169" s="67" t="e">
        <f t="shared" ca="1" si="82"/>
        <v>#N/A</v>
      </c>
      <c r="U169" s="67" t="e">
        <f t="shared" ca="1" si="83"/>
        <v>#N/A</v>
      </c>
      <c r="V169" s="5" t="e">
        <f t="shared" ca="1" si="62"/>
        <v>#N/A</v>
      </c>
      <c r="W169" s="5" t="e">
        <f t="shared" ca="1" si="76"/>
        <v>#N/A</v>
      </c>
      <c r="X169" s="67">
        <f t="shared" ca="1" si="77"/>
        <v>0</v>
      </c>
      <c r="Y169" s="67" t="e">
        <f t="shared" ca="1" si="84"/>
        <v>#N/A</v>
      </c>
      <c r="Z169" s="67" t="e">
        <f t="shared" ca="1" si="85"/>
        <v>#N/A</v>
      </c>
      <c r="AA169" s="5" t="str">
        <f>IF(Setup!$I$15="Yes",'Demand background (hide)'!AJ157+'SPC background (hide)'!C169,"")</f>
        <v/>
      </c>
      <c r="AC169" s="5" t="e">
        <f t="shared" ca="1" si="78"/>
        <v>#N/A</v>
      </c>
      <c r="AD169" s="5" t="e">
        <f t="shared" ca="1" si="79"/>
        <v>#N/A</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7" t="e">
        <f t="shared" ca="1" si="81"/>
        <v>#N/A</v>
      </c>
      <c r="T170" s="67" t="e">
        <f t="shared" ca="1" si="82"/>
        <v>#N/A</v>
      </c>
      <c r="U170" s="67" t="e">
        <f t="shared" ca="1" si="83"/>
        <v>#N/A</v>
      </c>
      <c r="V170" s="5" t="e">
        <f t="shared" ca="1" si="62"/>
        <v>#N/A</v>
      </c>
      <c r="W170" s="5" t="e">
        <f t="shared" ca="1" si="76"/>
        <v>#N/A</v>
      </c>
      <c r="X170" s="67">
        <f t="shared" ca="1" si="77"/>
        <v>0</v>
      </c>
      <c r="Y170" s="67" t="e">
        <f t="shared" ca="1" si="84"/>
        <v>#N/A</v>
      </c>
      <c r="Z170" s="67" t="e">
        <f t="shared" ca="1" si="85"/>
        <v>#N/A</v>
      </c>
      <c r="AA170" s="5" t="str">
        <f>IF(Setup!$I$15="Yes",'Demand background (hide)'!AJ158+'SPC background (hide)'!C170,"")</f>
        <v/>
      </c>
      <c r="AC170" s="5" t="e">
        <f t="shared" ca="1" si="78"/>
        <v>#N/A</v>
      </c>
      <c r="AD170" s="5" t="e">
        <f t="shared" ca="1" si="79"/>
        <v>#N/A</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7" t="e">
        <f t="shared" ca="1" si="81"/>
        <v>#N/A</v>
      </c>
      <c r="T171" s="67" t="e">
        <f t="shared" ca="1" si="82"/>
        <v>#N/A</v>
      </c>
      <c r="U171" s="67" t="e">
        <f t="shared" ca="1" si="83"/>
        <v>#N/A</v>
      </c>
      <c r="V171" s="5" t="e">
        <f t="shared" ca="1" si="62"/>
        <v>#N/A</v>
      </c>
      <c r="W171" s="5" t="e">
        <f t="shared" ca="1" si="76"/>
        <v>#N/A</v>
      </c>
      <c r="X171" s="67">
        <f t="shared" ca="1" si="77"/>
        <v>0</v>
      </c>
      <c r="Y171" s="67" t="e">
        <f t="shared" ca="1" si="84"/>
        <v>#N/A</v>
      </c>
      <c r="Z171" s="67" t="e">
        <f t="shared" ca="1" si="85"/>
        <v>#N/A</v>
      </c>
      <c r="AA171" s="5" t="str">
        <f>IF(Setup!$I$15="Yes",'Demand background (hide)'!AJ159+'SPC background (hide)'!C171,"")</f>
        <v/>
      </c>
      <c r="AC171" s="5" t="e">
        <f t="shared" ca="1" si="78"/>
        <v>#N/A</v>
      </c>
      <c r="AD171" s="5" t="e">
        <f t="shared" ca="1" si="79"/>
        <v>#N/A</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7" t="e">
        <f t="shared" ca="1" si="81"/>
        <v>#N/A</v>
      </c>
      <c r="T172" s="67" t="e">
        <f t="shared" ca="1" si="82"/>
        <v>#N/A</v>
      </c>
      <c r="U172" s="67" t="e">
        <f t="shared" ca="1" si="83"/>
        <v>#N/A</v>
      </c>
      <c r="V172" s="5" t="e">
        <f t="shared" ca="1" si="62"/>
        <v>#N/A</v>
      </c>
      <c r="W172" s="5" t="e">
        <f t="shared" ca="1" si="76"/>
        <v>#N/A</v>
      </c>
      <c r="X172" s="67">
        <f t="shared" ca="1" si="77"/>
        <v>0</v>
      </c>
      <c r="Y172" s="67" t="e">
        <f t="shared" ca="1" si="84"/>
        <v>#N/A</v>
      </c>
      <c r="Z172" s="67" t="e">
        <f t="shared" ca="1" si="85"/>
        <v>#N/A</v>
      </c>
      <c r="AA172" s="5" t="str">
        <f>IF(Setup!$I$15="Yes",'Demand background (hide)'!AJ160+'SPC background (hide)'!C172,"")</f>
        <v/>
      </c>
      <c r="AC172" s="5" t="e">
        <f t="shared" ca="1" si="78"/>
        <v>#N/A</v>
      </c>
      <c r="AD172" s="5" t="e">
        <f t="shared" ca="1" si="79"/>
        <v>#N/A</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7" t="e">
        <f t="shared" ca="1" si="81"/>
        <v>#N/A</v>
      </c>
      <c r="T173" s="67" t="e">
        <f t="shared" ca="1" si="82"/>
        <v>#N/A</v>
      </c>
      <c r="U173" s="67" t="e">
        <f t="shared" ca="1" si="83"/>
        <v>#N/A</v>
      </c>
      <c r="V173" s="5" t="e">
        <f t="shared" ca="1" si="62"/>
        <v>#N/A</v>
      </c>
      <c r="W173" s="5" t="e">
        <f t="shared" ca="1" si="76"/>
        <v>#N/A</v>
      </c>
      <c r="X173" s="67">
        <f t="shared" ca="1" si="77"/>
        <v>0</v>
      </c>
      <c r="Y173" s="67" t="e">
        <f t="shared" ca="1" si="84"/>
        <v>#N/A</v>
      </c>
      <c r="Z173" s="67" t="e">
        <f t="shared" ca="1" si="85"/>
        <v>#N/A</v>
      </c>
      <c r="AA173" s="5" t="str">
        <f>IF(Setup!$I$15="Yes",'Demand background (hide)'!AJ161+'SPC background (hide)'!C173,"")</f>
        <v/>
      </c>
      <c r="AC173" s="5" t="e">
        <f t="shared" ca="1" si="78"/>
        <v>#N/A</v>
      </c>
      <c r="AD173" s="5" t="e">
        <f t="shared" ca="1" si="79"/>
        <v>#N/A</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7" t="e">
        <f t="shared" ca="1" si="81"/>
        <v>#N/A</v>
      </c>
      <c r="T174" s="67" t="e">
        <f t="shared" ca="1" si="82"/>
        <v>#N/A</v>
      </c>
      <c r="U174" s="67" t="e">
        <f t="shared" ca="1" si="83"/>
        <v>#N/A</v>
      </c>
      <c r="V174" s="5" t="e">
        <f t="shared" ca="1" si="62"/>
        <v>#N/A</v>
      </c>
      <c r="W174" s="5" t="e">
        <f t="shared" ca="1" si="76"/>
        <v>#N/A</v>
      </c>
      <c r="X174" s="67">
        <f t="shared" ca="1" si="77"/>
        <v>0</v>
      </c>
      <c r="Y174" s="67" t="e">
        <f t="shared" ca="1" si="84"/>
        <v>#N/A</v>
      </c>
      <c r="Z174" s="67" t="e">
        <f t="shared" ca="1" si="85"/>
        <v>#N/A</v>
      </c>
      <c r="AA174" s="5" t="str">
        <f>IF(Setup!$I$15="Yes",'Demand background (hide)'!AJ162+'SPC background (hide)'!C174,"")</f>
        <v/>
      </c>
      <c r="AC174" s="5" t="e">
        <f t="shared" ca="1" si="78"/>
        <v>#N/A</v>
      </c>
      <c r="AD174" s="5" t="e">
        <f t="shared" ca="1" si="79"/>
        <v>#N/A</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7" t="e">
        <f t="shared" ca="1" si="81"/>
        <v>#N/A</v>
      </c>
      <c r="T175" s="67" t="e">
        <f t="shared" ca="1" si="82"/>
        <v>#N/A</v>
      </c>
      <c r="U175" s="67" t="e">
        <f t="shared" ca="1" si="83"/>
        <v>#N/A</v>
      </c>
      <c r="V175" s="5" t="e">
        <f t="shared" ca="1" si="62"/>
        <v>#N/A</v>
      </c>
      <c r="W175" s="5" t="e">
        <f t="shared" ca="1" si="76"/>
        <v>#N/A</v>
      </c>
      <c r="X175" s="67">
        <f t="shared" ca="1" si="77"/>
        <v>0</v>
      </c>
      <c r="Y175" s="67" t="e">
        <f t="shared" ca="1" si="84"/>
        <v>#N/A</v>
      </c>
      <c r="Z175" s="67" t="e">
        <f t="shared" ca="1" si="85"/>
        <v>#N/A</v>
      </c>
      <c r="AA175" s="5" t="str">
        <f>IF(Setup!$I$15="Yes",'Demand background (hide)'!AJ163+'SPC background (hide)'!C175,"")</f>
        <v/>
      </c>
      <c r="AC175" s="5" t="e">
        <f t="shared" ca="1" si="78"/>
        <v>#N/A</v>
      </c>
      <c r="AD175" s="5" t="e">
        <f t="shared" ca="1" si="79"/>
        <v>#N/A</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7" t="e">
        <f t="shared" ca="1" si="81"/>
        <v>#N/A</v>
      </c>
      <c r="T176" s="67" t="e">
        <f t="shared" ca="1" si="82"/>
        <v>#N/A</v>
      </c>
      <c r="U176" s="67" t="e">
        <f t="shared" ca="1" si="83"/>
        <v>#N/A</v>
      </c>
      <c r="V176" s="5" t="e">
        <f t="shared" ca="1" si="62"/>
        <v>#N/A</v>
      </c>
      <c r="W176" s="5" t="e">
        <f t="shared" ca="1" si="76"/>
        <v>#N/A</v>
      </c>
      <c r="X176" s="67">
        <f t="shared" ca="1" si="77"/>
        <v>0</v>
      </c>
      <c r="Y176" s="67" t="e">
        <f t="shared" ca="1" si="84"/>
        <v>#N/A</v>
      </c>
      <c r="Z176" s="67" t="e">
        <f t="shared" ca="1" si="85"/>
        <v>#N/A</v>
      </c>
      <c r="AA176" s="5" t="str">
        <f>IF(Setup!$I$15="Yes",'Demand background (hide)'!AJ164+'SPC background (hide)'!C176,"")</f>
        <v/>
      </c>
      <c r="AC176" s="5" t="e">
        <f t="shared" ca="1" si="78"/>
        <v>#N/A</v>
      </c>
      <c r="AD176" s="5" t="e">
        <f t="shared" ca="1" si="79"/>
        <v>#N/A</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7" t="e">
        <f t="shared" ca="1" si="81"/>
        <v>#N/A</v>
      </c>
      <c r="T177" s="67" t="e">
        <f t="shared" ca="1" si="82"/>
        <v>#N/A</v>
      </c>
      <c r="U177" s="67" t="e">
        <f t="shared" ca="1" si="83"/>
        <v>#N/A</v>
      </c>
      <c r="V177" s="5" t="e">
        <f t="shared" ca="1" si="62"/>
        <v>#N/A</v>
      </c>
      <c r="W177" s="5" t="e">
        <f t="shared" ca="1" si="76"/>
        <v>#N/A</v>
      </c>
      <c r="X177" s="67">
        <f t="shared" ca="1" si="77"/>
        <v>0</v>
      </c>
      <c r="Y177" s="67" t="e">
        <f t="shared" ca="1" si="84"/>
        <v>#N/A</v>
      </c>
      <c r="Z177" s="67" t="e">
        <f t="shared" ca="1" si="85"/>
        <v>#N/A</v>
      </c>
      <c r="AA177" s="5" t="str">
        <f>IF(Setup!$I$15="Yes",'Demand background (hide)'!AJ165+'SPC background (hide)'!C177,"")</f>
        <v/>
      </c>
      <c r="AC177" s="5" t="e">
        <f t="shared" ca="1" si="78"/>
        <v>#N/A</v>
      </c>
      <c r="AD177" s="5" t="e">
        <f t="shared" ca="1" si="79"/>
        <v>#N/A</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7" t="e">
        <f t="shared" ca="1" si="81"/>
        <v>#N/A</v>
      </c>
      <c r="T178" s="67" t="e">
        <f t="shared" ca="1" si="82"/>
        <v>#N/A</v>
      </c>
      <c r="U178" s="67" t="e">
        <f t="shared" ca="1" si="83"/>
        <v>#N/A</v>
      </c>
      <c r="V178" s="5" t="e">
        <f t="shared" ca="1" si="62"/>
        <v>#N/A</v>
      </c>
      <c r="W178" s="5" t="e">
        <f t="shared" ca="1" si="76"/>
        <v>#N/A</v>
      </c>
      <c r="X178" s="67">
        <f t="shared" ca="1" si="77"/>
        <v>0</v>
      </c>
      <c r="Y178" s="67" t="e">
        <f t="shared" ca="1" si="84"/>
        <v>#N/A</v>
      </c>
      <c r="Z178" s="67" t="e">
        <f t="shared" ca="1" si="85"/>
        <v>#N/A</v>
      </c>
      <c r="AA178" s="5" t="str">
        <f>IF(Setup!$I$15="Yes",'Demand background (hide)'!AJ166+'SPC background (hide)'!C178,"")</f>
        <v/>
      </c>
      <c r="AC178" s="5" t="e">
        <f t="shared" ca="1" si="78"/>
        <v>#N/A</v>
      </c>
      <c r="AD178" s="5" t="e">
        <f t="shared" ca="1" si="79"/>
        <v>#N/A</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7" t="e">
        <f t="shared" ca="1" si="81"/>
        <v>#N/A</v>
      </c>
      <c r="T179" s="67" t="e">
        <f t="shared" ca="1" si="82"/>
        <v>#N/A</v>
      </c>
      <c r="U179" s="67" t="e">
        <f t="shared" ca="1" si="83"/>
        <v>#N/A</v>
      </c>
      <c r="V179" s="5" t="e">
        <f t="shared" ca="1" si="62"/>
        <v>#N/A</v>
      </c>
      <c r="W179" s="5" t="e">
        <f t="shared" ca="1" si="76"/>
        <v>#N/A</v>
      </c>
      <c r="X179" s="67">
        <f t="shared" ca="1" si="77"/>
        <v>0</v>
      </c>
      <c r="Y179" s="67" t="e">
        <f t="shared" ca="1" si="84"/>
        <v>#N/A</v>
      </c>
      <c r="Z179" s="67" t="e">
        <f t="shared" ca="1" si="85"/>
        <v>#N/A</v>
      </c>
      <c r="AA179" s="5" t="str">
        <f>IF(Setup!$I$15="Yes",'Demand background (hide)'!AJ167+'SPC background (hide)'!C179,"")</f>
        <v/>
      </c>
      <c r="AC179" s="5" t="e">
        <f t="shared" ca="1" si="78"/>
        <v>#N/A</v>
      </c>
      <c r="AD179" s="5" t="e">
        <f t="shared" ca="1" si="79"/>
        <v>#N/A</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7" t="e">
        <f t="shared" ca="1" si="81"/>
        <v>#N/A</v>
      </c>
      <c r="T180" s="67" t="e">
        <f t="shared" ca="1" si="82"/>
        <v>#N/A</v>
      </c>
      <c r="U180" s="67" t="e">
        <f t="shared" ca="1" si="83"/>
        <v>#N/A</v>
      </c>
      <c r="V180" s="5" t="e">
        <f t="shared" ca="1" si="62"/>
        <v>#N/A</v>
      </c>
      <c r="W180" s="5" t="e">
        <f t="shared" ca="1" si="76"/>
        <v>#N/A</v>
      </c>
      <c r="X180" s="67">
        <f t="shared" ca="1" si="77"/>
        <v>0</v>
      </c>
      <c r="Y180" s="67" t="e">
        <f t="shared" ca="1" si="84"/>
        <v>#N/A</v>
      </c>
      <c r="Z180" s="67" t="e">
        <f t="shared" ca="1" si="85"/>
        <v>#N/A</v>
      </c>
      <c r="AA180" s="5" t="str">
        <f>IF(Setup!$I$15="Yes",'Demand background (hide)'!AJ168+'SPC background (hide)'!C180,"")</f>
        <v/>
      </c>
      <c r="AC180" s="5" t="e">
        <f t="shared" ca="1" si="78"/>
        <v>#N/A</v>
      </c>
      <c r="AD180" s="5" t="e">
        <f t="shared" ca="1" si="79"/>
        <v>#N/A</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7" t="e">
        <f t="shared" ca="1" si="81"/>
        <v>#N/A</v>
      </c>
      <c r="T181" s="67" t="e">
        <f t="shared" ca="1" si="82"/>
        <v>#N/A</v>
      </c>
      <c r="U181" s="67" t="e">
        <f t="shared" ca="1" si="83"/>
        <v>#N/A</v>
      </c>
      <c r="V181" s="5" t="e">
        <f t="shared" ca="1" si="62"/>
        <v>#N/A</v>
      </c>
      <c r="W181" s="5" t="e">
        <f t="shared" ca="1" si="76"/>
        <v>#N/A</v>
      </c>
      <c r="X181" s="67">
        <f t="shared" ca="1" si="77"/>
        <v>0</v>
      </c>
      <c r="Y181" s="67" t="e">
        <f t="shared" ca="1" si="84"/>
        <v>#N/A</v>
      </c>
      <c r="Z181" s="67" t="e">
        <f t="shared" ca="1" si="85"/>
        <v>#N/A</v>
      </c>
      <c r="AA181" s="5" t="str">
        <f>IF(Setup!$I$15="Yes",'Demand background (hide)'!AJ169+'SPC background (hide)'!C181,"")</f>
        <v/>
      </c>
      <c r="AC181" s="5" t="e">
        <f t="shared" ca="1" si="78"/>
        <v>#N/A</v>
      </c>
      <c r="AD181" s="5" t="e">
        <f t="shared" ca="1" si="79"/>
        <v>#N/A</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7" t="e">
        <f t="shared" ca="1" si="81"/>
        <v>#N/A</v>
      </c>
      <c r="T182" s="67" t="e">
        <f t="shared" ca="1" si="82"/>
        <v>#N/A</v>
      </c>
      <c r="U182" s="67" t="e">
        <f t="shared" ca="1" si="83"/>
        <v>#N/A</v>
      </c>
      <c r="V182" s="5" t="e">
        <f t="shared" ca="1" si="62"/>
        <v>#N/A</v>
      </c>
      <c r="W182" s="5" t="e">
        <f t="shared" ca="1" si="76"/>
        <v>#N/A</v>
      </c>
      <c r="X182" s="67">
        <f t="shared" ca="1" si="77"/>
        <v>0</v>
      </c>
      <c r="Y182" s="67" t="e">
        <f t="shared" ca="1" si="84"/>
        <v>#N/A</v>
      </c>
      <c r="Z182" s="67" t="e">
        <f t="shared" ca="1" si="85"/>
        <v>#N/A</v>
      </c>
      <c r="AA182" s="5" t="str">
        <f>IF(Setup!$I$15="Yes",'Demand background (hide)'!AJ170+'SPC background (hide)'!C182,"")</f>
        <v/>
      </c>
      <c r="AC182" s="5" t="e">
        <f t="shared" ca="1" si="78"/>
        <v>#N/A</v>
      </c>
      <c r="AD182" s="5" t="e">
        <f t="shared" ca="1" si="79"/>
        <v>#N/A</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7" t="e">
        <f t="shared" ca="1" si="81"/>
        <v>#N/A</v>
      </c>
      <c r="T183" s="67" t="e">
        <f t="shared" ca="1" si="82"/>
        <v>#N/A</v>
      </c>
      <c r="U183" s="67" t="e">
        <f t="shared" ca="1" si="83"/>
        <v>#N/A</v>
      </c>
      <c r="V183" s="5" t="e">
        <f t="shared" ca="1" si="62"/>
        <v>#N/A</v>
      </c>
      <c r="W183" s="5" t="e">
        <f t="shared" ca="1" si="76"/>
        <v>#N/A</v>
      </c>
      <c r="X183" s="67">
        <f t="shared" ca="1" si="77"/>
        <v>0</v>
      </c>
      <c r="Y183" s="67" t="e">
        <f t="shared" ca="1" si="84"/>
        <v>#N/A</v>
      </c>
      <c r="Z183" s="67" t="e">
        <f t="shared" ca="1" si="85"/>
        <v>#N/A</v>
      </c>
      <c r="AA183" s="5" t="str">
        <f>IF(Setup!$I$15="Yes",'Demand background (hide)'!AJ171+'SPC background (hide)'!C183,"")</f>
        <v/>
      </c>
      <c r="AC183" s="5" t="e">
        <f t="shared" ca="1" si="78"/>
        <v>#N/A</v>
      </c>
      <c r="AD183" s="5" t="e">
        <f t="shared" ca="1" si="79"/>
        <v>#N/A</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7" t="e">
        <f t="shared" ca="1" si="81"/>
        <v>#N/A</v>
      </c>
      <c r="T184" s="67" t="e">
        <f t="shared" ca="1" si="82"/>
        <v>#N/A</v>
      </c>
      <c r="U184" s="67" t="e">
        <f t="shared" ca="1" si="83"/>
        <v>#N/A</v>
      </c>
      <c r="V184" s="5" t="e">
        <f t="shared" ca="1" si="62"/>
        <v>#N/A</v>
      </c>
      <c r="W184" s="5" t="e">
        <f t="shared" ca="1" si="76"/>
        <v>#N/A</v>
      </c>
      <c r="X184" s="67">
        <f t="shared" ca="1" si="77"/>
        <v>0</v>
      </c>
      <c r="Y184" s="67" t="e">
        <f t="shared" ca="1" si="84"/>
        <v>#N/A</v>
      </c>
      <c r="Z184" s="67" t="e">
        <f t="shared" ca="1" si="85"/>
        <v>#N/A</v>
      </c>
      <c r="AA184" s="5" t="str">
        <f>IF(Setup!$I$15="Yes",'Demand background (hide)'!AJ172+'SPC background (hide)'!C184,"")</f>
        <v/>
      </c>
      <c r="AC184" s="5" t="e">
        <f t="shared" ca="1" si="78"/>
        <v>#N/A</v>
      </c>
      <c r="AD184" s="5" t="e">
        <f t="shared" ca="1" si="79"/>
        <v>#N/A</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7" t="e">
        <f t="shared" ca="1" si="81"/>
        <v>#N/A</v>
      </c>
      <c r="T185" s="67" t="e">
        <f t="shared" ca="1" si="82"/>
        <v>#N/A</v>
      </c>
      <c r="U185" s="67" t="e">
        <f t="shared" ca="1" si="83"/>
        <v>#N/A</v>
      </c>
      <c r="V185" s="5" t="e">
        <f t="shared" ca="1" si="62"/>
        <v>#N/A</v>
      </c>
      <c r="W185" s="5" t="e">
        <f t="shared" ca="1" si="76"/>
        <v>#N/A</v>
      </c>
      <c r="X185" s="67">
        <f t="shared" ca="1" si="77"/>
        <v>0</v>
      </c>
      <c r="Y185" s="67" t="e">
        <f t="shared" ca="1" si="84"/>
        <v>#N/A</v>
      </c>
      <c r="Z185" s="67" t="e">
        <f t="shared" ca="1" si="85"/>
        <v>#N/A</v>
      </c>
      <c r="AA185" s="5" t="str">
        <f>IF(Setup!$I$15="Yes",'Demand background (hide)'!AJ173+'SPC background (hide)'!C185,"")</f>
        <v/>
      </c>
      <c r="AC185" s="5" t="e">
        <f t="shared" ca="1" si="78"/>
        <v>#N/A</v>
      </c>
      <c r="AD185" s="5" t="e">
        <f t="shared" ca="1" si="79"/>
        <v>#N/A</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7" t="e">
        <f t="shared" ca="1" si="81"/>
        <v>#N/A</v>
      </c>
      <c r="T186" s="67" t="e">
        <f t="shared" ca="1" si="82"/>
        <v>#N/A</v>
      </c>
      <c r="U186" s="67" t="e">
        <f t="shared" ca="1" si="83"/>
        <v>#N/A</v>
      </c>
      <c r="V186" s="5" t="e">
        <f t="shared" ca="1" si="62"/>
        <v>#N/A</v>
      </c>
      <c r="W186" s="5" t="e">
        <f t="shared" ca="1" si="76"/>
        <v>#N/A</v>
      </c>
      <c r="X186" s="67">
        <f t="shared" ca="1" si="77"/>
        <v>0</v>
      </c>
      <c r="Y186" s="67" t="e">
        <f t="shared" ca="1" si="84"/>
        <v>#N/A</v>
      </c>
      <c r="Z186" s="67" t="e">
        <f t="shared" ca="1" si="85"/>
        <v>#N/A</v>
      </c>
      <c r="AA186" s="5" t="str">
        <f>IF(Setup!$I$15="Yes",'Demand background (hide)'!AJ174+'SPC background (hide)'!C186,"")</f>
        <v/>
      </c>
      <c r="AC186" s="5" t="e">
        <f t="shared" ca="1" si="78"/>
        <v>#N/A</v>
      </c>
      <c r="AD186" s="5" t="e">
        <f t="shared" ca="1" si="79"/>
        <v>#N/A</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7" t="e">
        <f t="shared" ca="1" si="81"/>
        <v>#N/A</v>
      </c>
      <c r="T187" s="67" t="e">
        <f t="shared" ca="1" si="82"/>
        <v>#N/A</v>
      </c>
      <c r="U187" s="67" t="e">
        <f t="shared" ca="1" si="83"/>
        <v>#N/A</v>
      </c>
      <c r="V187" s="5" t="e">
        <f t="shared" ca="1" si="62"/>
        <v>#N/A</v>
      </c>
      <c r="W187" s="5" t="e">
        <f t="shared" ca="1" si="76"/>
        <v>#N/A</v>
      </c>
      <c r="X187" s="67">
        <f t="shared" ca="1" si="77"/>
        <v>0</v>
      </c>
      <c r="Y187" s="67" t="e">
        <f t="shared" ca="1" si="84"/>
        <v>#N/A</v>
      </c>
      <c r="Z187" s="67" t="e">
        <f t="shared" ca="1" si="85"/>
        <v>#N/A</v>
      </c>
      <c r="AA187" s="5" t="str">
        <f>IF(Setup!$I$15="Yes",'Demand background (hide)'!AJ175+'SPC background (hide)'!C187,"")</f>
        <v/>
      </c>
      <c r="AC187" s="5" t="e">
        <f t="shared" ca="1" si="78"/>
        <v>#N/A</v>
      </c>
      <c r="AD187" s="5" t="e">
        <f t="shared" ca="1" si="79"/>
        <v>#N/A</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7" t="e">
        <f t="shared" ca="1" si="81"/>
        <v>#N/A</v>
      </c>
      <c r="T188" s="67" t="e">
        <f t="shared" ca="1" si="82"/>
        <v>#N/A</v>
      </c>
      <c r="U188" s="67" t="e">
        <f t="shared" ca="1" si="83"/>
        <v>#N/A</v>
      </c>
      <c r="V188" s="5" t="e">
        <f t="shared" ca="1" si="62"/>
        <v>#N/A</v>
      </c>
      <c r="W188" s="5" t="e">
        <f t="shared" ca="1" si="76"/>
        <v>#N/A</v>
      </c>
      <c r="X188" s="67">
        <f t="shared" ca="1" si="77"/>
        <v>0</v>
      </c>
      <c r="Y188" s="67" t="e">
        <f t="shared" ca="1" si="84"/>
        <v>#N/A</v>
      </c>
      <c r="Z188" s="67" t="e">
        <f t="shared" ca="1" si="85"/>
        <v>#N/A</v>
      </c>
      <c r="AA188" s="5" t="str">
        <f>IF(Setup!$I$15="Yes",'Demand background (hide)'!AJ176+'SPC background (hide)'!C188,"")</f>
        <v/>
      </c>
      <c r="AC188" s="5" t="e">
        <f t="shared" ca="1" si="78"/>
        <v>#N/A</v>
      </c>
      <c r="AD188" s="5" t="e">
        <f t="shared" ca="1" si="79"/>
        <v>#N/A</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7" t="e">
        <f t="shared" ca="1" si="81"/>
        <v>#N/A</v>
      </c>
      <c r="T189" s="67" t="e">
        <f t="shared" ca="1" si="82"/>
        <v>#N/A</v>
      </c>
      <c r="U189" s="67" t="e">
        <f t="shared" ca="1" si="83"/>
        <v>#N/A</v>
      </c>
      <c r="V189" s="5" t="e">
        <f t="shared" ca="1" si="62"/>
        <v>#N/A</v>
      </c>
      <c r="W189" s="5" t="e">
        <f t="shared" ca="1" si="76"/>
        <v>#N/A</v>
      </c>
      <c r="X189" s="67">
        <f t="shared" ca="1" si="77"/>
        <v>0</v>
      </c>
      <c r="Y189" s="67" t="e">
        <f t="shared" ca="1" si="84"/>
        <v>#N/A</v>
      </c>
      <c r="Z189" s="67" t="e">
        <f t="shared" ca="1" si="85"/>
        <v>#N/A</v>
      </c>
      <c r="AA189" s="5" t="str">
        <f>IF(Setup!$I$15="Yes",'Demand background (hide)'!AJ177+'SPC background (hide)'!C189,"")</f>
        <v/>
      </c>
      <c r="AC189" s="5" t="e">
        <f t="shared" ca="1" si="78"/>
        <v>#N/A</v>
      </c>
      <c r="AD189" s="5" t="e">
        <f t="shared" ca="1" si="79"/>
        <v>#N/A</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7" t="e">
        <f t="shared" ca="1" si="81"/>
        <v>#N/A</v>
      </c>
      <c r="T190" s="67" t="e">
        <f t="shared" ca="1" si="82"/>
        <v>#N/A</v>
      </c>
      <c r="U190" s="67" t="e">
        <f t="shared" ca="1" si="83"/>
        <v>#N/A</v>
      </c>
      <c r="V190" s="5" t="e">
        <f t="shared" ca="1" si="62"/>
        <v>#N/A</v>
      </c>
      <c r="W190" s="5" t="e">
        <f t="shared" ca="1" si="76"/>
        <v>#N/A</v>
      </c>
      <c r="X190" s="67">
        <f t="shared" ca="1" si="77"/>
        <v>0</v>
      </c>
      <c r="Y190" s="67" t="e">
        <f t="shared" ca="1" si="84"/>
        <v>#N/A</v>
      </c>
      <c r="Z190" s="67" t="e">
        <f t="shared" ca="1" si="85"/>
        <v>#N/A</v>
      </c>
      <c r="AA190" s="5" t="str">
        <f>IF(Setup!$I$15="Yes",'Demand background (hide)'!AJ178+'SPC background (hide)'!C190,"")</f>
        <v/>
      </c>
      <c r="AC190" s="5" t="e">
        <f t="shared" ca="1" si="78"/>
        <v>#N/A</v>
      </c>
      <c r="AD190" s="5" t="e">
        <f t="shared" ca="1" si="79"/>
        <v>#N/A</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7" t="e">
        <f t="shared" ca="1" si="81"/>
        <v>#N/A</v>
      </c>
      <c r="T191" s="67" t="e">
        <f t="shared" ca="1" si="82"/>
        <v>#N/A</v>
      </c>
      <c r="U191" s="67" t="e">
        <f t="shared" ca="1" si="83"/>
        <v>#N/A</v>
      </c>
      <c r="V191" s="5" t="e">
        <f t="shared" ca="1" si="62"/>
        <v>#N/A</v>
      </c>
      <c r="W191" s="5" t="e">
        <f t="shared" ca="1" si="76"/>
        <v>#N/A</v>
      </c>
      <c r="X191" s="67">
        <f t="shared" ca="1" si="77"/>
        <v>0</v>
      </c>
      <c r="Y191" s="67" t="e">
        <f t="shared" ca="1" si="84"/>
        <v>#N/A</v>
      </c>
      <c r="Z191" s="67" t="e">
        <f t="shared" ca="1" si="85"/>
        <v>#N/A</v>
      </c>
      <c r="AA191" s="5" t="str">
        <f>IF(Setup!$I$15="Yes",'Demand background (hide)'!AJ179+'SPC background (hide)'!C191,"")</f>
        <v/>
      </c>
      <c r="AC191" s="5" t="e">
        <f t="shared" ca="1" si="78"/>
        <v>#N/A</v>
      </c>
      <c r="AD191" s="5" t="e">
        <f t="shared" ca="1" si="79"/>
        <v>#N/A</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7" t="e">
        <f t="shared" ca="1" si="81"/>
        <v>#N/A</v>
      </c>
      <c r="T192" s="67" t="e">
        <f t="shared" ca="1" si="82"/>
        <v>#N/A</v>
      </c>
      <c r="U192" s="67" t="e">
        <f t="shared" ca="1" si="83"/>
        <v>#N/A</v>
      </c>
      <c r="V192" s="5" t="e">
        <f t="shared" ca="1" si="62"/>
        <v>#N/A</v>
      </c>
      <c r="W192" s="5" t="e">
        <f t="shared" ca="1" si="76"/>
        <v>#N/A</v>
      </c>
      <c r="X192" s="67">
        <f t="shared" ca="1" si="77"/>
        <v>0</v>
      </c>
      <c r="Y192" s="67" t="e">
        <f t="shared" ca="1" si="84"/>
        <v>#N/A</v>
      </c>
      <c r="Z192" s="67" t="e">
        <f t="shared" ca="1" si="85"/>
        <v>#N/A</v>
      </c>
      <c r="AA192" s="5" t="str">
        <f>IF(Setup!$I$15="Yes",'Demand background (hide)'!AJ180+'SPC background (hide)'!C192,"")</f>
        <v/>
      </c>
      <c r="AC192" s="5" t="e">
        <f t="shared" ca="1" si="78"/>
        <v>#N/A</v>
      </c>
      <c r="AD192" s="5" t="e">
        <f t="shared" ca="1" si="79"/>
        <v>#N/A</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7" t="e">
        <f t="shared" ca="1" si="81"/>
        <v>#N/A</v>
      </c>
      <c r="T193" s="67" t="e">
        <f t="shared" ca="1" si="82"/>
        <v>#N/A</v>
      </c>
      <c r="U193" s="67" t="e">
        <f t="shared" ca="1" si="83"/>
        <v>#N/A</v>
      </c>
      <c r="V193" s="5" t="e">
        <f t="shared" ca="1" si="62"/>
        <v>#N/A</v>
      </c>
      <c r="W193" s="5" t="e">
        <f t="shared" ca="1" si="76"/>
        <v>#N/A</v>
      </c>
      <c r="X193" s="67">
        <f t="shared" ca="1" si="77"/>
        <v>0</v>
      </c>
      <c r="Y193" s="67" t="e">
        <f t="shared" ca="1" si="84"/>
        <v>#N/A</v>
      </c>
      <c r="Z193" s="67" t="e">
        <f t="shared" ca="1" si="85"/>
        <v>#N/A</v>
      </c>
      <c r="AA193" s="5" t="str">
        <f>IF(Setup!$I$15="Yes",'Demand background (hide)'!AJ181+'SPC background (hide)'!C193,"")</f>
        <v/>
      </c>
      <c r="AC193" s="5" t="e">
        <f t="shared" ca="1" si="78"/>
        <v>#N/A</v>
      </c>
      <c r="AD193" s="5" t="e">
        <f t="shared" ca="1" si="79"/>
        <v>#N/A</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7" t="e">
        <f t="shared" ca="1" si="81"/>
        <v>#N/A</v>
      </c>
      <c r="T194" s="67" t="e">
        <f t="shared" ca="1" si="82"/>
        <v>#N/A</v>
      </c>
      <c r="U194" s="67" t="e">
        <f t="shared" ca="1" si="83"/>
        <v>#N/A</v>
      </c>
      <c r="V194" s="5" t="e">
        <f t="shared" ca="1" si="62"/>
        <v>#N/A</v>
      </c>
      <c r="W194" s="5" t="e">
        <f t="shared" ca="1" si="76"/>
        <v>#N/A</v>
      </c>
      <c r="X194" s="67">
        <f t="shared" ca="1" si="77"/>
        <v>0</v>
      </c>
      <c r="Y194" s="67" t="e">
        <f t="shared" ca="1" si="84"/>
        <v>#N/A</v>
      </c>
      <c r="Z194" s="67" t="e">
        <f t="shared" ca="1" si="85"/>
        <v>#N/A</v>
      </c>
      <c r="AA194" s="5" t="str">
        <f>IF(Setup!$I$15="Yes",'Demand background (hide)'!AJ182+'SPC background (hide)'!C194,"")</f>
        <v/>
      </c>
      <c r="AC194" s="5" t="e">
        <f t="shared" ca="1" si="78"/>
        <v>#N/A</v>
      </c>
      <c r="AD194" s="5" t="e">
        <f t="shared" ca="1" si="79"/>
        <v>#N/A</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7" t="e">
        <f t="shared" ca="1" si="81"/>
        <v>#N/A</v>
      </c>
      <c r="T195" s="67" t="e">
        <f t="shared" ca="1" si="82"/>
        <v>#N/A</v>
      </c>
      <c r="U195" s="67" t="e">
        <f t="shared" ca="1" si="83"/>
        <v>#N/A</v>
      </c>
      <c r="V195" s="5" t="e">
        <f t="shared" ca="1" si="62"/>
        <v>#N/A</v>
      </c>
      <c r="W195" s="5" t="e">
        <f t="shared" ca="1" si="76"/>
        <v>#N/A</v>
      </c>
      <c r="X195" s="67">
        <f t="shared" ca="1" si="77"/>
        <v>0</v>
      </c>
      <c r="Y195" s="67" t="e">
        <f t="shared" ca="1" si="84"/>
        <v>#N/A</v>
      </c>
      <c r="Z195" s="67" t="e">
        <f t="shared" ca="1" si="85"/>
        <v>#N/A</v>
      </c>
      <c r="AA195" s="5" t="str">
        <f>IF(Setup!$I$15="Yes",'Demand background (hide)'!AJ183+'SPC background (hide)'!C195,"")</f>
        <v/>
      </c>
      <c r="AC195" s="5" t="e">
        <f t="shared" ca="1" si="78"/>
        <v>#N/A</v>
      </c>
      <c r="AD195" s="5" t="e">
        <f t="shared" ca="1" si="79"/>
        <v>#N/A</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7" t="e">
        <f t="shared" ca="1" si="81"/>
        <v>#N/A</v>
      </c>
      <c r="T196" s="67" t="e">
        <f t="shared" ca="1" si="82"/>
        <v>#N/A</v>
      </c>
      <c r="U196" s="67" t="e">
        <f t="shared" ca="1" si="83"/>
        <v>#N/A</v>
      </c>
      <c r="V196" s="5" t="e">
        <f t="shared" ca="1" si="62"/>
        <v>#N/A</v>
      </c>
      <c r="W196" s="5" t="e">
        <f t="shared" ca="1" si="76"/>
        <v>#N/A</v>
      </c>
      <c r="X196" s="67">
        <f t="shared" ca="1" si="77"/>
        <v>0</v>
      </c>
      <c r="Y196" s="67" t="e">
        <f t="shared" ca="1" si="84"/>
        <v>#N/A</v>
      </c>
      <c r="Z196" s="67" t="e">
        <f t="shared" ca="1" si="85"/>
        <v>#N/A</v>
      </c>
      <c r="AA196" s="5" t="str">
        <f>IF(Setup!$I$15="Yes",'Demand background (hide)'!AJ184+'SPC background (hide)'!C196,"")</f>
        <v/>
      </c>
      <c r="AC196" s="5" t="e">
        <f t="shared" ca="1" si="78"/>
        <v>#N/A</v>
      </c>
      <c r="AD196" s="5" t="e">
        <f t="shared" ca="1" si="79"/>
        <v>#N/A</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7" t="e">
        <f t="shared" ca="1" si="81"/>
        <v>#N/A</v>
      </c>
      <c r="T197" s="67" t="e">
        <f t="shared" ca="1" si="82"/>
        <v>#N/A</v>
      </c>
      <c r="U197" s="67" t="e">
        <f t="shared" ca="1" si="83"/>
        <v>#N/A</v>
      </c>
      <c r="V197" s="5" t="e">
        <f t="shared" ca="1" si="62"/>
        <v>#N/A</v>
      </c>
      <c r="W197" s="5" t="e">
        <f t="shared" ca="1" si="76"/>
        <v>#N/A</v>
      </c>
      <c r="X197" s="67">
        <f t="shared" ca="1" si="77"/>
        <v>0</v>
      </c>
      <c r="Y197" s="67" t="e">
        <f t="shared" ca="1" si="84"/>
        <v>#N/A</v>
      </c>
      <c r="Z197" s="67" t="e">
        <f t="shared" ca="1" si="85"/>
        <v>#N/A</v>
      </c>
      <c r="AA197" s="5" t="str">
        <f>IF(Setup!$I$15="Yes",'Demand background (hide)'!AJ185+'SPC background (hide)'!C197,"")</f>
        <v/>
      </c>
      <c r="AC197" s="5" t="e">
        <f t="shared" ca="1" si="78"/>
        <v>#N/A</v>
      </c>
      <c r="AD197" s="5" t="e">
        <f t="shared" ca="1" si="79"/>
        <v>#N/A</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7" t="e">
        <f t="shared" ca="1" si="81"/>
        <v>#N/A</v>
      </c>
      <c r="T198" s="67" t="e">
        <f t="shared" ca="1" si="82"/>
        <v>#N/A</v>
      </c>
      <c r="U198" s="67" t="e">
        <f t="shared" ca="1" si="83"/>
        <v>#N/A</v>
      </c>
      <c r="V198" s="5" t="e">
        <f t="shared" ca="1" si="62"/>
        <v>#N/A</v>
      </c>
      <c r="W198" s="5" t="e">
        <f t="shared" ca="1" si="76"/>
        <v>#N/A</v>
      </c>
      <c r="X198" s="67">
        <f t="shared" ca="1" si="77"/>
        <v>0</v>
      </c>
      <c r="Y198" s="67" t="e">
        <f t="shared" ca="1" si="84"/>
        <v>#N/A</v>
      </c>
      <c r="Z198" s="67" t="e">
        <f t="shared" ca="1" si="85"/>
        <v>#N/A</v>
      </c>
      <c r="AA198" s="5" t="str">
        <f>IF(Setup!$I$15="Yes",'Demand background (hide)'!AJ186+'SPC background (hide)'!C198,"")</f>
        <v/>
      </c>
      <c r="AC198" s="5" t="e">
        <f t="shared" ca="1" si="78"/>
        <v>#N/A</v>
      </c>
      <c r="AD198" s="5" t="e">
        <f t="shared" ca="1" si="79"/>
        <v>#N/A</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7" t="e">
        <f t="shared" ca="1" si="81"/>
        <v>#N/A</v>
      </c>
      <c r="T199" s="67" t="e">
        <f t="shared" ca="1" si="82"/>
        <v>#N/A</v>
      </c>
      <c r="U199" s="67" t="e">
        <f t="shared" ca="1" si="83"/>
        <v>#N/A</v>
      </c>
      <c r="V199" s="5" t="e">
        <f t="shared" ca="1" si="62"/>
        <v>#N/A</v>
      </c>
      <c r="W199" s="5" t="e">
        <f t="shared" ca="1" si="76"/>
        <v>#N/A</v>
      </c>
      <c r="X199" s="67">
        <f t="shared" ca="1" si="77"/>
        <v>0</v>
      </c>
      <c r="Y199" s="67" t="e">
        <f t="shared" ca="1" si="84"/>
        <v>#N/A</v>
      </c>
      <c r="Z199" s="67" t="e">
        <f t="shared" ca="1" si="85"/>
        <v>#N/A</v>
      </c>
      <c r="AA199" s="5" t="str">
        <f>IF(Setup!$I$15="Yes",'Demand background (hide)'!AJ187+'SPC background (hide)'!C199,"")</f>
        <v/>
      </c>
      <c r="AC199" s="5" t="e">
        <f t="shared" ca="1" si="78"/>
        <v>#N/A</v>
      </c>
      <c r="AD199" s="5" t="e">
        <f t="shared" ca="1" si="79"/>
        <v>#N/A</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7" t="e">
        <f t="shared" ca="1" si="81"/>
        <v>#N/A</v>
      </c>
      <c r="T200" s="67" t="e">
        <f t="shared" ca="1" si="82"/>
        <v>#N/A</v>
      </c>
      <c r="U200" s="67" t="e">
        <f t="shared" ca="1" si="83"/>
        <v>#N/A</v>
      </c>
      <c r="V200" s="5" t="e">
        <f t="shared" ca="1" si="62"/>
        <v>#N/A</v>
      </c>
      <c r="W200" s="5" t="e">
        <f t="shared" ca="1" si="76"/>
        <v>#N/A</v>
      </c>
      <c r="X200" s="67">
        <f t="shared" ca="1" si="77"/>
        <v>0</v>
      </c>
      <c r="Y200" s="67" t="e">
        <f t="shared" ca="1" si="84"/>
        <v>#N/A</v>
      </c>
      <c r="Z200" s="67" t="e">
        <f t="shared" ca="1" si="85"/>
        <v>#N/A</v>
      </c>
      <c r="AA200" s="5" t="str">
        <f>IF(Setup!$I$15="Yes",'Demand background (hide)'!AJ188+'SPC background (hide)'!C200,"")</f>
        <v/>
      </c>
      <c r="AC200" s="5" t="e">
        <f t="shared" ca="1" si="78"/>
        <v>#N/A</v>
      </c>
      <c r="AD200" s="5" t="e">
        <f t="shared" ca="1" si="79"/>
        <v>#N/A</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7" t="e">
        <f t="shared" ca="1" si="81"/>
        <v>#N/A</v>
      </c>
      <c r="T201" s="67" t="e">
        <f t="shared" ca="1" si="82"/>
        <v>#N/A</v>
      </c>
      <c r="U201" s="67" t="e">
        <f t="shared" ca="1" si="83"/>
        <v>#N/A</v>
      </c>
      <c r="V201" s="5" t="e">
        <f t="shared" ca="1" si="62"/>
        <v>#N/A</v>
      </c>
      <c r="W201" s="5" t="e">
        <f t="shared" ca="1" si="76"/>
        <v>#N/A</v>
      </c>
      <c r="X201" s="67">
        <f t="shared" ca="1" si="77"/>
        <v>0</v>
      </c>
      <c r="Y201" s="67" t="e">
        <f t="shared" ca="1" si="84"/>
        <v>#N/A</v>
      </c>
      <c r="Z201" s="67" t="e">
        <f t="shared" ca="1" si="85"/>
        <v>#N/A</v>
      </c>
      <c r="AA201" s="5" t="str">
        <f>IF(Setup!$I$15="Yes",'Demand background (hide)'!AJ189+'SPC background (hide)'!C201,"")</f>
        <v/>
      </c>
      <c r="AC201" s="5" t="e">
        <f t="shared" ca="1" si="78"/>
        <v>#N/A</v>
      </c>
      <c r="AD201" s="5" t="e">
        <f t="shared" ca="1" si="79"/>
        <v>#N/A</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7" t="e">
        <f t="shared" ca="1" si="81"/>
        <v>#N/A</v>
      </c>
      <c r="T202" s="67" t="e">
        <f t="shared" ca="1" si="82"/>
        <v>#N/A</v>
      </c>
      <c r="U202" s="67" t="e">
        <f t="shared" ca="1" si="83"/>
        <v>#N/A</v>
      </c>
      <c r="V202" s="5" t="e">
        <f t="shared" ca="1" si="62"/>
        <v>#N/A</v>
      </c>
      <c r="W202" s="5" t="e">
        <f t="shared" ca="1" si="76"/>
        <v>#N/A</v>
      </c>
      <c r="X202" s="67">
        <f t="shared" ca="1" si="77"/>
        <v>0</v>
      </c>
      <c r="Y202" s="67" t="e">
        <f t="shared" ca="1" si="84"/>
        <v>#N/A</v>
      </c>
      <c r="Z202" s="67" t="e">
        <f t="shared" ca="1" si="85"/>
        <v>#N/A</v>
      </c>
      <c r="AA202" s="5" t="str">
        <f>IF(Setup!$I$15="Yes",'Demand background (hide)'!AJ190+'SPC background (hide)'!C202,"")</f>
        <v/>
      </c>
      <c r="AC202" s="5" t="e">
        <f t="shared" ca="1" si="78"/>
        <v>#N/A</v>
      </c>
      <c r="AD202" s="5" t="e">
        <f t="shared" ca="1" si="79"/>
        <v>#N/A</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7" t="e">
        <f t="shared" ca="1" si="81"/>
        <v>#N/A</v>
      </c>
      <c r="T203" s="67" t="e">
        <f t="shared" ca="1" si="82"/>
        <v>#N/A</v>
      </c>
      <c r="U203" s="67" t="e">
        <f t="shared" ca="1" si="83"/>
        <v>#N/A</v>
      </c>
      <c r="V203" s="5" t="e">
        <f t="shared" ca="1" si="62"/>
        <v>#N/A</v>
      </c>
      <c r="W203" s="5" t="e">
        <f t="shared" ca="1" si="76"/>
        <v>#N/A</v>
      </c>
      <c r="X203" s="67">
        <f t="shared" ca="1" si="77"/>
        <v>0</v>
      </c>
      <c r="Y203" s="67" t="e">
        <f t="shared" ca="1" si="84"/>
        <v>#N/A</v>
      </c>
      <c r="Z203" s="67" t="e">
        <f t="shared" ca="1" si="85"/>
        <v>#N/A</v>
      </c>
      <c r="AA203" s="5" t="str">
        <f>IF(Setup!$I$15="Yes",'Demand background (hide)'!AJ191+'SPC background (hide)'!C203,"")</f>
        <v/>
      </c>
      <c r="AC203" s="5" t="e">
        <f t="shared" ca="1" si="78"/>
        <v>#N/A</v>
      </c>
      <c r="AD203" s="5" t="e">
        <f t="shared" ca="1" si="79"/>
        <v>#N/A</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7" t="e">
        <f t="shared" ca="1" si="81"/>
        <v>#N/A</v>
      </c>
      <c r="T204" s="67" t="e">
        <f t="shared" ca="1" si="82"/>
        <v>#N/A</v>
      </c>
      <c r="U204" s="67" t="e">
        <f t="shared" ca="1" si="83"/>
        <v>#N/A</v>
      </c>
      <c r="V204" s="5" t="e">
        <f t="shared" ca="1" si="62"/>
        <v>#N/A</v>
      </c>
      <c r="W204" s="5" t="e">
        <f t="shared" ca="1" si="76"/>
        <v>#N/A</v>
      </c>
      <c r="X204" s="67">
        <f t="shared" ca="1" si="77"/>
        <v>0</v>
      </c>
      <c r="Y204" s="67" t="e">
        <f t="shared" ca="1" si="84"/>
        <v>#N/A</v>
      </c>
      <c r="Z204" s="67" t="e">
        <f t="shared" ca="1" si="85"/>
        <v>#N/A</v>
      </c>
      <c r="AA204" s="5" t="str">
        <f>IF(Setup!$I$15="Yes",'Demand background (hide)'!AJ192+'SPC background (hide)'!C204,"")</f>
        <v/>
      </c>
      <c r="AC204" s="5" t="e">
        <f t="shared" ca="1" si="78"/>
        <v>#N/A</v>
      </c>
      <c r="AD204" s="5" t="e">
        <f t="shared" ca="1" si="79"/>
        <v>#N/A</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7" t="e">
        <f t="shared" ca="1" si="81"/>
        <v>#N/A</v>
      </c>
      <c r="T205" s="67" t="e">
        <f t="shared" ca="1" si="82"/>
        <v>#N/A</v>
      </c>
      <c r="U205" s="67" t="e">
        <f t="shared" ca="1" si="83"/>
        <v>#N/A</v>
      </c>
      <c r="V205" s="5" t="e">
        <f t="shared" ca="1" si="62"/>
        <v>#N/A</v>
      </c>
      <c r="W205" s="5" t="e">
        <f t="shared" ca="1" si="76"/>
        <v>#N/A</v>
      </c>
      <c r="X205" s="67">
        <f t="shared" ca="1" si="77"/>
        <v>0</v>
      </c>
      <c r="Y205" s="67" t="e">
        <f t="shared" ca="1" si="84"/>
        <v>#N/A</v>
      </c>
      <c r="Z205" s="67" t="e">
        <f t="shared" ca="1" si="85"/>
        <v>#N/A</v>
      </c>
      <c r="AA205" s="5" t="str">
        <f>IF(Setup!$I$15="Yes",'Demand background (hide)'!AJ193+'SPC background (hide)'!C205,"")</f>
        <v/>
      </c>
      <c r="AC205" s="5" t="e">
        <f t="shared" ca="1" si="78"/>
        <v>#N/A</v>
      </c>
      <c r="AD205" s="5" t="e">
        <f t="shared" ca="1" si="79"/>
        <v>#N/A</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7" t="e">
        <f t="shared" ca="1" si="81"/>
        <v>#N/A</v>
      </c>
      <c r="T206" s="67" t="e">
        <f t="shared" ca="1" si="82"/>
        <v>#N/A</v>
      </c>
      <c r="U206" s="67" t="e">
        <f t="shared" ca="1" si="83"/>
        <v>#N/A</v>
      </c>
      <c r="V206" s="5" t="e">
        <f t="shared" ca="1" si="62"/>
        <v>#N/A</v>
      </c>
      <c r="W206" s="5" t="e">
        <f t="shared" ca="1" si="76"/>
        <v>#N/A</v>
      </c>
      <c r="X206" s="67">
        <f t="shared" ca="1" si="77"/>
        <v>0</v>
      </c>
      <c r="Y206" s="67" t="e">
        <f t="shared" ca="1" si="84"/>
        <v>#N/A</v>
      </c>
      <c r="Z206" s="67" t="e">
        <f t="shared" ca="1" si="85"/>
        <v>#N/A</v>
      </c>
      <c r="AA206" s="5" t="str">
        <f>IF(Setup!$I$15="Yes",'Demand background (hide)'!AJ194+'SPC background (hide)'!C206,"")</f>
        <v/>
      </c>
      <c r="AC206" s="5" t="e">
        <f t="shared" ca="1" si="78"/>
        <v>#N/A</v>
      </c>
      <c r="AD206" s="5" t="e">
        <f t="shared" ca="1" si="79"/>
        <v>#N/A</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7" t="e">
        <f t="shared" ca="1" si="81"/>
        <v>#N/A</v>
      </c>
      <c r="T207" s="67" t="e">
        <f t="shared" ca="1" si="82"/>
        <v>#N/A</v>
      </c>
      <c r="U207" s="67" t="e">
        <f t="shared" ca="1" si="83"/>
        <v>#N/A</v>
      </c>
      <c r="V207" s="5" t="e">
        <f t="shared" ca="1" si="62"/>
        <v>#N/A</v>
      </c>
      <c r="W207" s="5" t="e">
        <f t="shared" ca="1" si="76"/>
        <v>#N/A</v>
      </c>
      <c r="X207" s="67">
        <f t="shared" ca="1" si="77"/>
        <v>0</v>
      </c>
      <c r="Y207" s="67" t="e">
        <f t="shared" ca="1" si="84"/>
        <v>#N/A</v>
      </c>
      <c r="Z207" s="67" t="e">
        <f t="shared" ca="1" si="85"/>
        <v>#N/A</v>
      </c>
      <c r="AA207" s="5" t="str">
        <f>IF(Setup!$I$15="Yes",'Demand background (hide)'!AJ195+'SPC background (hide)'!C207,"")</f>
        <v/>
      </c>
      <c r="AC207" s="5" t="e">
        <f t="shared" ca="1" si="78"/>
        <v>#N/A</v>
      </c>
      <c r="AD207" s="5" t="e">
        <f t="shared" ca="1" si="79"/>
        <v>#N/A</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7" t="e">
        <f t="shared" ca="1" si="81"/>
        <v>#N/A</v>
      </c>
      <c r="T208" s="67" t="e">
        <f t="shared" ca="1" si="82"/>
        <v>#N/A</v>
      </c>
      <c r="U208" s="67" t="e">
        <f t="shared" ca="1" si="83"/>
        <v>#N/A</v>
      </c>
      <c r="V208" s="5" t="e">
        <f t="shared" ref="V208:V275" ca="1" si="86">IF(C208&lt;M208,-1,IF(C208&gt;M208,1,0))</f>
        <v>#N/A</v>
      </c>
      <c r="W208" s="5" t="e">
        <f t="shared" ca="1" si="76"/>
        <v>#N/A</v>
      </c>
      <c r="X208" s="67">
        <f t="shared" ca="1" si="77"/>
        <v>0</v>
      </c>
      <c r="Y208" s="67" t="e">
        <f t="shared" ca="1" si="84"/>
        <v>#N/A</v>
      </c>
      <c r="Z208" s="67" t="e">
        <f t="shared" ca="1" si="85"/>
        <v>#N/A</v>
      </c>
      <c r="AA208" s="5" t="str">
        <f>IF(Setup!$I$15="Yes",'Demand background (hide)'!AJ196+'SPC background (hide)'!C208,"")</f>
        <v/>
      </c>
      <c r="AC208" s="5" t="e">
        <f t="shared" ca="1" si="78"/>
        <v>#N/A</v>
      </c>
      <c r="AD208" s="5" t="e">
        <f t="shared" ca="1" si="79"/>
        <v>#N/A</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7" t="e">
        <f t="shared" ca="1" si="81"/>
        <v>#N/A</v>
      </c>
      <c r="T209" s="67" t="e">
        <f t="shared" ca="1" si="82"/>
        <v>#N/A</v>
      </c>
      <c r="U209" s="67" t="e">
        <f t="shared" ca="1" si="83"/>
        <v>#N/A</v>
      </c>
      <c r="V209" s="5" t="e">
        <f t="shared" ca="1" si="86"/>
        <v>#N/A</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7" t="e">
        <f t="shared" ref="S210:S273" ca="1" si="105">IF(ISNA(H210),IF(ABS(SUM(R210:R212))&gt;=5,C210,NA()),NA())</f>
        <v>#N/A</v>
      </c>
      <c r="T210" s="67" t="e">
        <f t="shared" ref="T210:T273" ca="1" si="106">IF(C210&gt;N210,2,IF(C210&lt;L210,-2,IF(C210&gt;M210,1,IF(C210&lt;M210,-1,0))))</f>
        <v>#N/A</v>
      </c>
      <c r="U210" s="67" t="e">
        <f t="shared" ref="U210:U273" ca="1" si="107">IF(ISNA(H210)=TRUE,IF(ABS(SUM(T210:T214))&gt;=9,C210,NA()),NA())</f>
        <v>#N/A</v>
      </c>
      <c r="V210" s="5" t="e">
        <f t="shared" ca="1" si="86"/>
        <v>#N/A</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7" t="e">
        <f t="shared" ca="1" si="105"/>
        <v>#N/A</v>
      </c>
      <c r="T211" s="67" t="e">
        <f t="shared" ca="1" si="106"/>
        <v>#N/A</v>
      </c>
      <c r="U211" s="67" t="e">
        <f t="shared" ca="1" si="107"/>
        <v>#N/A</v>
      </c>
      <c r="V211" s="5" t="e">
        <f t="shared" ca="1" si="86"/>
        <v>#N/A</v>
      </c>
      <c r="W211" s="5" t="e">
        <f t="shared" ca="1" si="100"/>
        <v>#N/A</v>
      </c>
      <c r="X211" s="67">
        <f t="shared" ca="1" si="101"/>
        <v>0</v>
      </c>
      <c r="Y211" s="67" t="e">
        <f t="shared" ca="1" si="108"/>
        <v>#N/A</v>
      </c>
      <c r="Z211" s="67" t="e">
        <f t="shared" ca="1" si="109"/>
        <v>#N/A</v>
      </c>
      <c r="AA211" s="5" t="str">
        <f>IF(Setup!$I$15="Yes",'Demand background (hide)'!AJ199+'SPC background (hide)'!C211,"")</f>
        <v/>
      </c>
      <c r="AC211" s="5" t="e">
        <f t="shared" ca="1" si="102"/>
        <v>#N/A</v>
      </c>
      <c r="AD211" s="5" t="e">
        <f t="shared" ca="1" si="103"/>
        <v>#N/A</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7" t="e">
        <f t="shared" ca="1" si="105"/>
        <v>#N/A</v>
      </c>
      <c r="T212" s="67" t="e">
        <f t="shared" ca="1" si="106"/>
        <v>#N/A</v>
      </c>
      <c r="U212" s="67" t="e">
        <f t="shared" ca="1" si="107"/>
        <v>#N/A</v>
      </c>
      <c r="V212" s="5" t="e">
        <f t="shared" ca="1" si="86"/>
        <v>#N/A</v>
      </c>
      <c r="W212" s="5" t="e">
        <f t="shared" ca="1" si="100"/>
        <v>#N/A</v>
      </c>
      <c r="X212" s="67">
        <f t="shared" ca="1" si="101"/>
        <v>0</v>
      </c>
      <c r="Y212" s="67" t="e">
        <f t="shared" ca="1" si="108"/>
        <v>#N/A</v>
      </c>
      <c r="Z212" s="67" t="e">
        <f t="shared" ca="1" si="109"/>
        <v>#N/A</v>
      </c>
      <c r="AA212" s="5" t="str">
        <f>IF(Setup!$I$15="Yes",'Demand background (hide)'!AJ200+'SPC background (hide)'!C212,"")</f>
        <v/>
      </c>
      <c r="AC212" s="5" t="e">
        <f t="shared" ca="1" si="102"/>
        <v>#N/A</v>
      </c>
      <c r="AD212" s="5" t="e">
        <f t="shared" ca="1" si="103"/>
        <v>#N/A</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7" t="e">
        <f t="shared" ca="1" si="105"/>
        <v>#N/A</v>
      </c>
      <c r="T213" s="67" t="e">
        <f t="shared" ca="1" si="106"/>
        <v>#N/A</v>
      </c>
      <c r="U213" s="67" t="e">
        <f t="shared" ca="1" si="107"/>
        <v>#N/A</v>
      </c>
      <c r="V213" s="5" t="e">
        <f t="shared" ca="1" si="86"/>
        <v>#N/A</v>
      </c>
      <c r="W213" s="5" t="e">
        <f t="shared" ca="1" si="100"/>
        <v>#N/A</v>
      </c>
      <c r="X213" s="67">
        <f t="shared" ca="1" si="101"/>
        <v>0</v>
      </c>
      <c r="Y213" s="67" t="e">
        <f t="shared" ca="1" si="108"/>
        <v>#N/A</v>
      </c>
      <c r="Z213" s="67" t="e">
        <f t="shared" ca="1" si="109"/>
        <v>#N/A</v>
      </c>
      <c r="AA213" s="5" t="str">
        <f>IF(Setup!$I$15="Yes",'Demand background (hide)'!AJ201+'SPC background (hide)'!C213,"")</f>
        <v/>
      </c>
      <c r="AC213" s="5" t="e">
        <f t="shared" ca="1" si="102"/>
        <v>#N/A</v>
      </c>
      <c r="AD213" s="5" t="e">
        <f t="shared" ca="1" si="103"/>
        <v>#N/A</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7" t="e">
        <f t="shared" ca="1" si="105"/>
        <v>#N/A</v>
      </c>
      <c r="T214" s="67" t="e">
        <f t="shared" ca="1" si="106"/>
        <v>#N/A</v>
      </c>
      <c r="U214" s="67" t="e">
        <f t="shared" ca="1" si="107"/>
        <v>#N/A</v>
      </c>
      <c r="V214" s="5" t="e">
        <f t="shared" ca="1" si="86"/>
        <v>#N/A</v>
      </c>
      <c r="W214" s="5" t="e">
        <f t="shared" ca="1" si="100"/>
        <v>#N/A</v>
      </c>
      <c r="X214" s="67">
        <f t="shared" ca="1" si="101"/>
        <v>0</v>
      </c>
      <c r="Y214" s="67" t="e">
        <f t="shared" ca="1" si="108"/>
        <v>#N/A</v>
      </c>
      <c r="Z214" s="67" t="e">
        <f t="shared" ca="1" si="109"/>
        <v>#N/A</v>
      </c>
      <c r="AA214" s="5" t="str">
        <f>IF(Setup!$I$15="Yes",'Demand background (hide)'!AJ202+'SPC background (hide)'!C214,"")</f>
        <v/>
      </c>
      <c r="AC214" s="5" t="e">
        <f t="shared" ca="1" si="102"/>
        <v>#N/A</v>
      </c>
      <c r="AD214" s="5" t="e">
        <f t="shared" ca="1" si="103"/>
        <v>#N/A</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7" t="e">
        <f t="shared" ca="1" si="105"/>
        <v>#N/A</v>
      </c>
      <c r="T215" s="67" t="e">
        <f t="shared" ca="1" si="106"/>
        <v>#N/A</v>
      </c>
      <c r="U215" s="67" t="e">
        <f t="shared" ca="1" si="107"/>
        <v>#N/A</v>
      </c>
      <c r="V215" s="5" t="e">
        <f t="shared" ca="1" si="86"/>
        <v>#N/A</v>
      </c>
      <c r="W215" s="5" t="e">
        <f t="shared" ca="1" si="100"/>
        <v>#N/A</v>
      </c>
      <c r="X215" s="67">
        <f t="shared" ca="1" si="101"/>
        <v>0</v>
      </c>
      <c r="Y215" s="67" t="e">
        <f t="shared" ca="1" si="108"/>
        <v>#N/A</v>
      </c>
      <c r="Z215" s="67" t="e">
        <f t="shared" ca="1" si="109"/>
        <v>#N/A</v>
      </c>
      <c r="AA215" s="5" t="str">
        <f>IF(Setup!$I$15="Yes",'Demand background (hide)'!AJ203+'SPC background (hide)'!C215,"")</f>
        <v/>
      </c>
      <c r="AC215" s="5" t="e">
        <f t="shared" ca="1" si="102"/>
        <v>#N/A</v>
      </c>
      <c r="AD215" s="5" t="e">
        <f t="shared" ca="1" si="103"/>
        <v>#N/A</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7" t="e">
        <f t="shared" ca="1" si="105"/>
        <v>#N/A</v>
      </c>
      <c r="T216" s="67" t="e">
        <f t="shared" ca="1" si="106"/>
        <v>#N/A</v>
      </c>
      <c r="U216" s="67" t="e">
        <f t="shared" ca="1" si="107"/>
        <v>#N/A</v>
      </c>
      <c r="V216" s="5" t="e">
        <f t="shared" ca="1" si="86"/>
        <v>#N/A</v>
      </c>
      <c r="W216" s="5" t="e">
        <f t="shared" ca="1" si="100"/>
        <v>#N/A</v>
      </c>
      <c r="X216" s="67">
        <f t="shared" ca="1" si="101"/>
        <v>0</v>
      </c>
      <c r="Y216" s="67" t="e">
        <f t="shared" ca="1" si="108"/>
        <v>#N/A</v>
      </c>
      <c r="Z216" s="67" t="e">
        <f t="shared" ca="1" si="109"/>
        <v>#N/A</v>
      </c>
      <c r="AA216" s="5" t="str">
        <f>IF(Setup!$I$15="Yes",'Demand background (hide)'!AJ204+'SPC background (hide)'!C216,"")</f>
        <v/>
      </c>
      <c r="AC216" s="5" t="e">
        <f t="shared" ca="1" si="102"/>
        <v>#N/A</v>
      </c>
      <c r="AD216" s="5" t="e">
        <f t="shared" ca="1" si="103"/>
        <v>#N/A</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7" t="e">
        <f t="shared" ca="1" si="105"/>
        <v>#N/A</v>
      </c>
      <c r="T217" s="67" t="e">
        <f t="shared" ca="1" si="106"/>
        <v>#N/A</v>
      </c>
      <c r="U217" s="67" t="e">
        <f t="shared" ca="1" si="107"/>
        <v>#N/A</v>
      </c>
      <c r="V217" s="5" t="e">
        <f t="shared" ca="1" si="86"/>
        <v>#N/A</v>
      </c>
      <c r="W217" s="5" t="e">
        <f t="shared" ca="1" si="100"/>
        <v>#N/A</v>
      </c>
      <c r="X217" s="67">
        <f t="shared" ca="1" si="101"/>
        <v>0</v>
      </c>
      <c r="Y217" s="67" t="e">
        <f t="shared" ca="1" si="108"/>
        <v>#N/A</v>
      </c>
      <c r="Z217" s="67" t="e">
        <f t="shared" ca="1" si="109"/>
        <v>#N/A</v>
      </c>
      <c r="AA217" s="5" t="str">
        <f>IF(Setup!$I$15="Yes",'Demand background (hide)'!AJ205+'SPC background (hide)'!C217,"")</f>
        <v/>
      </c>
      <c r="AC217" s="5" t="e">
        <f t="shared" ca="1" si="102"/>
        <v>#N/A</v>
      </c>
      <c r="AD217" s="5" t="e">
        <f t="shared" ca="1" si="103"/>
        <v>#N/A</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7" t="e">
        <f t="shared" ca="1" si="105"/>
        <v>#N/A</v>
      </c>
      <c r="T218" s="67" t="e">
        <f t="shared" ca="1" si="106"/>
        <v>#N/A</v>
      </c>
      <c r="U218" s="67" t="e">
        <f t="shared" ca="1" si="107"/>
        <v>#N/A</v>
      </c>
      <c r="V218" s="5" t="e">
        <f t="shared" ca="1" si="86"/>
        <v>#N/A</v>
      </c>
      <c r="W218" s="5" t="e">
        <f t="shared" ca="1" si="100"/>
        <v>#N/A</v>
      </c>
      <c r="X218" s="67">
        <f t="shared" ca="1" si="101"/>
        <v>0</v>
      </c>
      <c r="Y218" s="67" t="e">
        <f t="shared" ca="1" si="108"/>
        <v>#N/A</v>
      </c>
      <c r="Z218" s="67" t="e">
        <f t="shared" ca="1" si="109"/>
        <v>#N/A</v>
      </c>
      <c r="AA218" s="5" t="str">
        <f>IF(Setup!$I$15="Yes",'Demand background (hide)'!AJ206+'SPC background (hide)'!C218,"")</f>
        <v/>
      </c>
      <c r="AC218" s="5" t="e">
        <f t="shared" ca="1" si="102"/>
        <v>#N/A</v>
      </c>
      <c r="AD218" s="5" t="e">
        <f t="shared" ca="1" si="103"/>
        <v>#N/A</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7" t="e">
        <f t="shared" ca="1" si="105"/>
        <v>#N/A</v>
      </c>
      <c r="T219" s="67" t="e">
        <f t="shared" ca="1" si="106"/>
        <v>#N/A</v>
      </c>
      <c r="U219" s="67" t="e">
        <f t="shared" ca="1" si="107"/>
        <v>#N/A</v>
      </c>
      <c r="V219" s="5" t="e">
        <f t="shared" ca="1" si="86"/>
        <v>#N/A</v>
      </c>
      <c r="W219" s="5" t="e">
        <f t="shared" ca="1" si="100"/>
        <v>#N/A</v>
      </c>
      <c r="X219" s="67">
        <f t="shared" ca="1" si="101"/>
        <v>0</v>
      </c>
      <c r="Y219" s="67" t="e">
        <f t="shared" ca="1" si="108"/>
        <v>#N/A</v>
      </c>
      <c r="Z219" s="67" t="e">
        <f t="shared" ca="1" si="109"/>
        <v>#N/A</v>
      </c>
      <c r="AA219" s="5" t="str">
        <f>IF(Setup!$I$15="Yes",'Demand background (hide)'!AJ207+'SPC background (hide)'!C219,"")</f>
        <v/>
      </c>
      <c r="AC219" s="5" t="e">
        <f t="shared" ca="1" si="102"/>
        <v>#N/A</v>
      </c>
      <c r="AD219" s="5" t="e">
        <f t="shared" ca="1" si="103"/>
        <v>#N/A</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7" t="e">
        <f t="shared" ca="1" si="105"/>
        <v>#N/A</v>
      </c>
      <c r="T220" s="67" t="e">
        <f t="shared" ca="1" si="106"/>
        <v>#N/A</v>
      </c>
      <c r="U220" s="67" t="e">
        <f t="shared" ca="1" si="107"/>
        <v>#N/A</v>
      </c>
      <c r="V220" s="5" t="e">
        <f t="shared" ca="1" si="86"/>
        <v>#N/A</v>
      </c>
      <c r="W220" s="5" t="e">
        <f t="shared" ca="1" si="100"/>
        <v>#N/A</v>
      </c>
      <c r="X220" s="67">
        <f t="shared" ca="1" si="101"/>
        <v>0</v>
      </c>
      <c r="Y220" s="67" t="e">
        <f t="shared" ca="1" si="108"/>
        <v>#N/A</v>
      </c>
      <c r="Z220" s="67" t="e">
        <f t="shared" ca="1" si="109"/>
        <v>#N/A</v>
      </c>
      <c r="AA220" s="5" t="str">
        <f>IF(Setup!$I$15="Yes",'Demand background (hide)'!AJ208+'SPC background (hide)'!C220,"")</f>
        <v/>
      </c>
      <c r="AC220" s="5" t="e">
        <f t="shared" ca="1" si="102"/>
        <v>#N/A</v>
      </c>
      <c r="AD220" s="5" t="e">
        <f t="shared" ca="1" si="103"/>
        <v>#N/A</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7" t="e">
        <f t="shared" ca="1" si="105"/>
        <v>#N/A</v>
      </c>
      <c r="T221" s="67" t="e">
        <f t="shared" ca="1" si="106"/>
        <v>#N/A</v>
      </c>
      <c r="U221" s="67" t="e">
        <f t="shared" ca="1" si="107"/>
        <v>#N/A</v>
      </c>
      <c r="V221" s="5" t="e">
        <f t="shared" ca="1" si="86"/>
        <v>#N/A</v>
      </c>
      <c r="W221" s="5" t="e">
        <f t="shared" ca="1" si="100"/>
        <v>#N/A</v>
      </c>
      <c r="X221" s="67">
        <f t="shared" ca="1" si="101"/>
        <v>0</v>
      </c>
      <c r="Y221" s="67" t="e">
        <f t="shared" ca="1" si="108"/>
        <v>#N/A</v>
      </c>
      <c r="Z221" s="67" t="e">
        <f t="shared" ca="1" si="109"/>
        <v>#N/A</v>
      </c>
      <c r="AA221" s="5" t="str">
        <f>IF(Setup!$I$15="Yes",'Demand background (hide)'!AJ209+'SPC background (hide)'!C221,"")</f>
        <v/>
      </c>
      <c r="AC221" s="5" t="e">
        <f t="shared" ca="1" si="102"/>
        <v>#N/A</v>
      </c>
      <c r="AD221" s="5" t="e">
        <f t="shared" ca="1" si="103"/>
        <v>#N/A</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7" t="e">
        <f t="shared" ca="1" si="105"/>
        <v>#N/A</v>
      </c>
      <c r="T222" s="67" t="e">
        <f t="shared" ca="1" si="106"/>
        <v>#N/A</v>
      </c>
      <c r="U222" s="67" t="e">
        <f t="shared" ca="1" si="107"/>
        <v>#N/A</v>
      </c>
      <c r="V222" s="5" t="e">
        <f t="shared" ca="1" si="86"/>
        <v>#N/A</v>
      </c>
      <c r="W222" s="5" t="e">
        <f t="shared" ca="1" si="100"/>
        <v>#N/A</v>
      </c>
      <c r="X222" s="67">
        <f t="shared" ca="1" si="101"/>
        <v>0</v>
      </c>
      <c r="Y222" s="67" t="e">
        <f t="shared" ca="1" si="108"/>
        <v>#N/A</v>
      </c>
      <c r="Z222" s="67" t="e">
        <f t="shared" ca="1" si="109"/>
        <v>#N/A</v>
      </c>
      <c r="AA222" s="5" t="str">
        <f>IF(Setup!$I$15="Yes",'Demand background (hide)'!AJ210+'SPC background (hide)'!C222,"")</f>
        <v/>
      </c>
      <c r="AC222" s="5" t="e">
        <f t="shared" ca="1" si="102"/>
        <v>#N/A</v>
      </c>
      <c r="AD222" s="5" t="e">
        <f t="shared" ca="1" si="103"/>
        <v>#N/A</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7" t="e">
        <f t="shared" ca="1" si="105"/>
        <v>#N/A</v>
      </c>
      <c r="T223" s="67" t="e">
        <f t="shared" ca="1" si="106"/>
        <v>#N/A</v>
      </c>
      <c r="U223" s="67" t="e">
        <f t="shared" ca="1" si="107"/>
        <v>#N/A</v>
      </c>
      <c r="V223" s="5" t="e">
        <f t="shared" ca="1" si="86"/>
        <v>#N/A</v>
      </c>
      <c r="W223" s="5" t="e">
        <f t="shared" ca="1" si="100"/>
        <v>#N/A</v>
      </c>
      <c r="X223" s="67">
        <f t="shared" ca="1" si="101"/>
        <v>0</v>
      </c>
      <c r="Y223" s="67" t="e">
        <f t="shared" ca="1" si="108"/>
        <v>#N/A</v>
      </c>
      <c r="Z223" s="67" t="e">
        <f t="shared" ca="1" si="109"/>
        <v>#N/A</v>
      </c>
      <c r="AA223" s="5" t="str">
        <f>IF(Setup!$I$15="Yes",'Demand background (hide)'!AJ211+'SPC background (hide)'!C223,"")</f>
        <v/>
      </c>
      <c r="AC223" s="5" t="e">
        <f t="shared" ca="1" si="102"/>
        <v>#N/A</v>
      </c>
      <c r="AD223" s="5" t="e">
        <f t="shared" ca="1" si="103"/>
        <v>#N/A</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7" t="e">
        <f t="shared" ca="1" si="105"/>
        <v>#N/A</v>
      </c>
      <c r="T224" s="67" t="e">
        <f t="shared" ca="1" si="106"/>
        <v>#N/A</v>
      </c>
      <c r="U224" s="67" t="e">
        <f t="shared" ca="1" si="107"/>
        <v>#N/A</v>
      </c>
      <c r="V224" s="5" t="e">
        <f t="shared" ca="1" si="86"/>
        <v>#N/A</v>
      </c>
      <c r="W224" s="5" t="e">
        <f t="shared" ca="1" si="100"/>
        <v>#N/A</v>
      </c>
      <c r="X224" s="67">
        <f t="shared" ca="1" si="101"/>
        <v>0</v>
      </c>
      <c r="Y224" s="67" t="e">
        <f t="shared" ca="1" si="108"/>
        <v>#N/A</v>
      </c>
      <c r="Z224" s="67" t="e">
        <f t="shared" ca="1" si="109"/>
        <v>#N/A</v>
      </c>
      <c r="AA224" s="5" t="str">
        <f>IF(Setup!$I$15="Yes",'Demand background (hide)'!AJ212+'SPC background (hide)'!C224,"")</f>
        <v/>
      </c>
      <c r="AC224" s="5" t="e">
        <f t="shared" ca="1" si="102"/>
        <v>#N/A</v>
      </c>
      <c r="AD224" s="5" t="e">
        <f t="shared" ca="1" si="103"/>
        <v>#N/A</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7" t="e">
        <f t="shared" ca="1" si="105"/>
        <v>#N/A</v>
      </c>
      <c r="T225" s="67" t="e">
        <f t="shared" ca="1" si="106"/>
        <v>#N/A</v>
      </c>
      <c r="U225" s="67" t="e">
        <f t="shared" ca="1" si="107"/>
        <v>#N/A</v>
      </c>
      <c r="V225" s="5" t="e">
        <f t="shared" ca="1" si="86"/>
        <v>#N/A</v>
      </c>
      <c r="W225" s="5" t="e">
        <f t="shared" ca="1" si="100"/>
        <v>#N/A</v>
      </c>
      <c r="X225" s="67">
        <f t="shared" ca="1" si="101"/>
        <v>0</v>
      </c>
      <c r="Y225" s="67" t="e">
        <f t="shared" ca="1" si="108"/>
        <v>#N/A</v>
      </c>
      <c r="Z225" s="67" t="e">
        <f t="shared" ca="1" si="109"/>
        <v>#N/A</v>
      </c>
      <c r="AA225" s="5" t="str">
        <f>IF(Setup!$I$15="Yes",'Demand background (hide)'!AJ213+'SPC background (hide)'!C225,"")</f>
        <v/>
      </c>
      <c r="AC225" s="5" t="e">
        <f t="shared" ca="1" si="102"/>
        <v>#N/A</v>
      </c>
      <c r="AD225" s="5" t="e">
        <f t="shared" ca="1" si="103"/>
        <v>#N/A</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7" t="e">
        <f t="shared" ca="1" si="105"/>
        <v>#N/A</v>
      </c>
      <c r="T226" s="67" t="e">
        <f t="shared" ca="1" si="106"/>
        <v>#N/A</v>
      </c>
      <c r="U226" s="67" t="e">
        <f t="shared" ca="1" si="107"/>
        <v>#N/A</v>
      </c>
      <c r="V226" s="5" t="e">
        <f t="shared" ca="1" si="86"/>
        <v>#N/A</v>
      </c>
      <c r="W226" s="5" t="e">
        <f t="shared" ca="1" si="100"/>
        <v>#N/A</v>
      </c>
      <c r="X226" s="67">
        <f t="shared" ca="1" si="101"/>
        <v>0</v>
      </c>
      <c r="Y226" s="67" t="e">
        <f t="shared" ca="1" si="108"/>
        <v>#N/A</v>
      </c>
      <c r="Z226" s="67" t="e">
        <f t="shared" ca="1" si="109"/>
        <v>#N/A</v>
      </c>
      <c r="AA226" s="5" t="str">
        <f>IF(Setup!$I$15="Yes",'Demand background (hide)'!AJ214+'SPC background (hide)'!C226,"")</f>
        <v/>
      </c>
      <c r="AC226" s="5" t="e">
        <f t="shared" ca="1" si="102"/>
        <v>#N/A</v>
      </c>
      <c r="AD226" s="5" t="e">
        <f t="shared" ca="1" si="103"/>
        <v>#N/A</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7" t="e">
        <f t="shared" ca="1" si="105"/>
        <v>#N/A</v>
      </c>
      <c r="T227" s="67" t="e">
        <f t="shared" ca="1" si="106"/>
        <v>#N/A</v>
      </c>
      <c r="U227" s="67" t="e">
        <f t="shared" ca="1" si="107"/>
        <v>#N/A</v>
      </c>
      <c r="V227" s="5" t="e">
        <f t="shared" ca="1" si="86"/>
        <v>#N/A</v>
      </c>
      <c r="W227" s="5" t="e">
        <f t="shared" ca="1" si="100"/>
        <v>#N/A</v>
      </c>
      <c r="X227" s="67">
        <f t="shared" ca="1" si="101"/>
        <v>0</v>
      </c>
      <c r="Y227" s="67" t="e">
        <f t="shared" ca="1" si="108"/>
        <v>#N/A</v>
      </c>
      <c r="Z227" s="67" t="e">
        <f t="shared" ca="1" si="109"/>
        <v>#N/A</v>
      </c>
      <c r="AA227" s="5" t="str">
        <f>IF(Setup!$I$15="Yes",'Demand background (hide)'!AJ215+'SPC background (hide)'!C227,"")</f>
        <v/>
      </c>
      <c r="AC227" s="5" t="e">
        <f t="shared" ca="1" si="102"/>
        <v>#N/A</v>
      </c>
      <c r="AD227" s="5" t="e">
        <f t="shared" ca="1" si="103"/>
        <v>#N/A</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7" t="e">
        <f t="shared" ca="1" si="105"/>
        <v>#N/A</v>
      </c>
      <c r="T228" s="67" t="e">
        <f t="shared" ca="1" si="106"/>
        <v>#N/A</v>
      </c>
      <c r="U228" s="67" t="e">
        <f t="shared" ca="1" si="107"/>
        <v>#N/A</v>
      </c>
      <c r="V228" s="5" t="e">
        <f t="shared" ca="1" si="86"/>
        <v>#N/A</v>
      </c>
      <c r="W228" s="5" t="e">
        <f t="shared" ca="1" si="100"/>
        <v>#N/A</v>
      </c>
      <c r="X228" s="67">
        <f t="shared" ca="1" si="101"/>
        <v>0</v>
      </c>
      <c r="Y228" s="67" t="e">
        <f t="shared" ca="1" si="108"/>
        <v>#N/A</v>
      </c>
      <c r="Z228" s="67" t="e">
        <f t="shared" ca="1" si="109"/>
        <v>#N/A</v>
      </c>
      <c r="AA228" s="5" t="str">
        <f>IF(Setup!$I$15="Yes",'Demand background (hide)'!AJ216+'SPC background (hide)'!C228,"")</f>
        <v/>
      </c>
      <c r="AC228" s="5" t="e">
        <f t="shared" ca="1" si="102"/>
        <v>#N/A</v>
      </c>
      <c r="AD228" s="5" t="e">
        <f t="shared" ca="1" si="103"/>
        <v>#N/A</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7" t="e">
        <f t="shared" ca="1" si="105"/>
        <v>#N/A</v>
      </c>
      <c r="T229" s="67" t="e">
        <f t="shared" ca="1" si="106"/>
        <v>#N/A</v>
      </c>
      <c r="U229" s="67" t="e">
        <f t="shared" ca="1" si="107"/>
        <v>#N/A</v>
      </c>
      <c r="V229" s="5" t="e">
        <f t="shared" ca="1" si="86"/>
        <v>#N/A</v>
      </c>
      <c r="W229" s="5" t="e">
        <f t="shared" ca="1" si="100"/>
        <v>#N/A</v>
      </c>
      <c r="X229" s="67">
        <f t="shared" ca="1" si="101"/>
        <v>0</v>
      </c>
      <c r="Y229" s="67" t="e">
        <f t="shared" ca="1" si="108"/>
        <v>#N/A</v>
      </c>
      <c r="Z229" s="67" t="e">
        <f t="shared" ca="1" si="109"/>
        <v>#N/A</v>
      </c>
      <c r="AA229" s="5" t="str">
        <f>IF(Setup!$I$15="Yes",'Demand background (hide)'!AJ217+'SPC background (hide)'!C229,"")</f>
        <v/>
      </c>
      <c r="AC229" s="5" t="e">
        <f t="shared" ca="1" si="102"/>
        <v>#N/A</v>
      </c>
      <c r="AD229" s="5" t="e">
        <f t="shared" ca="1" si="103"/>
        <v>#N/A</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7" t="e">
        <f t="shared" ca="1" si="105"/>
        <v>#N/A</v>
      </c>
      <c r="T230" s="67" t="e">
        <f t="shared" ca="1" si="106"/>
        <v>#N/A</v>
      </c>
      <c r="U230" s="67" t="e">
        <f t="shared" ca="1" si="107"/>
        <v>#N/A</v>
      </c>
      <c r="V230" s="5" t="e">
        <f t="shared" ca="1" si="86"/>
        <v>#N/A</v>
      </c>
      <c r="W230" s="5" t="e">
        <f t="shared" ca="1" si="100"/>
        <v>#N/A</v>
      </c>
      <c r="X230" s="67">
        <f t="shared" ca="1" si="101"/>
        <v>0</v>
      </c>
      <c r="Y230" s="67" t="e">
        <f t="shared" ca="1" si="108"/>
        <v>#N/A</v>
      </c>
      <c r="Z230" s="67" t="e">
        <f t="shared" ca="1" si="109"/>
        <v>#N/A</v>
      </c>
      <c r="AA230" s="5" t="str">
        <f>IF(Setup!$I$15="Yes",'Demand background (hide)'!AJ218+'SPC background (hide)'!C230,"")</f>
        <v/>
      </c>
      <c r="AC230" s="5" t="e">
        <f t="shared" ca="1" si="102"/>
        <v>#N/A</v>
      </c>
      <c r="AD230" s="5" t="e">
        <f t="shared" ca="1" si="103"/>
        <v>#N/A</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7" t="e">
        <f t="shared" ca="1" si="105"/>
        <v>#N/A</v>
      </c>
      <c r="T231" s="67" t="e">
        <f t="shared" ca="1" si="106"/>
        <v>#N/A</v>
      </c>
      <c r="U231" s="67" t="e">
        <f t="shared" ca="1" si="107"/>
        <v>#N/A</v>
      </c>
      <c r="V231" s="5" t="e">
        <f t="shared" ca="1" si="86"/>
        <v>#N/A</v>
      </c>
      <c r="W231" s="5" t="e">
        <f t="shared" ca="1" si="100"/>
        <v>#N/A</v>
      </c>
      <c r="X231" s="67">
        <f t="shared" ca="1" si="101"/>
        <v>0</v>
      </c>
      <c r="Y231" s="67" t="e">
        <f t="shared" ca="1" si="108"/>
        <v>#N/A</v>
      </c>
      <c r="Z231" s="67" t="e">
        <f t="shared" ca="1" si="109"/>
        <v>#N/A</v>
      </c>
      <c r="AA231" s="5" t="str">
        <f>IF(Setup!$I$15="Yes",'Demand background (hide)'!AJ219+'SPC background (hide)'!C231,"")</f>
        <v/>
      </c>
      <c r="AC231" s="5" t="e">
        <f t="shared" ca="1" si="102"/>
        <v>#N/A</v>
      </c>
      <c r="AD231" s="5" t="e">
        <f t="shared" ca="1" si="103"/>
        <v>#N/A</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7" t="e">
        <f t="shared" ca="1" si="105"/>
        <v>#N/A</v>
      </c>
      <c r="T232" s="67" t="e">
        <f t="shared" ca="1" si="106"/>
        <v>#N/A</v>
      </c>
      <c r="U232" s="67" t="e">
        <f t="shared" ca="1" si="107"/>
        <v>#N/A</v>
      </c>
      <c r="V232" s="5" t="e">
        <f t="shared" ca="1" si="86"/>
        <v>#N/A</v>
      </c>
      <c r="W232" s="5" t="e">
        <f t="shared" ca="1" si="100"/>
        <v>#N/A</v>
      </c>
      <c r="X232" s="67">
        <f t="shared" ca="1" si="101"/>
        <v>0</v>
      </c>
      <c r="Y232" s="67" t="e">
        <f t="shared" ca="1" si="108"/>
        <v>#N/A</v>
      </c>
      <c r="Z232" s="67" t="e">
        <f t="shared" ca="1" si="109"/>
        <v>#N/A</v>
      </c>
      <c r="AA232" s="5" t="str">
        <f>IF(Setup!$I$15="Yes",'Demand background (hide)'!AJ220+'SPC background (hide)'!C232,"")</f>
        <v/>
      </c>
      <c r="AC232" s="5" t="e">
        <f t="shared" ca="1" si="102"/>
        <v>#N/A</v>
      </c>
      <c r="AD232" s="5" t="e">
        <f t="shared" ca="1" si="103"/>
        <v>#N/A</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7" t="e">
        <f t="shared" ca="1" si="105"/>
        <v>#N/A</v>
      </c>
      <c r="T233" s="67" t="e">
        <f t="shared" ca="1" si="106"/>
        <v>#N/A</v>
      </c>
      <c r="U233" s="67" t="e">
        <f t="shared" ca="1" si="107"/>
        <v>#N/A</v>
      </c>
      <c r="V233" s="5" t="e">
        <f t="shared" ca="1" si="86"/>
        <v>#N/A</v>
      </c>
      <c r="W233" s="5" t="e">
        <f t="shared" ca="1" si="100"/>
        <v>#N/A</v>
      </c>
      <c r="X233" s="67">
        <f t="shared" ca="1" si="101"/>
        <v>0</v>
      </c>
      <c r="Y233" s="67" t="e">
        <f t="shared" ca="1" si="108"/>
        <v>#N/A</v>
      </c>
      <c r="Z233" s="67" t="e">
        <f t="shared" ca="1" si="109"/>
        <v>#N/A</v>
      </c>
      <c r="AA233" s="5" t="str">
        <f>IF(Setup!$I$15="Yes",'Demand background (hide)'!AJ221+'SPC background (hide)'!C233,"")</f>
        <v/>
      </c>
      <c r="AC233" s="5" t="e">
        <f t="shared" ca="1" si="102"/>
        <v>#N/A</v>
      </c>
      <c r="AD233" s="5" t="e">
        <f t="shared" ca="1" si="103"/>
        <v>#N/A</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7" t="e">
        <f t="shared" ca="1" si="105"/>
        <v>#N/A</v>
      </c>
      <c r="T234" s="67" t="e">
        <f t="shared" ca="1" si="106"/>
        <v>#N/A</v>
      </c>
      <c r="U234" s="67" t="e">
        <f t="shared" ca="1" si="107"/>
        <v>#N/A</v>
      </c>
      <c r="V234" s="5" t="e">
        <f t="shared" ca="1" si="86"/>
        <v>#N/A</v>
      </c>
      <c r="W234" s="5" t="e">
        <f t="shared" ca="1" si="100"/>
        <v>#N/A</v>
      </c>
      <c r="X234" s="67">
        <f t="shared" ca="1" si="101"/>
        <v>0</v>
      </c>
      <c r="Y234" s="67" t="e">
        <f t="shared" ca="1" si="108"/>
        <v>#N/A</v>
      </c>
      <c r="Z234" s="67" t="e">
        <f t="shared" ca="1" si="109"/>
        <v>#N/A</v>
      </c>
      <c r="AA234" s="5" t="str">
        <f>IF(Setup!$I$15="Yes",'Demand background (hide)'!AJ222+'SPC background (hide)'!C234,"")</f>
        <v/>
      </c>
      <c r="AC234" s="5" t="e">
        <f t="shared" ca="1" si="102"/>
        <v>#N/A</v>
      </c>
      <c r="AD234" s="5" t="e">
        <f t="shared" ca="1" si="103"/>
        <v>#N/A</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7" t="e">
        <f t="shared" ca="1" si="105"/>
        <v>#N/A</v>
      </c>
      <c r="T235" s="67" t="e">
        <f t="shared" ca="1" si="106"/>
        <v>#N/A</v>
      </c>
      <c r="U235" s="67" t="e">
        <f t="shared" ca="1" si="107"/>
        <v>#N/A</v>
      </c>
      <c r="V235" s="5" t="e">
        <f t="shared" ca="1" si="86"/>
        <v>#N/A</v>
      </c>
      <c r="W235" s="5" t="e">
        <f t="shared" ca="1" si="100"/>
        <v>#N/A</v>
      </c>
      <c r="X235" s="67">
        <f t="shared" ca="1" si="101"/>
        <v>0</v>
      </c>
      <c r="Y235" s="67" t="e">
        <f t="shared" ca="1" si="108"/>
        <v>#N/A</v>
      </c>
      <c r="Z235" s="67" t="e">
        <f t="shared" ca="1" si="109"/>
        <v>#N/A</v>
      </c>
      <c r="AA235" s="5" t="str">
        <f>IF(Setup!$I$15="Yes",'Demand background (hide)'!AJ223+'SPC background (hide)'!C235,"")</f>
        <v/>
      </c>
      <c r="AC235" s="5" t="e">
        <f t="shared" ca="1" si="102"/>
        <v>#N/A</v>
      </c>
      <c r="AD235" s="5" t="e">
        <f t="shared" ca="1" si="103"/>
        <v>#N/A</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7" t="e">
        <f t="shared" ca="1" si="105"/>
        <v>#N/A</v>
      </c>
      <c r="T236" s="67" t="e">
        <f t="shared" ca="1" si="106"/>
        <v>#N/A</v>
      </c>
      <c r="U236" s="67" t="e">
        <f t="shared" ca="1" si="107"/>
        <v>#N/A</v>
      </c>
      <c r="V236" s="5" t="e">
        <f t="shared" ca="1" si="86"/>
        <v>#N/A</v>
      </c>
      <c r="W236" s="5" t="e">
        <f t="shared" ca="1" si="100"/>
        <v>#N/A</v>
      </c>
      <c r="X236" s="67">
        <f t="shared" ca="1" si="101"/>
        <v>0</v>
      </c>
      <c r="Y236" s="67" t="e">
        <f t="shared" ca="1" si="108"/>
        <v>#N/A</v>
      </c>
      <c r="Z236" s="67" t="e">
        <f t="shared" ca="1" si="109"/>
        <v>#N/A</v>
      </c>
      <c r="AA236" s="5" t="str">
        <f>IF(Setup!$I$15="Yes",'Demand background (hide)'!AJ224+'SPC background (hide)'!C236,"")</f>
        <v/>
      </c>
      <c r="AC236" s="5" t="e">
        <f t="shared" ca="1" si="102"/>
        <v>#N/A</v>
      </c>
      <c r="AD236" s="5" t="e">
        <f t="shared" ca="1" si="103"/>
        <v>#N/A</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7" t="e">
        <f t="shared" ca="1" si="105"/>
        <v>#N/A</v>
      </c>
      <c r="T237" s="67" t="e">
        <f t="shared" ca="1" si="106"/>
        <v>#N/A</v>
      </c>
      <c r="U237" s="67" t="e">
        <f t="shared" ca="1" si="107"/>
        <v>#N/A</v>
      </c>
      <c r="V237" s="5" t="e">
        <f t="shared" ca="1" si="86"/>
        <v>#N/A</v>
      </c>
      <c r="W237" s="5" t="e">
        <f t="shared" ca="1" si="100"/>
        <v>#N/A</v>
      </c>
      <c r="X237" s="67">
        <f t="shared" ca="1" si="101"/>
        <v>0</v>
      </c>
      <c r="Y237" s="67" t="e">
        <f t="shared" ca="1" si="108"/>
        <v>#N/A</v>
      </c>
      <c r="Z237" s="67" t="e">
        <f t="shared" ca="1" si="109"/>
        <v>#N/A</v>
      </c>
      <c r="AA237" s="5" t="str">
        <f>IF(Setup!$I$15="Yes",'Demand background (hide)'!AJ225+'SPC background (hide)'!C237,"")</f>
        <v/>
      </c>
      <c r="AC237" s="5" t="e">
        <f t="shared" ca="1" si="102"/>
        <v>#N/A</v>
      </c>
      <c r="AD237" s="5" t="e">
        <f t="shared" ca="1" si="103"/>
        <v>#N/A</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7" t="e">
        <f t="shared" ca="1" si="105"/>
        <v>#N/A</v>
      </c>
      <c r="T238" s="67" t="e">
        <f t="shared" ca="1" si="106"/>
        <v>#N/A</v>
      </c>
      <c r="U238" s="67" t="e">
        <f t="shared" ca="1" si="107"/>
        <v>#N/A</v>
      </c>
      <c r="V238" s="5" t="e">
        <f t="shared" ca="1" si="86"/>
        <v>#N/A</v>
      </c>
      <c r="W238" s="5" t="e">
        <f t="shared" ca="1" si="100"/>
        <v>#N/A</v>
      </c>
      <c r="X238" s="67">
        <f t="shared" ca="1" si="101"/>
        <v>0</v>
      </c>
      <c r="Y238" s="67" t="e">
        <f t="shared" ca="1" si="108"/>
        <v>#N/A</v>
      </c>
      <c r="Z238" s="67" t="e">
        <f t="shared" ca="1" si="109"/>
        <v>#N/A</v>
      </c>
      <c r="AA238" s="5" t="str">
        <f>IF(Setup!$I$15="Yes",'Demand background (hide)'!AJ226+'SPC background (hide)'!C238,"")</f>
        <v/>
      </c>
      <c r="AC238" s="5" t="e">
        <f t="shared" ca="1" si="102"/>
        <v>#N/A</v>
      </c>
      <c r="AD238" s="5" t="e">
        <f t="shared" ca="1" si="103"/>
        <v>#N/A</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7" t="e">
        <f t="shared" ca="1" si="105"/>
        <v>#N/A</v>
      </c>
      <c r="T239" s="67" t="e">
        <f t="shared" ca="1" si="106"/>
        <v>#N/A</v>
      </c>
      <c r="U239" s="67" t="e">
        <f t="shared" ca="1" si="107"/>
        <v>#N/A</v>
      </c>
      <c r="V239" s="5" t="e">
        <f t="shared" ca="1" si="86"/>
        <v>#N/A</v>
      </c>
      <c r="W239" s="5" t="e">
        <f t="shared" ca="1" si="100"/>
        <v>#N/A</v>
      </c>
      <c r="X239" s="67">
        <f t="shared" ca="1" si="101"/>
        <v>0</v>
      </c>
      <c r="Y239" s="67" t="e">
        <f t="shared" ca="1" si="108"/>
        <v>#N/A</v>
      </c>
      <c r="Z239" s="67" t="e">
        <f t="shared" ca="1" si="109"/>
        <v>#N/A</v>
      </c>
      <c r="AA239" s="5" t="str">
        <f>IF(Setup!$I$15="Yes",'Demand background (hide)'!AJ227+'SPC background (hide)'!C239,"")</f>
        <v/>
      </c>
      <c r="AC239" s="5" t="e">
        <f t="shared" ca="1" si="102"/>
        <v>#N/A</v>
      </c>
      <c r="AD239" s="5" t="e">
        <f t="shared" ca="1" si="103"/>
        <v>#N/A</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7" t="e">
        <f t="shared" ca="1" si="105"/>
        <v>#N/A</v>
      </c>
      <c r="T240" s="67" t="e">
        <f t="shared" ca="1" si="106"/>
        <v>#N/A</v>
      </c>
      <c r="U240" s="67" t="e">
        <f t="shared" ca="1" si="107"/>
        <v>#N/A</v>
      </c>
      <c r="V240" s="5" t="e">
        <f t="shared" ca="1" si="86"/>
        <v>#N/A</v>
      </c>
      <c r="W240" s="5" t="e">
        <f t="shared" ca="1" si="100"/>
        <v>#N/A</v>
      </c>
      <c r="X240" s="67">
        <f t="shared" ca="1" si="101"/>
        <v>0</v>
      </c>
      <c r="Y240" s="67" t="e">
        <f t="shared" ca="1" si="108"/>
        <v>#N/A</v>
      </c>
      <c r="Z240" s="67" t="e">
        <f t="shared" ca="1" si="109"/>
        <v>#N/A</v>
      </c>
      <c r="AA240" s="5" t="str">
        <f>IF(Setup!$I$15="Yes",'Demand background (hide)'!AJ228+'SPC background (hide)'!C240,"")</f>
        <v/>
      </c>
      <c r="AC240" s="5" t="e">
        <f t="shared" ca="1" si="102"/>
        <v>#N/A</v>
      </c>
      <c r="AD240" s="5" t="e">
        <f t="shared" ca="1" si="103"/>
        <v>#N/A</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7" t="e">
        <f t="shared" ca="1" si="105"/>
        <v>#N/A</v>
      </c>
      <c r="T241" s="67" t="e">
        <f t="shared" ca="1" si="106"/>
        <v>#N/A</v>
      </c>
      <c r="U241" s="67" t="e">
        <f t="shared" ca="1" si="107"/>
        <v>#N/A</v>
      </c>
      <c r="V241" s="5" t="e">
        <f t="shared" ca="1" si="86"/>
        <v>#N/A</v>
      </c>
      <c r="W241" s="5" t="e">
        <f t="shared" ca="1" si="100"/>
        <v>#N/A</v>
      </c>
      <c r="X241" s="67">
        <f t="shared" ca="1" si="101"/>
        <v>0</v>
      </c>
      <c r="Y241" s="67" t="e">
        <f t="shared" ca="1" si="108"/>
        <v>#N/A</v>
      </c>
      <c r="Z241" s="67" t="e">
        <f t="shared" ca="1" si="109"/>
        <v>#N/A</v>
      </c>
      <c r="AA241" s="5" t="str">
        <f>IF(Setup!$I$15="Yes",'Demand background (hide)'!AJ229+'SPC background (hide)'!C241,"")</f>
        <v/>
      </c>
      <c r="AC241" s="5" t="e">
        <f t="shared" ca="1" si="102"/>
        <v>#N/A</v>
      </c>
      <c r="AD241" s="5" t="e">
        <f t="shared" ca="1" si="103"/>
        <v>#N/A</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7" t="e">
        <f t="shared" ca="1" si="105"/>
        <v>#N/A</v>
      </c>
      <c r="T242" s="67" t="e">
        <f t="shared" ca="1" si="106"/>
        <v>#N/A</v>
      </c>
      <c r="U242" s="67" t="e">
        <f t="shared" ca="1" si="107"/>
        <v>#N/A</v>
      </c>
      <c r="V242" s="5" t="e">
        <f t="shared" ca="1" si="86"/>
        <v>#N/A</v>
      </c>
      <c r="W242" s="5" t="e">
        <f t="shared" ca="1" si="100"/>
        <v>#N/A</v>
      </c>
      <c r="X242" s="67">
        <f t="shared" ca="1" si="101"/>
        <v>0</v>
      </c>
      <c r="Y242" s="67" t="e">
        <f t="shared" ca="1" si="108"/>
        <v>#N/A</v>
      </c>
      <c r="Z242" s="67" t="e">
        <f t="shared" ca="1" si="109"/>
        <v>#N/A</v>
      </c>
      <c r="AA242" s="5" t="str">
        <f>IF(Setup!$I$15="Yes",'Demand background (hide)'!AJ230+'SPC background (hide)'!C242,"")</f>
        <v/>
      </c>
      <c r="AC242" s="5" t="e">
        <f t="shared" ca="1" si="102"/>
        <v>#N/A</v>
      </c>
      <c r="AD242" s="5" t="e">
        <f t="shared" ca="1" si="103"/>
        <v>#N/A</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7" t="e">
        <f t="shared" ca="1" si="105"/>
        <v>#N/A</v>
      </c>
      <c r="T243" s="67" t="e">
        <f t="shared" ca="1" si="106"/>
        <v>#N/A</v>
      </c>
      <c r="U243" s="67" t="e">
        <f t="shared" ca="1" si="107"/>
        <v>#N/A</v>
      </c>
      <c r="V243" s="5" t="e">
        <f t="shared" ca="1" si="86"/>
        <v>#N/A</v>
      </c>
      <c r="W243" s="5" t="e">
        <f t="shared" ca="1" si="100"/>
        <v>#N/A</v>
      </c>
      <c r="X243" s="67">
        <f t="shared" ca="1" si="101"/>
        <v>0</v>
      </c>
      <c r="Y243" s="67" t="e">
        <f t="shared" ca="1" si="108"/>
        <v>#N/A</v>
      </c>
      <c r="Z243" s="67" t="e">
        <f t="shared" ca="1" si="109"/>
        <v>#N/A</v>
      </c>
      <c r="AA243" s="5" t="str">
        <f>IF(Setup!$I$15="Yes",'Demand background (hide)'!AJ231+'SPC background (hide)'!C243,"")</f>
        <v/>
      </c>
      <c r="AC243" s="5" t="e">
        <f t="shared" ca="1" si="102"/>
        <v>#N/A</v>
      </c>
      <c r="AD243" s="5" t="e">
        <f t="shared" ca="1" si="103"/>
        <v>#N/A</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7" t="e">
        <f t="shared" ca="1" si="105"/>
        <v>#N/A</v>
      </c>
      <c r="T244" s="67" t="e">
        <f t="shared" ca="1" si="106"/>
        <v>#N/A</v>
      </c>
      <c r="U244" s="67" t="e">
        <f t="shared" ca="1" si="107"/>
        <v>#N/A</v>
      </c>
      <c r="V244" s="5" t="e">
        <f t="shared" ca="1" si="86"/>
        <v>#N/A</v>
      </c>
      <c r="W244" s="5" t="e">
        <f t="shared" ca="1" si="100"/>
        <v>#N/A</v>
      </c>
      <c r="X244" s="67">
        <f t="shared" ca="1" si="101"/>
        <v>0</v>
      </c>
      <c r="Y244" s="67" t="e">
        <f t="shared" ca="1" si="108"/>
        <v>#N/A</v>
      </c>
      <c r="Z244" s="67" t="e">
        <f t="shared" ca="1" si="109"/>
        <v>#N/A</v>
      </c>
      <c r="AA244" s="5" t="str">
        <f>IF(Setup!$I$15="Yes",'Demand background (hide)'!AJ232+'SPC background (hide)'!C244,"")</f>
        <v/>
      </c>
      <c r="AC244" s="5" t="e">
        <f t="shared" ca="1" si="102"/>
        <v>#N/A</v>
      </c>
      <c r="AD244" s="5" t="e">
        <f t="shared" ca="1" si="103"/>
        <v>#N/A</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7" t="e">
        <f t="shared" ca="1" si="105"/>
        <v>#N/A</v>
      </c>
      <c r="T245" s="67" t="e">
        <f t="shared" ca="1" si="106"/>
        <v>#N/A</v>
      </c>
      <c r="U245" s="67" t="e">
        <f t="shared" ca="1" si="107"/>
        <v>#N/A</v>
      </c>
      <c r="V245" s="5" t="e">
        <f t="shared" ca="1" si="86"/>
        <v>#N/A</v>
      </c>
      <c r="W245" s="5" t="e">
        <f t="shared" ca="1" si="100"/>
        <v>#N/A</v>
      </c>
      <c r="X245" s="67">
        <f t="shared" ca="1" si="101"/>
        <v>0</v>
      </c>
      <c r="Y245" s="67" t="e">
        <f t="shared" ca="1" si="108"/>
        <v>#N/A</v>
      </c>
      <c r="Z245" s="67" t="e">
        <f t="shared" ca="1" si="109"/>
        <v>#N/A</v>
      </c>
      <c r="AA245" s="5" t="str">
        <f>IF(Setup!$I$15="Yes",'Demand background (hide)'!AJ233+'SPC background (hide)'!C245,"")</f>
        <v/>
      </c>
      <c r="AC245" s="5" t="e">
        <f t="shared" ca="1" si="102"/>
        <v>#N/A</v>
      </c>
      <c r="AD245" s="5" t="e">
        <f t="shared" ca="1" si="103"/>
        <v>#N/A</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7" t="e">
        <f t="shared" ca="1" si="105"/>
        <v>#N/A</v>
      </c>
      <c r="T246" s="67" t="e">
        <f t="shared" ca="1" si="106"/>
        <v>#N/A</v>
      </c>
      <c r="U246" s="67" t="e">
        <f t="shared" ca="1" si="107"/>
        <v>#N/A</v>
      </c>
      <c r="V246" s="5" t="e">
        <f t="shared" ca="1" si="86"/>
        <v>#N/A</v>
      </c>
      <c r="W246" s="5" t="e">
        <f t="shared" ca="1" si="100"/>
        <v>#N/A</v>
      </c>
      <c r="X246" s="67">
        <f t="shared" ca="1" si="101"/>
        <v>0</v>
      </c>
      <c r="Y246" s="67" t="e">
        <f t="shared" ca="1" si="108"/>
        <v>#N/A</v>
      </c>
      <c r="Z246" s="67" t="e">
        <f t="shared" ca="1" si="109"/>
        <v>#N/A</v>
      </c>
      <c r="AA246" s="5" t="str">
        <f>IF(Setup!$I$15="Yes",'Demand background (hide)'!AJ234+'SPC background (hide)'!C246,"")</f>
        <v/>
      </c>
      <c r="AC246" s="5" t="e">
        <f t="shared" ca="1" si="102"/>
        <v>#N/A</v>
      </c>
      <c r="AD246" s="5" t="e">
        <f t="shared" ca="1" si="103"/>
        <v>#N/A</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7" t="e">
        <f t="shared" ca="1" si="105"/>
        <v>#N/A</v>
      </c>
      <c r="T247" s="67" t="e">
        <f t="shared" ca="1" si="106"/>
        <v>#N/A</v>
      </c>
      <c r="U247" s="67" t="e">
        <f t="shared" ca="1" si="107"/>
        <v>#N/A</v>
      </c>
      <c r="V247" s="5" t="e">
        <f t="shared" ca="1" si="86"/>
        <v>#N/A</v>
      </c>
      <c r="W247" s="5" t="e">
        <f t="shared" ca="1" si="100"/>
        <v>#N/A</v>
      </c>
      <c r="X247" s="67">
        <f t="shared" ca="1" si="101"/>
        <v>0</v>
      </c>
      <c r="Y247" s="67" t="e">
        <f t="shared" ca="1" si="108"/>
        <v>#N/A</v>
      </c>
      <c r="Z247" s="67" t="e">
        <f t="shared" ca="1" si="109"/>
        <v>#N/A</v>
      </c>
      <c r="AA247" s="5" t="str">
        <f>IF(Setup!$I$15="Yes",'Demand background (hide)'!AJ235+'SPC background (hide)'!C247,"")</f>
        <v/>
      </c>
      <c r="AC247" s="5" t="e">
        <f t="shared" ca="1" si="102"/>
        <v>#N/A</v>
      </c>
      <c r="AD247" s="5" t="e">
        <f t="shared" ca="1" si="103"/>
        <v>#N/A</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7" t="e">
        <f t="shared" ca="1" si="105"/>
        <v>#N/A</v>
      </c>
      <c r="T248" s="67" t="e">
        <f t="shared" ca="1" si="106"/>
        <v>#N/A</v>
      </c>
      <c r="U248" s="67" t="e">
        <f t="shared" ca="1" si="107"/>
        <v>#N/A</v>
      </c>
      <c r="V248" s="5" t="e">
        <f t="shared" ca="1" si="86"/>
        <v>#N/A</v>
      </c>
      <c r="W248" s="5" t="e">
        <f t="shared" ca="1" si="100"/>
        <v>#N/A</v>
      </c>
      <c r="X248" s="67">
        <f t="shared" ca="1" si="101"/>
        <v>0</v>
      </c>
      <c r="Y248" s="67" t="e">
        <f t="shared" ca="1" si="108"/>
        <v>#N/A</v>
      </c>
      <c r="Z248" s="67" t="e">
        <f t="shared" ca="1" si="109"/>
        <v>#N/A</v>
      </c>
      <c r="AA248" s="5" t="str">
        <f>IF(Setup!$I$15="Yes",'Demand background (hide)'!AJ236+'SPC background (hide)'!C248,"")</f>
        <v/>
      </c>
      <c r="AC248" s="5" t="e">
        <f t="shared" ca="1" si="102"/>
        <v>#N/A</v>
      </c>
      <c r="AD248" s="5" t="e">
        <f t="shared" ca="1" si="103"/>
        <v>#N/A</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7" t="e">
        <f t="shared" ca="1" si="105"/>
        <v>#N/A</v>
      </c>
      <c r="T249" s="67" t="e">
        <f t="shared" ca="1" si="106"/>
        <v>#N/A</v>
      </c>
      <c r="U249" s="67" t="e">
        <f t="shared" ca="1" si="107"/>
        <v>#N/A</v>
      </c>
      <c r="V249" s="5" t="e">
        <f t="shared" ca="1" si="86"/>
        <v>#N/A</v>
      </c>
      <c r="W249" s="5" t="e">
        <f t="shared" ca="1" si="100"/>
        <v>#N/A</v>
      </c>
      <c r="X249" s="67">
        <f t="shared" ca="1" si="101"/>
        <v>0</v>
      </c>
      <c r="Y249" s="67" t="e">
        <f t="shared" ca="1" si="108"/>
        <v>#N/A</v>
      </c>
      <c r="Z249" s="67" t="e">
        <f t="shared" ca="1" si="109"/>
        <v>#N/A</v>
      </c>
      <c r="AA249" s="5" t="str">
        <f>IF(Setup!$I$15="Yes",'Demand background (hide)'!AJ237+'SPC background (hide)'!C249,"")</f>
        <v/>
      </c>
      <c r="AC249" s="5" t="e">
        <f t="shared" ca="1" si="102"/>
        <v>#N/A</v>
      </c>
      <c r="AD249" s="5" t="e">
        <f t="shared" ca="1" si="103"/>
        <v>#N/A</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7" t="e">
        <f t="shared" ca="1" si="105"/>
        <v>#N/A</v>
      </c>
      <c r="T250" s="67" t="e">
        <f t="shared" ca="1" si="106"/>
        <v>#N/A</v>
      </c>
      <c r="U250" s="67" t="e">
        <f t="shared" ca="1" si="107"/>
        <v>#N/A</v>
      </c>
      <c r="V250" s="5" t="e">
        <f t="shared" ca="1" si="86"/>
        <v>#N/A</v>
      </c>
      <c r="W250" s="5" t="e">
        <f t="shared" ca="1" si="100"/>
        <v>#N/A</v>
      </c>
      <c r="X250" s="67">
        <f t="shared" ca="1" si="101"/>
        <v>0</v>
      </c>
      <c r="Y250" s="67" t="e">
        <f t="shared" ca="1" si="108"/>
        <v>#N/A</v>
      </c>
      <c r="Z250" s="67" t="e">
        <f t="shared" ca="1" si="109"/>
        <v>#N/A</v>
      </c>
      <c r="AA250" s="5" t="str">
        <f>IF(Setup!$I$15="Yes",'Demand background (hide)'!AJ238+'SPC background (hide)'!C250,"")</f>
        <v/>
      </c>
      <c r="AC250" s="5" t="e">
        <f t="shared" ca="1" si="102"/>
        <v>#N/A</v>
      </c>
      <c r="AD250" s="5" t="e">
        <f t="shared" ca="1" si="103"/>
        <v>#N/A</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7" t="e">
        <f t="shared" ca="1" si="105"/>
        <v>#N/A</v>
      </c>
      <c r="T251" s="67" t="e">
        <f t="shared" ca="1" si="106"/>
        <v>#N/A</v>
      </c>
      <c r="U251" s="67" t="e">
        <f t="shared" ca="1" si="107"/>
        <v>#N/A</v>
      </c>
      <c r="V251" s="5" t="e">
        <f t="shared" ca="1" si="86"/>
        <v>#N/A</v>
      </c>
      <c r="W251" s="5" t="e">
        <f t="shared" ca="1" si="100"/>
        <v>#N/A</v>
      </c>
      <c r="X251" s="67">
        <f t="shared" ca="1" si="101"/>
        <v>0</v>
      </c>
      <c r="Y251" s="67" t="e">
        <f t="shared" ca="1" si="108"/>
        <v>#N/A</v>
      </c>
      <c r="Z251" s="67" t="e">
        <f t="shared" ca="1" si="109"/>
        <v>#N/A</v>
      </c>
      <c r="AA251" s="5" t="str">
        <f>IF(Setup!$I$15="Yes",'Demand background (hide)'!AJ239+'SPC background (hide)'!C251,"")</f>
        <v/>
      </c>
      <c r="AC251" s="5" t="e">
        <f t="shared" ca="1" si="102"/>
        <v>#N/A</v>
      </c>
      <c r="AD251" s="5" t="e">
        <f t="shared" ca="1" si="103"/>
        <v>#N/A</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7" t="e">
        <f t="shared" ca="1" si="105"/>
        <v>#N/A</v>
      </c>
      <c r="T252" s="67" t="e">
        <f t="shared" ca="1" si="106"/>
        <v>#N/A</v>
      </c>
      <c r="U252" s="67" t="e">
        <f t="shared" ca="1" si="107"/>
        <v>#N/A</v>
      </c>
      <c r="V252" s="5" t="e">
        <f t="shared" ca="1" si="86"/>
        <v>#N/A</v>
      </c>
      <c r="W252" s="5" t="e">
        <f t="shared" ca="1" si="100"/>
        <v>#N/A</v>
      </c>
      <c r="X252" s="67">
        <f t="shared" ca="1" si="101"/>
        <v>0</v>
      </c>
      <c r="Y252" s="67" t="e">
        <f t="shared" ca="1" si="108"/>
        <v>#N/A</v>
      </c>
      <c r="Z252" s="67" t="e">
        <f t="shared" ca="1" si="109"/>
        <v>#N/A</v>
      </c>
      <c r="AA252" s="5" t="str">
        <f>IF(Setup!$I$15="Yes",'Demand background (hide)'!AJ240+'SPC background (hide)'!C252,"")</f>
        <v/>
      </c>
      <c r="AC252" s="5" t="e">
        <f t="shared" ca="1" si="102"/>
        <v>#N/A</v>
      </c>
      <c r="AD252" s="5" t="e">
        <f t="shared" ca="1" si="103"/>
        <v>#N/A</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7" t="e">
        <f t="shared" ca="1" si="105"/>
        <v>#N/A</v>
      </c>
      <c r="T253" s="67" t="e">
        <f t="shared" ca="1" si="106"/>
        <v>#N/A</v>
      </c>
      <c r="U253" s="67" t="e">
        <f t="shared" ca="1" si="107"/>
        <v>#N/A</v>
      </c>
      <c r="V253" s="5" t="e">
        <f t="shared" ca="1" si="86"/>
        <v>#N/A</v>
      </c>
      <c r="W253" s="5" t="e">
        <f t="shared" ca="1" si="100"/>
        <v>#N/A</v>
      </c>
      <c r="X253" s="67">
        <f t="shared" ca="1" si="101"/>
        <v>0</v>
      </c>
      <c r="Y253" s="67" t="e">
        <f t="shared" ca="1" si="108"/>
        <v>#N/A</v>
      </c>
      <c r="Z253" s="67" t="e">
        <f t="shared" ca="1" si="109"/>
        <v>#N/A</v>
      </c>
      <c r="AA253" s="5" t="str">
        <f>IF(Setup!$I$15="Yes",'Demand background (hide)'!AJ241+'SPC background (hide)'!C253,"")</f>
        <v/>
      </c>
      <c r="AC253" s="5" t="e">
        <f t="shared" ca="1" si="102"/>
        <v>#N/A</v>
      </c>
      <c r="AD253" s="5" t="e">
        <f t="shared" ca="1" si="103"/>
        <v>#N/A</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7" t="e">
        <f t="shared" ca="1" si="105"/>
        <v>#N/A</v>
      </c>
      <c r="T254" s="67" t="e">
        <f t="shared" ca="1" si="106"/>
        <v>#N/A</v>
      </c>
      <c r="U254" s="67" t="e">
        <f t="shared" ca="1" si="107"/>
        <v>#N/A</v>
      </c>
      <c r="V254" s="5" t="e">
        <f t="shared" ca="1" si="86"/>
        <v>#N/A</v>
      </c>
      <c r="W254" s="5" t="e">
        <f t="shared" ca="1" si="100"/>
        <v>#N/A</v>
      </c>
      <c r="X254" s="67">
        <f t="shared" ca="1" si="101"/>
        <v>0</v>
      </c>
      <c r="Y254" s="67" t="e">
        <f t="shared" ca="1" si="108"/>
        <v>#N/A</v>
      </c>
      <c r="Z254" s="67" t="e">
        <f t="shared" ca="1" si="109"/>
        <v>#N/A</v>
      </c>
      <c r="AA254" s="5" t="str">
        <f>IF(Setup!$I$15="Yes",'Demand background (hide)'!AJ242+'SPC background (hide)'!C254,"")</f>
        <v/>
      </c>
      <c r="AC254" s="5" t="e">
        <f t="shared" ca="1" si="102"/>
        <v>#N/A</v>
      </c>
      <c r="AD254" s="5" t="e">
        <f t="shared" ca="1" si="103"/>
        <v>#N/A</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7" t="e">
        <f t="shared" ca="1" si="105"/>
        <v>#N/A</v>
      </c>
      <c r="T255" s="67" t="e">
        <f t="shared" ca="1" si="106"/>
        <v>#N/A</v>
      </c>
      <c r="U255" s="67" t="e">
        <f t="shared" ca="1" si="107"/>
        <v>#N/A</v>
      </c>
      <c r="V255" s="5" t="e">
        <f t="shared" ca="1" si="86"/>
        <v>#N/A</v>
      </c>
      <c r="W255" s="5" t="e">
        <f t="shared" ca="1" si="100"/>
        <v>#N/A</v>
      </c>
      <c r="X255" s="67">
        <f t="shared" ca="1" si="101"/>
        <v>0</v>
      </c>
      <c r="Y255" s="67" t="e">
        <f t="shared" ca="1" si="108"/>
        <v>#N/A</v>
      </c>
      <c r="Z255" s="67" t="e">
        <f t="shared" ca="1" si="109"/>
        <v>#N/A</v>
      </c>
      <c r="AA255" s="5" t="str">
        <f>IF(Setup!$I$15="Yes",'Demand background (hide)'!AJ243+'SPC background (hide)'!C255,"")</f>
        <v/>
      </c>
      <c r="AC255" s="5" t="e">
        <f t="shared" ca="1" si="102"/>
        <v>#N/A</v>
      </c>
      <c r="AD255" s="5" t="e">
        <f t="shared" ca="1" si="103"/>
        <v>#N/A</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7" t="e">
        <f t="shared" ca="1" si="105"/>
        <v>#N/A</v>
      </c>
      <c r="T256" s="67" t="e">
        <f t="shared" ca="1" si="106"/>
        <v>#N/A</v>
      </c>
      <c r="U256" s="67" t="e">
        <f t="shared" ca="1" si="107"/>
        <v>#N/A</v>
      </c>
      <c r="V256" s="5" t="e">
        <f t="shared" ca="1" si="86"/>
        <v>#N/A</v>
      </c>
      <c r="W256" s="5" t="e">
        <f t="shared" ca="1" si="100"/>
        <v>#N/A</v>
      </c>
      <c r="X256" s="67">
        <f t="shared" ca="1" si="101"/>
        <v>0</v>
      </c>
      <c r="Y256" s="67" t="e">
        <f t="shared" ca="1" si="108"/>
        <v>#N/A</v>
      </c>
      <c r="Z256" s="67" t="e">
        <f t="shared" ca="1" si="109"/>
        <v>#N/A</v>
      </c>
      <c r="AA256" s="5" t="str">
        <f>IF(Setup!$I$15="Yes",'Demand background (hide)'!AJ244+'SPC background (hide)'!C256,"")</f>
        <v/>
      </c>
      <c r="AC256" s="5" t="e">
        <f t="shared" ca="1" si="102"/>
        <v>#N/A</v>
      </c>
      <c r="AD256" s="5" t="e">
        <f t="shared" ca="1" si="103"/>
        <v>#N/A</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7" t="e">
        <f t="shared" ca="1" si="105"/>
        <v>#N/A</v>
      </c>
      <c r="T257" s="67" t="e">
        <f t="shared" ca="1" si="106"/>
        <v>#N/A</v>
      </c>
      <c r="U257" s="67" t="e">
        <f t="shared" ca="1" si="107"/>
        <v>#N/A</v>
      </c>
      <c r="V257" s="5" t="e">
        <f t="shared" ca="1" si="86"/>
        <v>#N/A</v>
      </c>
      <c r="W257" s="5" t="e">
        <f t="shared" ca="1" si="100"/>
        <v>#N/A</v>
      </c>
      <c r="X257" s="67">
        <f t="shared" ca="1" si="101"/>
        <v>0</v>
      </c>
      <c r="Y257" s="67" t="e">
        <f t="shared" ca="1" si="108"/>
        <v>#N/A</v>
      </c>
      <c r="Z257" s="67" t="e">
        <f t="shared" ca="1" si="109"/>
        <v>#N/A</v>
      </c>
      <c r="AA257" s="5" t="str">
        <f>IF(Setup!$I$15="Yes",'Demand background (hide)'!AJ245+'SPC background (hide)'!C257,"")</f>
        <v/>
      </c>
      <c r="AC257" s="5" t="e">
        <f t="shared" ca="1" si="102"/>
        <v>#N/A</v>
      </c>
      <c r="AD257" s="5" t="e">
        <f t="shared" ca="1" si="103"/>
        <v>#N/A</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7" t="e">
        <f t="shared" ca="1" si="105"/>
        <v>#N/A</v>
      </c>
      <c r="T258" s="67" t="e">
        <f t="shared" ca="1" si="106"/>
        <v>#N/A</v>
      </c>
      <c r="U258" s="67" t="e">
        <f t="shared" ca="1" si="107"/>
        <v>#N/A</v>
      </c>
      <c r="V258" s="5" t="e">
        <f t="shared" ca="1" si="86"/>
        <v>#N/A</v>
      </c>
      <c r="W258" s="5" t="e">
        <f t="shared" ca="1" si="100"/>
        <v>#N/A</v>
      </c>
      <c r="X258" s="67">
        <f t="shared" ca="1" si="101"/>
        <v>0</v>
      </c>
      <c r="Y258" s="67" t="e">
        <f t="shared" ca="1" si="108"/>
        <v>#N/A</v>
      </c>
      <c r="Z258" s="67" t="e">
        <f t="shared" ca="1" si="109"/>
        <v>#N/A</v>
      </c>
      <c r="AA258" s="5" t="str">
        <f>IF(Setup!$I$15="Yes",'Demand background (hide)'!AJ246+'SPC background (hide)'!C258,"")</f>
        <v/>
      </c>
      <c r="AC258" s="5" t="e">
        <f t="shared" ca="1" si="102"/>
        <v>#N/A</v>
      </c>
      <c r="AD258" s="5" t="e">
        <f t="shared" ca="1" si="103"/>
        <v>#N/A</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7" t="e">
        <f t="shared" ca="1" si="105"/>
        <v>#N/A</v>
      </c>
      <c r="T259" s="67" t="e">
        <f t="shared" ca="1" si="106"/>
        <v>#N/A</v>
      </c>
      <c r="U259" s="67" t="e">
        <f t="shared" ca="1" si="107"/>
        <v>#N/A</v>
      </c>
      <c r="V259" s="5" t="e">
        <f t="shared" ca="1" si="86"/>
        <v>#N/A</v>
      </c>
      <c r="W259" s="5" t="e">
        <f t="shared" ca="1" si="100"/>
        <v>#N/A</v>
      </c>
      <c r="X259" s="67">
        <f t="shared" ca="1" si="101"/>
        <v>0</v>
      </c>
      <c r="Y259" s="67" t="e">
        <f t="shared" ca="1" si="108"/>
        <v>#N/A</v>
      </c>
      <c r="Z259" s="67" t="e">
        <f t="shared" ca="1" si="109"/>
        <v>#N/A</v>
      </c>
      <c r="AA259" s="5" t="str">
        <f>IF(Setup!$I$15="Yes",'Demand background (hide)'!AJ247+'SPC background (hide)'!C259,"")</f>
        <v/>
      </c>
      <c r="AC259" s="5" t="e">
        <f t="shared" ca="1" si="102"/>
        <v>#N/A</v>
      </c>
      <c r="AD259" s="5" t="e">
        <f t="shared" ca="1" si="103"/>
        <v>#N/A</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7" t="e">
        <f t="shared" ca="1" si="105"/>
        <v>#N/A</v>
      </c>
      <c r="T260" s="67" t="e">
        <f t="shared" ca="1" si="106"/>
        <v>#N/A</v>
      </c>
      <c r="U260" s="67" t="e">
        <f t="shared" ca="1" si="107"/>
        <v>#N/A</v>
      </c>
      <c r="V260" s="5" t="e">
        <f t="shared" ca="1" si="86"/>
        <v>#N/A</v>
      </c>
      <c r="W260" s="5" t="e">
        <f t="shared" ca="1" si="100"/>
        <v>#N/A</v>
      </c>
      <c r="X260" s="67">
        <f t="shared" ca="1" si="101"/>
        <v>0</v>
      </c>
      <c r="Y260" s="67" t="e">
        <f t="shared" ca="1" si="108"/>
        <v>#N/A</v>
      </c>
      <c r="Z260" s="67" t="e">
        <f t="shared" ca="1" si="109"/>
        <v>#N/A</v>
      </c>
      <c r="AA260" s="5" t="str">
        <f>IF(Setup!$I$15="Yes",'Demand background (hide)'!AJ248+'SPC background (hide)'!C260,"")</f>
        <v/>
      </c>
      <c r="AC260" s="5" t="e">
        <f t="shared" ca="1" si="102"/>
        <v>#N/A</v>
      </c>
      <c r="AD260" s="5" t="e">
        <f t="shared" ca="1" si="103"/>
        <v>#N/A</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7" t="e">
        <f t="shared" ca="1" si="105"/>
        <v>#N/A</v>
      </c>
      <c r="T261" s="67" t="e">
        <f t="shared" ca="1" si="106"/>
        <v>#N/A</v>
      </c>
      <c r="U261" s="67" t="e">
        <f t="shared" ca="1" si="107"/>
        <v>#N/A</v>
      </c>
      <c r="V261" s="5" t="e">
        <f t="shared" ca="1" si="86"/>
        <v>#N/A</v>
      </c>
      <c r="W261" s="5" t="e">
        <f t="shared" ca="1" si="100"/>
        <v>#N/A</v>
      </c>
      <c r="X261" s="67">
        <f t="shared" ca="1" si="101"/>
        <v>0</v>
      </c>
      <c r="Y261" s="67" t="e">
        <f t="shared" ca="1" si="108"/>
        <v>#N/A</v>
      </c>
      <c r="Z261" s="67" t="e">
        <f t="shared" ca="1" si="109"/>
        <v>#N/A</v>
      </c>
      <c r="AA261" s="5" t="str">
        <f>IF(Setup!$I$15="Yes",'Demand background (hide)'!AJ249+'SPC background (hide)'!C261,"")</f>
        <v/>
      </c>
      <c r="AC261" s="5" t="e">
        <f t="shared" ca="1" si="102"/>
        <v>#N/A</v>
      </c>
      <c r="AD261" s="5" t="e">
        <f t="shared" ca="1" si="103"/>
        <v>#N/A</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7" t="e">
        <f t="shared" ca="1" si="105"/>
        <v>#N/A</v>
      </c>
      <c r="T262" s="67" t="e">
        <f t="shared" ca="1" si="106"/>
        <v>#N/A</v>
      </c>
      <c r="U262" s="67" t="e">
        <f t="shared" ca="1" si="107"/>
        <v>#N/A</v>
      </c>
      <c r="V262" s="5" t="e">
        <f t="shared" ca="1" si="86"/>
        <v>#N/A</v>
      </c>
      <c r="W262" s="5" t="e">
        <f t="shared" ca="1" si="100"/>
        <v>#N/A</v>
      </c>
      <c r="X262" s="67">
        <f t="shared" ca="1" si="101"/>
        <v>0</v>
      </c>
      <c r="Y262" s="67" t="e">
        <f t="shared" ca="1" si="108"/>
        <v>#N/A</v>
      </c>
      <c r="Z262" s="67" t="e">
        <f t="shared" ca="1" si="109"/>
        <v>#N/A</v>
      </c>
      <c r="AA262" s="5" t="str">
        <f>IF(Setup!$I$15="Yes",'Demand background (hide)'!AJ250+'SPC background (hide)'!C262,"")</f>
        <v/>
      </c>
      <c r="AC262" s="5" t="e">
        <f t="shared" ca="1" si="102"/>
        <v>#N/A</v>
      </c>
      <c r="AD262" s="5" t="e">
        <f t="shared" ca="1" si="103"/>
        <v>#N/A</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7" t="e">
        <f t="shared" ca="1" si="105"/>
        <v>#N/A</v>
      </c>
      <c r="T263" s="67" t="e">
        <f t="shared" ca="1" si="106"/>
        <v>#N/A</v>
      </c>
      <c r="U263" s="67" t="e">
        <f t="shared" ca="1" si="107"/>
        <v>#N/A</v>
      </c>
      <c r="V263" s="5" t="e">
        <f t="shared" ca="1" si="86"/>
        <v>#N/A</v>
      </c>
      <c r="W263" s="5" t="e">
        <f t="shared" ca="1" si="100"/>
        <v>#N/A</v>
      </c>
      <c r="X263" s="67">
        <f t="shared" ca="1" si="101"/>
        <v>0</v>
      </c>
      <c r="Y263" s="67" t="e">
        <f t="shared" ca="1" si="108"/>
        <v>#N/A</v>
      </c>
      <c r="Z263" s="67" t="e">
        <f t="shared" ca="1" si="109"/>
        <v>#N/A</v>
      </c>
      <c r="AA263" s="5" t="str">
        <f>IF(Setup!$I$15="Yes",'Demand background (hide)'!AJ251+'SPC background (hide)'!C263,"")</f>
        <v/>
      </c>
      <c r="AC263" s="5" t="e">
        <f t="shared" ca="1" si="102"/>
        <v>#N/A</v>
      </c>
      <c r="AD263" s="5" t="e">
        <f t="shared" ca="1" si="103"/>
        <v>#N/A</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7" t="e">
        <f t="shared" ca="1" si="105"/>
        <v>#N/A</v>
      </c>
      <c r="T264" s="67" t="e">
        <f t="shared" ca="1" si="106"/>
        <v>#N/A</v>
      </c>
      <c r="U264" s="67" t="e">
        <f t="shared" ca="1" si="107"/>
        <v>#N/A</v>
      </c>
      <c r="V264" s="5" t="e">
        <f t="shared" ca="1" si="86"/>
        <v>#N/A</v>
      </c>
      <c r="W264" s="5" t="e">
        <f t="shared" ca="1" si="100"/>
        <v>#N/A</v>
      </c>
      <c r="X264" s="67">
        <f t="shared" ca="1" si="101"/>
        <v>0</v>
      </c>
      <c r="Y264" s="67" t="e">
        <f t="shared" ca="1" si="108"/>
        <v>#N/A</v>
      </c>
      <c r="Z264" s="67" t="e">
        <f t="shared" ca="1" si="109"/>
        <v>#N/A</v>
      </c>
      <c r="AA264" s="5" t="str">
        <f>IF(Setup!$I$15="Yes",'Demand background (hide)'!AJ252+'SPC background (hide)'!C264,"")</f>
        <v/>
      </c>
      <c r="AC264" s="5" t="e">
        <f t="shared" ca="1" si="102"/>
        <v>#N/A</v>
      </c>
      <c r="AD264" s="5" t="e">
        <f t="shared" ca="1" si="103"/>
        <v>#N/A</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7" t="e">
        <f t="shared" ca="1" si="105"/>
        <v>#N/A</v>
      </c>
      <c r="T265" s="67" t="e">
        <f t="shared" ca="1" si="106"/>
        <v>#N/A</v>
      </c>
      <c r="U265" s="67" t="e">
        <f t="shared" ca="1" si="107"/>
        <v>#N/A</v>
      </c>
      <c r="V265" s="5" t="e">
        <f t="shared" ca="1" si="86"/>
        <v>#N/A</v>
      </c>
      <c r="W265" s="5" t="e">
        <f t="shared" ca="1" si="100"/>
        <v>#N/A</v>
      </c>
      <c r="X265" s="67">
        <f t="shared" ca="1" si="101"/>
        <v>0</v>
      </c>
      <c r="Y265" s="67" t="e">
        <f t="shared" ca="1" si="108"/>
        <v>#N/A</v>
      </c>
      <c r="Z265" s="67" t="e">
        <f t="shared" ca="1" si="109"/>
        <v>#N/A</v>
      </c>
      <c r="AA265" s="5" t="str">
        <f>IF(Setup!$I$15="Yes",'Demand background (hide)'!AJ253+'SPC background (hide)'!C265,"")</f>
        <v/>
      </c>
      <c r="AC265" s="5" t="e">
        <f t="shared" ca="1" si="102"/>
        <v>#N/A</v>
      </c>
      <c r="AD265" s="5" t="e">
        <f t="shared" ca="1" si="103"/>
        <v>#N/A</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7" t="e">
        <f t="shared" ca="1" si="105"/>
        <v>#N/A</v>
      </c>
      <c r="T266" s="67" t="e">
        <f t="shared" ca="1" si="106"/>
        <v>#N/A</v>
      </c>
      <c r="U266" s="67" t="e">
        <f t="shared" ca="1" si="107"/>
        <v>#N/A</v>
      </c>
      <c r="V266" s="5" t="e">
        <f t="shared" ca="1" si="86"/>
        <v>#N/A</v>
      </c>
      <c r="W266" s="5" t="e">
        <f t="shared" ca="1" si="100"/>
        <v>#N/A</v>
      </c>
      <c r="X266" s="67">
        <f t="shared" ca="1" si="101"/>
        <v>0</v>
      </c>
      <c r="Y266" s="67" t="e">
        <f t="shared" ca="1" si="108"/>
        <v>#N/A</v>
      </c>
      <c r="Z266" s="67" t="e">
        <f t="shared" ca="1" si="109"/>
        <v>#N/A</v>
      </c>
      <c r="AA266" s="5" t="str">
        <f>IF(Setup!$I$15="Yes",'Demand background (hide)'!AJ254+'SPC background (hide)'!C266,"")</f>
        <v/>
      </c>
      <c r="AC266" s="5" t="e">
        <f t="shared" ca="1" si="102"/>
        <v>#N/A</v>
      </c>
      <c r="AD266" s="5" t="e">
        <f t="shared" ca="1" si="103"/>
        <v>#N/A</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7" t="e">
        <f t="shared" ca="1" si="105"/>
        <v>#N/A</v>
      </c>
      <c r="T267" s="67" t="e">
        <f t="shared" ca="1" si="106"/>
        <v>#N/A</v>
      </c>
      <c r="U267" s="67" t="e">
        <f t="shared" ca="1" si="107"/>
        <v>#N/A</v>
      </c>
      <c r="V267" s="5" t="e">
        <f t="shared" ca="1" si="86"/>
        <v>#N/A</v>
      </c>
      <c r="W267" s="5" t="e">
        <f t="shared" ca="1" si="100"/>
        <v>#N/A</v>
      </c>
      <c r="X267" s="67">
        <f t="shared" ca="1" si="101"/>
        <v>0</v>
      </c>
      <c r="Y267" s="67" t="e">
        <f t="shared" ca="1" si="108"/>
        <v>#N/A</v>
      </c>
      <c r="Z267" s="67" t="e">
        <f t="shared" ca="1" si="109"/>
        <v>#N/A</v>
      </c>
      <c r="AA267" s="5" t="str">
        <f>IF(Setup!$I$15="Yes",'Demand background (hide)'!AJ255+'SPC background (hide)'!C267,"")</f>
        <v/>
      </c>
      <c r="AC267" s="5" t="e">
        <f t="shared" ca="1" si="102"/>
        <v>#N/A</v>
      </c>
      <c r="AD267" s="5" t="e">
        <f t="shared" ca="1" si="103"/>
        <v>#N/A</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7" t="e">
        <f t="shared" ca="1" si="105"/>
        <v>#N/A</v>
      </c>
      <c r="T268" s="67" t="e">
        <f t="shared" ca="1" si="106"/>
        <v>#N/A</v>
      </c>
      <c r="U268" s="67" t="e">
        <f t="shared" ca="1" si="107"/>
        <v>#N/A</v>
      </c>
      <c r="V268" s="5" t="e">
        <f t="shared" ca="1" si="86"/>
        <v>#N/A</v>
      </c>
      <c r="W268" s="5" t="e">
        <f t="shared" ca="1" si="100"/>
        <v>#N/A</v>
      </c>
      <c r="X268" s="67">
        <f t="shared" ca="1" si="101"/>
        <v>0</v>
      </c>
      <c r="Y268" s="67" t="e">
        <f t="shared" ca="1" si="108"/>
        <v>#N/A</v>
      </c>
      <c r="Z268" s="67" t="e">
        <f t="shared" ca="1" si="109"/>
        <v>#N/A</v>
      </c>
      <c r="AA268" s="5" t="str">
        <f>IF(Setup!$I$15="Yes",'Demand background (hide)'!AJ256+'SPC background (hide)'!C268,"")</f>
        <v/>
      </c>
      <c r="AC268" s="5" t="e">
        <f t="shared" ca="1" si="102"/>
        <v>#N/A</v>
      </c>
      <c r="AD268" s="5" t="e">
        <f t="shared" ca="1" si="103"/>
        <v>#N/A</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7" t="e">
        <f t="shared" ca="1" si="105"/>
        <v>#N/A</v>
      </c>
      <c r="T269" s="67" t="e">
        <f t="shared" ca="1" si="106"/>
        <v>#N/A</v>
      </c>
      <c r="U269" s="67" t="e">
        <f t="shared" ca="1" si="107"/>
        <v>#N/A</v>
      </c>
      <c r="V269" s="5" t="e">
        <f t="shared" ca="1" si="86"/>
        <v>#N/A</v>
      </c>
      <c r="W269" s="5" t="e">
        <f t="shared" ca="1" si="100"/>
        <v>#N/A</v>
      </c>
      <c r="X269" s="67">
        <f t="shared" ca="1" si="101"/>
        <v>0</v>
      </c>
      <c r="Y269" s="67" t="e">
        <f t="shared" ca="1" si="108"/>
        <v>#N/A</v>
      </c>
      <c r="Z269" s="67" t="e">
        <f t="shared" ca="1" si="109"/>
        <v>#N/A</v>
      </c>
      <c r="AA269" s="5" t="str">
        <f>IF(Setup!$I$15="Yes",'Demand background (hide)'!AJ257+'SPC background (hide)'!C269,"")</f>
        <v/>
      </c>
      <c r="AC269" s="5" t="e">
        <f t="shared" ca="1" si="102"/>
        <v>#N/A</v>
      </c>
      <c r="AD269" s="5" t="e">
        <f t="shared" ca="1" si="103"/>
        <v>#N/A</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7" t="e">
        <f t="shared" ca="1" si="105"/>
        <v>#N/A</v>
      </c>
      <c r="T270" s="67" t="e">
        <f t="shared" ca="1" si="106"/>
        <v>#N/A</v>
      </c>
      <c r="U270" s="67" t="e">
        <f t="shared" ca="1" si="107"/>
        <v>#N/A</v>
      </c>
      <c r="V270" s="5" t="e">
        <f t="shared" ca="1" si="86"/>
        <v>#N/A</v>
      </c>
      <c r="W270" s="5" t="e">
        <f t="shared" ca="1" si="100"/>
        <v>#N/A</v>
      </c>
      <c r="X270" s="67">
        <f t="shared" ca="1" si="101"/>
        <v>0</v>
      </c>
      <c r="Y270" s="67" t="e">
        <f t="shared" ca="1" si="108"/>
        <v>#N/A</v>
      </c>
      <c r="Z270" s="67" t="e">
        <f t="shared" ca="1" si="109"/>
        <v>#N/A</v>
      </c>
      <c r="AA270" s="5" t="str">
        <f>IF(Setup!$I$15="Yes",'Demand background (hide)'!AJ258+'SPC background (hide)'!C270,"")</f>
        <v/>
      </c>
      <c r="AC270" s="5" t="e">
        <f t="shared" ca="1" si="102"/>
        <v>#N/A</v>
      </c>
      <c r="AD270" s="5" t="e">
        <f t="shared" ca="1" si="103"/>
        <v>#N/A</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7" t="e">
        <f t="shared" ca="1" si="105"/>
        <v>#N/A</v>
      </c>
      <c r="T271" s="67" t="e">
        <f t="shared" ca="1" si="106"/>
        <v>#N/A</v>
      </c>
      <c r="U271" s="67" t="e">
        <f t="shared" ca="1" si="107"/>
        <v>#N/A</v>
      </c>
      <c r="V271" s="5" t="e">
        <f t="shared" ca="1" si="86"/>
        <v>#N/A</v>
      </c>
      <c r="W271" s="5" t="e">
        <f t="shared" ca="1" si="100"/>
        <v>#N/A</v>
      </c>
      <c r="X271" s="67">
        <f t="shared" ca="1" si="101"/>
        <v>0</v>
      </c>
      <c r="Y271" s="67" t="e">
        <f t="shared" ca="1" si="108"/>
        <v>#N/A</v>
      </c>
      <c r="Z271" s="67" t="e">
        <f t="shared" ca="1" si="109"/>
        <v>#N/A</v>
      </c>
      <c r="AA271" s="5" t="str">
        <f>IF(Setup!$I$15="Yes",'Demand background (hide)'!AJ259+'SPC background (hide)'!C271,"")</f>
        <v/>
      </c>
      <c r="AC271" s="5" t="e">
        <f t="shared" ca="1" si="102"/>
        <v>#N/A</v>
      </c>
      <c r="AD271" s="5" t="e">
        <f t="shared" ca="1" si="103"/>
        <v>#N/A</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7" t="e">
        <f t="shared" ca="1" si="105"/>
        <v>#N/A</v>
      </c>
      <c r="T272" s="67" t="e">
        <f t="shared" ca="1" si="106"/>
        <v>#N/A</v>
      </c>
      <c r="U272" s="67" t="e">
        <f t="shared" ca="1" si="107"/>
        <v>#N/A</v>
      </c>
      <c r="V272" s="5" t="e">
        <f t="shared" ca="1" si="86"/>
        <v>#N/A</v>
      </c>
      <c r="W272" s="5" t="e">
        <f t="shared" ca="1" si="100"/>
        <v>#N/A</v>
      </c>
      <c r="X272" s="67">
        <f t="shared" ca="1" si="101"/>
        <v>0</v>
      </c>
      <c r="Y272" s="67" t="e">
        <f t="shared" ca="1" si="108"/>
        <v>#N/A</v>
      </c>
      <c r="Z272" s="67" t="e">
        <f t="shared" ca="1" si="109"/>
        <v>#N/A</v>
      </c>
      <c r="AA272" s="5" t="str">
        <f>IF(Setup!$I$15="Yes",'Demand background (hide)'!AJ260+'SPC background (hide)'!C272,"")</f>
        <v/>
      </c>
      <c r="AC272" s="5" t="e">
        <f t="shared" ca="1" si="102"/>
        <v>#N/A</v>
      </c>
      <c r="AD272" s="5" t="e">
        <f t="shared" ca="1" si="103"/>
        <v>#N/A</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7" t="e">
        <f t="shared" ca="1" si="105"/>
        <v>#N/A</v>
      </c>
      <c r="T273" s="67" t="e">
        <f t="shared" ca="1" si="106"/>
        <v>#N/A</v>
      </c>
      <c r="U273" s="67" t="e">
        <f t="shared" ca="1" si="107"/>
        <v>#N/A</v>
      </c>
      <c r="V273" s="5" t="e">
        <f t="shared" ca="1" si="86"/>
        <v>#N/A</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7" t="e">
        <f t="shared" ref="S274:S275" ca="1" si="127">IF(ISNA(H274),IF(ABS(SUM(R274:R276))&gt;=5,C274,NA()),NA())</f>
        <v>#N/A</v>
      </c>
      <c r="T274" s="67" t="e">
        <f t="shared" ref="T274:T275" ca="1" si="128">IF(C274&gt;N274,2,IF(C274&lt;L274,-2,IF(C274&gt;M274,1,IF(C274&lt;M274,-1,0))))</f>
        <v>#N/A</v>
      </c>
      <c r="U274" s="67" t="e">
        <f t="shared" ref="U274:U275" ca="1" si="129">IF(ISNA(H274)=TRUE,IF(ABS(SUM(T274:T278))&gt;=9,C274,NA()),NA())</f>
        <v>#N/A</v>
      </c>
      <c r="V274" s="5" t="e">
        <f t="shared" ca="1" si="86"/>
        <v>#N/A</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7" t="e">
        <f t="shared" ca="1" si="127"/>
        <v>#N/A</v>
      </c>
      <c r="T275" s="67" t="e">
        <f t="shared" ca="1" si="128"/>
        <v>#N/A</v>
      </c>
      <c r="U275" s="67" t="e">
        <f t="shared" ca="1" si="129"/>
        <v>#N/A</v>
      </c>
      <c r="V275" s="5" t="e">
        <f t="shared" ca="1" si="86"/>
        <v>#N/A</v>
      </c>
      <c r="W275" s="5" t="e">
        <f t="shared" ca="1" si="123"/>
        <v>#N/A</v>
      </c>
      <c r="X275" s="67">
        <f t="shared" ca="1" si="101"/>
        <v>0</v>
      </c>
      <c r="Y275" s="67" t="e">
        <f t="shared" ca="1" si="130"/>
        <v>#N/A</v>
      </c>
      <c r="Z275" s="67"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1" t="s">
        <v>24</v>
      </c>
      <c r="D6" s="403"/>
    </row>
    <row r="8" spans="1:20" x14ac:dyDescent="0.2">
      <c r="B8" t="s">
        <v>218</v>
      </c>
      <c r="C8" s="210"/>
    </row>
    <row r="10" spans="1:20" ht="13.9" customHeight="1" x14ac:dyDescent="0.2">
      <c r="B10" s="417" t="s">
        <v>128</v>
      </c>
      <c r="C10" s="417" t="s">
        <v>56</v>
      </c>
      <c r="D10" s="417"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4" t="s">
        <v>222</v>
      </c>
      <c r="Q10" s="414" t="str">
        <f>"Total "&amp;"("&amp;Setup!$I$17&amp;")"</f>
        <v>Total (Minutes)</v>
      </c>
      <c r="R10" s="414" t="s">
        <v>111</v>
      </c>
    </row>
    <row r="11" spans="1:20" x14ac:dyDescent="0.2">
      <c r="B11" s="417"/>
      <c r="C11" s="417"/>
      <c r="D11" s="417"/>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37</v>
      </c>
      <c r="P11" s="414"/>
      <c r="Q11" s="414"/>
      <c r="R11" s="414"/>
    </row>
    <row r="12" spans="1:20" x14ac:dyDescent="0.2">
      <c r="B12" s="417"/>
      <c r="C12" s="417"/>
      <c r="D12" s="417"/>
      <c r="E12" s="6"/>
      <c r="F12" s="6"/>
      <c r="G12" s="6"/>
      <c r="H12" s="6"/>
      <c r="I12" s="6"/>
      <c r="J12" s="6"/>
      <c r="K12" s="6"/>
      <c r="L12" s="6"/>
      <c r="M12" s="6"/>
      <c r="N12" s="6"/>
      <c r="O12" s="6"/>
      <c r="P12" s="414"/>
      <c r="Q12" s="414"/>
      <c r="R12" s="414"/>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147.93103448275863</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184.91379310344828</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73.965517241379317</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110.94827586206898</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184.91379310344828</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110.94827586206898</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147.93103448275863</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36.982758620689658</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147.93103448275863</v>
      </c>
      <c r="S3" s="5">
        <f ca="1">IF(Planned!R13&lt;&gt;"Yes",IF(Planned!$C$6&lt;&gt;"Overall",SUM(OFFSET('Planned background (hide)'!H3,0,0,1,Num_Modalities)),'Planned background (hide)'!R3),"")</f>
        <v>147.93103448275863</v>
      </c>
      <c r="V3" s="5"/>
      <c r="AB3">
        <f t="shared" si="0"/>
        <v>1</v>
      </c>
      <c r="AC3" s="36">
        <f>IF(Planned!$C$8=0,'Planned background (hide)'!F3,'Planned background (hide)'!G3)</f>
        <v>1</v>
      </c>
      <c r="AD3" s="36">
        <f>IF(AND(AB3&gt;=$U$18,AB3&lt;($U$18+$AA$19)),1,0)</f>
        <v>1</v>
      </c>
      <c r="AE3" s="5">
        <f t="shared" ref="AE3:AE34" ca="1" si="1">S3</f>
        <v>147.93103448275863</v>
      </c>
      <c r="AF3" s="5">
        <f ca="1">$V$23</f>
        <v>140.5344827586207</v>
      </c>
      <c r="AG3">
        <f ca="1">$V$25</f>
        <v>57.375733675715331</v>
      </c>
      <c r="AH3">
        <f ca="1">IF(AF3-(3*AG3)&lt;=0,0,AF3-(3*AG3))</f>
        <v>0</v>
      </c>
      <c r="AI3">
        <f ca="1">IF(AF3-(2*AG3)&lt;=0,0,AF3-(2*AG3))</f>
        <v>25.783015407190035</v>
      </c>
      <c r="AJ3">
        <f ca="1">IF(AF3-(1*AG3)&lt;=0,0,AF3-(1*AG3))</f>
        <v>83.158749082905359</v>
      </c>
      <c r="AK3">
        <f ca="1">AF3+(1*AG3)</f>
        <v>197.91021643433604</v>
      </c>
      <c r="AL3">
        <f ca="1">AF3+(2*AG3)</f>
        <v>255.28595011005137</v>
      </c>
      <c r="AM3">
        <f ca="1">AF3+(3*AG3)</f>
        <v>312.66168378576668</v>
      </c>
      <c r="AN3">
        <f ca="1">$V$26</f>
        <v>170.12068965517244</v>
      </c>
      <c r="AO3">
        <f ca="1">$V$27</f>
        <v>184.91379310344828</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184.91379310344828</v>
      </c>
      <c r="S4" s="5">
        <f ca="1">IF(Planned!R14&lt;&gt;"Yes",IF(Planned!$C$6&lt;&gt;"Overall",SUM(OFFSET('Planned background (hide)'!H4,0,0,1,Num_Modalities)),'Planned background (hide)'!R4),"")</f>
        <v>184.91379310344828</v>
      </c>
      <c r="AB4">
        <f t="shared" si="0"/>
        <v>2</v>
      </c>
      <c r="AC4" s="36">
        <f>IF(Planned!$C$8=0,'Planned background (hide)'!F4,'Planned background (hide)'!G4)</f>
        <v>2</v>
      </c>
      <c r="AD4" s="36">
        <f t="shared" ref="AD4:AD54" si="2">IF(AND(AB4&gt;$U$18,AB4&lt;($U$18+$AA$19)),1,0)</f>
        <v>1</v>
      </c>
      <c r="AE4" s="5">
        <f t="shared" ca="1" si="1"/>
        <v>184.91379310344828</v>
      </c>
      <c r="AF4" s="5">
        <f t="shared" ref="AF4:AF55" ca="1" si="3">$V$23</f>
        <v>140.5344827586207</v>
      </c>
      <c r="AG4">
        <f t="shared" ref="AG4:AG55" ca="1" si="4">$V$25</f>
        <v>57.375733675715331</v>
      </c>
      <c r="AH4" s="67">
        <f t="shared" ref="AH4:AH54" ca="1" si="5">IF(AF4-(3*AG4)&lt;=0,0,AF4-(3*AG4))</f>
        <v>0</v>
      </c>
      <c r="AI4" s="67">
        <f t="shared" ref="AI4:AI54" ca="1" si="6">IF(AF4-(2*AG4)&lt;=0,0,AF4-(2*AG4))</f>
        <v>25.783015407190035</v>
      </c>
      <c r="AJ4" s="67">
        <f t="shared" ref="AJ4:AJ54" ca="1" si="7">IF(AF4-(1*AG4)&lt;=0,0,AF4-(1*AG4))</f>
        <v>83.158749082905359</v>
      </c>
      <c r="AK4">
        <f t="shared" ref="AK4:AK54" ca="1" si="8">AF4+(1*AG4)</f>
        <v>197.91021643433604</v>
      </c>
      <c r="AL4">
        <f t="shared" ref="AL4:AL54" ca="1" si="9">AF4+(2*AG4)</f>
        <v>255.28595011005137</v>
      </c>
      <c r="AM4">
        <f t="shared" ref="AM4:AM54" ca="1" si="10">AF4+(3*AG4)</f>
        <v>312.66168378576668</v>
      </c>
      <c r="AN4">
        <f t="shared" ref="AN4:AN55" ca="1" si="11">$V$26</f>
        <v>170.12068965517244</v>
      </c>
      <c r="AO4">
        <f t="shared" ref="AO4:AO55" ca="1" si="12">$V$27</f>
        <v>184.91379310344828</v>
      </c>
      <c r="AP4" t="e">
        <f t="shared" ref="AP4:AP54" ca="1" si="13">IF(OR(AE4&gt;AM4,AE4&lt;AH4),AE4,NA())</f>
        <v>#N/A</v>
      </c>
      <c r="AQ4">
        <f ca="1">IF(AE4&gt;AL4,1,IF(AE4&lt;AI4,-1,0))</f>
        <v>0</v>
      </c>
      <c r="AS4">
        <f ca="1">IF(AE4&gt;AE3,1,IF(AE4&lt;AE3,-1,0))</f>
        <v>1</v>
      </c>
      <c r="AU4">
        <f t="shared" ref="AU4:AU54" ca="1" si="14">IF(AE4&gt;AF4,1,IF(AE4&lt;AF4,-1,0))</f>
        <v>1</v>
      </c>
      <c r="AW4" s="5">
        <f ca="1">ABS(AE4-AE3)</f>
        <v>36.982758620689651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73.965517241379317</v>
      </c>
      <c r="S5" s="5">
        <f ca="1">IF(Planned!R15&lt;&gt;"Yes",IF(Planned!$C$6&lt;&gt;"Overall",SUM(OFFSET('Planned background (hide)'!H5,0,0,1,Num_Modalities)),'Planned background (hide)'!R5),"")</f>
        <v>73.965517241379317</v>
      </c>
      <c r="AB5">
        <f t="shared" si="0"/>
        <v>3</v>
      </c>
      <c r="AC5" s="36">
        <f>IF(Planned!$C$8=0,'Planned background (hide)'!F5,'Planned background (hide)'!G5)</f>
        <v>3</v>
      </c>
      <c r="AD5" s="36">
        <f t="shared" si="2"/>
        <v>1</v>
      </c>
      <c r="AE5" s="5">
        <f t="shared" ca="1" si="1"/>
        <v>73.965517241379317</v>
      </c>
      <c r="AF5" s="5">
        <f t="shared" ca="1" si="3"/>
        <v>140.5344827586207</v>
      </c>
      <c r="AG5">
        <f t="shared" ca="1" si="4"/>
        <v>57.375733675715331</v>
      </c>
      <c r="AH5" s="67">
        <f t="shared" ca="1" si="5"/>
        <v>0</v>
      </c>
      <c r="AI5" s="67">
        <f t="shared" ca="1" si="6"/>
        <v>25.783015407190035</v>
      </c>
      <c r="AJ5" s="67">
        <f t="shared" ca="1" si="7"/>
        <v>83.158749082905359</v>
      </c>
      <c r="AK5">
        <f t="shared" ca="1" si="8"/>
        <v>197.91021643433604</v>
      </c>
      <c r="AL5">
        <f t="shared" ca="1" si="9"/>
        <v>255.28595011005137</v>
      </c>
      <c r="AM5">
        <f t="shared" ca="1" si="10"/>
        <v>312.66168378576668</v>
      </c>
      <c r="AN5">
        <f t="shared" ca="1" si="11"/>
        <v>170.12068965517244</v>
      </c>
      <c r="AO5">
        <f t="shared" ca="1" si="12"/>
        <v>184.91379310344828</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110.94827586206897</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110.94827586206898</v>
      </c>
      <c r="S6" s="5">
        <f ca="1">IF(Planned!R16&lt;&gt;"Yes",IF(Planned!$C$6&lt;&gt;"Overall",SUM(OFFSET('Planned background (hide)'!H6,0,0,1,Num_Modalities)),'Planned background (hide)'!R6),"")</f>
        <v>110.94827586206898</v>
      </c>
      <c r="AB6">
        <f t="shared" si="0"/>
        <v>4</v>
      </c>
      <c r="AC6" s="36">
        <f>IF(Planned!$C$8=0,'Planned background (hide)'!F6,'Planned background (hide)'!G6)</f>
        <v>4</v>
      </c>
      <c r="AD6" s="36">
        <f t="shared" si="2"/>
        <v>1</v>
      </c>
      <c r="AE6" s="5">
        <f t="shared" ca="1" si="1"/>
        <v>110.94827586206898</v>
      </c>
      <c r="AF6" s="5">
        <f t="shared" ca="1" si="3"/>
        <v>140.5344827586207</v>
      </c>
      <c r="AG6">
        <f t="shared" ca="1" si="4"/>
        <v>57.375733675715331</v>
      </c>
      <c r="AH6" s="67">
        <f t="shared" ca="1" si="5"/>
        <v>0</v>
      </c>
      <c r="AI6" s="67">
        <f t="shared" ca="1" si="6"/>
        <v>25.783015407190035</v>
      </c>
      <c r="AJ6" s="67">
        <f t="shared" ca="1" si="7"/>
        <v>83.158749082905359</v>
      </c>
      <c r="AK6">
        <f t="shared" ca="1" si="8"/>
        <v>197.91021643433604</v>
      </c>
      <c r="AL6">
        <f t="shared" ca="1" si="9"/>
        <v>255.28595011005137</v>
      </c>
      <c r="AM6">
        <f t="shared" ca="1" si="10"/>
        <v>312.66168378576668</v>
      </c>
      <c r="AN6">
        <f t="shared" ca="1" si="11"/>
        <v>170.12068965517244</v>
      </c>
      <c r="AO6">
        <f t="shared" ca="1" si="12"/>
        <v>184.91379310344828</v>
      </c>
      <c r="AP6" t="e">
        <f t="shared" ca="1" si="13"/>
        <v>#N/A</v>
      </c>
      <c r="AQ6">
        <f t="shared" ca="1" si="18"/>
        <v>0</v>
      </c>
      <c r="AR6" t="e">
        <f t="shared" ref="AR6:AR54" ca="1" si="21">IF(ABS(SUM(AQ4:AQ6))&gt;=2,AE6,NA())</f>
        <v>#N/A</v>
      </c>
      <c r="AS6">
        <f t="shared" ca="1" si="19"/>
        <v>1</v>
      </c>
      <c r="AU6">
        <f t="shared" ca="1" si="14"/>
        <v>-1</v>
      </c>
      <c r="AW6" s="5">
        <f t="shared" ca="1" si="20"/>
        <v>36.982758620689665</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184.91379310344828</v>
      </c>
      <c r="S7" s="5">
        <f ca="1">IF(Planned!R17&lt;&gt;"Yes",IF(Planned!$C$6&lt;&gt;"Overall",SUM(OFFSET('Planned background (hide)'!H7,0,0,1,Num_Modalities)),'Planned background (hide)'!R7),"")</f>
        <v>184.91379310344828</v>
      </c>
      <c r="U7" s="54"/>
      <c r="AB7">
        <f t="shared" si="0"/>
        <v>5</v>
      </c>
      <c r="AC7" s="36">
        <f>IF(Planned!$C$8=0,'Planned background (hide)'!F7,'Planned background (hide)'!G7)</f>
        <v>5</v>
      </c>
      <c r="AD7" s="36">
        <f t="shared" si="2"/>
        <v>1</v>
      </c>
      <c r="AE7" s="5">
        <f t="shared" ca="1" si="1"/>
        <v>184.91379310344828</v>
      </c>
      <c r="AF7" s="5">
        <f t="shared" ca="1" si="3"/>
        <v>140.5344827586207</v>
      </c>
      <c r="AG7">
        <f t="shared" ca="1" si="4"/>
        <v>57.375733675715331</v>
      </c>
      <c r="AH7" s="67">
        <f t="shared" ca="1" si="5"/>
        <v>0</v>
      </c>
      <c r="AI7" s="67">
        <f t="shared" ca="1" si="6"/>
        <v>25.783015407190035</v>
      </c>
      <c r="AJ7" s="67">
        <f t="shared" ca="1" si="7"/>
        <v>83.158749082905359</v>
      </c>
      <c r="AK7">
        <f t="shared" ca="1" si="8"/>
        <v>197.91021643433604</v>
      </c>
      <c r="AL7">
        <f t="shared" ca="1" si="9"/>
        <v>255.28595011005137</v>
      </c>
      <c r="AM7">
        <f t="shared" ca="1" si="10"/>
        <v>312.66168378576668</v>
      </c>
      <c r="AN7">
        <f t="shared" ca="1" si="11"/>
        <v>170.12068965517244</v>
      </c>
      <c r="AO7">
        <f t="shared" ca="1" si="12"/>
        <v>184.91379310344828</v>
      </c>
      <c r="AP7" t="e">
        <f t="shared" ca="1" si="13"/>
        <v>#N/A</v>
      </c>
      <c r="AQ7">
        <f t="shared" ca="1" si="18"/>
        <v>0</v>
      </c>
      <c r="AR7" t="e">
        <f t="shared" ca="1" si="21"/>
        <v>#N/A</v>
      </c>
      <c r="AS7">
        <f t="shared" ca="1" si="19"/>
        <v>1</v>
      </c>
      <c r="AU7">
        <f t="shared" ca="1" si="14"/>
        <v>1</v>
      </c>
      <c r="AW7" s="5">
        <f t="shared" ca="1" si="20"/>
        <v>73.965517241379303</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110.94827586206898</v>
      </c>
      <c r="S8" s="5">
        <f ca="1">IF(Planned!R18&lt;&gt;"Yes",IF(Planned!$C$6&lt;&gt;"Overall",SUM(OFFSET('Planned background (hide)'!H8,0,0,1,Num_Modalities)),'Planned background (hide)'!R8),"")</f>
        <v>110.94827586206898</v>
      </c>
      <c r="U8" s="54"/>
      <c r="AB8">
        <f t="shared" si="0"/>
        <v>6</v>
      </c>
      <c r="AC8" s="36">
        <f>IF(Planned!$C$8=0,'Planned background (hide)'!F8,'Planned background (hide)'!G8)</f>
        <v>6</v>
      </c>
      <c r="AD8" s="36">
        <f t="shared" si="2"/>
        <v>0</v>
      </c>
      <c r="AE8" s="5">
        <f t="shared" ca="1" si="1"/>
        <v>110.94827586206898</v>
      </c>
      <c r="AF8" s="5">
        <f t="shared" ca="1" si="3"/>
        <v>140.5344827586207</v>
      </c>
      <c r="AG8">
        <f t="shared" ca="1" si="4"/>
        <v>57.375733675715331</v>
      </c>
      <c r="AH8" s="67">
        <f t="shared" ca="1" si="5"/>
        <v>0</v>
      </c>
      <c r="AI8" s="67">
        <f t="shared" ca="1" si="6"/>
        <v>25.783015407190035</v>
      </c>
      <c r="AJ8" s="67">
        <f t="shared" ca="1" si="7"/>
        <v>83.158749082905359</v>
      </c>
      <c r="AK8">
        <f t="shared" ca="1" si="8"/>
        <v>197.91021643433604</v>
      </c>
      <c r="AL8">
        <f t="shared" ca="1" si="9"/>
        <v>255.28595011005137</v>
      </c>
      <c r="AM8">
        <f t="shared" ca="1" si="10"/>
        <v>312.66168378576668</v>
      </c>
      <c r="AN8">
        <f t="shared" ca="1" si="11"/>
        <v>170.12068965517244</v>
      </c>
      <c r="AO8">
        <f t="shared" ca="1" si="12"/>
        <v>184.91379310344828</v>
      </c>
      <c r="AP8" t="e">
        <f t="shared" ca="1" si="13"/>
        <v>#N/A</v>
      </c>
      <c r="AQ8">
        <f t="shared" ca="1" si="18"/>
        <v>0</v>
      </c>
      <c r="AR8" t="e">
        <f t="shared" ca="1" si="21"/>
        <v>#N/A</v>
      </c>
      <c r="AS8">
        <f t="shared" ca="1" si="19"/>
        <v>-1</v>
      </c>
      <c r="AU8">
        <f t="shared" ca="1" si="14"/>
        <v>-1</v>
      </c>
      <c r="AW8" s="5">
        <f t="shared" ca="1" si="20"/>
        <v>73.965517241379303</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2</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147.93103448275863</v>
      </c>
      <c r="S9" s="5">
        <f ca="1">IF(Planned!R19&lt;&gt;"Yes",IF(Planned!$C$6&lt;&gt;"Overall",SUM(OFFSET('Planned background (hide)'!H9,0,0,1,Num_Modalities)),'Planned background (hide)'!R9),"")</f>
        <v>147.93103448275863</v>
      </c>
      <c r="AB9">
        <f t="shared" si="0"/>
        <v>7</v>
      </c>
      <c r="AC9" s="36">
        <f>IF(Planned!$C$8=0,'Planned background (hide)'!F9,'Planned background (hide)'!G9)</f>
        <v>7</v>
      </c>
      <c r="AD9" s="36">
        <f t="shared" si="2"/>
        <v>0</v>
      </c>
      <c r="AE9" s="5">
        <f t="shared" ca="1" si="1"/>
        <v>147.93103448275863</v>
      </c>
      <c r="AF9" s="5">
        <f t="shared" ca="1" si="3"/>
        <v>140.5344827586207</v>
      </c>
      <c r="AG9">
        <f t="shared" ca="1" si="4"/>
        <v>57.375733675715331</v>
      </c>
      <c r="AH9" s="67">
        <f t="shared" ca="1" si="5"/>
        <v>0</v>
      </c>
      <c r="AI9" s="67">
        <f t="shared" ca="1" si="6"/>
        <v>25.783015407190035</v>
      </c>
      <c r="AJ9" s="67">
        <f t="shared" ca="1" si="7"/>
        <v>83.158749082905359</v>
      </c>
      <c r="AK9">
        <f t="shared" ca="1" si="8"/>
        <v>197.91021643433604</v>
      </c>
      <c r="AL9">
        <f t="shared" ca="1" si="9"/>
        <v>255.28595011005137</v>
      </c>
      <c r="AM9">
        <f t="shared" ca="1" si="10"/>
        <v>312.66168378576668</v>
      </c>
      <c r="AN9">
        <f t="shared" ca="1" si="11"/>
        <v>170.12068965517244</v>
      </c>
      <c r="AO9">
        <f t="shared" ca="1" si="12"/>
        <v>184.91379310344828</v>
      </c>
      <c r="AP9" t="e">
        <f t="shared" ca="1" si="13"/>
        <v>#N/A</v>
      </c>
      <c r="AQ9">
        <f t="shared" ca="1" si="18"/>
        <v>0</v>
      </c>
      <c r="AR9" t="e">
        <f t="shared" ca="1" si="21"/>
        <v>#N/A</v>
      </c>
      <c r="AS9">
        <f t="shared" ca="1" si="19"/>
        <v>1</v>
      </c>
      <c r="AT9" t="e">
        <f ca="1">IF(ABS(SUM(AS4:AS9))=6,AE9,NA())</f>
        <v>#N/A</v>
      </c>
      <c r="AU9">
        <f t="shared" ca="1" si="14"/>
        <v>1</v>
      </c>
      <c r="AW9" s="5">
        <f t="shared" ca="1" si="20"/>
        <v>36.982758620689651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2</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140.5344827586207</v>
      </c>
      <c r="AG10">
        <f t="shared" ca="1" si="4"/>
        <v>57.375733675715331</v>
      </c>
      <c r="AH10" s="67">
        <f t="shared" ca="1" si="5"/>
        <v>0</v>
      </c>
      <c r="AI10" s="67">
        <f t="shared" ca="1" si="6"/>
        <v>25.783015407190035</v>
      </c>
      <c r="AJ10" s="67">
        <f t="shared" ca="1" si="7"/>
        <v>83.158749082905359</v>
      </c>
      <c r="AK10">
        <f t="shared" ca="1" si="8"/>
        <v>197.91021643433604</v>
      </c>
      <c r="AL10">
        <f t="shared" ca="1" si="9"/>
        <v>255.28595011005137</v>
      </c>
      <c r="AM10">
        <f t="shared" ca="1" si="10"/>
        <v>312.66168378576668</v>
      </c>
      <c r="AN10">
        <f t="shared" ca="1" si="11"/>
        <v>170.12068965517244</v>
      </c>
      <c r="AO10">
        <f t="shared" ca="1" si="12"/>
        <v>184.91379310344828</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147.93103448275863</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2</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140.5344827586207</v>
      </c>
      <c r="AG11">
        <f t="shared" ca="1" si="4"/>
        <v>57.375733675715331</v>
      </c>
      <c r="AH11" s="67">
        <f t="shared" ca="1" si="5"/>
        <v>0</v>
      </c>
      <c r="AI11" s="67">
        <f t="shared" ca="1" si="6"/>
        <v>25.783015407190035</v>
      </c>
      <c r="AJ11" s="67">
        <f t="shared" ca="1" si="7"/>
        <v>83.158749082905359</v>
      </c>
      <c r="AK11">
        <f t="shared" ca="1" si="8"/>
        <v>197.91021643433604</v>
      </c>
      <c r="AL11">
        <f t="shared" ca="1" si="9"/>
        <v>255.28595011005137</v>
      </c>
      <c r="AM11">
        <f t="shared" ca="1" si="10"/>
        <v>312.66168378576668</v>
      </c>
      <c r="AN11">
        <f t="shared" ca="1" si="11"/>
        <v>170.12068965517244</v>
      </c>
      <c r="AO11">
        <f t="shared" ca="1" si="12"/>
        <v>184.91379310344828</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2</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140.5344827586207</v>
      </c>
      <c r="AG12">
        <f t="shared" ca="1" si="4"/>
        <v>57.375733675715331</v>
      </c>
      <c r="AH12" s="67">
        <f t="shared" ca="1" si="5"/>
        <v>0</v>
      </c>
      <c r="AI12" s="67">
        <f t="shared" ca="1" si="6"/>
        <v>25.783015407190035</v>
      </c>
      <c r="AJ12" s="67">
        <f t="shared" ca="1" si="7"/>
        <v>83.158749082905359</v>
      </c>
      <c r="AK12">
        <f t="shared" ca="1" si="8"/>
        <v>197.91021643433604</v>
      </c>
      <c r="AL12">
        <f t="shared" ca="1" si="9"/>
        <v>255.28595011005137</v>
      </c>
      <c r="AM12">
        <f t="shared" ca="1" si="10"/>
        <v>312.66168378576668</v>
      </c>
      <c r="AN12">
        <f t="shared" ca="1" si="11"/>
        <v>170.12068965517244</v>
      </c>
      <c r="AO12">
        <f t="shared" ca="1" si="12"/>
        <v>184.91379310344828</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2</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140.5344827586207</v>
      </c>
      <c r="AG13">
        <f t="shared" ca="1" si="4"/>
        <v>57.375733675715331</v>
      </c>
      <c r="AH13" s="67">
        <f t="shared" ca="1" si="5"/>
        <v>0</v>
      </c>
      <c r="AI13" s="67">
        <f t="shared" ca="1" si="6"/>
        <v>25.783015407190035</v>
      </c>
      <c r="AJ13" s="67">
        <f t="shared" ca="1" si="7"/>
        <v>83.158749082905359</v>
      </c>
      <c r="AK13">
        <f t="shared" ca="1" si="8"/>
        <v>197.91021643433604</v>
      </c>
      <c r="AL13">
        <f t="shared" ca="1" si="9"/>
        <v>255.28595011005137</v>
      </c>
      <c r="AM13">
        <f t="shared" ca="1" si="10"/>
        <v>312.66168378576668</v>
      </c>
      <c r="AN13">
        <f t="shared" ca="1" si="11"/>
        <v>170.12068965517244</v>
      </c>
      <c r="AO13">
        <f t="shared" ca="1" si="12"/>
        <v>184.91379310344828</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2</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140.5344827586207</v>
      </c>
      <c r="AG14">
        <f t="shared" ca="1" si="4"/>
        <v>57.375733675715331</v>
      </c>
      <c r="AH14" s="67">
        <f t="shared" ca="1" si="5"/>
        <v>0</v>
      </c>
      <c r="AI14" s="67">
        <f t="shared" ca="1" si="6"/>
        <v>25.783015407190035</v>
      </c>
      <c r="AJ14" s="67">
        <f t="shared" ca="1" si="7"/>
        <v>83.158749082905359</v>
      </c>
      <c r="AK14">
        <f t="shared" ca="1" si="8"/>
        <v>197.91021643433604</v>
      </c>
      <c r="AL14">
        <f t="shared" ca="1" si="9"/>
        <v>255.28595011005137</v>
      </c>
      <c r="AM14">
        <f t="shared" ca="1" si="10"/>
        <v>312.66168378576668</v>
      </c>
      <c r="AN14">
        <f t="shared" ca="1" si="11"/>
        <v>170.12068965517244</v>
      </c>
      <c r="AO14">
        <f t="shared" ca="1" si="12"/>
        <v>184.91379310344828</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2</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140.5344827586207</v>
      </c>
      <c r="AG15">
        <f t="shared" ca="1" si="4"/>
        <v>57.375733675715331</v>
      </c>
      <c r="AH15" s="67">
        <f t="shared" ca="1" si="5"/>
        <v>0</v>
      </c>
      <c r="AI15" s="67">
        <f t="shared" ca="1" si="6"/>
        <v>25.783015407190035</v>
      </c>
      <c r="AJ15" s="67">
        <f t="shared" ca="1" si="7"/>
        <v>83.158749082905359</v>
      </c>
      <c r="AK15">
        <f t="shared" ca="1" si="8"/>
        <v>197.91021643433604</v>
      </c>
      <c r="AL15">
        <f t="shared" ca="1" si="9"/>
        <v>255.28595011005137</v>
      </c>
      <c r="AM15">
        <f t="shared" ca="1" si="10"/>
        <v>312.66168378576668</v>
      </c>
      <c r="AN15">
        <f t="shared" ca="1" si="11"/>
        <v>170.12068965517244</v>
      </c>
      <c r="AO15">
        <f t="shared" ca="1" si="12"/>
        <v>184.91379310344828</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2</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140.5344827586207</v>
      </c>
      <c r="AG16">
        <f t="shared" ca="1" si="4"/>
        <v>57.375733675715331</v>
      </c>
      <c r="AH16" s="67">
        <f t="shared" ca="1" si="5"/>
        <v>0</v>
      </c>
      <c r="AI16" s="67">
        <f t="shared" ca="1" si="6"/>
        <v>25.783015407190035</v>
      </c>
      <c r="AJ16" s="67">
        <f t="shared" ca="1" si="7"/>
        <v>83.158749082905359</v>
      </c>
      <c r="AK16">
        <f t="shared" ca="1" si="8"/>
        <v>197.91021643433604</v>
      </c>
      <c r="AL16">
        <f t="shared" ca="1" si="9"/>
        <v>255.28595011005137</v>
      </c>
      <c r="AM16">
        <f t="shared" ca="1" si="10"/>
        <v>312.66168378576668</v>
      </c>
      <c r="AN16">
        <f t="shared" ca="1" si="11"/>
        <v>170.12068965517244</v>
      </c>
      <c r="AO16">
        <f t="shared" ca="1" si="12"/>
        <v>184.91379310344828</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2</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140.5344827586207</v>
      </c>
      <c r="AG17">
        <f t="shared" ca="1" si="4"/>
        <v>57.375733675715331</v>
      </c>
      <c r="AH17" s="67">
        <f t="shared" ca="1" si="5"/>
        <v>0</v>
      </c>
      <c r="AI17" s="67">
        <f t="shared" ca="1" si="6"/>
        <v>25.783015407190035</v>
      </c>
      <c r="AJ17" s="67">
        <f t="shared" ca="1" si="7"/>
        <v>83.158749082905359</v>
      </c>
      <c r="AK17">
        <f t="shared" ca="1" si="8"/>
        <v>197.91021643433604</v>
      </c>
      <c r="AL17">
        <f t="shared" ca="1" si="9"/>
        <v>255.28595011005137</v>
      </c>
      <c r="AM17">
        <f t="shared" ca="1" si="10"/>
        <v>312.66168378576668</v>
      </c>
      <c r="AN17">
        <f t="shared" ca="1" si="11"/>
        <v>170.12068965517244</v>
      </c>
      <c r="AO17">
        <f t="shared" ca="1" si="12"/>
        <v>184.91379310344828</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2</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140.5344827586207</v>
      </c>
      <c r="AG18">
        <f t="shared" ca="1" si="4"/>
        <v>57.375733675715331</v>
      </c>
      <c r="AH18" s="67">
        <f t="shared" ca="1" si="5"/>
        <v>0</v>
      </c>
      <c r="AI18" s="67">
        <f t="shared" ca="1" si="6"/>
        <v>25.783015407190035</v>
      </c>
      <c r="AJ18" s="67">
        <f t="shared" ca="1" si="7"/>
        <v>83.158749082905359</v>
      </c>
      <c r="AK18">
        <f t="shared" ca="1" si="8"/>
        <v>197.91021643433604</v>
      </c>
      <c r="AL18">
        <f t="shared" ca="1" si="9"/>
        <v>255.28595011005137</v>
      </c>
      <c r="AM18">
        <f t="shared" ca="1" si="10"/>
        <v>312.66168378576668</v>
      </c>
      <c r="AN18">
        <f t="shared" ca="1" si="11"/>
        <v>170.12068965517244</v>
      </c>
      <c r="AO18">
        <f t="shared" ca="1" si="12"/>
        <v>184.91379310344828</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2</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140.5344827586207</v>
      </c>
      <c r="AG19">
        <f t="shared" ca="1" si="4"/>
        <v>57.375733675715331</v>
      </c>
      <c r="AH19" s="67">
        <f t="shared" ca="1" si="5"/>
        <v>0</v>
      </c>
      <c r="AI19" s="67">
        <f t="shared" ca="1" si="6"/>
        <v>25.783015407190035</v>
      </c>
      <c r="AJ19" s="67">
        <f t="shared" ca="1" si="7"/>
        <v>83.158749082905359</v>
      </c>
      <c r="AK19">
        <f t="shared" ca="1" si="8"/>
        <v>197.91021643433604</v>
      </c>
      <c r="AL19">
        <f t="shared" ca="1" si="9"/>
        <v>255.28595011005137</v>
      </c>
      <c r="AM19">
        <f t="shared" ca="1" si="10"/>
        <v>312.66168378576668</v>
      </c>
      <c r="AN19">
        <f t="shared" ca="1" si="11"/>
        <v>170.12068965517244</v>
      </c>
      <c r="AO19">
        <f t="shared" ca="1" si="12"/>
        <v>184.91379310344828</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2</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140.5344827586207</v>
      </c>
      <c r="AG20">
        <f t="shared" ca="1" si="4"/>
        <v>57.375733675715331</v>
      </c>
      <c r="AH20" s="67">
        <f t="shared" ca="1" si="5"/>
        <v>0</v>
      </c>
      <c r="AI20" s="67">
        <f t="shared" ca="1" si="6"/>
        <v>25.783015407190035</v>
      </c>
      <c r="AJ20" s="67">
        <f t="shared" ca="1" si="7"/>
        <v>83.158749082905359</v>
      </c>
      <c r="AK20">
        <f t="shared" ca="1" si="8"/>
        <v>197.91021643433604</v>
      </c>
      <c r="AL20">
        <f t="shared" ca="1" si="9"/>
        <v>255.28595011005137</v>
      </c>
      <c r="AM20">
        <f t="shared" ca="1" si="10"/>
        <v>312.66168378576668</v>
      </c>
      <c r="AN20">
        <f t="shared" ca="1" si="11"/>
        <v>170.12068965517244</v>
      </c>
      <c r="AO20">
        <f t="shared" ca="1" si="12"/>
        <v>184.91379310344828</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2</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140.5344827586207</v>
      </c>
      <c r="AG21">
        <f t="shared" ca="1" si="4"/>
        <v>57.375733675715331</v>
      </c>
      <c r="AH21" s="67">
        <f t="shared" ca="1" si="5"/>
        <v>0</v>
      </c>
      <c r="AI21" s="67">
        <f t="shared" ca="1" si="6"/>
        <v>25.783015407190035</v>
      </c>
      <c r="AJ21" s="67">
        <f t="shared" ca="1" si="7"/>
        <v>83.158749082905359</v>
      </c>
      <c r="AK21">
        <f t="shared" ca="1" si="8"/>
        <v>197.91021643433604</v>
      </c>
      <c r="AL21">
        <f t="shared" ca="1" si="9"/>
        <v>255.28595011005137</v>
      </c>
      <c r="AM21">
        <f t="shared" ca="1" si="10"/>
        <v>312.66168378576668</v>
      </c>
      <c r="AN21">
        <f t="shared" ca="1" si="11"/>
        <v>170.12068965517244</v>
      </c>
      <c r="AO21">
        <f t="shared" ca="1" si="12"/>
        <v>184.91379310344828</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2</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140.5344827586207</v>
      </c>
      <c r="AG22">
        <f t="shared" ca="1" si="4"/>
        <v>57.375733675715331</v>
      </c>
      <c r="AH22" s="67">
        <f t="shared" ca="1" si="5"/>
        <v>0</v>
      </c>
      <c r="AI22" s="67">
        <f t="shared" ca="1" si="6"/>
        <v>25.783015407190035</v>
      </c>
      <c r="AJ22" s="67">
        <f t="shared" ca="1" si="7"/>
        <v>83.158749082905359</v>
      </c>
      <c r="AK22">
        <f t="shared" ca="1" si="8"/>
        <v>197.91021643433604</v>
      </c>
      <c r="AL22">
        <f t="shared" ca="1" si="9"/>
        <v>255.28595011005137</v>
      </c>
      <c r="AM22">
        <f t="shared" ca="1" si="10"/>
        <v>312.66168378576668</v>
      </c>
      <c r="AN22">
        <f t="shared" ca="1" si="11"/>
        <v>170.12068965517244</v>
      </c>
      <c r="AO22">
        <f t="shared" ca="1" si="12"/>
        <v>184.91379310344828</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2</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140.5344827586207</v>
      </c>
      <c r="W23" s="49"/>
      <c r="AB23">
        <f t="shared" si="0"/>
        <v>21</v>
      </c>
      <c r="AC23" s="36">
        <f>IF(Planned!$C$8=0,'Planned background (hide)'!F23,'Planned background (hide)'!G23)</f>
        <v>21</v>
      </c>
      <c r="AD23" s="36">
        <f t="shared" si="2"/>
        <v>0</v>
      </c>
      <c r="AE23" s="5">
        <f t="shared" ca="1" si="1"/>
        <v>0</v>
      </c>
      <c r="AF23" s="5">
        <f t="shared" ca="1" si="3"/>
        <v>140.5344827586207</v>
      </c>
      <c r="AG23">
        <f t="shared" ca="1" si="4"/>
        <v>57.375733675715331</v>
      </c>
      <c r="AH23" s="67">
        <f t="shared" ca="1" si="5"/>
        <v>0</v>
      </c>
      <c r="AI23" s="67">
        <f t="shared" ca="1" si="6"/>
        <v>25.783015407190035</v>
      </c>
      <c r="AJ23" s="67">
        <f t="shared" ca="1" si="7"/>
        <v>83.158749082905359</v>
      </c>
      <c r="AK23">
        <f t="shared" ca="1" si="8"/>
        <v>197.91021643433604</v>
      </c>
      <c r="AL23">
        <f t="shared" ca="1" si="9"/>
        <v>255.28595011005137</v>
      </c>
      <c r="AM23">
        <f t="shared" ca="1" si="10"/>
        <v>312.66168378576668</v>
      </c>
      <c r="AN23">
        <f t="shared" ca="1" si="11"/>
        <v>170.12068965517244</v>
      </c>
      <c r="AO23">
        <f t="shared" ca="1" si="12"/>
        <v>184.91379310344828</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2</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64.71982758620689</v>
      </c>
      <c r="W24" s="49"/>
      <c r="AB24">
        <f t="shared" si="0"/>
        <v>22</v>
      </c>
      <c r="AC24" s="36">
        <f>IF(Planned!$C$8=0,'Planned background (hide)'!F24,'Planned background (hide)'!G24)</f>
        <v>22</v>
      </c>
      <c r="AD24" s="36">
        <f t="shared" si="2"/>
        <v>0</v>
      </c>
      <c r="AE24" s="5">
        <f t="shared" ca="1" si="1"/>
        <v>0</v>
      </c>
      <c r="AF24" s="5">
        <f t="shared" ca="1" si="3"/>
        <v>140.5344827586207</v>
      </c>
      <c r="AG24">
        <f t="shared" ca="1" si="4"/>
        <v>57.375733675715331</v>
      </c>
      <c r="AH24" s="67">
        <f t="shared" ca="1" si="5"/>
        <v>0</v>
      </c>
      <c r="AI24" s="67">
        <f t="shared" ca="1" si="6"/>
        <v>25.783015407190035</v>
      </c>
      <c r="AJ24" s="67">
        <f t="shared" ca="1" si="7"/>
        <v>83.158749082905359</v>
      </c>
      <c r="AK24">
        <f t="shared" ca="1" si="8"/>
        <v>197.91021643433604</v>
      </c>
      <c r="AL24">
        <f t="shared" ca="1" si="9"/>
        <v>255.28595011005137</v>
      </c>
      <c r="AM24">
        <f t="shared" ca="1" si="10"/>
        <v>312.66168378576668</v>
      </c>
      <c r="AN24">
        <f t="shared" ca="1" si="11"/>
        <v>170.12068965517244</v>
      </c>
      <c r="AO24">
        <f t="shared" ca="1" si="12"/>
        <v>184.91379310344828</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2</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57.375733675715331</v>
      </c>
      <c r="AB25">
        <f t="shared" si="0"/>
        <v>23</v>
      </c>
      <c r="AC25" s="36">
        <f>IF(Planned!$C$8=0,'Planned background (hide)'!F25,'Planned background (hide)'!G25)</f>
        <v>23</v>
      </c>
      <c r="AD25" s="36">
        <f t="shared" si="2"/>
        <v>0</v>
      </c>
      <c r="AE25" s="5">
        <f t="shared" ca="1" si="1"/>
        <v>0</v>
      </c>
      <c r="AF25" s="5">
        <f t="shared" ca="1" si="3"/>
        <v>140.5344827586207</v>
      </c>
      <c r="AG25">
        <f t="shared" ca="1" si="4"/>
        <v>57.375733675715331</v>
      </c>
      <c r="AH25" s="67">
        <f t="shared" ca="1" si="5"/>
        <v>0</v>
      </c>
      <c r="AI25" s="67">
        <f t="shared" ca="1" si="6"/>
        <v>25.783015407190035</v>
      </c>
      <c r="AJ25" s="67">
        <f t="shared" ca="1" si="7"/>
        <v>83.158749082905359</v>
      </c>
      <c r="AK25">
        <f t="shared" ca="1" si="8"/>
        <v>197.91021643433604</v>
      </c>
      <c r="AL25">
        <f t="shared" ca="1" si="9"/>
        <v>255.28595011005137</v>
      </c>
      <c r="AM25">
        <f t="shared" ca="1" si="10"/>
        <v>312.66168378576668</v>
      </c>
      <c r="AN25">
        <f t="shared" ca="1" si="11"/>
        <v>170.12068965517244</v>
      </c>
      <c r="AO25">
        <f t="shared" ca="1" si="12"/>
        <v>184.91379310344828</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2</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170.12068965517244</v>
      </c>
      <c r="AB26">
        <f t="shared" si="0"/>
        <v>24</v>
      </c>
      <c r="AC26" s="36">
        <f>IF(Planned!$C$8=0,'Planned background (hide)'!F26,'Planned background (hide)'!G26)</f>
        <v>24</v>
      </c>
      <c r="AD26" s="36">
        <f t="shared" si="2"/>
        <v>0</v>
      </c>
      <c r="AE26" s="5">
        <f t="shared" ca="1" si="1"/>
        <v>0</v>
      </c>
      <c r="AF26" s="5">
        <f t="shared" ca="1" si="3"/>
        <v>140.5344827586207</v>
      </c>
      <c r="AG26">
        <f t="shared" ca="1" si="4"/>
        <v>57.375733675715331</v>
      </c>
      <c r="AH26" s="67">
        <f t="shared" ca="1" si="5"/>
        <v>0</v>
      </c>
      <c r="AI26" s="67">
        <f t="shared" ca="1" si="6"/>
        <v>25.783015407190035</v>
      </c>
      <c r="AJ26" s="67">
        <f t="shared" ca="1" si="7"/>
        <v>83.158749082905359</v>
      </c>
      <c r="AK26">
        <f t="shared" ca="1" si="8"/>
        <v>197.91021643433604</v>
      </c>
      <c r="AL26">
        <f t="shared" ca="1" si="9"/>
        <v>255.28595011005137</v>
      </c>
      <c r="AM26">
        <f t="shared" ca="1" si="10"/>
        <v>312.66168378576668</v>
      </c>
      <c r="AN26">
        <f t="shared" ca="1" si="11"/>
        <v>170.12068965517244</v>
      </c>
      <c r="AO26">
        <f t="shared" ca="1" si="12"/>
        <v>184.91379310344828</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2</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184.91379310344828</v>
      </c>
      <c r="AB27">
        <f t="shared" si="0"/>
        <v>25</v>
      </c>
      <c r="AC27" s="36">
        <f>IF(Planned!$C$8=0,'Planned background (hide)'!F27,'Planned background (hide)'!G27)</f>
        <v>25</v>
      </c>
      <c r="AD27" s="36">
        <f t="shared" si="2"/>
        <v>0</v>
      </c>
      <c r="AE27" s="5">
        <f t="shared" ca="1" si="1"/>
        <v>0</v>
      </c>
      <c r="AF27" s="5">
        <f t="shared" ca="1" si="3"/>
        <v>140.5344827586207</v>
      </c>
      <c r="AG27">
        <f t="shared" ca="1" si="4"/>
        <v>57.375733675715331</v>
      </c>
      <c r="AH27" s="67">
        <f t="shared" ca="1" si="5"/>
        <v>0</v>
      </c>
      <c r="AI27" s="67">
        <f t="shared" ca="1" si="6"/>
        <v>25.783015407190035</v>
      </c>
      <c r="AJ27" s="67">
        <f t="shared" ca="1" si="7"/>
        <v>83.158749082905359</v>
      </c>
      <c r="AK27">
        <f t="shared" ca="1" si="8"/>
        <v>197.91021643433604</v>
      </c>
      <c r="AL27">
        <f t="shared" ca="1" si="9"/>
        <v>255.28595011005137</v>
      </c>
      <c r="AM27">
        <f t="shared" ca="1" si="10"/>
        <v>312.66168378576668</v>
      </c>
      <c r="AN27">
        <f t="shared" ca="1" si="11"/>
        <v>170.12068965517244</v>
      </c>
      <c r="AO27">
        <f t="shared" ca="1" si="12"/>
        <v>184.91379310344828</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2</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140.5344827586207</v>
      </c>
      <c r="AG28">
        <f t="shared" ca="1" si="4"/>
        <v>57.375733675715331</v>
      </c>
      <c r="AH28" s="67">
        <f t="shared" ca="1" si="5"/>
        <v>0</v>
      </c>
      <c r="AI28" s="67">
        <f t="shared" ca="1" si="6"/>
        <v>25.783015407190035</v>
      </c>
      <c r="AJ28" s="67">
        <f t="shared" ca="1" si="7"/>
        <v>83.158749082905359</v>
      </c>
      <c r="AK28">
        <f t="shared" ca="1" si="8"/>
        <v>197.91021643433604</v>
      </c>
      <c r="AL28">
        <f t="shared" ca="1" si="9"/>
        <v>255.28595011005137</v>
      </c>
      <c r="AM28">
        <f t="shared" ca="1" si="10"/>
        <v>312.66168378576668</v>
      </c>
      <c r="AN28">
        <f t="shared" ca="1" si="11"/>
        <v>170.12068965517244</v>
      </c>
      <c r="AO28">
        <f t="shared" ca="1" si="12"/>
        <v>184.91379310344828</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2</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140.5344827586207</v>
      </c>
      <c r="AG29">
        <f t="shared" ca="1" si="4"/>
        <v>57.375733675715331</v>
      </c>
      <c r="AH29" s="67">
        <f t="shared" ca="1" si="5"/>
        <v>0</v>
      </c>
      <c r="AI29" s="67">
        <f t="shared" ca="1" si="6"/>
        <v>25.783015407190035</v>
      </c>
      <c r="AJ29" s="67">
        <f t="shared" ca="1" si="7"/>
        <v>83.158749082905359</v>
      </c>
      <c r="AK29">
        <f t="shared" ca="1" si="8"/>
        <v>197.91021643433604</v>
      </c>
      <c r="AL29">
        <f t="shared" ca="1" si="9"/>
        <v>255.28595011005137</v>
      </c>
      <c r="AM29">
        <f t="shared" ca="1" si="10"/>
        <v>312.66168378576668</v>
      </c>
      <c r="AN29">
        <f t="shared" ca="1" si="11"/>
        <v>170.12068965517244</v>
      </c>
      <c r="AO29">
        <f t="shared" ca="1" si="12"/>
        <v>184.91379310344828</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2</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140.5344827586207</v>
      </c>
      <c r="AG30">
        <f t="shared" ca="1" si="4"/>
        <v>57.375733675715331</v>
      </c>
      <c r="AH30" s="67">
        <f t="shared" ca="1" si="5"/>
        <v>0</v>
      </c>
      <c r="AI30" s="67">
        <f t="shared" ca="1" si="6"/>
        <v>25.783015407190035</v>
      </c>
      <c r="AJ30" s="67">
        <f t="shared" ca="1" si="7"/>
        <v>83.158749082905359</v>
      </c>
      <c r="AK30">
        <f t="shared" ca="1" si="8"/>
        <v>197.91021643433604</v>
      </c>
      <c r="AL30">
        <f t="shared" ca="1" si="9"/>
        <v>255.28595011005137</v>
      </c>
      <c r="AM30">
        <f t="shared" ca="1" si="10"/>
        <v>312.66168378576668</v>
      </c>
      <c r="AN30">
        <f t="shared" ca="1" si="11"/>
        <v>170.12068965517244</v>
      </c>
      <c r="AO30">
        <f t="shared" ca="1" si="12"/>
        <v>184.91379310344828</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2</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140.5344827586207</v>
      </c>
      <c r="AG31">
        <f t="shared" ca="1" si="4"/>
        <v>57.375733675715331</v>
      </c>
      <c r="AH31" s="67">
        <f t="shared" ca="1" si="5"/>
        <v>0</v>
      </c>
      <c r="AI31" s="67">
        <f t="shared" ca="1" si="6"/>
        <v>25.783015407190035</v>
      </c>
      <c r="AJ31" s="67">
        <f t="shared" ca="1" si="7"/>
        <v>83.158749082905359</v>
      </c>
      <c r="AK31">
        <f t="shared" ca="1" si="8"/>
        <v>197.91021643433604</v>
      </c>
      <c r="AL31">
        <f t="shared" ca="1" si="9"/>
        <v>255.28595011005137</v>
      </c>
      <c r="AM31">
        <f t="shared" ca="1" si="10"/>
        <v>312.66168378576668</v>
      </c>
      <c r="AN31">
        <f t="shared" ca="1" si="11"/>
        <v>170.12068965517244</v>
      </c>
      <c r="AO31">
        <f t="shared" ca="1" si="12"/>
        <v>184.91379310344828</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2</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140.5344827586207</v>
      </c>
      <c r="AG32">
        <f t="shared" ca="1" si="4"/>
        <v>57.375733675715331</v>
      </c>
      <c r="AH32" s="67">
        <f t="shared" ca="1" si="5"/>
        <v>0</v>
      </c>
      <c r="AI32" s="67">
        <f t="shared" ca="1" si="6"/>
        <v>25.783015407190035</v>
      </c>
      <c r="AJ32" s="67">
        <f t="shared" ca="1" si="7"/>
        <v>83.158749082905359</v>
      </c>
      <c r="AK32">
        <f t="shared" ca="1" si="8"/>
        <v>197.91021643433604</v>
      </c>
      <c r="AL32">
        <f t="shared" ca="1" si="9"/>
        <v>255.28595011005137</v>
      </c>
      <c r="AM32">
        <f t="shared" ca="1" si="10"/>
        <v>312.66168378576668</v>
      </c>
      <c r="AN32">
        <f t="shared" ca="1" si="11"/>
        <v>170.12068965517244</v>
      </c>
      <c r="AO32">
        <f t="shared" ca="1" si="12"/>
        <v>184.91379310344828</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2</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140.5344827586207</v>
      </c>
      <c r="AG33">
        <f t="shared" ca="1" si="4"/>
        <v>57.375733675715331</v>
      </c>
      <c r="AH33" s="67">
        <f t="shared" ca="1" si="5"/>
        <v>0</v>
      </c>
      <c r="AI33" s="67">
        <f t="shared" ca="1" si="6"/>
        <v>25.783015407190035</v>
      </c>
      <c r="AJ33" s="67">
        <f t="shared" ca="1" si="7"/>
        <v>83.158749082905359</v>
      </c>
      <c r="AK33">
        <f t="shared" ca="1" si="8"/>
        <v>197.91021643433604</v>
      </c>
      <c r="AL33">
        <f t="shared" ca="1" si="9"/>
        <v>255.28595011005137</v>
      </c>
      <c r="AM33">
        <f t="shared" ca="1" si="10"/>
        <v>312.66168378576668</v>
      </c>
      <c r="AN33">
        <f t="shared" ca="1" si="11"/>
        <v>170.12068965517244</v>
      </c>
      <c r="AO33">
        <f t="shared" ca="1" si="12"/>
        <v>184.91379310344828</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2</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140.5344827586207</v>
      </c>
      <c r="AG34">
        <f t="shared" ca="1" si="4"/>
        <v>57.375733675715331</v>
      </c>
      <c r="AH34" s="67">
        <f t="shared" ca="1" si="5"/>
        <v>0</v>
      </c>
      <c r="AI34" s="67">
        <f t="shared" ca="1" si="6"/>
        <v>25.783015407190035</v>
      </c>
      <c r="AJ34" s="67">
        <f t="shared" ca="1" si="7"/>
        <v>83.158749082905359</v>
      </c>
      <c r="AK34">
        <f t="shared" ca="1" si="8"/>
        <v>197.91021643433604</v>
      </c>
      <c r="AL34">
        <f t="shared" ca="1" si="9"/>
        <v>255.28595011005137</v>
      </c>
      <c r="AM34">
        <f t="shared" ca="1" si="10"/>
        <v>312.66168378576668</v>
      </c>
      <c r="AN34">
        <f t="shared" ca="1" si="11"/>
        <v>170.12068965517244</v>
      </c>
      <c r="AO34">
        <f t="shared" ca="1" si="12"/>
        <v>184.91379310344828</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2</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140.5344827586207</v>
      </c>
      <c r="AG35">
        <f t="shared" ca="1" si="4"/>
        <v>57.375733675715331</v>
      </c>
      <c r="AH35" s="67">
        <f t="shared" ca="1" si="5"/>
        <v>0</v>
      </c>
      <c r="AI35" s="67">
        <f t="shared" ca="1" si="6"/>
        <v>25.783015407190035</v>
      </c>
      <c r="AJ35" s="67">
        <f t="shared" ca="1" si="7"/>
        <v>83.158749082905359</v>
      </c>
      <c r="AK35">
        <f t="shared" ca="1" si="8"/>
        <v>197.91021643433604</v>
      </c>
      <c r="AL35">
        <f t="shared" ca="1" si="9"/>
        <v>255.28595011005137</v>
      </c>
      <c r="AM35">
        <f t="shared" ca="1" si="10"/>
        <v>312.66168378576668</v>
      </c>
      <c r="AN35">
        <f t="shared" ca="1" si="11"/>
        <v>170.12068965517244</v>
      </c>
      <c r="AO35">
        <f t="shared" ca="1" si="12"/>
        <v>184.91379310344828</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2</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140.5344827586207</v>
      </c>
      <c r="AG36">
        <f t="shared" ca="1" si="4"/>
        <v>57.375733675715331</v>
      </c>
      <c r="AH36" s="67">
        <f t="shared" ca="1" si="5"/>
        <v>0</v>
      </c>
      <c r="AI36" s="67">
        <f t="shared" ca="1" si="6"/>
        <v>25.783015407190035</v>
      </c>
      <c r="AJ36" s="67">
        <f t="shared" ca="1" si="7"/>
        <v>83.158749082905359</v>
      </c>
      <c r="AK36">
        <f t="shared" ca="1" si="8"/>
        <v>197.91021643433604</v>
      </c>
      <c r="AL36">
        <f t="shared" ca="1" si="9"/>
        <v>255.28595011005137</v>
      </c>
      <c r="AM36">
        <f t="shared" ca="1" si="10"/>
        <v>312.66168378576668</v>
      </c>
      <c r="AN36">
        <f t="shared" ca="1" si="11"/>
        <v>170.12068965517244</v>
      </c>
      <c r="AO36">
        <f t="shared" ca="1" si="12"/>
        <v>184.91379310344828</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2</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140.5344827586207</v>
      </c>
      <c r="AG37">
        <f t="shared" ca="1" si="4"/>
        <v>57.375733675715331</v>
      </c>
      <c r="AH37" s="67">
        <f t="shared" ca="1" si="5"/>
        <v>0</v>
      </c>
      <c r="AI37" s="67">
        <f t="shared" ca="1" si="6"/>
        <v>25.783015407190035</v>
      </c>
      <c r="AJ37" s="67">
        <f t="shared" ca="1" si="7"/>
        <v>83.158749082905359</v>
      </c>
      <c r="AK37">
        <f t="shared" ca="1" si="8"/>
        <v>197.91021643433604</v>
      </c>
      <c r="AL37">
        <f t="shared" ca="1" si="9"/>
        <v>255.28595011005137</v>
      </c>
      <c r="AM37">
        <f t="shared" ca="1" si="10"/>
        <v>312.66168378576668</v>
      </c>
      <c r="AN37">
        <f t="shared" ca="1" si="11"/>
        <v>170.12068965517244</v>
      </c>
      <c r="AO37">
        <f t="shared" ca="1" si="12"/>
        <v>184.91379310344828</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2</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140.5344827586207</v>
      </c>
      <c r="AG38">
        <f t="shared" ca="1" si="4"/>
        <v>57.375733675715331</v>
      </c>
      <c r="AH38" s="67">
        <f t="shared" ca="1" si="5"/>
        <v>0</v>
      </c>
      <c r="AI38" s="67">
        <f t="shared" ca="1" si="6"/>
        <v>25.783015407190035</v>
      </c>
      <c r="AJ38" s="67">
        <f t="shared" ca="1" si="7"/>
        <v>83.158749082905359</v>
      </c>
      <c r="AK38">
        <f t="shared" ca="1" si="8"/>
        <v>197.91021643433604</v>
      </c>
      <c r="AL38">
        <f t="shared" ca="1" si="9"/>
        <v>255.28595011005137</v>
      </c>
      <c r="AM38">
        <f t="shared" ca="1" si="10"/>
        <v>312.66168378576668</v>
      </c>
      <c r="AN38">
        <f t="shared" ca="1" si="11"/>
        <v>170.12068965517244</v>
      </c>
      <c r="AO38">
        <f t="shared" ca="1" si="12"/>
        <v>184.91379310344828</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2</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140.5344827586207</v>
      </c>
      <c r="AG39">
        <f t="shared" ca="1" si="4"/>
        <v>57.375733675715331</v>
      </c>
      <c r="AH39" s="67">
        <f t="shared" ca="1" si="5"/>
        <v>0</v>
      </c>
      <c r="AI39" s="67">
        <f t="shared" ca="1" si="6"/>
        <v>25.783015407190035</v>
      </c>
      <c r="AJ39" s="67">
        <f t="shared" ca="1" si="7"/>
        <v>83.158749082905359</v>
      </c>
      <c r="AK39">
        <f t="shared" ca="1" si="8"/>
        <v>197.91021643433604</v>
      </c>
      <c r="AL39">
        <f t="shared" ca="1" si="9"/>
        <v>255.28595011005137</v>
      </c>
      <c r="AM39">
        <f t="shared" ca="1" si="10"/>
        <v>312.66168378576668</v>
      </c>
      <c r="AN39">
        <f t="shared" ca="1" si="11"/>
        <v>170.12068965517244</v>
      </c>
      <c r="AO39">
        <f t="shared" ca="1" si="12"/>
        <v>184.91379310344828</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2</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140.5344827586207</v>
      </c>
      <c r="AG40">
        <f t="shared" ca="1" si="4"/>
        <v>57.375733675715331</v>
      </c>
      <c r="AH40" s="67">
        <f t="shared" ca="1" si="5"/>
        <v>0</v>
      </c>
      <c r="AI40" s="67">
        <f t="shared" ca="1" si="6"/>
        <v>25.783015407190035</v>
      </c>
      <c r="AJ40" s="67">
        <f t="shared" ca="1" si="7"/>
        <v>83.158749082905359</v>
      </c>
      <c r="AK40">
        <f t="shared" ca="1" si="8"/>
        <v>197.91021643433604</v>
      </c>
      <c r="AL40">
        <f t="shared" ca="1" si="9"/>
        <v>255.28595011005137</v>
      </c>
      <c r="AM40">
        <f t="shared" ca="1" si="10"/>
        <v>312.66168378576668</v>
      </c>
      <c r="AN40">
        <f t="shared" ca="1" si="11"/>
        <v>170.12068965517244</v>
      </c>
      <c r="AO40">
        <f t="shared" ca="1" si="12"/>
        <v>184.91379310344828</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2</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140.5344827586207</v>
      </c>
      <c r="AG41">
        <f t="shared" ca="1" si="4"/>
        <v>57.375733675715331</v>
      </c>
      <c r="AH41" s="67">
        <f t="shared" ca="1" si="5"/>
        <v>0</v>
      </c>
      <c r="AI41" s="67">
        <f t="shared" ca="1" si="6"/>
        <v>25.783015407190035</v>
      </c>
      <c r="AJ41" s="67">
        <f t="shared" ca="1" si="7"/>
        <v>83.158749082905359</v>
      </c>
      <c r="AK41">
        <f t="shared" ca="1" si="8"/>
        <v>197.91021643433604</v>
      </c>
      <c r="AL41">
        <f t="shared" ca="1" si="9"/>
        <v>255.28595011005137</v>
      </c>
      <c r="AM41">
        <f t="shared" ca="1" si="10"/>
        <v>312.66168378576668</v>
      </c>
      <c r="AN41">
        <f t="shared" ca="1" si="11"/>
        <v>170.12068965517244</v>
      </c>
      <c r="AO41">
        <f t="shared" ca="1" si="12"/>
        <v>184.91379310344828</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2</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140.5344827586207</v>
      </c>
      <c r="AG42">
        <f t="shared" ca="1" si="4"/>
        <v>57.375733675715331</v>
      </c>
      <c r="AH42" s="67">
        <f t="shared" ca="1" si="5"/>
        <v>0</v>
      </c>
      <c r="AI42" s="67">
        <f t="shared" ca="1" si="6"/>
        <v>25.783015407190035</v>
      </c>
      <c r="AJ42" s="67">
        <f t="shared" ca="1" si="7"/>
        <v>83.158749082905359</v>
      </c>
      <c r="AK42">
        <f t="shared" ca="1" si="8"/>
        <v>197.91021643433604</v>
      </c>
      <c r="AL42">
        <f t="shared" ca="1" si="9"/>
        <v>255.28595011005137</v>
      </c>
      <c r="AM42">
        <f t="shared" ca="1" si="10"/>
        <v>312.66168378576668</v>
      </c>
      <c r="AN42">
        <f t="shared" ca="1" si="11"/>
        <v>170.12068965517244</v>
      </c>
      <c r="AO42">
        <f t="shared" ca="1" si="12"/>
        <v>184.91379310344828</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2</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140.5344827586207</v>
      </c>
      <c r="AG43">
        <f t="shared" ca="1" si="4"/>
        <v>57.375733675715331</v>
      </c>
      <c r="AH43" s="67">
        <f t="shared" ca="1" si="5"/>
        <v>0</v>
      </c>
      <c r="AI43" s="67">
        <f t="shared" ca="1" si="6"/>
        <v>25.783015407190035</v>
      </c>
      <c r="AJ43" s="67">
        <f t="shared" ca="1" si="7"/>
        <v>83.158749082905359</v>
      </c>
      <c r="AK43">
        <f t="shared" ca="1" si="8"/>
        <v>197.91021643433604</v>
      </c>
      <c r="AL43">
        <f t="shared" ca="1" si="9"/>
        <v>255.28595011005137</v>
      </c>
      <c r="AM43">
        <f t="shared" ca="1" si="10"/>
        <v>312.66168378576668</v>
      </c>
      <c r="AN43">
        <f t="shared" ca="1" si="11"/>
        <v>170.12068965517244</v>
      </c>
      <c r="AO43">
        <f t="shared" ca="1" si="12"/>
        <v>184.91379310344828</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2</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140.5344827586207</v>
      </c>
      <c r="AG44">
        <f t="shared" ca="1" si="4"/>
        <v>57.375733675715331</v>
      </c>
      <c r="AH44" s="67">
        <f t="shared" ca="1" si="5"/>
        <v>0</v>
      </c>
      <c r="AI44" s="67">
        <f t="shared" ca="1" si="6"/>
        <v>25.783015407190035</v>
      </c>
      <c r="AJ44" s="67">
        <f t="shared" ca="1" si="7"/>
        <v>83.158749082905359</v>
      </c>
      <c r="AK44">
        <f t="shared" ca="1" si="8"/>
        <v>197.91021643433604</v>
      </c>
      <c r="AL44">
        <f t="shared" ca="1" si="9"/>
        <v>255.28595011005137</v>
      </c>
      <c r="AM44">
        <f t="shared" ca="1" si="10"/>
        <v>312.66168378576668</v>
      </c>
      <c r="AN44">
        <f t="shared" ca="1" si="11"/>
        <v>170.12068965517244</v>
      </c>
      <c r="AO44">
        <f t="shared" ca="1" si="12"/>
        <v>184.91379310344828</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2</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140.5344827586207</v>
      </c>
      <c r="AG45">
        <f t="shared" ca="1" si="4"/>
        <v>57.375733675715331</v>
      </c>
      <c r="AH45" s="67">
        <f t="shared" ca="1" si="5"/>
        <v>0</v>
      </c>
      <c r="AI45" s="67">
        <f t="shared" ca="1" si="6"/>
        <v>25.783015407190035</v>
      </c>
      <c r="AJ45" s="67">
        <f t="shared" ca="1" si="7"/>
        <v>83.158749082905359</v>
      </c>
      <c r="AK45">
        <f t="shared" ca="1" si="8"/>
        <v>197.91021643433604</v>
      </c>
      <c r="AL45">
        <f t="shared" ca="1" si="9"/>
        <v>255.28595011005137</v>
      </c>
      <c r="AM45">
        <f t="shared" ca="1" si="10"/>
        <v>312.66168378576668</v>
      </c>
      <c r="AN45">
        <f t="shared" ca="1" si="11"/>
        <v>170.12068965517244</v>
      </c>
      <c r="AO45">
        <f t="shared" ca="1" si="12"/>
        <v>184.91379310344828</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2</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140.5344827586207</v>
      </c>
      <c r="AG46">
        <f t="shared" ca="1" si="4"/>
        <v>57.375733675715331</v>
      </c>
      <c r="AH46" s="67">
        <f t="shared" ca="1" si="5"/>
        <v>0</v>
      </c>
      <c r="AI46" s="67">
        <f t="shared" ca="1" si="6"/>
        <v>25.783015407190035</v>
      </c>
      <c r="AJ46" s="67">
        <f t="shared" ca="1" si="7"/>
        <v>83.158749082905359</v>
      </c>
      <c r="AK46">
        <f t="shared" ca="1" si="8"/>
        <v>197.91021643433604</v>
      </c>
      <c r="AL46">
        <f t="shared" ca="1" si="9"/>
        <v>255.28595011005137</v>
      </c>
      <c r="AM46">
        <f t="shared" ca="1" si="10"/>
        <v>312.66168378576668</v>
      </c>
      <c r="AN46">
        <f t="shared" ca="1" si="11"/>
        <v>170.12068965517244</v>
      </c>
      <c r="AO46">
        <f t="shared" ca="1" si="12"/>
        <v>184.91379310344828</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2</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140.5344827586207</v>
      </c>
      <c r="AG47">
        <f t="shared" ca="1" si="4"/>
        <v>57.375733675715331</v>
      </c>
      <c r="AH47" s="67">
        <f t="shared" ca="1" si="5"/>
        <v>0</v>
      </c>
      <c r="AI47" s="67">
        <f t="shared" ca="1" si="6"/>
        <v>25.783015407190035</v>
      </c>
      <c r="AJ47" s="67">
        <f t="shared" ca="1" si="7"/>
        <v>83.158749082905359</v>
      </c>
      <c r="AK47">
        <f t="shared" ca="1" si="8"/>
        <v>197.91021643433604</v>
      </c>
      <c r="AL47">
        <f t="shared" ca="1" si="9"/>
        <v>255.28595011005137</v>
      </c>
      <c r="AM47">
        <f t="shared" ca="1" si="10"/>
        <v>312.66168378576668</v>
      </c>
      <c r="AN47">
        <f t="shared" ca="1" si="11"/>
        <v>170.12068965517244</v>
      </c>
      <c r="AO47">
        <f t="shared" ca="1" si="12"/>
        <v>184.91379310344828</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2</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140.5344827586207</v>
      </c>
      <c r="AG48">
        <f t="shared" ca="1" si="4"/>
        <v>57.375733675715331</v>
      </c>
      <c r="AH48" s="67">
        <f t="shared" ca="1" si="5"/>
        <v>0</v>
      </c>
      <c r="AI48" s="67">
        <f t="shared" ca="1" si="6"/>
        <v>25.783015407190035</v>
      </c>
      <c r="AJ48" s="67">
        <f t="shared" ca="1" si="7"/>
        <v>83.158749082905359</v>
      </c>
      <c r="AK48">
        <f t="shared" ca="1" si="8"/>
        <v>197.91021643433604</v>
      </c>
      <c r="AL48">
        <f t="shared" ca="1" si="9"/>
        <v>255.28595011005137</v>
      </c>
      <c r="AM48">
        <f t="shared" ca="1" si="10"/>
        <v>312.66168378576668</v>
      </c>
      <c r="AN48">
        <f t="shared" ca="1" si="11"/>
        <v>170.12068965517244</v>
      </c>
      <c r="AO48">
        <f t="shared" ca="1" si="12"/>
        <v>184.91379310344828</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2</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140.5344827586207</v>
      </c>
      <c r="AG49">
        <f t="shared" ca="1" si="4"/>
        <v>57.375733675715331</v>
      </c>
      <c r="AH49" s="67">
        <f t="shared" ca="1" si="5"/>
        <v>0</v>
      </c>
      <c r="AI49" s="67">
        <f t="shared" ca="1" si="6"/>
        <v>25.783015407190035</v>
      </c>
      <c r="AJ49" s="67">
        <f t="shared" ca="1" si="7"/>
        <v>83.158749082905359</v>
      </c>
      <c r="AK49">
        <f t="shared" ca="1" si="8"/>
        <v>197.91021643433604</v>
      </c>
      <c r="AL49">
        <f t="shared" ca="1" si="9"/>
        <v>255.28595011005137</v>
      </c>
      <c r="AM49">
        <f t="shared" ca="1" si="10"/>
        <v>312.66168378576668</v>
      </c>
      <c r="AN49">
        <f t="shared" ca="1" si="11"/>
        <v>170.12068965517244</v>
      </c>
      <c r="AO49">
        <f t="shared" ca="1" si="12"/>
        <v>184.91379310344828</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2</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140.5344827586207</v>
      </c>
      <c r="AG50">
        <f t="shared" ca="1" si="4"/>
        <v>57.375733675715331</v>
      </c>
      <c r="AH50" s="67">
        <f t="shared" ca="1" si="5"/>
        <v>0</v>
      </c>
      <c r="AI50" s="67">
        <f t="shared" ca="1" si="6"/>
        <v>25.783015407190035</v>
      </c>
      <c r="AJ50" s="67">
        <f t="shared" ca="1" si="7"/>
        <v>83.158749082905359</v>
      </c>
      <c r="AK50">
        <f t="shared" ca="1" si="8"/>
        <v>197.91021643433604</v>
      </c>
      <c r="AL50">
        <f t="shared" ca="1" si="9"/>
        <v>255.28595011005137</v>
      </c>
      <c r="AM50">
        <f t="shared" ca="1" si="10"/>
        <v>312.66168378576668</v>
      </c>
      <c r="AN50">
        <f t="shared" ca="1" si="11"/>
        <v>170.12068965517244</v>
      </c>
      <c r="AO50">
        <f t="shared" ca="1" si="12"/>
        <v>184.91379310344828</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2</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140.5344827586207</v>
      </c>
      <c r="AG51">
        <f t="shared" ca="1" si="4"/>
        <v>57.375733675715331</v>
      </c>
      <c r="AH51" s="67">
        <f t="shared" ca="1" si="5"/>
        <v>0</v>
      </c>
      <c r="AI51" s="67">
        <f t="shared" ca="1" si="6"/>
        <v>25.783015407190035</v>
      </c>
      <c r="AJ51" s="67">
        <f t="shared" ca="1" si="7"/>
        <v>83.158749082905359</v>
      </c>
      <c r="AK51">
        <f t="shared" ca="1" si="8"/>
        <v>197.91021643433604</v>
      </c>
      <c r="AL51">
        <f t="shared" ca="1" si="9"/>
        <v>255.28595011005137</v>
      </c>
      <c r="AM51">
        <f t="shared" ca="1" si="10"/>
        <v>312.66168378576668</v>
      </c>
      <c r="AN51">
        <f t="shared" ca="1" si="11"/>
        <v>170.12068965517244</v>
      </c>
      <c r="AO51">
        <f t="shared" ca="1" si="12"/>
        <v>184.91379310344828</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2</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140.5344827586207</v>
      </c>
      <c r="AG52">
        <f t="shared" ca="1" si="4"/>
        <v>57.375733675715331</v>
      </c>
      <c r="AH52" s="67">
        <f t="shared" ca="1" si="5"/>
        <v>0</v>
      </c>
      <c r="AI52" s="67">
        <f t="shared" ca="1" si="6"/>
        <v>25.783015407190035</v>
      </c>
      <c r="AJ52" s="67">
        <f t="shared" ca="1" si="7"/>
        <v>83.158749082905359</v>
      </c>
      <c r="AK52">
        <f t="shared" ca="1" si="8"/>
        <v>197.91021643433604</v>
      </c>
      <c r="AL52">
        <f t="shared" ca="1" si="9"/>
        <v>255.28595011005137</v>
      </c>
      <c r="AM52">
        <f t="shared" ca="1" si="10"/>
        <v>312.66168378576668</v>
      </c>
      <c r="AN52">
        <f t="shared" ca="1" si="11"/>
        <v>170.12068965517244</v>
      </c>
      <c r="AO52">
        <f t="shared" ca="1" si="12"/>
        <v>184.91379310344828</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2</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140.5344827586207</v>
      </c>
      <c r="AG53">
        <f t="shared" ca="1" si="4"/>
        <v>57.375733675715331</v>
      </c>
      <c r="AH53" s="67">
        <f t="shared" ca="1" si="5"/>
        <v>0</v>
      </c>
      <c r="AI53" s="67">
        <f t="shared" ca="1" si="6"/>
        <v>25.783015407190035</v>
      </c>
      <c r="AJ53" s="67">
        <f t="shared" ca="1" si="7"/>
        <v>83.158749082905359</v>
      </c>
      <c r="AK53">
        <f t="shared" ca="1" si="8"/>
        <v>197.91021643433604</v>
      </c>
      <c r="AL53">
        <f t="shared" ca="1" si="9"/>
        <v>255.28595011005137</v>
      </c>
      <c r="AM53">
        <f t="shared" ca="1" si="10"/>
        <v>312.66168378576668</v>
      </c>
      <c r="AN53">
        <f t="shared" ca="1" si="11"/>
        <v>170.12068965517244</v>
      </c>
      <c r="AO53">
        <f t="shared" ca="1" si="12"/>
        <v>184.91379310344828</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140.5344827586207</v>
      </c>
      <c r="AG54">
        <f t="shared" ca="1" si="4"/>
        <v>57.375733675715331</v>
      </c>
      <c r="AH54" s="67">
        <f t="shared" ca="1" si="5"/>
        <v>0</v>
      </c>
      <c r="AI54" s="67">
        <f t="shared" ca="1" si="6"/>
        <v>25.783015407190035</v>
      </c>
      <c r="AJ54" s="67">
        <f t="shared" ca="1" si="7"/>
        <v>83.158749082905359</v>
      </c>
      <c r="AK54">
        <f t="shared" ca="1" si="8"/>
        <v>197.91021643433604</v>
      </c>
      <c r="AL54">
        <f t="shared" ca="1" si="9"/>
        <v>255.28595011005137</v>
      </c>
      <c r="AM54">
        <f t="shared" ca="1" si="10"/>
        <v>312.66168378576668</v>
      </c>
      <c r="AN54">
        <f t="shared" ca="1" si="11"/>
        <v>170.12068965517244</v>
      </c>
      <c r="AO54">
        <f t="shared" ca="1" si="12"/>
        <v>184.91379310344828</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140.5344827586207</v>
      </c>
      <c r="AG55" s="67">
        <f t="shared" ca="1" si="4"/>
        <v>57.375733675715331</v>
      </c>
      <c r="AH55" s="67">
        <f t="shared" ref="AH55" ca="1" si="28">IF(AF55-(3*AG55)&lt;=0,0,AF55-(3*AG55))</f>
        <v>0</v>
      </c>
      <c r="AI55" s="67">
        <f t="shared" ref="AI55" ca="1" si="29">IF(AF55-(2*AG55)&lt;=0,0,AF55-(2*AG55))</f>
        <v>25.783015407190035</v>
      </c>
      <c r="AJ55" s="67">
        <f t="shared" ref="AJ55" ca="1" si="30">IF(AF55-(1*AG55)&lt;=0,0,AF55-(1*AG55))</f>
        <v>83.158749082905359</v>
      </c>
      <c r="AK55" s="67">
        <f t="shared" ref="AK55" ca="1" si="31">AF55+(1*AG55)</f>
        <v>197.91021643433604</v>
      </c>
      <c r="AL55" s="67">
        <f t="shared" ref="AL55" ca="1" si="32">AF55+(2*AG55)</f>
        <v>255.28595011005137</v>
      </c>
      <c r="AM55" s="67">
        <f t="shared" ref="AM55" ca="1" si="33">AF55+(3*AG55)</f>
        <v>312.66168378576668</v>
      </c>
      <c r="AN55" s="67">
        <f t="shared" ca="1" si="11"/>
        <v>170.12068965517244</v>
      </c>
      <c r="AO55" s="67">
        <f t="shared" ca="1" si="12"/>
        <v>184.91379310344828</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9" t="s">
        <v>1298</v>
      </c>
      <c r="O2" s="72"/>
      <c r="P2" s="72"/>
      <c r="Q2" s="72"/>
      <c r="R2" s="72"/>
      <c r="S2" s="72"/>
      <c r="T2" s="72"/>
      <c r="U2" s="72"/>
    </row>
    <row r="3" spans="1:23" s="52" customFormat="1" x14ac:dyDescent="0.2">
      <c r="B3" s="72" t="s">
        <v>474</v>
      </c>
      <c r="C3" s="390"/>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37.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6" t="s">
        <v>1303</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23" t="s">
        <v>440</v>
      </c>
      <c r="C13" s="423"/>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678</v>
      </c>
      <c r="I15" s="225">
        <f>H15/52</f>
        <v>13.038461538461538</v>
      </c>
      <c r="J15" s="67"/>
      <c r="K15" s="67"/>
      <c r="L15" s="67"/>
      <c r="M15" s="368"/>
      <c r="N15" s="72"/>
      <c r="O15" s="72"/>
      <c r="P15" s="72"/>
      <c r="Q15" s="72"/>
      <c r="R15" s="119" t="s">
        <v>255</v>
      </c>
      <c r="S15" s="119"/>
      <c r="T15" s="224">
        <f>SUMIF(V17:V116,"x",T17:T116)</f>
        <v>110</v>
      </c>
      <c r="U15" s="224">
        <f>SUM(U17:U116)</f>
        <v>2.1153846153846154</v>
      </c>
      <c r="W15" s="72"/>
    </row>
    <row r="16" spans="1:23" ht="44.25" customHeight="1" x14ac:dyDescent="0.2">
      <c r="A16" s="293">
        <f>MAX(A17:A116)</f>
        <v>6</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1243</v>
      </c>
      <c r="M16" s="294">
        <f>MAX(M17:M116)</f>
        <v>2</v>
      </c>
      <c r="N16" s="296" t="s">
        <v>512</v>
      </c>
      <c r="O16" s="296" t="s">
        <v>513</v>
      </c>
      <c r="P16" s="296" t="s">
        <v>514</v>
      </c>
      <c r="Q16" s="296" t="s">
        <v>253</v>
      </c>
      <c r="R16" s="296" t="str">
        <f>C11&amp;" Per Clinic"</f>
        <v>Patients Per Clinic</v>
      </c>
      <c r="S16" s="296" t="s">
        <v>441</v>
      </c>
      <c r="T16" s="296" t="str">
        <f>"Total 
("&amp;C11&amp;")"</f>
        <v>Total 
(Patients)</v>
      </c>
      <c r="U16" s="296" t="s">
        <v>254</v>
      </c>
      <c r="V16" s="312" t="s">
        <v>1243</v>
      </c>
      <c r="W16" s="72"/>
    </row>
    <row r="17" spans="1:23" x14ac:dyDescent="0.2">
      <c r="A17" s="293">
        <f>IF(B17&lt;&gt;"",ROW(A1),0)</f>
        <v>1</v>
      </c>
      <c r="B17" s="163" t="s">
        <v>1281</v>
      </c>
      <c r="C17" s="163" t="s">
        <v>1282</v>
      </c>
      <c r="D17" s="163"/>
      <c r="E17" s="175">
        <v>30</v>
      </c>
      <c r="F17" s="175">
        <v>7</v>
      </c>
      <c r="G17" s="130"/>
      <c r="H17" s="222">
        <f>IF(ROW(A1)&lt;=$A$16,F17*E17,"")</f>
        <v>210</v>
      </c>
      <c r="I17" s="299">
        <f>IFERROR(H17/52,"")</f>
        <v>4.0384615384615383</v>
      </c>
      <c r="J17" s="67"/>
      <c r="K17" s="67"/>
      <c r="L17" s="361" t="s">
        <v>1238</v>
      </c>
      <c r="M17" s="294">
        <f>IF(N17&lt;&gt;"",ROW(A1),0)</f>
        <v>1</v>
      </c>
      <c r="N17" s="176" t="s">
        <v>1283</v>
      </c>
      <c r="O17" s="176"/>
      <c r="P17" s="176"/>
      <c r="Q17" s="177">
        <v>10</v>
      </c>
      <c r="R17" s="177">
        <v>5</v>
      </c>
      <c r="S17" s="131"/>
      <c r="T17" s="223">
        <f>IF(ROW(A1)&lt;=$M$16,R17*Q17,"")</f>
        <v>50</v>
      </c>
      <c r="U17" s="300">
        <f>IFERROR(T17/52,"")</f>
        <v>0.96153846153846156</v>
      </c>
      <c r="V17" s="362" t="s">
        <v>1238</v>
      </c>
      <c r="W17" s="72"/>
    </row>
    <row r="18" spans="1:23" x14ac:dyDescent="0.2">
      <c r="A18" s="293">
        <f t="shared" ref="A18:A81" si="0">IF(B18&lt;&gt;"",ROW(A2),0)</f>
        <v>2</v>
      </c>
      <c r="B18" s="163" t="s">
        <v>1284</v>
      </c>
      <c r="C18" s="163" t="s">
        <v>1282</v>
      </c>
      <c r="D18" s="163"/>
      <c r="E18" s="175">
        <v>30</v>
      </c>
      <c r="F18" s="175">
        <v>7</v>
      </c>
      <c r="G18" s="130"/>
      <c r="H18" s="222">
        <f t="shared" ref="H18:H81" si="1">IF(ROW(A2)&lt;=$A$16,F18*E18,"")</f>
        <v>210</v>
      </c>
      <c r="I18" s="299">
        <f t="shared" ref="I18:I81" si="2">IFERROR(H18/52,"")</f>
        <v>4.0384615384615383</v>
      </c>
      <c r="J18" s="67"/>
      <c r="K18" s="67"/>
      <c r="L18" s="361" t="s">
        <v>1238</v>
      </c>
      <c r="M18" s="294">
        <f t="shared" ref="M18:M81" si="3">IF(N18&lt;&gt;"",ROW(A2),0)</f>
        <v>2</v>
      </c>
      <c r="N18" s="176" t="s">
        <v>1285</v>
      </c>
      <c r="O18" s="163"/>
      <c r="P18" s="163"/>
      <c r="Q18" s="175">
        <v>12</v>
      </c>
      <c r="R18" s="175">
        <v>5</v>
      </c>
      <c r="S18" s="130"/>
      <c r="T18" s="223">
        <f t="shared" ref="T18:T81" si="4">IF(ROW(A2)&lt;=$M$16,R18*Q18,"")</f>
        <v>60</v>
      </c>
      <c r="U18" s="299">
        <f t="shared" ref="U18:U81" si="5">IFERROR(T18/52,"")</f>
        <v>1.1538461538461537</v>
      </c>
      <c r="V18" s="362" t="s">
        <v>1238</v>
      </c>
      <c r="W18" s="72"/>
    </row>
    <row r="19" spans="1:23" x14ac:dyDescent="0.2">
      <c r="A19" s="293">
        <f t="shared" si="0"/>
        <v>3</v>
      </c>
      <c r="B19" s="163" t="s">
        <v>1286</v>
      </c>
      <c r="C19" s="163" t="s">
        <v>1287</v>
      </c>
      <c r="D19" s="163"/>
      <c r="E19" s="175">
        <v>21</v>
      </c>
      <c r="F19" s="175">
        <v>4</v>
      </c>
      <c r="G19" s="130"/>
      <c r="H19" s="222">
        <f t="shared" si="1"/>
        <v>84</v>
      </c>
      <c r="I19" s="299">
        <f t="shared" si="2"/>
        <v>1.6153846153846154</v>
      </c>
      <c r="J19" s="67"/>
      <c r="K19" s="67"/>
      <c r="L19" s="361" t="s">
        <v>1238</v>
      </c>
      <c r="M19" s="294">
        <f t="shared" si="3"/>
        <v>0</v>
      </c>
      <c r="N19" s="176"/>
      <c r="O19" s="163"/>
      <c r="P19" s="163"/>
      <c r="Q19" s="175"/>
      <c r="R19" s="175"/>
      <c r="S19" s="130"/>
      <c r="T19" s="223" t="str">
        <f t="shared" si="4"/>
        <v/>
      </c>
      <c r="U19" s="222" t="str">
        <f t="shared" si="5"/>
        <v/>
      </c>
      <c r="V19" s="362" t="s">
        <v>1238</v>
      </c>
      <c r="W19" s="72"/>
    </row>
    <row r="20" spans="1:23" x14ac:dyDescent="0.2">
      <c r="A20" s="293">
        <f t="shared" si="0"/>
        <v>4</v>
      </c>
      <c r="B20" s="163" t="s">
        <v>1288</v>
      </c>
      <c r="C20" s="163" t="s">
        <v>1289</v>
      </c>
      <c r="D20" s="163"/>
      <c r="E20" s="175">
        <v>12</v>
      </c>
      <c r="F20" s="175">
        <v>4</v>
      </c>
      <c r="G20" s="130"/>
      <c r="H20" s="222">
        <f t="shared" si="1"/>
        <v>48</v>
      </c>
      <c r="I20" s="299">
        <f t="shared" si="2"/>
        <v>0.92307692307692313</v>
      </c>
      <c r="J20" s="67"/>
      <c r="K20" s="67"/>
      <c r="L20" s="361" t="s">
        <v>1238</v>
      </c>
      <c r="M20" s="294">
        <f t="shared" si="3"/>
        <v>0</v>
      </c>
      <c r="N20" s="176"/>
      <c r="O20" s="163"/>
      <c r="P20" s="163"/>
      <c r="Q20" s="175"/>
      <c r="R20" s="175"/>
      <c r="S20" s="130"/>
      <c r="T20" s="223" t="str">
        <f t="shared" si="4"/>
        <v/>
      </c>
      <c r="U20" s="222" t="str">
        <f t="shared" si="5"/>
        <v/>
      </c>
      <c r="V20" s="362" t="s">
        <v>1238</v>
      </c>
      <c r="W20" s="72"/>
    </row>
    <row r="21" spans="1:23" x14ac:dyDescent="0.2">
      <c r="A21" s="293">
        <f t="shared" si="0"/>
        <v>5</v>
      </c>
      <c r="B21" s="163" t="s">
        <v>1290</v>
      </c>
      <c r="C21" s="163" t="s">
        <v>1291</v>
      </c>
      <c r="D21" s="163"/>
      <c r="E21" s="175">
        <v>42</v>
      </c>
      <c r="F21" s="175">
        <v>3</v>
      </c>
      <c r="G21" s="130"/>
      <c r="H21" s="222">
        <f t="shared" si="1"/>
        <v>126</v>
      </c>
      <c r="I21" s="222">
        <f t="shared" si="2"/>
        <v>2.4230769230769229</v>
      </c>
      <c r="J21" s="67"/>
      <c r="K21" s="67"/>
      <c r="L21" s="361" t="s">
        <v>1238</v>
      </c>
      <c r="M21" s="294">
        <f t="shared" si="3"/>
        <v>0</v>
      </c>
      <c r="N21" s="176"/>
      <c r="O21" s="163"/>
      <c r="P21" s="163"/>
      <c r="Q21" s="175"/>
      <c r="R21" s="175"/>
      <c r="S21" s="130"/>
      <c r="T21" s="223" t="str">
        <f t="shared" si="4"/>
        <v/>
      </c>
      <c r="U21" s="222" t="str">
        <f t="shared" si="5"/>
        <v/>
      </c>
      <c r="V21" s="362" t="s">
        <v>1238</v>
      </c>
      <c r="W21" s="72"/>
    </row>
    <row r="22" spans="1:23" x14ac:dyDescent="0.2">
      <c r="A22" s="293">
        <f t="shared" si="0"/>
        <v>6</v>
      </c>
      <c r="B22" s="163" t="s">
        <v>1302</v>
      </c>
      <c r="C22" s="163"/>
      <c r="D22" s="163"/>
      <c r="E22" s="175"/>
      <c r="F22" s="175"/>
      <c r="G22" s="130"/>
      <c r="H22" s="222">
        <f t="shared" si="1"/>
        <v>0</v>
      </c>
      <c r="I22" s="222">
        <f t="shared" si="2"/>
        <v>0</v>
      </c>
      <c r="J22" s="67"/>
      <c r="K22" s="67"/>
      <c r="L22" s="361" t="s">
        <v>1238</v>
      </c>
      <c r="M22" s="294">
        <f t="shared" si="3"/>
        <v>0</v>
      </c>
      <c r="N22" s="176"/>
      <c r="O22" s="163"/>
      <c r="P22" s="163"/>
      <c r="Q22" s="175"/>
      <c r="R22" s="175"/>
      <c r="S22" s="130"/>
      <c r="T22" s="223" t="str">
        <f t="shared" si="4"/>
        <v/>
      </c>
      <c r="U22" s="222" t="str">
        <f t="shared" si="5"/>
        <v/>
      </c>
      <c r="V22" s="362" t="s">
        <v>1238</v>
      </c>
      <c r="W22" s="72"/>
    </row>
    <row r="23" spans="1:23" x14ac:dyDescent="0.2">
      <c r="A23" s="293">
        <f t="shared" si="0"/>
        <v>0</v>
      </c>
      <c r="B23" s="163"/>
      <c r="C23" s="163"/>
      <c r="D23" s="163"/>
      <c r="E23" s="175"/>
      <c r="F23" s="175"/>
      <c r="G23" s="130"/>
      <c r="H23" s="222" t="str">
        <f t="shared" si="1"/>
        <v/>
      </c>
      <c r="I23" s="222" t="str">
        <f t="shared" si="2"/>
        <v/>
      </c>
      <c r="J23" s="67"/>
      <c r="K23" s="67"/>
      <c r="L23" s="361" t="s">
        <v>1238</v>
      </c>
      <c r="M23" s="294">
        <f t="shared" si="3"/>
        <v>0</v>
      </c>
      <c r="N23" s="176"/>
      <c r="O23" s="163"/>
      <c r="P23" s="163"/>
      <c r="Q23" s="175"/>
      <c r="R23" s="175"/>
      <c r="S23" s="130"/>
      <c r="T23" s="223" t="str">
        <f t="shared" si="4"/>
        <v/>
      </c>
      <c r="U23" s="222" t="str">
        <f t="shared" si="5"/>
        <v/>
      </c>
      <c r="V23" s="362" t="s">
        <v>1238</v>
      </c>
      <c r="W23" s="72"/>
    </row>
    <row r="24" spans="1:23" x14ac:dyDescent="0.2">
      <c r="A24" s="293">
        <f t="shared" si="0"/>
        <v>0</v>
      </c>
      <c r="B24" s="163"/>
      <c r="C24" s="163"/>
      <c r="D24" s="163"/>
      <c r="E24" s="175"/>
      <c r="F24" s="175"/>
      <c r="G24" s="130"/>
      <c r="H24" s="222" t="str">
        <f t="shared" si="1"/>
        <v/>
      </c>
      <c r="I24" s="222" t="str">
        <f t="shared" si="2"/>
        <v/>
      </c>
      <c r="J24" s="67"/>
      <c r="K24" s="67"/>
      <c r="L24" s="361" t="s">
        <v>1238</v>
      </c>
      <c r="M24" s="294">
        <f t="shared" si="3"/>
        <v>0</v>
      </c>
      <c r="N24" s="176"/>
      <c r="O24" s="163"/>
      <c r="P24" s="163"/>
      <c r="Q24" s="175"/>
      <c r="R24" s="175"/>
      <c r="S24" s="130"/>
      <c r="T24" s="223" t="str">
        <f t="shared" si="4"/>
        <v/>
      </c>
      <c r="U24" s="222" t="str">
        <f t="shared" si="5"/>
        <v/>
      </c>
      <c r="V24" s="362" t="s">
        <v>1238</v>
      </c>
      <c r="W24" s="72"/>
    </row>
    <row r="25" spans="1:23" x14ac:dyDescent="0.2">
      <c r="A25" s="293">
        <f t="shared" si="0"/>
        <v>0</v>
      </c>
      <c r="B25" s="163"/>
      <c r="C25" s="163"/>
      <c r="D25" s="163"/>
      <c r="E25" s="175"/>
      <c r="F25" s="175"/>
      <c r="G25" s="130"/>
      <c r="H25" s="222" t="str">
        <f t="shared" si="1"/>
        <v/>
      </c>
      <c r="I25" s="222" t="str">
        <f t="shared" si="2"/>
        <v/>
      </c>
      <c r="J25" s="67"/>
      <c r="K25" s="67"/>
      <c r="L25" s="361" t="s">
        <v>1238</v>
      </c>
      <c r="M25" s="294">
        <f t="shared" si="3"/>
        <v>0</v>
      </c>
      <c r="N25" s="176"/>
      <c r="O25" s="163"/>
      <c r="P25" s="163"/>
      <c r="Q25" s="175"/>
      <c r="R25" s="175"/>
      <c r="S25" s="130"/>
      <c r="T25" s="223" t="str">
        <f t="shared" si="4"/>
        <v/>
      </c>
      <c r="U25" s="222" t="str">
        <f t="shared" si="5"/>
        <v/>
      </c>
      <c r="V25" s="362" t="s">
        <v>1238</v>
      </c>
      <c r="W25" s="72"/>
    </row>
    <row r="26" spans="1:23" x14ac:dyDescent="0.2">
      <c r="A26" s="293">
        <f t="shared" si="0"/>
        <v>0</v>
      </c>
      <c r="B26" s="163"/>
      <c r="C26" s="163"/>
      <c r="D26" s="163"/>
      <c r="E26" s="175"/>
      <c r="F26" s="175"/>
      <c r="G26" s="130"/>
      <c r="H26" s="222" t="str">
        <f t="shared" si="1"/>
        <v/>
      </c>
      <c r="I26" s="222" t="str">
        <f t="shared" si="2"/>
        <v/>
      </c>
      <c r="J26" s="67"/>
      <c r="K26" s="67"/>
      <c r="L26" s="361" t="s">
        <v>1238</v>
      </c>
      <c r="M26" s="294">
        <f t="shared" si="3"/>
        <v>0</v>
      </c>
      <c r="N26" s="176"/>
      <c r="O26" s="163"/>
      <c r="P26" s="163"/>
      <c r="Q26" s="175"/>
      <c r="R26" s="175"/>
      <c r="S26" s="130"/>
      <c r="T26" s="223" t="str">
        <f t="shared" si="4"/>
        <v/>
      </c>
      <c r="U26" s="222" t="str">
        <f t="shared" si="5"/>
        <v/>
      </c>
      <c r="V26" s="362" t="s">
        <v>1238</v>
      </c>
      <c r="W26" s="72"/>
    </row>
    <row r="27" spans="1:23" x14ac:dyDescent="0.2">
      <c r="A27" s="293">
        <f t="shared" si="0"/>
        <v>0</v>
      </c>
      <c r="B27" s="163"/>
      <c r="C27" s="163"/>
      <c r="D27" s="163"/>
      <c r="E27" s="175"/>
      <c r="F27" s="175"/>
      <c r="G27" s="130"/>
      <c r="H27" s="222" t="str">
        <f t="shared" si="1"/>
        <v/>
      </c>
      <c r="I27" s="222" t="str">
        <f t="shared" si="2"/>
        <v/>
      </c>
      <c r="J27" s="67"/>
      <c r="K27" s="67"/>
      <c r="L27" s="361" t="s">
        <v>1238</v>
      </c>
      <c r="M27" s="294">
        <f t="shared" si="3"/>
        <v>0</v>
      </c>
      <c r="N27" s="176"/>
      <c r="O27" s="163"/>
      <c r="P27" s="163"/>
      <c r="Q27" s="175"/>
      <c r="R27" s="175"/>
      <c r="S27" s="130"/>
      <c r="T27" s="223" t="str">
        <f t="shared" si="4"/>
        <v/>
      </c>
      <c r="U27" s="222" t="str">
        <f t="shared" si="5"/>
        <v/>
      </c>
      <c r="V27" s="362" t="s">
        <v>1238</v>
      </c>
      <c r="W27" s="72"/>
    </row>
    <row r="28" spans="1:23" x14ac:dyDescent="0.2">
      <c r="A28" s="293">
        <f t="shared" si="0"/>
        <v>0</v>
      </c>
      <c r="B28" s="163"/>
      <c r="C28" s="163"/>
      <c r="D28" s="163"/>
      <c r="E28" s="175"/>
      <c r="F28" s="175"/>
      <c r="G28" s="130"/>
      <c r="H28" s="222" t="str">
        <f t="shared" si="1"/>
        <v/>
      </c>
      <c r="I28" s="222" t="str">
        <f t="shared" si="2"/>
        <v/>
      </c>
      <c r="J28" s="67"/>
      <c r="K28" s="67"/>
      <c r="L28" s="361" t="s">
        <v>1238</v>
      </c>
      <c r="M28" s="294">
        <f t="shared" si="3"/>
        <v>0</v>
      </c>
      <c r="N28" s="176"/>
      <c r="O28" s="163"/>
      <c r="P28" s="163"/>
      <c r="Q28" s="175"/>
      <c r="R28" s="175"/>
      <c r="S28" s="130"/>
      <c r="T28" s="223" t="str">
        <f t="shared" si="4"/>
        <v/>
      </c>
      <c r="U28" s="222" t="str">
        <f t="shared" si="5"/>
        <v/>
      </c>
      <c r="V28" s="362" t="s">
        <v>1238</v>
      </c>
      <c r="W28" s="72"/>
    </row>
    <row r="29" spans="1:23" x14ac:dyDescent="0.2">
      <c r="A29" s="293">
        <f t="shared" si="0"/>
        <v>0</v>
      </c>
      <c r="B29" s="163"/>
      <c r="C29" s="163"/>
      <c r="D29" s="163"/>
      <c r="E29" s="175"/>
      <c r="F29" s="175"/>
      <c r="G29" s="130"/>
      <c r="H29" s="222" t="str">
        <f t="shared" si="1"/>
        <v/>
      </c>
      <c r="I29" s="222" t="str">
        <f t="shared" si="2"/>
        <v/>
      </c>
      <c r="J29" s="67"/>
      <c r="K29" s="67"/>
      <c r="L29" s="361" t="s">
        <v>1238</v>
      </c>
      <c r="M29" s="294">
        <f t="shared" si="3"/>
        <v>0</v>
      </c>
      <c r="N29" s="176"/>
      <c r="O29" s="163"/>
      <c r="P29" s="163"/>
      <c r="Q29" s="175"/>
      <c r="R29" s="175"/>
      <c r="S29" s="130"/>
      <c r="T29" s="223" t="str">
        <f t="shared" si="4"/>
        <v/>
      </c>
      <c r="U29" s="222" t="str">
        <f t="shared" si="5"/>
        <v/>
      </c>
      <c r="V29" s="362" t="s">
        <v>1238</v>
      </c>
      <c r="W29" s="72"/>
    </row>
    <row r="30" spans="1:23" x14ac:dyDescent="0.2">
      <c r="A30" s="293">
        <f t="shared" si="0"/>
        <v>0</v>
      </c>
      <c r="B30" s="163"/>
      <c r="C30" s="163"/>
      <c r="D30" s="163"/>
      <c r="E30" s="175"/>
      <c r="F30" s="175"/>
      <c r="G30" s="130"/>
      <c r="H30" s="222" t="str">
        <f t="shared" si="1"/>
        <v/>
      </c>
      <c r="I30" s="222" t="str">
        <f t="shared" si="2"/>
        <v/>
      </c>
      <c r="J30" s="67"/>
      <c r="K30" s="67"/>
      <c r="L30" s="361" t="s">
        <v>1238</v>
      </c>
      <c r="M30" s="294">
        <f t="shared" si="3"/>
        <v>0</v>
      </c>
      <c r="N30" s="176"/>
      <c r="O30" s="163"/>
      <c r="P30" s="163"/>
      <c r="Q30" s="175"/>
      <c r="R30" s="175"/>
      <c r="S30" s="130"/>
      <c r="T30" s="223" t="str">
        <f t="shared" si="4"/>
        <v/>
      </c>
      <c r="U30" s="222" t="str">
        <f t="shared" si="5"/>
        <v/>
      </c>
      <c r="V30" s="362" t="s">
        <v>1238</v>
      </c>
      <c r="W30" s="72"/>
    </row>
    <row r="31" spans="1:23" x14ac:dyDescent="0.2">
      <c r="A31" s="293">
        <f t="shared" si="0"/>
        <v>0</v>
      </c>
      <c r="B31" s="163"/>
      <c r="C31" s="163"/>
      <c r="D31" s="163"/>
      <c r="E31" s="175"/>
      <c r="F31" s="175"/>
      <c r="G31" s="130"/>
      <c r="H31" s="222" t="str">
        <f t="shared" si="1"/>
        <v/>
      </c>
      <c r="I31" s="222" t="str">
        <f t="shared" si="2"/>
        <v/>
      </c>
      <c r="J31" s="67"/>
      <c r="K31" s="67"/>
      <c r="L31" s="361" t="s">
        <v>1238</v>
      </c>
      <c r="M31" s="294">
        <f t="shared" si="3"/>
        <v>0</v>
      </c>
      <c r="N31" s="176"/>
      <c r="O31" s="163"/>
      <c r="P31" s="163"/>
      <c r="Q31" s="175"/>
      <c r="R31" s="175"/>
      <c r="S31" s="130"/>
      <c r="T31" s="223" t="str">
        <f t="shared" si="4"/>
        <v/>
      </c>
      <c r="U31" s="222" t="str">
        <f t="shared" si="5"/>
        <v/>
      </c>
      <c r="V31" s="362" t="s">
        <v>1238</v>
      </c>
      <c r="W31" s="72"/>
    </row>
    <row r="32" spans="1:23" x14ac:dyDescent="0.2">
      <c r="A32" s="293">
        <f t="shared" si="0"/>
        <v>0</v>
      </c>
      <c r="B32" s="163"/>
      <c r="C32" s="163"/>
      <c r="D32" s="163"/>
      <c r="E32" s="175"/>
      <c r="F32" s="175"/>
      <c r="G32" s="130"/>
      <c r="H32" s="222" t="str">
        <f t="shared" si="1"/>
        <v/>
      </c>
      <c r="I32" s="222" t="str">
        <f t="shared" si="2"/>
        <v/>
      </c>
      <c r="J32" s="67"/>
      <c r="K32" s="67"/>
      <c r="L32" s="361" t="s">
        <v>1238</v>
      </c>
      <c r="M32" s="294">
        <f t="shared" si="3"/>
        <v>0</v>
      </c>
      <c r="N32" s="176"/>
      <c r="O32" s="163"/>
      <c r="P32" s="163"/>
      <c r="Q32" s="175"/>
      <c r="R32" s="175"/>
      <c r="S32" s="130"/>
      <c r="T32" s="223" t="str">
        <f t="shared" si="4"/>
        <v/>
      </c>
      <c r="U32" s="222" t="str">
        <f t="shared" si="5"/>
        <v/>
      </c>
      <c r="V32" s="362" t="s">
        <v>1238</v>
      </c>
      <c r="W32" s="72"/>
    </row>
    <row r="33" spans="1:23" x14ac:dyDescent="0.2">
      <c r="A33" s="293">
        <f t="shared" si="0"/>
        <v>0</v>
      </c>
      <c r="B33" s="163"/>
      <c r="C33" s="163"/>
      <c r="D33" s="163"/>
      <c r="E33" s="175"/>
      <c r="F33" s="175"/>
      <c r="G33" s="130"/>
      <c r="H33" s="222" t="str">
        <f t="shared" si="1"/>
        <v/>
      </c>
      <c r="I33" s="222" t="str">
        <f t="shared" si="2"/>
        <v/>
      </c>
      <c r="J33" s="67"/>
      <c r="K33" s="67"/>
      <c r="L33" s="361" t="s">
        <v>1238</v>
      </c>
      <c r="M33" s="294">
        <f t="shared" si="3"/>
        <v>0</v>
      </c>
      <c r="N33" s="176"/>
      <c r="O33" s="163"/>
      <c r="P33" s="163"/>
      <c r="Q33" s="175"/>
      <c r="R33" s="175"/>
      <c r="S33" s="130"/>
      <c r="T33" s="223" t="str">
        <f t="shared" si="4"/>
        <v/>
      </c>
      <c r="U33" s="222" t="str">
        <f t="shared" si="5"/>
        <v/>
      </c>
      <c r="V33" s="362" t="s">
        <v>1238</v>
      </c>
      <c r="W33" s="72"/>
    </row>
    <row r="34" spans="1:23" x14ac:dyDescent="0.2">
      <c r="A34" s="293">
        <f t="shared" si="0"/>
        <v>0</v>
      </c>
      <c r="B34" s="163"/>
      <c r="C34" s="163"/>
      <c r="D34" s="163"/>
      <c r="E34" s="175"/>
      <c r="F34" s="175"/>
      <c r="G34" s="130"/>
      <c r="H34" s="222" t="str">
        <f t="shared" si="1"/>
        <v/>
      </c>
      <c r="I34" s="222" t="str">
        <f t="shared" si="2"/>
        <v/>
      </c>
      <c r="J34" s="67"/>
      <c r="K34" s="67"/>
      <c r="L34" s="361" t="s">
        <v>1238</v>
      </c>
      <c r="M34" s="294">
        <f t="shared" si="3"/>
        <v>0</v>
      </c>
      <c r="N34" s="176"/>
      <c r="O34" s="163"/>
      <c r="P34" s="163"/>
      <c r="Q34" s="175"/>
      <c r="R34" s="175"/>
      <c r="S34" s="130"/>
      <c r="T34" s="223" t="str">
        <f t="shared" si="4"/>
        <v/>
      </c>
      <c r="U34" s="222" t="str">
        <f t="shared" si="5"/>
        <v/>
      </c>
      <c r="V34" s="362" t="s">
        <v>1238</v>
      </c>
      <c r="W34" s="72"/>
    </row>
    <row r="35" spans="1:23" x14ac:dyDescent="0.2">
      <c r="A35" s="293">
        <f t="shared" si="0"/>
        <v>0</v>
      </c>
      <c r="B35" s="163"/>
      <c r="C35" s="163"/>
      <c r="D35" s="163"/>
      <c r="E35" s="175"/>
      <c r="F35" s="175"/>
      <c r="G35" s="130"/>
      <c r="H35" s="222" t="str">
        <f t="shared" si="1"/>
        <v/>
      </c>
      <c r="I35" s="222" t="str">
        <f t="shared" si="2"/>
        <v/>
      </c>
      <c r="J35" s="67"/>
      <c r="K35" s="67"/>
      <c r="L35" s="361" t="s">
        <v>1238</v>
      </c>
      <c r="M35" s="294">
        <f t="shared" si="3"/>
        <v>0</v>
      </c>
      <c r="N35" s="176"/>
      <c r="O35" s="163"/>
      <c r="P35" s="163"/>
      <c r="Q35" s="175"/>
      <c r="R35" s="175"/>
      <c r="S35" s="130"/>
      <c r="T35" s="223" t="str">
        <f t="shared" si="4"/>
        <v/>
      </c>
      <c r="U35" s="222" t="str">
        <f t="shared" si="5"/>
        <v/>
      </c>
      <c r="V35" s="362" t="s">
        <v>1238</v>
      </c>
      <c r="W35" s="72"/>
    </row>
    <row r="36" spans="1:23" x14ac:dyDescent="0.2">
      <c r="A36" s="293">
        <f t="shared" si="0"/>
        <v>0</v>
      </c>
      <c r="B36" s="163"/>
      <c r="C36" s="163"/>
      <c r="D36" s="163"/>
      <c r="E36" s="175"/>
      <c r="F36" s="175"/>
      <c r="G36" s="130"/>
      <c r="H36" s="222" t="str">
        <f t="shared" si="1"/>
        <v/>
      </c>
      <c r="I36" s="222" t="str">
        <f t="shared" si="2"/>
        <v/>
      </c>
      <c r="J36" s="67"/>
      <c r="K36" s="67"/>
      <c r="L36" s="361" t="s">
        <v>1238</v>
      </c>
      <c r="M36" s="294">
        <f t="shared" si="3"/>
        <v>0</v>
      </c>
      <c r="N36" s="176"/>
      <c r="O36" s="163"/>
      <c r="P36" s="163"/>
      <c r="Q36" s="175"/>
      <c r="R36" s="175"/>
      <c r="S36" s="130"/>
      <c r="T36" s="223" t="str">
        <f t="shared" si="4"/>
        <v/>
      </c>
      <c r="U36" s="222" t="str">
        <f t="shared" si="5"/>
        <v/>
      </c>
      <c r="V36" s="362" t="s">
        <v>1238</v>
      </c>
      <c r="W36" s="72"/>
    </row>
    <row r="37" spans="1:23" x14ac:dyDescent="0.2">
      <c r="A37" s="293">
        <f t="shared" si="0"/>
        <v>0</v>
      </c>
      <c r="B37" s="163"/>
      <c r="C37" s="163"/>
      <c r="D37" s="163"/>
      <c r="E37" s="175"/>
      <c r="F37" s="175"/>
      <c r="G37" s="130"/>
      <c r="H37" s="222" t="str">
        <f t="shared" si="1"/>
        <v/>
      </c>
      <c r="I37" s="222" t="str">
        <f t="shared" si="2"/>
        <v/>
      </c>
      <c r="J37" s="67"/>
      <c r="K37" s="67"/>
      <c r="L37" s="361" t="s">
        <v>1238</v>
      </c>
      <c r="M37" s="294">
        <f t="shared" si="3"/>
        <v>0</v>
      </c>
      <c r="N37" s="176"/>
      <c r="O37" s="163"/>
      <c r="P37" s="163"/>
      <c r="Q37" s="175"/>
      <c r="R37" s="175"/>
      <c r="S37" s="130"/>
      <c r="T37" s="223" t="str">
        <f t="shared" si="4"/>
        <v/>
      </c>
      <c r="U37" s="222" t="str">
        <f t="shared" si="5"/>
        <v/>
      </c>
      <c r="V37" s="362" t="s">
        <v>1238</v>
      </c>
      <c r="W37" s="72"/>
    </row>
    <row r="38" spans="1:23" x14ac:dyDescent="0.2">
      <c r="A38" s="293">
        <f t="shared" si="0"/>
        <v>0</v>
      </c>
      <c r="B38" s="163"/>
      <c r="C38" s="163"/>
      <c r="D38" s="163"/>
      <c r="E38" s="175"/>
      <c r="F38" s="175"/>
      <c r="G38" s="130"/>
      <c r="H38" s="222" t="str">
        <f t="shared" si="1"/>
        <v/>
      </c>
      <c r="I38" s="222" t="str">
        <f t="shared" si="2"/>
        <v/>
      </c>
      <c r="J38" s="67"/>
      <c r="K38" s="67"/>
      <c r="L38" s="361" t="s">
        <v>1238</v>
      </c>
      <c r="M38" s="294">
        <f t="shared" si="3"/>
        <v>0</v>
      </c>
      <c r="N38" s="176"/>
      <c r="O38" s="163"/>
      <c r="P38" s="163"/>
      <c r="Q38" s="175"/>
      <c r="R38" s="175"/>
      <c r="S38" s="130"/>
      <c r="T38" s="223" t="str">
        <f t="shared" si="4"/>
        <v/>
      </c>
      <c r="U38" s="222" t="str">
        <f t="shared" si="5"/>
        <v/>
      </c>
      <c r="V38" s="362" t="s">
        <v>1238</v>
      </c>
      <c r="W38" s="72"/>
    </row>
    <row r="39" spans="1:23" x14ac:dyDescent="0.2">
      <c r="A39" s="293">
        <f t="shared" si="0"/>
        <v>0</v>
      </c>
      <c r="B39" s="163"/>
      <c r="C39" s="163"/>
      <c r="D39" s="163"/>
      <c r="E39" s="175"/>
      <c r="F39" s="175"/>
      <c r="G39" s="130"/>
      <c r="H39" s="222" t="str">
        <f t="shared" si="1"/>
        <v/>
      </c>
      <c r="I39" s="222" t="str">
        <f t="shared" si="2"/>
        <v/>
      </c>
      <c r="J39" s="67"/>
      <c r="K39" s="67"/>
      <c r="L39" s="361" t="s">
        <v>1238</v>
      </c>
      <c r="M39" s="294">
        <f t="shared" si="3"/>
        <v>0</v>
      </c>
      <c r="N39" s="176"/>
      <c r="O39" s="163"/>
      <c r="P39" s="163"/>
      <c r="Q39" s="175"/>
      <c r="R39" s="175"/>
      <c r="S39" s="130"/>
      <c r="T39" s="223" t="str">
        <f t="shared" si="4"/>
        <v/>
      </c>
      <c r="U39" s="222" t="str">
        <f t="shared" si="5"/>
        <v/>
      </c>
      <c r="V39" s="362" t="s">
        <v>1238</v>
      </c>
      <c r="W39" s="72"/>
    </row>
    <row r="40" spans="1:23" x14ac:dyDescent="0.2">
      <c r="A40" s="293">
        <f t="shared" si="0"/>
        <v>0</v>
      </c>
      <c r="B40" s="163"/>
      <c r="C40" s="163"/>
      <c r="D40" s="163"/>
      <c r="E40" s="175"/>
      <c r="F40" s="175"/>
      <c r="G40" s="130"/>
      <c r="H40" s="222" t="str">
        <f t="shared" si="1"/>
        <v/>
      </c>
      <c r="I40" s="222" t="str">
        <f t="shared" si="2"/>
        <v/>
      </c>
      <c r="J40" s="67"/>
      <c r="K40" s="67"/>
      <c r="L40" s="361" t="s">
        <v>1238</v>
      </c>
      <c r="M40" s="294">
        <f t="shared" si="3"/>
        <v>0</v>
      </c>
      <c r="N40" s="176"/>
      <c r="O40" s="163"/>
      <c r="P40" s="163"/>
      <c r="Q40" s="175"/>
      <c r="R40" s="175"/>
      <c r="S40" s="130"/>
      <c r="T40" s="223" t="str">
        <f t="shared" si="4"/>
        <v/>
      </c>
      <c r="U40" s="222" t="str">
        <f t="shared" si="5"/>
        <v/>
      </c>
      <c r="V40" s="362" t="s">
        <v>1238</v>
      </c>
      <c r="W40" s="72"/>
    </row>
    <row r="41" spans="1:23" x14ac:dyDescent="0.2">
      <c r="A41" s="293">
        <f t="shared" si="0"/>
        <v>0</v>
      </c>
      <c r="B41" s="163"/>
      <c r="C41" s="163"/>
      <c r="D41" s="163"/>
      <c r="E41" s="175"/>
      <c r="F41" s="175"/>
      <c r="G41" s="130"/>
      <c r="H41" s="222" t="str">
        <f t="shared" si="1"/>
        <v/>
      </c>
      <c r="I41" s="222" t="str">
        <f t="shared" si="2"/>
        <v/>
      </c>
      <c r="J41" s="67"/>
      <c r="K41" s="67"/>
      <c r="L41" s="361" t="s">
        <v>1238</v>
      </c>
      <c r="M41" s="294">
        <f t="shared" si="3"/>
        <v>0</v>
      </c>
      <c r="N41" s="176"/>
      <c r="O41" s="163"/>
      <c r="P41" s="163"/>
      <c r="Q41" s="175"/>
      <c r="R41" s="175"/>
      <c r="S41" s="130"/>
      <c r="T41" s="223" t="str">
        <f t="shared" si="4"/>
        <v/>
      </c>
      <c r="U41" s="222" t="str">
        <f t="shared" si="5"/>
        <v/>
      </c>
      <c r="V41" s="362" t="s">
        <v>1238</v>
      </c>
      <c r="W41" s="72"/>
    </row>
    <row r="42" spans="1:23" x14ac:dyDescent="0.2">
      <c r="A42" s="293">
        <f t="shared" si="0"/>
        <v>0</v>
      </c>
      <c r="B42" s="163"/>
      <c r="C42" s="163"/>
      <c r="D42" s="163"/>
      <c r="E42" s="175"/>
      <c r="F42" s="175"/>
      <c r="G42" s="130"/>
      <c r="H42" s="222" t="str">
        <f t="shared" si="1"/>
        <v/>
      </c>
      <c r="I42" s="222" t="str">
        <f t="shared" si="2"/>
        <v/>
      </c>
      <c r="J42" s="67"/>
      <c r="K42" s="67"/>
      <c r="L42" s="361" t="s">
        <v>1238</v>
      </c>
      <c r="M42" s="294">
        <f t="shared" si="3"/>
        <v>0</v>
      </c>
      <c r="N42" s="176"/>
      <c r="O42" s="163"/>
      <c r="P42" s="163"/>
      <c r="Q42" s="175"/>
      <c r="R42" s="175"/>
      <c r="S42" s="130"/>
      <c r="T42" s="223" t="str">
        <f t="shared" si="4"/>
        <v/>
      </c>
      <c r="U42" s="222" t="str">
        <f t="shared" si="5"/>
        <v/>
      </c>
      <c r="V42" s="362" t="s">
        <v>1238</v>
      </c>
      <c r="W42" s="72"/>
    </row>
    <row r="43" spans="1:23" x14ac:dyDescent="0.2">
      <c r="A43" s="293">
        <f t="shared" si="0"/>
        <v>0</v>
      </c>
      <c r="B43" s="163"/>
      <c r="C43" s="163"/>
      <c r="D43" s="163"/>
      <c r="E43" s="175"/>
      <c r="F43" s="175"/>
      <c r="G43" s="130"/>
      <c r="H43" s="222" t="str">
        <f t="shared" si="1"/>
        <v/>
      </c>
      <c r="I43" s="222" t="str">
        <f t="shared" si="2"/>
        <v/>
      </c>
      <c r="J43" s="67"/>
      <c r="K43" s="67"/>
      <c r="L43" s="361" t="s">
        <v>1238</v>
      </c>
      <c r="M43" s="294">
        <f t="shared" si="3"/>
        <v>0</v>
      </c>
      <c r="N43" s="176"/>
      <c r="O43" s="163"/>
      <c r="P43" s="163"/>
      <c r="Q43" s="175"/>
      <c r="R43" s="175"/>
      <c r="S43" s="130"/>
      <c r="T43" s="223" t="str">
        <f t="shared" si="4"/>
        <v/>
      </c>
      <c r="U43" s="222" t="str">
        <f t="shared" si="5"/>
        <v/>
      </c>
      <c r="V43" s="362" t="s">
        <v>1238</v>
      </c>
      <c r="W43" s="72"/>
    </row>
    <row r="44" spans="1:23" x14ac:dyDescent="0.2">
      <c r="A44" s="293">
        <f t="shared" si="0"/>
        <v>0</v>
      </c>
      <c r="B44" s="163"/>
      <c r="C44" s="163"/>
      <c r="D44" s="163"/>
      <c r="E44" s="175"/>
      <c r="F44" s="175"/>
      <c r="G44" s="130"/>
      <c r="H44" s="222" t="str">
        <f t="shared" si="1"/>
        <v/>
      </c>
      <c r="I44" s="222" t="str">
        <f t="shared" si="2"/>
        <v/>
      </c>
      <c r="J44" s="67"/>
      <c r="K44" s="67"/>
      <c r="L44" s="361" t="s">
        <v>1238</v>
      </c>
      <c r="M44" s="294">
        <f t="shared" si="3"/>
        <v>0</v>
      </c>
      <c r="N44" s="176"/>
      <c r="O44" s="163"/>
      <c r="P44" s="163"/>
      <c r="Q44" s="175"/>
      <c r="R44" s="175"/>
      <c r="S44" s="130"/>
      <c r="T44" s="223" t="str">
        <f t="shared" si="4"/>
        <v/>
      </c>
      <c r="U44" s="222" t="str">
        <f t="shared" si="5"/>
        <v/>
      </c>
      <c r="V44" s="362" t="s">
        <v>1238</v>
      </c>
      <c r="W44" s="72"/>
    </row>
    <row r="45" spans="1:23" x14ac:dyDescent="0.2">
      <c r="A45" s="293">
        <f t="shared" si="0"/>
        <v>0</v>
      </c>
      <c r="B45" s="163"/>
      <c r="C45" s="163"/>
      <c r="D45" s="163"/>
      <c r="E45" s="175"/>
      <c r="F45" s="175"/>
      <c r="G45" s="130"/>
      <c r="H45" s="222" t="str">
        <f t="shared" si="1"/>
        <v/>
      </c>
      <c r="I45" s="222" t="str">
        <f t="shared" si="2"/>
        <v/>
      </c>
      <c r="J45" s="67"/>
      <c r="K45" s="67"/>
      <c r="L45" s="361" t="s">
        <v>1238</v>
      </c>
      <c r="M45" s="294">
        <f t="shared" si="3"/>
        <v>0</v>
      </c>
      <c r="N45" s="176"/>
      <c r="O45" s="163"/>
      <c r="P45" s="163"/>
      <c r="Q45" s="175"/>
      <c r="R45" s="175"/>
      <c r="S45" s="130"/>
      <c r="T45" s="223" t="str">
        <f t="shared" si="4"/>
        <v/>
      </c>
      <c r="U45" s="222" t="str">
        <f t="shared" si="5"/>
        <v/>
      </c>
      <c r="V45" s="362" t="s">
        <v>1238</v>
      </c>
      <c r="W45" s="72"/>
    </row>
    <row r="46" spans="1:23" x14ac:dyDescent="0.2">
      <c r="A46" s="293">
        <f t="shared" si="0"/>
        <v>0</v>
      </c>
      <c r="B46" s="163"/>
      <c r="C46" s="163"/>
      <c r="D46" s="163"/>
      <c r="E46" s="175"/>
      <c r="F46" s="175"/>
      <c r="G46" s="130"/>
      <c r="H46" s="222" t="str">
        <f t="shared" si="1"/>
        <v/>
      </c>
      <c r="I46" s="222" t="str">
        <f t="shared" si="2"/>
        <v/>
      </c>
      <c r="J46" s="67"/>
      <c r="K46" s="67"/>
      <c r="L46" s="361" t="s">
        <v>1238</v>
      </c>
      <c r="M46" s="294">
        <f t="shared" si="3"/>
        <v>0</v>
      </c>
      <c r="N46" s="176"/>
      <c r="O46" s="163"/>
      <c r="P46" s="163"/>
      <c r="Q46" s="175"/>
      <c r="R46" s="175"/>
      <c r="S46" s="130"/>
      <c r="T46" s="223" t="str">
        <f t="shared" si="4"/>
        <v/>
      </c>
      <c r="U46" s="222" t="str">
        <f t="shared" si="5"/>
        <v/>
      </c>
      <c r="V46" s="362" t="s">
        <v>1238</v>
      </c>
      <c r="W46" s="72"/>
    </row>
    <row r="47" spans="1:23" x14ac:dyDescent="0.2">
      <c r="A47" s="293">
        <f t="shared" si="0"/>
        <v>0</v>
      </c>
      <c r="B47" s="163"/>
      <c r="C47" s="163"/>
      <c r="D47" s="163"/>
      <c r="E47" s="175"/>
      <c r="F47" s="175"/>
      <c r="G47" s="130"/>
      <c r="H47" s="222" t="str">
        <f t="shared" si="1"/>
        <v/>
      </c>
      <c r="I47" s="222" t="str">
        <f t="shared" si="2"/>
        <v/>
      </c>
      <c r="J47" s="67"/>
      <c r="K47" s="67"/>
      <c r="L47" s="361" t="s">
        <v>1238</v>
      </c>
      <c r="M47" s="294">
        <f t="shared" si="3"/>
        <v>0</v>
      </c>
      <c r="N47" s="176"/>
      <c r="O47" s="163"/>
      <c r="P47" s="163"/>
      <c r="Q47" s="175"/>
      <c r="R47" s="175"/>
      <c r="S47" s="130"/>
      <c r="T47" s="223" t="str">
        <f t="shared" si="4"/>
        <v/>
      </c>
      <c r="U47" s="222" t="str">
        <f t="shared" si="5"/>
        <v/>
      </c>
      <c r="V47" s="362" t="s">
        <v>1238</v>
      </c>
      <c r="W47" s="72"/>
    </row>
    <row r="48" spans="1:23" x14ac:dyDescent="0.2">
      <c r="A48" s="293">
        <f t="shared" si="0"/>
        <v>0</v>
      </c>
      <c r="B48" s="163"/>
      <c r="C48" s="163"/>
      <c r="D48" s="163"/>
      <c r="E48" s="175"/>
      <c r="F48" s="175"/>
      <c r="G48" s="130"/>
      <c r="H48" s="222" t="str">
        <f t="shared" si="1"/>
        <v/>
      </c>
      <c r="I48" s="222" t="str">
        <f t="shared" si="2"/>
        <v/>
      </c>
      <c r="J48" s="67"/>
      <c r="K48" s="67"/>
      <c r="L48" s="361" t="s">
        <v>1238</v>
      </c>
      <c r="M48" s="294">
        <f t="shared" si="3"/>
        <v>0</v>
      </c>
      <c r="N48" s="176"/>
      <c r="O48" s="163"/>
      <c r="P48" s="163"/>
      <c r="Q48" s="175"/>
      <c r="R48" s="175"/>
      <c r="S48" s="130"/>
      <c r="T48" s="223" t="str">
        <f t="shared" si="4"/>
        <v/>
      </c>
      <c r="U48" s="222" t="str">
        <f t="shared" si="5"/>
        <v/>
      </c>
      <c r="V48" s="362" t="s">
        <v>1238</v>
      </c>
      <c r="W48" s="72"/>
    </row>
    <row r="49" spans="1:23" x14ac:dyDescent="0.2">
      <c r="A49" s="293">
        <f t="shared" si="0"/>
        <v>0</v>
      </c>
      <c r="B49" s="163"/>
      <c r="C49" s="163"/>
      <c r="D49" s="163"/>
      <c r="E49" s="175"/>
      <c r="F49" s="175"/>
      <c r="G49" s="130"/>
      <c r="H49" s="222" t="str">
        <f t="shared" si="1"/>
        <v/>
      </c>
      <c r="I49" s="222" t="str">
        <f t="shared" si="2"/>
        <v/>
      </c>
      <c r="J49" s="67"/>
      <c r="K49" s="67"/>
      <c r="L49" s="361" t="s">
        <v>1238</v>
      </c>
      <c r="M49" s="294">
        <f t="shared" si="3"/>
        <v>0</v>
      </c>
      <c r="N49" s="176"/>
      <c r="O49" s="163"/>
      <c r="P49" s="163"/>
      <c r="Q49" s="175"/>
      <c r="R49" s="175"/>
      <c r="S49" s="130"/>
      <c r="T49" s="223" t="str">
        <f t="shared" si="4"/>
        <v/>
      </c>
      <c r="U49" s="222" t="str">
        <f t="shared" si="5"/>
        <v/>
      </c>
      <c r="V49" s="362" t="s">
        <v>1238</v>
      </c>
      <c r="W49" s="72"/>
    </row>
    <row r="50" spans="1:23" x14ac:dyDescent="0.2">
      <c r="A50" s="293">
        <f t="shared" si="0"/>
        <v>0</v>
      </c>
      <c r="B50" s="163"/>
      <c r="C50" s="163"/>
      <c r="D50" s="163"/>
      <c r="E50" s="175"/>
      <c r="F50" s="175"/>
      <c r="G50" s="130"/>
      <c r="H50" s="222" t="str">
        <f t="shared" si="1"/>
        <v/>
      </c>
      <c r="I50" s="222" t="str">
        <f t="shared" si="2"/>
        <v/>
      </c>
      <c r="J50" s="67"/>
      <c r="K50" s="67"/>
      <c r="L50" s="361" t="s">
        <v>1238</v>
      </c>
      <c r="M50" s="294">
        <f t="shared" si="3"/>
        <v>0</v>
      </c>
      <c r="N50" s="176"/>
      <c r="O50" s="163"/>
      <c r="P50" s="163"/>
      <c r="Q50" s="175"/>
      <c r="R50" s="175"/>
      <c r="S50" s="130"/>
      <c r="T50" s="223" t="str">
        <f t="shared" si="4"/>
        <v/>
      </c>
      <c r="U50" s="222" t="str">
        <f t="shared" si="5"/>
        <v/>
      </c>
      <c r="V50" s="362" t="s">
        <v>1238</v>
      </c>
      <c r="W50" s="72"/>
    </row>
    <row r="51" spans="1:23" x14ac:dyDescent="0.2">
      <c r="A51" s="293">
        <f t="shared" si="0"/>
        <v>0</v>
      </c>
      <c r="B51" s="163"/>
      <c r="C51" s="163"/>
      <c r="D51" s="163"/>
      <c r="E51" s="175"/>
      <c r="F51" s="175"/>
      <c r="G51" s="130"/>
      <c r="H51" s="222" t="str">
        <f t="shared" si="1"/>
        <v/>
      </c>
      <c r="I51" s="222" t="str">
        <f t="shared" si="2"/>
        <v/>
      </c>
      <c r="J51" s="67"/>
      <c r="K51" s="67"/>
      <c r="L51" s="361" t="s">
        <v>1238</v>
      </c>
      <c r="M51" s="294">
        <f t="shared" si="3"/>
        <v>0</v>
      </c>
      <c r="N51" s="176"/>
      <c r="O51" s="163"/>
      <c r="P51" s="163"/>
      <c r="Q51" s="175"/>
      <c r="R51" s="175"/>
      <c r="S51" s="130"/>
      <c r="T51" s="223" t="str">
        <f t="shared" si="4"/>
        <v/>
      </c>
      <c r="U51" s="222" t="str">
        <f t="shared" si="5"/>
        <v/>
      </c>
      <c r="V51" s="362" t="s">
        <v>1238</v>
      </c>
      <c r="W51" s="72"/>
    </row>
    <row r="52" spans="1:23" x14ac:dyDescent="0.2">
      <c r="A52" s="293">
        <f t="shared" si="0"/>
        <v>0</v>
      </c>
      <c r="B52" s="163"/>
      <c r="C52" s="163"/>
      <c r="D52" s="163"/>
      <c r="E52" s="175"/>
      <c r="F52" s="175"/>
      <c r="G52" s="130"/>
      <c r="H52" s="222" t="str">
        <f t="shared" si="1"/>
        <v/>
      </c>
      <c r="I52" s="222" t="str">
        <f t="shared" si="2"/>
        <v/>
      </c>
      <c r="J52" s="67"/>
      <c r="K52" s="67"/>
      <c r="L52" s="361" t="s">
        <v>1238</v>
      </c>
      <c r="M52" s="294">
        <f t="shared" si="3"/>
        <v>0</v>
      </c>
      <c r="N52" s="176"/>
      <c r="O52" s="163"/>
      <c r="P52" s="163"/>
      <c r="Q52" s="175"/>
      <c r="R52" s="175"/>
      <c r="S52" s="130"/>
      <c r="T52" s="223" t="str">
        <f t="shared" si="4"/>
        <v/>
      </c>
      <c r="U52" s="222" t="str">
        <f t="shared" si="5"/>
        <v/>
      </c>
      <c r="V52" s="362" t="s">
        <v>1238</v>
      </c>
      <c r="W52" s="72"/>
    </row>
    <row r="53" spans="1:23" x14ac:dyDescent="0.2">
      <c r="A53" s="293">
        <f t="shared" si="0"/>
        <v>0</v>
      </c>
      <c r="B53" s="163"/>
      <c r="C53" s="163"/>
      <c r="D53" s="163"/>
      <c r="E53" s="175"/>
      <c r="F53" s="175"/>
      <c r="G53" s="130"/>
      <c r="H53" s="222" t="str">
        <f t="shared" si="1"/>
        <v/>
      </c>
      <c r="I53" s="222" t="str">
        <f t="shared" si="2"/>
        <v/>
      </c>
      <c r="J53" s="67"/>
      <c r="K53" s="67"/>
      <c r="L53" s="361" t="s">
        <v>1238</v>
      </c>
      <c r="M53" s="294">
        <f t="shared" si="3"/>
        <v>0</v>
      </c>
      <c r="N53" s="176"/>
      <c r="O53" s="163"/>
      <c r="P53" s="163"/>
      <c r="Q53" s="175"/>
      <c r="R53" s="175"/>
      <c r="S53" s="130"/>
      <c r="T53" s="223" t="str">
        <f t="shared" si="4"/>
        <v/>
      </c>
      <c r="U53" s="222" t="str">
        <f t="shared" si="5"/>
        <v/>
      </c>
      <c r="V53" s="362" t="s">
        <v>1238</v>
      </c>
      <c r="W53" s="72"/>
    </row>
    <row r="54" spans="1:23" x14ac:dyDescent="0.2">
      <c r="A54" s="293">
        <f t="shared" si="0"/>
        <v>0</v>
      </c>
      <c r="B54" s="163"/>
      <c r="C54" s="163"/>
      <c r="D54" s="163"/>
      <c r="E54" s="175"/>
      <c r="F54" s="175"/>
      <c r="G54" s="130"/>
      <c r="H54" s="222" t="str">
        <f t="shared" si="1"/>
        <v/>
      </c>
      <c r="I54" s="222" t="str">
        <f t="shared" si="2"/>
        <v/>
      </c>
      <c r="J54" s="67"/>
      <c r="K54" s="67"/>
      <c r="L54" s="361" t="s">
        <v>1238</v>
      </c>
      <c r="M54" s="294">
        <f t="shared" si="3"/>
        <v>0</v>
      </c>
      <c r="N54" s="176"/>
      <c r="O54" s="163"/>
      <c r="P54" s="163"/>
      <c r="Q54" s="175"/>
      <c r="R54" s="175"/>
      <c r="S54" s="130"/>
      <c r="T54" s="223" t="str">
        <f t="shared" si="4"/>
        <v/>
      </c>
      <c r="U54" s="222" t="str">
        <f t="shared" si="5"/>
        <v/>
      </c>
      <c r="V54" s="362" t="s">
        <v>1238</v>
      </c>
      <c r="W54" s="72"/>
    </row>
    <row r="55" spans="1:23" x14ac:dyDescent="0.2">
      <c r="A55" s="293">
        <f t="shared" si="0"/>
        <v>0</v>
      </c>
      <c r="B55" s="163"/>
      <c r="C55" s="163"/>
      <c r="D55" s="163"/>
      <c r="E55" s="175"/>
      <c r="F55" s="175"/>
      <c r="G55" s="130"/>
      <c r="H55" s="222" t="str">
        <f t="shared" si="1"/>
        <v/>
      </c>
      <c r="I55" s="222" t="str">
        <f t="shared" si="2"/>
        <v/>
      </c>
      <c r="J55" s="67"/>
      <c r="K55" s="67"/>
      <c r="L55" s="361" t="s">
        <v>1238</v>
      </c>
      <c r="M55" s="294">
        <f t="shared" si="3"/>
        <v>0</v>
      </c>
      <c r="N55" s="176"/>
      <c r="O55" s="163"/>
      <c r="P55" s="163"/>
      <c r="Q55" s="175"/>
      <c r="R55" s="175"/>
      <c r="S55" s="130"/>
      <c r="T55" s="223" t="str">
        <f t="shared" si="4"/>
        <v/>
      </c>
      <c r="U55" s="222" t="str">
        <f t="shared" si="5"/>
        <v/>
      </c>
      <c r="V55" s="362" t="s">
        <v>1238</v>
      </c>
      <c r="W55" s="72"/>
    </row>
    <row r="56" spans="1:23" x14ac:dyDescent="0.2">
      <c r="A56" s="293">
        <f t="shared" si="0"/>
        <v>0</v>
      </c>
      <c r="B56" s="163"/>
      <c r="C56" s="163"/>
      <c r="D56" s="163"/>
      <c r="E56" s="175"/>
      <c r="F56" s="175"/>
      <c r="G56" s="130"/>
      <c r="H56" s="222" t="str">
        <f t="shared" si="1"/>
        <v/>
      </c>
      <c r="I56" s="222" t="str">
        <f t="shared" si="2"/>
        <v/>
      </c>
      <c r="J56" s="67"/>
      <c r="K56" s="67"/>
      <c r="L56" s="361" t="s">
        <v>1238</v>
      </c>
      <c r="M56" s="294">
        <f t="shared" si="3"/>
        <v>0</v>
      </c>
      <c r="N56" s="176"/>
      <c r="O56" s="163"/>
      <c r="P56" s="163"/>
      <c r="Q56" s="175"/>
      <c r="R56" s="175"/>
      <c r="S56" s="130"/>
      <c r="T56" s="223" t="str">
        <f t="shared" si="4"/>
        <v/>
      </c>
      <c r="U56" s="222" t="str">
        <f t="shared" si="5"/>
        <v/>
      </c>
      <c r="V56" s="362" t="s">
        <v>1238</v>
      </c>
      <c r="W56" s="72"/>
    </row>
    <row r="57" spans="1:23" x14ac:dyDescent="0.2">
      <c r="A57" s="293">
        <f t="shared" si="0"/>
        <v>0</v>
      </c>
      <c r="B57" s="163"/>
      <c r="C57" s="163"/>
      <c r="D57" s="163"/>
      <c r="E57" s="175"/>
      <c r="F57" s="175"/>
      <c r="G57" s="130"/>
      <c r="H57" s="222" t="str">
        <f t="shared" si="1"/>
        <v/>
      </c>
      <c r="I57" s="222" t="str">
        <f t="shared" si="2"/>
        <v/>
      </c>
      <c r="J57" s="67"/>
      <c r="K57" s="67"/>
      <c r="L57" s="361" t="s">
        <v>1238</v>
      </c>
      <c r="M57" s="294">
        <f t="shared" si="3"/>
        <v>0</v>
      </c>
      <c r="N57" s="176"/>
      <c r="O57" s="163"/>
      <c r="P57" s="163"/>
      <c r="Q57" s="175"/>
      <c r="R57" s="175"/>
      <c r="S57" s="130"/>
      <c r="T57" s="223" t="str">
        <f t="shared" si="4"/>
        <v/>
      </c>
      <c r="U57" s="222" t="str">
        <f t="shared" si="5"/>
        <v/>
      </c>
      <c r="V57" s="362" t="s">
        <v>1238</v>
      </c>
      <c r="W57" s="72"/>
    </row>
    <row r="58" spans="1:23" x14ac:dyDescent="0.2">
      <c r="A58" s="293">
        <f t="shared" si="0"/>
        <v>0</v>
      </c>
      <c r="B58" s="163"/>
      <c r="C58" s="163"/>
      <c r="D58" s="163"/>
      <c r="E58" s="175"/>
      <c r="F58" s="175"/>
      <c r="G58" s="130"/>
      <c r="H58" s="222" t="str">
        <f t="shared" si="1"/>
        <v/>
      </c>
      <c r="I58" s="222" t="str">
        <f t="shared" si="2"/>
        <v/>
      </c>
      <c r="J58" s="67"/>
      <c r="K58" s="67"/>
      <c r="L58" s="361" t="s">
        <v>1238</v>
      </c>
      <c r="M58" s="294">
        <f t="shared" si="3"/>
        <v>0</v>
      </c>
      <c r="N58" s="176"/>
      <c r="O58" s="163"/>
      <c r="P58" s="163"/>
      <c r="Q58" s="175"/>
      <c r="R58" s="175"/>
      <c r="S58" s="130"/>
      <c r="T58" s="223" t="str">
        <f t="shared" si="4"/>
        <v/>
      </c>
      <c r="U58" s="222" t="str">
        <f t="shared" si="5"/>
        <v/>
      </c>
      <c r="V58" s="362" t="s">
        <v>1238</v>
      </c>
      <c r="W58" s="72"/>
    </row>
    <row r="59" spans="1:23" x14ac:dyDescent="0.2">
      <c r="A59" s="293">
        <f t="shared" si="0"/>
        <v>0</v>
      </c>
      <c r="B59" s="163"/>
      <c r="C59" s="163"/>
      <c r="D59" s="163"/>
      <c r="E59" s="175"/>
      <c r="F59" s="175"/>
      <c r="G59" s="130"/>
      <c r="H59" s="222" t="str">
        <f t="shared" si="1"/>
        <v/>
      </c>
      <c r="I59" s="222" t="str">
        <f t="shared" si="2"/>
        <v/>
      </c>
      <c r="J59" s="67"/>
      <c r="K59" s="67"/>
      <c r="L59" s="361" t="s">
        <v>1238</v>
      </c>
      <c r="M59" s="294">
        <f t="shared" si="3"/>
        <v>0</v>
      </c>
      <c r="N59" s="176"/>
      <c r="O59" s="163"/>
      <c r="P59" s="163"/>
      <c r="Q59" s="175"/>
      <c r="R59" s="175"/>
      <c r="S59" s="130"/>
      <c r="T59" s="223" t="str">
        <f t="shared" si="4"/>
        <v/>
      </c>
      <c r="U59" s="222" t="str">
        <f t="shared" si="5"/>
        <v/>
      </c>
      <c r="V59" s="362" t="s">
        <v>1238</v>
      </c>
      <c r="W59" s="72"/>
    </row>
    <row r="60" spans="1:23" x14ac:dyDescent="0.2">
      <c r="A60" s="293">
        <f t="shared" si="0"/>
        <v>0</v>
      </c>
      <c r="B60" s="163"/>
      <c r="C60" s="163"/>
      <c r="D60" s="163"/>
      <c r="E60" s="175"/>
      <c r="F60" s="175"/>
      <c r="G60" s="130"/>
      <c r="H60" s="222" t="str">
        <f t="shared" si="1"/>
        <v/>
      </c>
      <c r="I60" s="222" t="str">
        <f t="shared" si="2"/>
        <v/>
      </c>
      <c r="J60" s="67"/>
      <c r="K60" s="67"/>
      <c r="L60" s="361" t="s">
        <v>1238</v>
      </c>
      <c r="M60" s="294">
        <f t="shared" si="3"/>
        <v>0</v>
      </c>
      <c r="N60" s="176"/>
      <c r="O60" s="163"/>
      <c r="P60" s="163"/>
      <c r="Q60" s="175"/>
      <c r="R60" s="175"/>
      <c r="S60" s="130"/>
      <c r="T60" s="223" t="str">
        <f t="shared" si="4"/>
        <v/>
      </c>
      <c r="U60" s="222" t="str">
        <f t="shared" si="5"/>
        <v/>
      </c>
      <c r="V60" s="362" t="s">
        <v>1238</v>
      </c>
      <c r="W60" s="72"/>
    </row>
    <row r="61" spans="1:23" x14ac:dyDescent="0.2">
      <c r="A61" s="293">
        <f t="shared" si="0"/>
        <v>0</v>
      </c>
      <c r="B61" s="163"/>
      <c r="C61" s="163"/>
      <c r="D61" s="163"/>
      <c r="E61" s="175"/>
      <c r="F61" s="175"/>
      <c r="G61" s="130"/>
      <c r="H61" s="222" t="str">
        <f t="shared" si="1"/>
        <v/>
      </c>
      <c r="I61" s="222" t="str">
        <f t="shared" si="2"/>
        <v/>
      </c>
      <c r="J61" s="67"/>
      <c r="K61" s="67"/>
      <c r="L61" s="361" t="s">
        <v>1238</v>
      </c>
      <c r="M61" s="294">
        <f t="shared" si="3"/>
        <v>0</v>
      </c>
      <c r="N61" s="176"/>
      <c r="O61" s="163"/>
      <c r="P61" s="163"/>
      <c r="Q61" s="175"/>
      <c r="R61" s="175"/>
      <c r="S61" s="130"/>
      <c r="T61" s="223" t="str">
        <f t="shared" si="4"/>
        <v/>
      </c>
      <c r="U61" s="222" t="str">
        <f t="shared" si="5"/>
        <v/>
      </c>
      <c r="V61" s="362" t="s">
        <v>1238</v>
      </c>
      <c r="W61" s="72"/>
    </row>
    <row r="62" spans="1:23" x14ac:dyDescent="0.2">
      <c r="A62" s="293">
        <f t="shared" si="0"/>
        <v>0</v>
      </c>
      <c r="B62" s="163"/>
      <c r="C62" s="163"/>
      <c r="D62" s="163"/>
      <c r="E62" s="175"/>
      <c r="F62" s="175"/>
      <c r="G62" s="130"/>
      <c r="H62" s="222" t="str">
        <f t="shared" si="1"/>
        <v/>
      </c>
      <c r="I62" s="222" t="str">
        <f t="shared" si="2"/>
        <v/>
      </c>
      <c r="J62" s="67"/>
      <c r="K62" s="67"/>
      <c r="L62" s="361" t="s">
        <v>1238</v>
      </c>
      <c r="M62" s="294">
        <f t="shared" si="3"/>
        <v>0</v>
      </c>
      <c r="N62" s="176"/>
      <c r="O62" s="163"/>
      <c r="P62" s="163"/>
      <c r="Q62" s="175"/>
      <c r="R62" s="175"/>
      <c r="S62" s="130"/>
      <c r="T62" s="223" t="str">
        <f t="shared" si="4"/>
        <v/>
      </c>
      <c r="U62" s="222" t="str">
        <f t="shared" si="5"/>
        <v/>
      </c>
      <c r="V62" s="362" t="s">
        <v>1238</v>
      </c>
      <c r="W62" s="72"/>
    </row>
    <row r="63" spans="1:23" x14ac:dyDescent="0.2">
      <c r="A63" s="293">
        <f t="shared" si="0"/>
        <v>0</v>
      </c>
      <c r="B63" s="163"/>
      <c r="C63" s="163"/>
      <c r="D63" s="163"/>
      <c r="E63" s="175"/>
      <c r="F63" s="175"/>
      <c r="G63" s="130"/>
      <c r="H63" s="222" t="str">
        <f t="shared" si="1"/>
        <v/>
      </c>
      <c r="I63" s="222" t="str">
        <f t="shared" si="2"/>
        <v/>
      </c>
      <c r="J63" s="67"/>
      <c r="K63" s="67"/>
      <c r="L63" s="361" t="s">
        <v>1238</v>
      </c>
      <c r="M63" s="294">
        <f t="shared" si="3"/>
        <v>0</v>
      </c>
      <c r="N63" s="176"/>
      <c r="O63" s="163"/>
      <c r="P63" s="163"/>
      <c r="Q63" s="175"/>
      <c r="R63" s="175"/>
      <c r="S63" s="130"/>
      <c r="T63" s="223" t="str">
        <f t="shared" si="4"/>
        <v/>
      </c>
      <c r="U63" s="222" t="str">
        <f t="shared" si="5"/>
        <v/>
      </c>
      <c r="V63" s="362" t="s">
        <v>1238</v>
      </c>
      <c r="W63" s="72"/>
    </row>
    <row r="64" spans="1:23" x14ac:dyDescent="0.2">
      <c r="A64" s="293">
        <f t="shared" si="0"/>
        <v>0</v>
      </c>
      <c r="B64" s="163"/>
      <c r="C64" s="163"/>
      <c r="D64" s="163"/>
      <c r="E64" s="175"/>
      <c r="F64" s="175"/>
      <c r="G64" s="130"/>
      <c r="H64" s="222" t="str">
        <f t="shared" si="1"/>
        <v/>
      </c>
      <c r="I64" s="222" t="str">
        <f t="shared" si="2"/>
        <v/>
      </c>
      <c r="J64" s="67"/>
      <c r="K64" s="67"/>
      <c r="L64" s="361" t="s">
        <v>1238</v>
      </c>
      <c r="M64" s="294">
        <f t="shared" si="3"/>
        <v>0</v>
      </c>
      <c r="N64" s="176"/>
      <c r="O64" s="163"/>
      <c r="P64" s="163"/>
      <c r="Q64" s="175"/>
      <c r="R64" s="175"/>
      <c r="S64" s="130"/>
      <c r="T64" s="223" t="str">
        <f t="shared" si="4"/>
        <v/>
      </c>
      <c r="U64" s="222" t="str">
        <f t="shared" si="5"/>
        <v/>
      </c>
      <c r="V64" s="362" t="s">
        <v>1238</v>
      </c>
      <c r="W64" s="72"/>
    </row>
    <row r="65" spans="1:23" x14ac:dyDescent="0.2">
      <c r="A65" s="293">
        <f t="shared" si="0"/>
        <v>0</v>
      </c>
      <c r="B65" s="163"/>
      <c r="C65" s="163"/>
      <c r="D65" s="163"/>
      <c r="E65" s="175"/>
      <c r="F65" s="175"/>
      <c r="G65" s="130"/>
      <c r="H65" s="222" t="str">
        <f t="shared" si="1"/>
        <v/>
      </c>
      <c r="I65" s="222" t="str">
        <f t="shared" si="2"/>
        <v/>
      </c>
      <c r="J65" s="67"/>
      <c r="K65" s="67"/>
      <c r="L65" s="361" t="s">
        <v>1238</v>
      </c>
      <c r="M65" s="294">
        <f t="shared" si="3"/>
        <v>0</v>
      </c>
      <c r="N65" s="176"/>
      <c r="O65" s="163"/>
      <c r="P65" s="163"/>
      <c r="Q65" s="175"/>
      <c r="R65" s="175"/>
      <c r="S65" s="130"/>
      <c r="T65" s="223" t="str">
        <f t="shared" si="4"/>
        <v/>
      </c>
      <c r="U65" s="222" t="str">
        <f t="shared" si="5"/>
        <v/>
      </c>
      <c r="V65" s="362" t="s">
        <v>1238</v>
      </c>
      <c r="W65" s="72"/>
    </row>
    <row r="66" spans="1:23" x14ac:dyDescent="0.2">
      <c r="A66" s="293">
        <f t="shared" si="0"/>
        <v>0</v>
      </c>
      <c r="B66" s="163"/>
      <c r="C66" s="163"/>
      <c r="D66" s="163"/>
      <c r="E66" s="175"/>
      <c r="F66" s="175"/>
      <c r="G66" s="130"/>
      <c r="H66" s="222" t="str">
        <f t="shared" si="1"/>
        <v/>
      </c>
      <c r="I66" s="222" t="str">
        <f t="shared" si="2"/>
        <v/>
      </c>
      <c r="J66" s="67"/>
      <c r="K66" s="67"/>
      <c r="L66" s="361" t="s">
        <v>1238</v>
      </c>
      <c r="M66" s="294">
        <f t="shared" si="3"/>
        <v>0</v>
      </c>
      <c r="N66" s="176"/>
      <c r="O66" s="163"/>
      <c r="P66" s="163"/>
      <c r="Q66" s="175"/>
      <c r="R66" s="175"/>
      <c r="S66" s="130"/>
      <c r="T66" s="223" t="str">
        <f t="shared" si="4"/>
        <v/>
      </c>
      <c r="U66" s="222" t="str">
        <f t="shared" si="5"/>
        <v/>
      </c>
      <c r="V66" s="362" t="s">
        <v>1238</v>
      </c>
      <c r="W66" s="72"/>
    </row>
    <row r="67" spans="1:23" x14ac:dyDescent="0.2">
      <c r="A67" s="293">
        <f t="shared" si="0"/>
        <v>0</v>
      </c>
      <c r="B67" s="163"/>
      <c r="C67" s="163"/>
      <c r="D67" s="163"/>
      <c r="E67" s="175"/>
      <c r="F67" s="175"/>
      <c r="G67" s="130"/>
      <c r="H67" s="222" t="str">
        <f t="shared" si="1"/>
        <v/>
      </c>
      <c r="I67" s="222" t="str">
        <f t="shared" si="2"/>
        <v/>
      </c>
      <c r="J67" s="67"/>
      <c r="K67" s="67"/>
      <c r="L67" s="361" t="s">
        <v>1238</v>
      </c>
      <c r="M67" s="294">
        <f t="shared" si="3"/>
        <v>0</v>
      </c>
      <c r="N67" s="176"/>
      <c r="O67" s="163"/>
      <c r="P67" s="163"/>
      <c r="Q67" s="175"/>
      <c r="R67" s="175"/>
      <c r="S67" s="130"/>
      <c r="T67" s="223" t="str">
        <f t="shared" si="4"/>
        <v/>
      </c>
      <c r="U67" s="222" t="str">
        <f t="shared" si="5"/>
        <v/>
      </c>
      <c r="V67" s="362" t="s">
        <v>1238</v>
      </c>
      <c r="W67" s="72"/>
    </row>
    <row r="68" spans="1:23" x14ac:dyDescent="0.2">
      <c r="A68" s="293">
        <f t="shared" si="0"/>
        <v>0</v>
      </c>
      <c r="B68" s="163"/>
      <c r="C68" s="163"/>
      <c r="D68" s="163"/>
      <c r="E68" s="175"/>
      <c r="F68" s="175"/>
      <c r="G68" s="130"/>
      <c r="H68" s="222" t="str">
        <f t="shared" si="1"/>
        <v/>
      </c>
      <c r="I68" s="222" t="str">
        <f t="shared" si="2"/>
        <v/>
      </c>
      <c r="J68" s="67"/>
      <c r="K68" s="67"/>
      <c r="L68" s="361" t="s">
        <v>1238</v>
      </c>
      <c r="M68" s="294">
        <f t="shared" si="3"/>
        <v>0</v>
      </c>
      <c r="N68" s="176"/>
      <c r="O68" s="163"/>
      <c r="P68" s="163"/>
      <c r="Q68" s="175"/>
      <c r="R68" s="175"/>
      <c r="S68" s="130"/>
      <c r="T68" s="223" t="str">
        <f t="shared" si="4"/>
        <v/>
      </c>
      <c r="U68" s="222" t="str">
        <f t="shared" si="5"/>
        <v/>
      </c>
      <c r="V68" s="362" t="s">
        <v>1238</v>
      </c>
      <c r="W68" s="72"/>
    </row>
    <row r="69" spans="1:23" x14ac:dyDescent="0.2">
      <c r="A69" s="293">
        <f t="shared" si="0"/>
        <v>0</v>
      </c>
      <c r="B69" s="163"/>
      <c r="C69" s="163"/>
      <c r="D69" s="163"/>
      <c r="E69" s="175"/>
      <c r="F69" s="175"/>
      <c r="G69" s="130"/>
      <c r="H69" s="222" t="str">
        <f t="shared" si="1"/>
        <v/>
      </c>
      <c r="I69" s="222" t="str">
        <f t="shared" si="2"/>
        <v/>
      </c>
      <c r="J69" s="67"/>
      <c r="K69" s="67"/>
      <c r="L69" s="361" t="s">
        <v>1238</v>
      </c>
      <c r="M69" s="294">
        <f t="shared" si="3"/>
        <v>0</v>
      </c>
      <c r="N69" s="176"/>
      <c r="O69" s="163"/>
      <c r="P69" s="163"/>
      <c r="Q69" s="175"/>
      <c r="R69" s="175"/>
      <c r="S69" s="130"/>
      <c r="T69" s="223" t="str">
        <f t="shared" si="4"/>
        <v/>
      </c>
      <c r="U69" s="222" t="str">
        <f t="shared" si="5"/>
        <v/>
      </c>
      <c r="V69" s="362" t="s">
        <v>1238</v>
      </c>
      <c r="W69" s="72"/>
    </row>
    <row r="70" spans="1:23" x14ac:dyDescent="0.2">
      <c r="A70" s="293">
        <f t="shared" si="0"/>
        <v>0</v>
      </c>
      <c r="B70" s="163"/>
      <c r="C70" s="163"/>
      <c r="D70" s="163"/>
      <c r="E70" s="175"/>
      <c r="F70" s="175"/>
      <c r="G70" s="130"/>
      <c r="H70" s="222" t="str">
        <f t="shared" si="1"/>
        <v/>
      </c>
      <c r="I70" s="222" t="str">
        <f t="shared" si="2"/>
        <v/>
      </c>
      <c r="J70" s="67"/>
      <c r="K70" s="67"/>
      <c r="L70" s="361" t="s">
        <v>1238</v>
      </c>
      <c r="M70" s="294">
        <f t="shared" si="3"/>
        <v>0</v>
      </c>
      <c r="N70" s="176"/>
      <c r="O70" s="163"/>
      <c r="P70" s="163"/>
      <c r="Q70" s="175"/>
      <c r="R70" s="175"/>
      <c r="S70" s="130"/>
      <c r="T70" s="223" t="str">
        <f t="shared" si="4"/>
        <v/>
      </c>
      <c r="U70" s="222" t="str">
        <f t="shared" si="5"/>
        <v/>
      </c>
      <c r="V70" s="362" t="s">
        <v>1238</v>
      </c>
      <c r="W70" s="72"/>
    </row>
    <row r="71" spans="1:23" x14ac:dyDescent="0.2">
      <c r="A71" s="293">
        <f t="shared" si="0"/>
        <v>0</v>
      </c>
      <c r="B71" s="163"/>
      <c r="C71" s="163"/>
      <c r="D71" s="163"/>
      <c r="E71" s="175"/>
      <c r="F71" s="175"/>
      <c r="G71" s="130"/>
      <c r="H71" s="222" t="str">
        <f t="shared" si="1"/>
        <v/>
      </c>
      <c r="I71" s="222" t="str">
        <f t="shared" si="2"/>
        <v/>
      </c>
      <c r="J71" s="67"/>
      <c r="K71" s="67"/>
      <c r="L71" s="361" t="s">
        <v>1238</v>
      </c>
      <c r="M71" s="294">
        <f t="shared" si="3"/>
        <v>0</v>
      </c>
      <c r="N71" s="176"/>
      <c r="O71" s="163"/>
      <c r="P71" s="163"/>
      <c r="Q71" s="175"/>
      <c r="R71" s="175"/>
      <c r="S71" s="130"/>
      <c r="T71" s="223" t="str">
        <f t="shared" si="4"/>
        <v/>
      </c>
      <c r="U71" s="222" t="str">
        <f t="shared" si="5"/>
        <v/>
      </c>
      <c r="V71" s="362" t="s">
        <v>1238</v>
      </c>
      <c r="W71" s="72"/>
    </row>
    <row r="72" spans="1:23" x14ac:dyDescent="0.2">
      <c r="A72" s="293">
        <f t="shared" si="0"/>
        <v>0</v>
      </c>
      <c r="B72" s="163"/>
      <c r="C72" s="163"/>
      <c r="D72" s="163"/>
      <c r="E72" s="175"/>
      <c r="F72" s="175"/>
      <c r="G72" s="130"/>
      <c r="H72" s="222" t="str">
        <f t="shared" si="1"/>
        <v/>
      </c>
      <c r="I72" s="222" t="str">
        <f t="shared" si="2"/>
        <v/>
      </c>
      <c r="J72" s="67"/>
      <c r="K72" s="67"/>
      <c r="L72" s="361" t="s">
        <v>1238</v>
      </c>
      <c r="M72" s="294">
        <f t="shared" si="3"/>
        <v>0</v>
      </c>
      <c r="N72" s="176"/>
      <c r="O72" s="163"/>
      <c r="P72" s="163"/>
      <c r="Q72" s="175"/>
      <c r="R72" s="175"/>
      <c r="S72" s="130"/>
      <c r="T72" s="223" t="str">
        <f t="shared" si="4"/>
        <v/>
      </c>
      <c r="U72" s="222" t="str">
        <f t="shared" si="5"/>
        <v/>
      </c>
      <c r="V72" s="362" t="s">
        <v>1238</v>
      </c>
      <c r="W72" s="72"/>
    </row>
    <row r="73" spans="1:23" x14ac:dyDescent="0.2">
      <c r="A73" s="293">
        <f t="shared" si="0"/>
        <v>0</v>
      </c>
      <c r="B73" s="163"/>
      <c r="C73" s="163"/>
      <c r="D73" s="163"/>
      <c r="E73" s="175"/>
      <c r="F73" s="175"/>
      <c r="G73" s="130"/>
      <c r="H73" s="222" t="str">
        <f t="shared" si="1"/>
        <v/>
      </c>
      <c r="I73" s="222" t="str">
        <f t="shared" si="2"/>
        <v/>
      </c>
      <c r="J73" s="67"/>
      <c r="K73" s="67"/>
      <c r="L73" s="361" t="s">
        <v>1238</v>
      </c>
      <c r="M73" s="294">
        <f t="shared" si="3"/>
        <v>0</v>
      </c>
      <c r="N73" s="176"/>
      <c r="O73" s="163"/>
      <c r="P73" s="163"/>
      <c r="Q73" s="175"/>
      <c r="R73" s="175"/>
      <c r="S73" s="130"/>
      <c r="T73" s="223" t="str">
        <f t="shared" si="4"/>
        <v/>
      </c>
      <c r="U73" s="222" t="str">
        <f t="shared" si="5"/>
        <v/>
      </c>
      <c r="V73" s="362" t="s">
        <v>1238</v>
      </c>
      <c r="W73" s="72"/>
    </row>
    <row r="74" spans="1:23" x14ac:dyDescent="0.2">
      <c r="A74" s="293">
        <f t="shared" si="0"/>
        <v>0</v>
      </c>
      <c r="B74" s="163"/>
      <c r="C74" s="163"/>
      <c r="D74" s="163"/>
      <c r="E74" s="175"/>
      <c r="F74" s="175"/>
      <c r="G74" s="130"/>
      <c r="H74" s="222" t="str">
        <f t="shared" si="1"/>
        <v/>
      </c>
      <c r="I74" s="222" t="str">
        <f t="shared" si="2"/>
        <v/>
      </c>
      <c r="J74" s="67"/>
      <c r="K74" s="67"/>
      <c r="L74" s="361" t="s">
        <v>1238</v>
      </c>
      <c r="M74" s="294">
        <f t="shared" si="3"/>
        <v>0</v>
      </c>
      <c r="N74" s="176"/>
      <c r="O74" s="163"/>
      <c r="P74" s="163"/>
      <c r="Q74" s="175"/>
      <c r="R74" s="175"/>
      <c r="S74" s="130"/>
      <c r="T74" s="223" t="str">
        <f t="shared" si="4"/>
        <v/>
      </c>
      <c r="U74" s="222" t="str">
        <f t="shared" si="5"/>
        <v/>
      </c>
      <c r="V74" s="362" t="s">
        <v>1238</v>
      </c>
      <c r="W74" s="72"/>
    </row>
    <row r="75" spans="1:23" x14ac:dyDescent="0.2">
      <c r="A75" s="293">
        <f t="shared" si="0"/>
        <v>0</v>
      </c>
      <c r="B75" s="163"/>
      <c r="C75" s="163"/>
      <c r="D75" s="163"/>
      <c r="E75" s="175"/>
      <c r="F75" s="175"/>
      <c r="G75" s="130"/>
      <c r="H75" s="222" t="str">
        <f t="shared" si="1"/>
        <v/>
      </c>
      <c r="I75" s="222" t="str">
        <f t="shared" si="2"/>
        <v/>
      </c>
      <c r="J75" s="67"/>
      <c r="K75" s="67"/>
      <c r="L75" s="361" t="s">
        <v>1238</v>
      </c>
      <c r="M75" s="294">
        <f t="shared" si="3"/>
        <v>0</v>
      </c>
      <c r="N75" s="176"/>
      <c r="O75" s="163"/>
      <c r="P75" s="163"/>
      <c r="Q75" s="175"/>
      <c r="R75" s="175"/>
      <c r="S75" s="130"/>
      <c r="T75" s="223" t="str">
        <f t="shared" si="4"/>
        <v/>
      </c>
      <c r="U75" s="222" t="str">
        <f t="shared" si="5"/>
        <v/>
      </c>
      <c r="V75" s="362" t="s">
        <v>1238</v>
      </c>
      <c r="W75" s="72"/>
    </row>
    <row r="76" spans="1:23" x14ac:dyDescent="0.2">
      <c r="A76" s="293">
        <f t="shared" si="0"/>
        <v>0</v>
      </c>
      <c r="B76" s="163"/>
      <c r="C76" s="163"/>
      <c r="D76" s="163"/>
      <c r="E76" s="175"/>
      <c r="F76" s="175"/>
      <c r="G76" s="130"/>
      <c r="H76" s="222" t="str">
        <f t="shared" si="1"/>
        <v/>
      </c>
      <c r="I76" s="222" t="str">
        <f t="shared" si="2"/>
        <v/>
      </c>
      <c r="J76" s="67"/>
      <c r="K76" s="67"/>
      <c r="L76" s="361" t="s">
        <v>1238</v>
      </c>
      <c r="M76" s="294">
        <f t="shared" si="3"/>
        <v>0</v>
      </c>
      <c r="N76" s="176"/>
      <c r="O76" s="163"/>
      <c r="P76" s="163"/>
      <c r="Q76" s="175"/>
      <c r="R76" s="175"/>
      <c r="S76" s="130"/>
      <c r="T76" s="223" t="str">
        <f t="shared" si="4"/>
        <v/>
      </c>
      <c r="U76" s="222" t="str">
        <f t="shared" si="5"/>
        <v/>
      </c>
      <c r="V76" s="362" t="s">
        <v>1238</v>
      </c>
      <c r="W76" s="72"/>
    </row>
    <row r="77" spans="1:23" x14ac:dyDescent="0.2">
      <c r="A77" s="293">
        <f t="shared" si="0"/>
        <v>0</v>
      </c>
      <c r="B77" s="163"/>
      <c r="C77" s="163"/>
      <c r="D77" s="163"/>
      <c r="E77" s="175"/>
      <c r="F77" s="175"/>
      <c r="G77" s="130"/>
      <c r="H77" s="222" t="str">
        <f t="shared" si="1"/>
        <v/>
      </c>
      <c r="I77" s="222" t="str">
        <f t="shared" si="2"/>
        <v/>
      </c>
      <c r="J77" s="67"/>
      <c r="K77" s="67"/>
      <c r="L77" s="361" t="s">
        <v>1238</v>
      </c>
      <c r="M77" s="294">
        <f t="shared" si="3"/>
        <v>0</v>
      </c>
      <c r="N77" s="176"/>
      <c r="O77" s="163"/>
      <c r="P77" s="163"/>
      <c r="Q77" s="175"/>
      <c r="R77" s="175"/>
      <c r="S77" s="130"/>
      <c r="T77" s="223" t="str">
        <f t="shared" si="4"/>
        <v/>
      </c>
      <c r="U77" s="222" t="str">
        <f t="shared" si="5"/>
        <v/>
      </c>
      <c r="V77" s="362" t="s">
        <v>1238</v>
      </c>
      <c r="W77" s="72"/>
    </row>
    <row r="78" spans="1:23" x14ac:dyDescent="0.2">
      <c r="A78" s="293">
        <f t="shared" si="0"/>
        <v>0</v>
      </c>
      <c r="B78" s="163"/>
      <c r="C78" s="163"/>
      <c r="D78" s="163"/>
      <c r="E78" s="175"/>
      <c r="F78" s="175"/>
      <c r="G78" s="130"/>
      <c r="H78" s="222" t="str">
        <f t="shared" si="1"/>
        <v/>
      </c>
      <c r="I78" s="222" t="str">
        <f t="shared" si="2"/>
        <v/>
      </c>
      <c r="J78" s="67"/>
      <c r="K78" s="67"/>
      <c r="L78" s="361" t="s">
        <v>1238</v>
      </c>
      <c r="M78" s="294">
        <f t="shared" si="3"/>
        <v>0</v>
      </c>
      <c r="N78" s="176"/>
      <c r="O78" s="163"/>
      <c r="P78" s="163"/>
      <c r="Q78" s="175"/>
      <c r="R78" s="175"/>
      <c r="S78" s="130"/>
      <c r="T78" s="223" t="str">
        <f t="shared" si="4"/>
        <v/>
      </c>
      <c r="U78" s="222" t="str">
        <f t="shared" si="5"/>
        <v/>
      </c>
      <c r="V78" s="362" t="s">
        <v>1238</v>
      </c>
      <c r="W78" s="72"/>
    </row>
    <row r="79" spans="1:23" x14ac:dyDescent="0.2">
      <c r="A79" s="293">
        <f t="shared" si="0"/>
        <v>0</v>
      </c>
      <c r="B79" s="163"/>
      <c r="C79" s="163"/>
      <c r="D79" s="163"/>
      <c r="E79" s="175"/>
      <c r="F79" s="175"/>
      <c r="G79" s="130"/>
      <c r="H79" s="222" t="str">
        <f t="shared" si="1"/>
        <v/>
      </c>
      <c r="I79" s="222" t="str">
        <f t="shared" si="2"/>
        <v/>
      </c>
      <c r="J79" s="67"/>
      <c r="K79" s="67"/>
      <c r="L79" s="361" t="s">
        <v>1238</v>
      </c>
      <c r="M79" s="294">
        <f t="shared" si="3"/>
        <v>0</v>
      </c>
      <c r="N79" s="176"/>
      <c r="O79" s="163"/>
      <c r="P79" s="163"/>
      <c r="Q79" s="175"/>
      <c r="R79" s="175"/>
      <c r="S79" s="130"/>
      <c r="T79" s="223" t="str">
        <f t="shared" si="4"/>
        <v/>
      </c>
      <c r="U79" s="222" t="str">
        <f t="shared" si="5"/>
        <v/>
      </c>
      <c r="V79" s="362" t="s">
        <v>1238</v>
      </c>
      <c r="W79" s="72"/>
    </row>
    <row r="80" spans="1:23" x14ac:dyDescent="0.2">
      <c r="A80" s="293">
        <f t="shared" si="0"/>
        <v>0</v>
      </c>
      <c r="B80" s="163"/>
      <c r="C80" s="163"/>
      <c r="D80" s="163"/>
      <c r="E80" s="175"/>
      <c r="F80" s="175"/>
      <c r="G80" s="130"/>
      <c r="H80" s="222" t="str">
        <f t="shared" si="1"/>
        <v/>
      </c>
      <c r="I80" s="222" t="str">
        <f t="shared" si="2"/>
        <v/>
      </c>
      <c r="J80" s="67"/>
      <c r="K80" s="67"/>
      <c r="L80" s="361" t="s">
        <v>1238</v>
      </c>
      <c r="M80" s="294">
        <f t="shared" si="3"/>
        <v>0</v>
      </c>
      <c r="N80" s="176"/>
      <c r="O80" s="163"/>
      <c r="P80" s="163"/>
      <c r="Q80" s="175"/>
      <c r="R80" s="175"/>
      <c r="S80" s="130"/>
      <c r="T80" s="223" t="str">
        <f t="shared" si="4"/>
        <v/>
      </c>
      <c r="U80" s="222" t="str">
        <f t="shared" si="5"/>
        <v/>
      </c>
      <c r="V80" s="362" t="s">
        <v>1238</v>
      </c>
      <c r="W80" s="72"/>
    </row>
    <row r="81" spans="1:23" x14ac:dyDescent="0.2">
      <c r="A81" s="293">
        <f t="shared" si="0"/>
        <v>0</v>
      </c>
      <c r="B81" s="163"/>
      <c r="C81" s="163"/>
      <c r="D81" s="163"/>
      <c r="E81" s="175"/>
      <c r="F81" s="175"/>
      <c r="G81" s="130"/>
      <c r="H81" s="222" t="str">
        <f t="shared" si="1"/>
        <v/>
      </c>
      <c r="I81" s="222" t="str">
        <f t="shared" si="2"/>
        <v/>
      </c>
      <c r="J81" s="67"/>
      <c r="K81" s="67"/>
      <c r="L81" s="361" t="s">
        <v>1238</v>
      </c>
      <c r="M81" s="294">
        <f t="shared" si="3"/>
        <v>0</v>
      </c>
      <c r="N81" s="176"/>
      <c r="O81" s="163"/>
      <c r="P81" s="163"/>
      <c r="Q81" s="175"/>
      <c r="R81" s="175"/>
      <c r="S81" s="130"/>
      <c r="T81" s="223" t="str">
        <f t="shared" si="4"/>
        <v/>
      </c>
      <c r="U81" s="222" t="str">
        <f t="shared" si="5"/>
        <v/>
      </c>
      <c r="V81" s="362" t="s">
        <v>1238</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1238</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1238</v>
      </c>
      <c r="W82" s="72"/>
    </row>
    <row r="83" spans="1:23" x14ac:dyDescent="0.2">
      <c r="A83" s="293">
        <f t="shared" si="6"/>
        <v>0</v>
      </c>
      <c r="B83" s="163"/>
      <c r="C83" s="163"/>
      <c r="D83" s="163"/>
      <c r="E83" s="175"/>
      <c r="F83" s="175"/>
      <c r="G83" s="130"/>
      <c r="H83" s="222" t="str">
        <f t="shared" si="7"/>
        <v/>
      </c>
      <c r="I83" s="222" t="str">
        <f t="shared" si="8"/>
        <v/>
      </c>
      <c r="J83" s="67"/>
      <c r="K83" s="67"/>
      <c r="L83" s="361" t="s">
        <v>1238</v>
      </c>
      <c r="M83" s="294">
        <f t="shared" si="9"/>
        <v>0</v>
      </c>
      <c r="N83" s="176"/>
      <c r="O83" s="163"/>
      <c r="P83" s="163"/>
      <c r="Q83" s="175"/>
      <c r="R83" s="175"/>
      <c r="S83" s="130"/>
      <c r="T83" s="223" t="str">
        <f t="shared" si="10"/>
        <v/>
      </c>
      <c r="U83" s="222" t="str">
        <f t="shared" si="11"/>
        <v/>
      </c>
      <c r="V83" s="362" t="s">
        <v>1238</v>
      </c>
      <c r="W83" s="72"/>
    </row>
    <row r="84" spans="1:23" x14ac:dyDescent="0.2">
      <c r="A84" s="293">
        <f t="shared" si="6"/>
        <v>0</v>
      </c>
      <c r="B84" s="163"/>
      <c r="C84" s="163"/>
      <c r="D84" s="163"/>
      <c r="E84" s="175"/>
      <c r="F84" s="175"/>
      <c r="G84" s="130"/>
      <c r="H84" s="222" t="str">
        <f t="shared" si="7"/>
        <v/>
      </c>
      <c r="I84" s="222" t="str">
        <f t="shared" si="8"/>
        <v/>
      </c>
      <c r="J84" s="67"/>
      <c r="K84" s="67"/>
      <c r="L84" s="361" t="s">
        <v>1238</v>
      </c>
      <c r="M84" s="294">
        <f t="shared" si="9"/>
        <v>0</v>
      </c>
      <c r="N84" s="176"/>
      <c r="O84" s="163"/>
      <c r="P84" s="163"/>
      <c r="Q84" s="175"/>
      <c r="R84" s="175"/>
      <c r="S84" s="130"/>
      <c r="T84" s="223" t="str">
        <f t="shared" si="10"/>
        <v/>
      </c>
      <c r="U84" s="222" t="str">
        <f t="shared" si="11"/>
        <v/>
      </c>
      <c r="V84" s="362" t="s">
        <v>1238</v>
      </c>
      <c r="W84" s="72"/>
    </row>
    <row r="85" spans="1:23" x14ac:dyDescent="0.2">
      <c r="A85" s="293">
        <f t="shared" si="6"/>
        <v>0</v>
      </c>
      <c r="B85" s="163"/>
      <c r="C85" s="163"/>
      <c r="D85" s="163"/>
      <c r="E85" s="175"/>
      <c r="F85" s="175"/>
      <c r="G85" s="130"/>
      <c r="H85" s="222" t="str">
        <f t="shared" si="7"/>
        <v/>
      </c>
      <c r="I85" s="222" t="str">
        <f t="shared" si="8"/>
        <v/>
      </c>
      <c r="J85" s="67"/>
      <c r="K85" s="67"/>
      <c r="L85" s="361" t="s">
        <v>1238</v>
      </c>
      <c r="M85" s="294">
        <f t="shared" si="9"/>
        <v>0</v>
      </c>
      <c r="N85" s="176"/>
      <c r="O85" s="163"/>
      <c r="P85" s="163"/>
      <c r="Q85" s="175"/>
      <c r="R85" s="175"/>
      <c r="S85" s="130"/>
      <c r="T85" s="223" t="str">
        <f t="shared" si="10"/>
        <v/>
      </c>
      <c r="U85" s="222" t="str">
        <f t="shared" si="11"/>
        <v/>
      </c>
      <c r="V85" s="362" t="s">
        <v>1238</v>
      </c>
      <c r="W85" s="72"/>
    </row>
    <row r="86" spans="1:23" x14ac:dyDescent="0.2">
      <c r="A86" s="293">
        <f t="shared" si="6"/>
        <v>0</v>
      </c>
      <c r="B86" s="163"/>
      <c r="C86" s="163"/>
      <c r="D86" s="163"/>
      <c r="E86" s="175"/>
      <c r="F86" s="175"/>
      <c r="G86" s="130"/>
      <c r="H86" s="222" t="str">
        <f t="shared" si="7"/>
        <v/>
      </c>
      <c r="I86" s="222" t="str">
        <f t="shared" si="8"/>
        <v/>
      </c>
      <c r="J86" s="67"/>
      <c r="K86" s="67"/>
      <c r="L86" s="361" t="s">
        <v>1238</v>
      </c>
      <c r="M86" s="294">
        <f t="shared" si="9"/>
        <v>0</v>
      </c>
      <c r="N86" s="176"/>
      <c r="O86" s="163"/>
      <c r="P86" s="163"/>
      <c r="Q86" s="175"/>
      <c r="R86" s="175"/>
      <c r="S86" s="130"/>
      <c r="T86" s="223" t="str">
        <f t="shared" si="10"/>
        <v/>
      </c>
      <c r="U86" s="222" t="str">
        <f t="shared" si="11"/>
        <v/>
      </c>
      <c r="V86" s="362" t="s">
        <v>1238</v>
      </c>
      <c r="W86" s="72"/>
    </row>
    <row r="87" spans="1:23" x14ac:dyDescent="0.2">
      <c r="A87" s="293">
        <f t="shared" si="6"/>
        <v>0</v>
      </c>
      <c r="B87" s="163"/>
      <c r="C87" s="163"/>
      <c r="D87" s="163"/>
      <c r="E87" s="175"/>
      <c r="F87" s="175"/>
      <c r="G87" s="130"/>
      <c r="H87" s="222" t="str">
        <f t="shared" si="7"/>
        <v/>
      </c>
      <c r="I87" s="222" t="str">
        <f t="shared" si="8"/>
        <v/>
      </c>
      <c r="J87" s="67"/>
      <c r="K87" s="67"/>
      <c r="L87" s="361" t="s">
        <v>1238</v>
      </c>
      <c r="M87" s="294">
        <f t="shared" si="9"/>
        <v>0</v>
      </c>
      <c r="N87" s="176"/>
      <c r="O87" s="163"/>
      <c r="P87" s="163"/>
      <c r="Q87" s="175"/>
      <c r="R87" s="175"/>
      <c r="S87" s="130"/>
      <c r="T87" s="223" t="str">
        <f t="shared" si="10"/>
        <v/>
      </c>
      <c r="U87" s="222" t="str">
        <f t="shared" si="11"/>
        <v/>
      </c>
      <c r="V87" s="362" t="s">
        <v>1238</v>
      </c>
      <c r="W87" s="72"/>
    </row>
    <row r="88" spans="1:23" x14ac:dyDescent="0.2">
      <c r="A88" s="293">
        <f t="shared" si="6"/>
        <v>0</v>
      </c>
      <c r="B88" s="163"/>
      <c r="C88" s="163"/>
      <c r="D88" s="163"/>
      <c r="E88" s="175"/>
      <c r="F88" s="175"/>
      <c r="G88" s="130"/>
      <c r="H88" s="222" t="str">
        <f t="shared" si="7"/>
        <v/>
      </c>
      <c r="I88" s="222" t="str">
        <f t="shared" si="8"/>
        <v/>
      </c>
      <c r="J88" s="67"/>
      <c r="K88" s="67"/>
      <c r="L88" s="361" t="s">
        <v>1238</v>
      </c>
      <c r="M88" s="294">
        <f t="shared" si="9"/>
        <v>0</v>
      </c>
      <c r="N88" s="176"/>
      <c r="O88" s="163"/>
      <c r="P88" s="163"/>
      <c r="Q88" s="175"/>
      <c r="R88" s="175"/>
      <c r="S88" s="130"/>
      <c r="T88" s="223" t="str">
        <f t="shared" si="10"/>
        <v/>
      </c>
      <c r="U88" s="222" t="str">
        <f t="shared" si="11"/>
        <v/>
      </c>
      <c r="V88" s="362" t="s">
        <v>1238</v>
      </c>
      <c r="W88" s="72"/>
    </row>
    <row r="89" spans="1:23" x14ac:dyDescent="0.2">
      <c r="A89" s="293">
        <f t="shared" si="6"/>
        <v>0</v>
      </c>
      <c r="B89" s="163"/>
      <c r="C89" s="163"/>
      <c r="D89" s="163"/>
      <c r="E89" s="175"/>
      <c r="F89" s="175"/>
      <c r="G89" s="130"/>
      <c r="H89" s="222" t="str">
        <f t="shared" si="7"/>
        <v/>
      </c>
      <c r="I89" s="222" t="str">
        <f t="shared" si="8"/>
        <v/>
      </c>
      <c r="J89" s="67"/>
      <c r="K89" s="67"/>
      <c r="L89" s="361" t="s">
        <v>1238</v>
      </c>
      <c r="M89" s="294">
        <f t="shared" si="9"/>
        <v>0</v>
      </c>
      <c r="N89" s="176"/>
      <c r="O89" s="163"/>
      <c r="P89" s="163"/>
      <c r="Q89" s="175"/>
      <c r="R89" s="175"/>
      <c r="S89" s="130"/>
      <c r="T89" s="223" t="str">
        <f t="shared" si="10"/>
        <v/>
      </c>
      <c r="U89" s="222" t="str">
        <f t="shared" si="11"/>
        <v/>
      </c>
      <c r="V89" s="362" t="s">
        <v>1238</v>
      </c>
      <c r="W89" s="72"/>
    </row>
    <row r="90" spans="1:23" x14ac:dyDescent="0.2">
      <c r="A90" s="293">
        <f t="shared" si="6"/>
        <v>0</v>
      </c>
      <c r="B90" s="163"/>
      <c r="C90" s="163"/>
      <c r="D90" s="163"/>
      <c r="E90" s="175"/>
      <c r="F90" s="175"/>
      <c r="G90" s="130"/>
      <c r="H90" s="222" t="str">
        <f t="shared" si="7"/>
        <v/>
      </c>
      <c r="I90" s="222" t="str">
        <f t="shared" si="8"/>
        <v/>
      </c>
      <c r="J90" s="67"/>
      <c r="K90" s="67"/>
      <c r="L90" s="361" t="s">
        <v>1238</v>
      </c>
      <c r="M90" s="294">
        <f t="shared" si="9"/>
        <v>0</v>
      </c>
      <c r="N90" s="176"/>
      <c r="O90" s="163"/>
      <c r="P90" s="163"/>
      <c r="Q90" s="175"/>
      <c r="R90" s="175"/>
      <c r="S90" s="130"/>
      <c r="T90" s="223" t="str">
        <f t="shared" si="10"/>
        <v/>
      </c>
      <c r="U90" s="222" t="str">
        <f t="shared" si="11"/>
        <v/>
      </c>
      <c r="V90" s="362" t="s">
        <v>1238</v>
      </c>
      <c r="W90" s="72"/>
    </row>
    <row r="91" spans="1:23" x14ac:dyDescent="0.2">
      <c r="A91" s="293">
        <f t="shared" si="6"/>
        <v>0</v>
      </c>
      <c r="B91" s="163"/>
      <c r="C91" s="163"/>
      <c r="D91" s="163"/>
      <c r="E91" s="175"/>
      <c r="F91" s="175"/>
      <c r="G91" s="130"/>
      <c r="H91" s="222" t="str">
        <f t="shared" si="7"/>
        <v/>
      </c>
      <c r="I91" s="222" t="str">
        <f t="shared" si="8"/>
        <v/>
      </c>
      <c r="J91" s="67"/>
      <c r="K91" s="67"/>
      <c r="L91" s="361" t="s">
        <v>1238</v>
      </c>
      <c r="M91" s="294">
        <f t="shared" si="9"/>
        <v>0</v>
      </c>
      <c r="N91" s="176"/>
      <c r="O91" s="163"/>
      <c r="P91" s="163"/>
      <c r="Q91" s="175"/>
      <c r="R91" s="175"/>
      <c r="S91" s="130"/>
      <c r="T91" s="223" t="str">
        <f t="shared" si="10"/>
        <v/>
      </c>
      <c r="U91" s="222" t="str">
        <f t="shared" si="11"/>
        <v/>
      </c>
      <c r="V91" s="362" t="s">
        <v>1238</v>
      </c>
      <c r="W91" s="72"/>
    </row>
    <row r="92" spans="1:23" x14ac:dyDescent="0.2">
      <c r="A92" s="293">
        <f t="shared" si="6"/>
        <v>0</v>
      </c>
      <c r="B92" s="163"/>
      <c r="C92" s="163"/>
      <c r="D92" s="163"/>
      <c r="E92" s="175"/>
      <c r="F92" s="175"/>
      <c r="G92" s="130"/>
      <c r="H92" s="222" t="str">
        <f t="shared" si="7"/>
        <v/>
      </c>
      <c r="I92" s="222" t="str">
        <f t="shared" si="8"/>
        <v/>
      </c>
      <c r="J92" s="67"/>
      <c r="K92" s="67"/>
      <c r="L92" s="361" t="s">
        <v>1238</v>
      </c>
      <c r="M92" s="294">
        <f t="shared" si="9"/>
        <v>0</v>
      </c>
      <c r="N92" s="176"/>
      <c r="O92" s="163"/>
      <c r="P92" s="163"/>
      <c r="Q92" s="175"/>
      <c r="R92" s="175"/>
      <c r="S92" s="130"/>
      <c r="T92" s="223" t="str">
        <f t="shared" si="10"/>
        <v/>
      </c>
      <c r="U92" s="222" t="str">
        <f t="shared" si="11"/>
        <v/>
      </c>
      <c r="V92" s="362" t="s">
        <v>1238</v>
      </c>
      <c r="W92" s="72"/>
    </row>
    <row r="93" spans="1:23" x14ac:dyDescent="0.2">
      <c r="A93" s="293">
        <f t="shared" si="6"/>
        <v>0</v>
      </c>
      <c r="B93" s="163"/>
      <c r="C93" s="163"/>
      <c r="D93" s="163"/>
      <c r="E93" s="175"/>
      <c r="F93" s="175"/>
      <c r="G93" s="130"/>
      <c r="H93" s="222" t="str">
        <f t="shared" si="7"/>
        <v/>
      </c>
      <c r="I93" s="222" t="str">
        <f t="shared" si="8"/>
        <v/>
      </c>
      <c r="J93" s="67"/>
      <c r="K93" s="67"/>
      <c r="L93" s="361" t="s">
        <v>1238</v>
      </c>
      <c r="M93" s="294">
        <f t="shared" si="9"/>
        <v>0</v>
      </c>
      <c r="N93" s="176"/>
      <c r="O93" s="163"/>
      <c r="P93" s="163"/>
      <c r="Q93" s="175"/>
      <c r="R93" s="175"/>
      <c r="S93" s="130"/>
      <c r="T93" s="223" t="str">
        <f t="shared" si="10"/>
        <v/>
      </c>
      <c r="U93" s="222" t="str">
        <f t="shared" si="11"/>
        <v/>
      </c>
      <c r="V93" s="362" t="s">
        <v>1238</v>
      </c>
      <c r="W93" s="72"/>
    </row>
    <row r="94" spans="1:23" x14ac:dyDescent="0.2">
      <c r="A94" s="293">
        <f t="shared" si="6"/>
        <v>0</v>
      </c>
      <c r="B94" s="163"/>
      <c r="C94" s="163"/>
      <c r="D94" s="163"/>
      <c r="E94" s="175"/>
      <c r="F94" s="175"/>
      <c r="G94" s="130"/>
      <c r="H94" s="222" t="str">
        <f t="shared" si="7"/>
        <v/>
      </c>
      <c r="I94" s="222" t="str">
        <f t="shared" si="8"/>
        <v/>
      </c>
      <c r="J94" s="67"/>
      <c r="K94" s="67"/>
      <c r="L94" s="361" t="s">
        <v>1238</v>
      </c>
      <c r="M94" s="294">
        <f t="shared" si="9"/>
        <v>0</v>
      </c>
      <c r="N94" s="176"/>
      <c r="O94" s="163"/>
      <c r="P94" s="163"/>
      <c r="Q94" s="175"/>
      <c r="R94" s="175"/>
      <c r="S94" s="130"/>
      <c r="T94" s="223" t="str">
        <f t="shared" si="10"/>
        <v/>
      </c>
      <c r="U94" s="222" t="str">
        <f t="shared" si="11"/>
        <v/>
      </c>
      <c r="V94" s="362" t="s">
        <v>1238</v>
      </c>
      <c r="W94" s="72"/>
    </row>
    <row r="95" spans="1:23" x14ac:dyDescent="0.2">
      <c r="A95" s="293">
        <f t="shared" si="6"/>
        <v>0</v>
      </c>
      <c r="B95" s="163"/>
      <c r="C95" s="163"/>
      <c r="D95" s="163"/>
      <c r="E95" s="175"/>
      <c r="F95" s="175"/>
      <c r="G95" s="130"/>
      <c r="H95" s="222" t="str">
        <f t="shared" si="7"/>
        <v/>
      </c>
      <c r="I95" s="222" t="str">
        <f t="shared" si="8"/>
        <v/>
      </c>
      <c r="J95" s="67"/>
      <c r="K95" s="67"/>
      <c r="L95" s="361" t="s">
        <v>1238</v>
      </c>
      <c r="M95" s="294">
        <f t="shared" si="9"/>
        <v>0</v>
      </c>
      <c r="N95" s="176"/>
      <c r="O95" s="163"/>
      <c r="P95" s="163"/>
      <c r="Q95" s="175"/>
      <c r="R95" s="175"/>
      <c r="S95" s="130"/>
      <c r="T95" s="223" t="str">
        <f t="shared" si="10"/>
        <v/>
      </c>
      <c r="U95" s="222" t="str">
        <f t="shared" si="11"/>
        <v/>
      </c>
      <c r="V95" s="362" t="s">
        <v>1238</v>
      </c>
      <c r="W95" s="72"/>
    </row>
    <row r="96" spans="1:23" x14ac:dyDescent="0.2">
      <c r="A96" s="293">
        <f t="shared" si="6"/>
        <v>0</v>
      </c>
      <c r="B96" s="163"/>
      <c r="C96" s="163"/>
      <c r="D96" s="163"/>
      <c r="E96" s="175"/>
      <c r="F96" s="175"/>
      <c r="G96" s="130"/>
      <c r="H96" s="222" t="str">
        <f t="shared" si="7"/>
        <v/>
      </c>
      <c r="I96" s="222" t="str">
        <f t="shared" si="8"/>
        <v/>
      </c>
      <c r="J96" s="67"/>
      <c r="K96" s="67"/>
      <c r="L96" s="361" t="s">
        <v>1238</v>
      </c>
      <c r="M96" s="294">
        <f t="shared" si="9"/>
        <v>0</v>
      </c>
      <c r="N96" s="176"/>
      <c r="O96" s="163"/>
      <c r="P96" s="163"/>
      <c r="Q96" s="175"/>
      <c r="R96" s="175"/>
      <c r="S96" s="130"/>
      <c r="T96" s="223" t="str">
        <f t="shared" si="10"/>
        <v/>
      </c>
      <c r="U96" s="222" t="str">
        <f t="shared" si="11"/>
        <v/>
      </c>
      <c r="V96" s="362" t="s">
        <v>1238</v>
      </c>
      <c r="W96" s="72"/>
    </row>
    <row r="97" spans="1:23" x14ac:dyDescent="0.2">
      <c r="A97" s="293">
        <f t="shared" si="6"/>
        <v>0</v>
      </c>
      <c r="B97" s="163"/>
      <c r="C97" s="163"/>
      <c r="D97" s="163"/>
      <c r="E97" s="175"/>
      <c r="F97" s="175"/>
      <c r="G97" s="130"/>
      <c r="H97" s="222" t="str">
        <f t="shared" si="7"/>
        <v/>
      </c>
      <c r="I97" s="222" t="str">
        <f t="shared" si="8"/>
        <v/>
      </c>
      <c r="J97" s="67"/>
      <c r="K97" s="67"/>
      <c r="L97" s="361" t="s">
        <v>1238</v>
      </c>
      <c r="M97" s="294">
        <f t="shared" si="9"/>
        <v>0</v>
      </c>
      <c r="N97" s="176"/>
      <c r="O97" s="163"/>
      <c r="P97" s="163"/>
      <c r="Q97" s="175"/>
      <c r="R97" s="175"/>
      <c r="S97" s="130"/>
      <c r="T97" s="223" t="str">
        <f t="shared" si="10"/>
        <v/>
      </c>
      <c r="U97" s="222" t="str">
        <f t="shared" si="11"/>
        <v/>
      </c>
      <c r="V97" s="362" t="s">
        <v>1238</v>
      </c>
      <c r="W97" s="72"/>
    </row>
    <row r="98" spans="1:23" x14ac:dyDescent="0.2">
      <c r="A98" s="293">
        <f t="shared" si="6"/>
        <v>0</v>
      </c>
      <c r="B98" s="163"/>
      <c r="C98" s="163"/>
      <c r="D98" s="163"/>
      <c r="E98" s="175"/>
      <c r="F98" s="175"/>
      <c r="G98" s="130"/>
      <c r="H98" s="222" t="str">
        <f t="shared" si="7"/>
        <v/>
      </c>
      <c r="I98" s="222" t="str">
        <f t="shared" si="8"/>
        <v/>
      </c>
      <c r="J98" s="67"/>
      <c r="K98" s="67"/>
      <c r="L98" s="361" t="s">
        <v>1238</v>
      </c>
      <c r="M98" s="294">
        <f t="shared" si="9"/>
        <v>0</v>
      </c>
      <c r="N98" s="176"/>
      <c r="O98" s="163"/>
      <c r="P98" s="163"/>
      <c r="Q98" s="175"/>
      <c r="R98" s="175"/>
      <c r="S98" s="130"/>
      <c r="T98" s="223" t="str">
        <f t="shared" si="10"/>
        <v/>
      </c>
      <c r="U98" s="222" t="str">
        <f t="shared" si="11"/>
        <v/>
      </c>
      <c r="V98" s="362" t="s">
        <v>1238</v>
      </c>
      <c r="W98" s="72"/>
    </row>
    <row r="99" spans="1:23" x14ac:dyDescent="0.2">
      <c r="A99" s="293">
        <f t="shared" si="6"/>
        <v>0</v>
      </c>
      <c r="B99" s="163"/>
      <c r="C99" s="163"/>
      <c r="D99" s="163"/>
      <c r="E99" s="175"/>
      <c r="F99" s="175"/>
      <c r="G99" s="130"/>
      <c r="H99" s="222" t="str">
        <f t="shared" si="7"/>
        <v/>
      </c>
      <c r="I99" s="222" t="str">
        <f t="shared" si="8"/>
        <v/>
      </c>
      <c r="J99" s="67"/>
      <c r="K99" s="67"/>
      <c r="L99" s="361" t="s">
        <v>1238</v>
      </c>
      <c r="M99" s="294">
        <f t="shared" si="9"/>
        <v>0</v>
      </c>
      <c r="N99" s="176"/>
      <c r="O99" s="163"/>
      <c r="P99" s="163"/>
      <c r="Q99" s="175"/>
      <c r="R99" s="175"/>
      <c r="S99" s="130"/>
      <c r="T99" s="223" t="str">
        <f t="shared" si="10"/>
        <v/>
      </c>
      <c r="U99" s="222" t="str">
        <f t="shared" si="11"/>
        <v/>
      </c>
      <c r="V99" s="362" t="s">
        <v>1238</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1238</v>
      </c>
      <c r="M100" s="294">
        <f t="shared" si="9"/>
        <v>0</v>
      </c>
      <c r="N100" s="176"/>
      <c r="O100" s="163"/>
      <c r="P100" s="163"/>
      <c r="Q100" s="175"/>
      <c r="R100" s="175"/>
      <c r="S100" s="130"/>
      <c r="T100" s="223" t="str">
        <f t="shared" si="10"/>
        <v/>
      </c>
      <c r="U100" s="222" t="str">
        <f t="shared" si="11"/>
        <v/>
      </c>
      <c r="V100" s="362" t="s">
        <v>1238</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1238</v>
      </c>
      <c r="M101" s="294">
        <f t="shared" si="9"/>
        <v>0</v>
      </c>
      <c r="N101" s="176"/>
      <c r="O101" s="163"/>
      <c r="P101" s="163"/>
      <c r="Q101" s="175"/>
      <c r="R101" s="175"/>
      <c r="S101" s="130"/>
      <c r="T101" s="223" t="str">
        <f t="shared" si="10"/>
        <v/>
      </c>
      <c r="U101" s="222" t="str">
        <f t="shared" si="11"/>
        <v/>
      </c>
      <c r="V101" s="362" t="s">
        <v>1238</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1238</v>
      </c>
      <c r="M102" s="294">
        <f t="shared" si="9"/>
        <v>0</v>
      </c>
      <c r="N102" s="176"/>
      <c r="O102" s="163"/>
      <c r="P102" s="163"/>
      <c r="Q102" s="175"/>
      <c r="R102" s="175"/>
      <c r="S102" s="130"/>
      <c r="T102" s="223" t="str">
        <f t="shared" si="10"/>
        <v/>
      </c>
      <c r="U102" s="222" t="str">
        <f t="shared" si="11"/>
        <v/>
      </c>
      <c r="V102" s="362" t="s">
        <v>1238</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1238</v>
      </c>
      <c r="M103" s="294">
        <f t="shared" si="9"/>
        <v>0</v>
      </c>
      <c r="N103" s="176"/>
      <c r="O103" s="163"/>
      <c r="P103" s="163"/>
      <c r="Q103" s="175"/>
      <c r="R103" s="175"/>
      <c r="S103" s="130"/>
      <c r="T103" s="223" t="str">
        <f t="shared" si="10"/>
        <v/>
      </c>
      <c r="U103" s="222" t="str">
        <f t="shared" si="11"/>
        <v/>
      </c>
      <c r="V103" s="362" t="s">
        <v>1238</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1238</v>
      </c>
      <c r="M104" s="294">
        <f t="shared" si="9"/>
        <v>0</v>
      </c>
      <c r="N104" s="176"/>
      <c r="O104" s="163"/>
      <c r="P104" s="163"/>
      <c r="Q104" s="175"/>
      <c r="R104" s="175"/>
      <c r="S104" s="130"/>
      <c r="T104" s="223" t="str">
        <f t="shared" si="10"/>
        <v/>
      </c>
      <c r="U104" s="222" t="str">
        <f t="shared" si="11"/>
        <v/>
      </c>
      <c r="V104" s="362" t="s">
        <v>1238</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1238</v>
      </c>
      <c r="M105" s="294">
        <f t="shared" si="9"/>
        <v>0</v>
      </c>
      <c r="N105" s="176"/>
      <c r="O105" s="163"/>
      <c r="P105" s="163"/>
      <c r="Q105" s="175"/>
      <c r="R105" s="175"/>
      <c r="S105" s="130"/>
      <c r="T105" s="223" t="str">
        <f t="shared" si="10"/>
        <v/>
      </c>
      <c r="U105" s="222" t="str">
        <f t="shared" si="11"/>
        <v/>
      </c>
      <c r="V105" s="362" t="s">
        <v>1238</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1238</v>
      </c>
      <c r="M106" s="294">
        <f t="shared" si="9"/>
        <v>0</v>
      </c>
      <c r="N106" s="176"/>
      <c r="O106" s="163"/>
      <c r="P106" s="163"/>
      <c r="Q106" s="175"/>
      <c r="R106" s="175"/>
      <c r="S106" s="130"/>
      <c r="T106" s="223" t="str">
        <f t="shared" si="10"/>
        <v/>
      </c>
      <c r="U106" s="222" t="str">
        <f t="shared" si="11"/>
        <v/>
      </c>
      <c r="V106" s="362" t="s">
        <v>1238</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1238</v>
      </c>
      <c r="M107" s="294">
        <f t="shared" si="9"/>
        <v>0</v>
      </c>
      <c r="N107" s="176"/>
      <c r="O107" s="163"/>
      <c r="P107" s="163"/>
      <c r="Q107" s="175"/>
      <c r="R107" s="175"/>
      <c r="S107" s="130"/>
      <c r="T107" s="223" t="str">
        <f t="shared" si="10"/>
        <v/>
      </c>
      <c r="U107" s="222" t="str">
        <f t="shared" si="11"/>
        <v/>
      </c>
      <c r="V107" s="362" t="s">
        <v>1238</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1238</v>
      </c>
      <c r="M108" s="294">
        <f t="shared" si="9"/>
        <v>0</v>
      </c>
      <c r="N108" s="176"/>
      <c r="O108" s="163"/>
      <c r="P108" s="163"/>
      <c r="Q108" s="175"/>
      <c r="R108" s="175"/>
      <c r="S108" s="130"/>
      <c r="T108" s="223" t="str">
        <f t="shared" si="10"/>
        <v/>
      </c>
      <c r="U108" s="222" t="str">
        <f t="shared" si="11"/>
        <v/>
      </c>
      <c r="V108" s="362" t="s">
        <v>1238</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1238</v>
      </c>
      <c r="M109" s="294">
        <f t="shared" si="9"/>
        <v>0</v>
      </c>
      <c r="N109" s="176"/>
      <c r="O109" s="163"/>
      <c r="P109" s="163"/>
      <c r="Q109" s="175"/>
      <c r="R109" s="175"/>
      <c r="S109" s="130"/>
      <c r="T109" s="223" t="str">
        <f t="shared" si="10"/>
        <v/>
      </c>
      <c r="U109" s="222" t="str">
        <f t="shared" si="11"/>
        <v/>
      </c>
      <c r="V109" s="362" t="s">
        <v>1238</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1238</v>
      </c>
      <c r="M110" s="294">
        <f t="shared" si="9"/>
        <v>0</v>
      </c>
      <c r="N110" s="176"/>
      <c r="O110" s="163"/>
      <c r="P110" s="163"/>
      <c r="Q110" s="175"/>
      <c r="R110" s="175"/>
      <c r="S110" s="130"/>
      <c r="T110" s="223" t="str">
        <f t="shared" si="10"/>
        <v/>
      </c>
      <c r="U110" s="222" t="str">
        <f t="shared" si="11"/>
        <v/>
      </c>
      <c r="V110" s="362" t="s">
        <v>1238</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1238</v>
      </c>
      <c r="M111" s="294">
        <f t="shared" si="9"/>
        <v>0</v>
      </c>
      <c r="N111" s="176"/>
      <c r="O111" s="163"/>
      <c r="P111" s="163"/>
      <c r="Q111" s="175"/>
      <c r="R111" s="175"/>
      <c r="S111" s="130"/>
      <c r="T111" s="223" t="str">
        <f t="shared" si="10"/>
        <v/>
      </c>
      <c r="U111" s="222" t="str">
        <f t="shared" si="11"/>
        <v/>
      </c>
      <c r="V111" s="362" t="s">
        <v>1238</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1238</v>
      </c>
      <c r="M112" s="294">
        <f t="shared" si="9"/>
        <v>0</v>
      </c>
      <c r="N112" s="176"/>
      <c r="O112" s="163"/>
      <c r="P112" s="163"/>
      <c r="Q112" s="175"/>
      <c r="R112" s="175"/>
      <c r="S112" s="130"/>
      <c r="T112" s="223" t="str">
        <f t="shared" si="10"/>
        <v/>
      </c>
      <c r="U112" s="222" t="str">
        <f t="shared" si="11"/>
        <v/>
      </c>
      <c r="V112" s="362" t="s">
        <v>1238</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1238</v>
      </c>
      <c r="M113" s="294">
        <f t="shared" si="9"/>
        <v>0</v>
      </c>
      <c r="N113" s="176"/>
      <c r="O113" s="163"/>
      <c r="P113" s="163"/>
      <c r="Q113" s="175"/>
      <c r="R113" s="175"/>
      <c r="S113" s="130"/>
      <c r="T113" s="223" t="str">
        <f t="shared" si="10"/>
        <v/>
      </c>
      <c r="U113" s="222" t="str">
        <f t="shared" si="11"/>
        <v/>
      </c>
      <c r="V113" s="362" t="s">
        <v>1238</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1238</v>
      </c>
      <c r="M114" s="294">
        <f t="shared" si="9"/>
        <v>0</v>
      </c>
      <c r="N114" s="176"/>
      <c r="O114" s="163"/>
      <c r="P114" s="163"/>
      <c r="Q114" s="175"/>
      <c r="R114" s="175"/>
      <c r="S114" s="130"/>
      <c r="T114" s="223" t="str">
        <f t="shared" si="10"/>
        <v/>
      </c>
      <c r="U114" s="222" t="str">
        <f t="shared" si="11"/>
        <v/>
      </c>
      <c r="V114" s="362" t="s">
        <v>1238</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1238</v>
      </c>
      <c r="M115" s="294">
        <f t="shared" si="9"/>
        <v>0</v>
      </c>
      <c r="N115" s="176"/>
      <c r="O115" s="163"/>
      <c r="P115" s="163"/>
      <c r="Q115" s="175"/>
      <c r="R115" s="175"/>
      <c r="S115" s="130"/>
      <c r="T115" s="223" t="str">
        <f t="shared" si="10"/>
        <v/>
      </c>
      <c r="U115" s="222" t="str">
        <f t="shared" si="11"/>
        <v/>
      </c>
      <c r="V115" s="362" t="s">
        <v>1238</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1238</v>
      </c>
      <c r="M116" s="294">
        <f t="shared" si="9"/>
        <v>0</v>
      </c>
      <c r="N116" s="176"/>
      <c r="O116" s="163"/>
      <c r="P116" s="163"/>
      <c r="Q116" s="175"/>
      <c r="R116" s="175"/>
      <c r="S116" s="130"/>
      <c r="T116" s="223" t="str">
        <f t="shared" si="10"/>
        <v/>
      </c>
      <c r="U116" s="222" t="str">
        <f t="shared" si="11"/>
        <v/>
      </c>
      <c r="V116" s="362" t="s">
        <v>1238</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44511</v>
      </c>
      <c r="F3" s="111"/>
    </row>
    <row r="4" spans="1:19" x14ac:dyDescent="0.2">
      <c r="B4" s="139" t="s">
        <v>437</v>
      </c>
      <c r="C4" s="139"/>
      <c r="D4" s="271">
        <f ca="1">IF(Capacity!C4="",DATE(YEAR(D3)+1,MONTH(D3),DAY(D3))-1,Capacity!C4)</f>
        <v>44875</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8" t="s">
        <v>475</v>
      </c>
      <c r="E8" s="428"/>
      <c r="F8" s="428"/>
      <c r="G8" s="428"/>
      <c r="H8" s="428"/>
      <c r="I8" s="428"/>
      <c r="J8" s="428"/>
      <c r="K8" s="428"/>
      <c r="L8" s="108"/>
      <c r="M8" s="106"/>
      <c r="N8" s="106"/>
      <c r="O8" s="108"/>
      <c r="P8" s="106"/>
      <c r="Q8" s="106"/>
      <c r="S8" s="78"/>
    </row>
    <row r="10" spans="1:19" x14ac:dyDescent="0.2">
      <c r="D10" s="426" t="s">
        <v>444</v>
      </c>
      <c r="E10" s="427"/>
      <c r="F10" s="112"/>
      <c r="G10" s="424" t="s">
        <v>445</v>
      </c>
      <c r="H10" s="425"/>
      <c r="I10" s="112"/>
      <c r="J10" s="426" t="s">
        <v>446</v>
      </c>
      <c r="K10" s="427"/>
      <c r="L10" s="112"/>
      <c r="M10" s="424" t="s">
        <v>447</v>
      </c>
      <c r="N10" s="425"/>
      <c r="O10" s="112"/>
      <c r="P10" s="426" t="s">
        <v>448</v>
      </c>
      <c r="Q10" s="427"/>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1254</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1255</v>
      </c>
      <c r="D13" s="174">
        <v>43815</v>
      </c>
      <c r="E13" s="174">
        <v>43849</v>
      </c>
      <c r="F13" s="111"/>
      <c r="G13" s="174"/>
      <c r="H13" s="174"/>
      <c r="J13" s="174"/>
      <c r="K13" s="174"/>
      <c r="M13" s="174"/>
      <c r="N13" s="174"/>
      <c r="P13" s="174"/>
      <c r="Q13" s="174"/>
    </row>
    <row r="14" spans="1:19" x14ac:dyDescent="0.2">
      <c r="A14" s="74">
        <f t="shared" si="0"/>
        <v>3</v>
      </c>
      <c r="B14" s="172" t="s">
        <v>1256</v>
      </c>
      <c r="D14" s="174">
        <v>43682</v>
      </c>
      <c r="E14" s="174">
        <v>43723</v>
      </c>
      <c r="F14" s="111"/>
      <c r="G14" s="174"/>
      <c r="H14" s="174"/>
      <c r="J14" s="174"/>
      <c r="K14" s="174"/>
      <c r="M14" s="174"/>
      <c r="N14" s="174"/>
      <c r="P14" s="174"/>
      <c r="Q14" s="174"/>
    </row>
    <row r="15" spans="1:19" x14ac:dyDescent="0.2">
      <c r="A15" s="74">
        <f t="shared" si="0"/>
        <v>4</v>
      </c>
      <c r="B15" s="172" t="s">
        <v>1257</v>
      </c>
      <c r="D15" s="174"/>
      <c r="E15" s="174"/>
      <c r="G15" s="174"/>
      <c r="H15" s="174"/>
      <c r="J15" s="174"/>
      <c r="K15" s="174"/>
      <c r="M15" s="174"/>
      <c r="N15" s="174"/>
      <c r="P15" s="174"/>
      <c r="Q15" s="174"/>
    </row>
    <row r="16" spans="1:19" x14ac:dyDescent="0.2">
      <c r="A16" s="74">
        <f t="shared" si="0"/>
        <v>5</v>
      </c>
      <c r="B16" s="172" t="s">
        <v>1258</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9" t="s">
        <v>473</v>
      </c>
      <c r="C1" s="429"/>
      <c r="D1" s="429"/>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Core Clinic 1</v>
      </c>
      <c r="C12" s="132" t="s">
        <v>1259</v>
      </c>
      <c r="D12" s="132"/>
      <c r="E12" s="132"/>
      <c r="F12" s="215">
        <f>IF(ROW(A1)&lt;=Capacity!$A$16,Capacity!E17,"")</f>
        <v>30</v>
      </c>
      <c r="G12" s="216">
        <f ca="1">IF(ROW(A1)&lt;=Capacity!$A$16,'Capacity calculation (hide)'!BH5,"")</f>
        <v>52</v>
      </c>
      <c r="H12" s="215">
        <f>IF(ROW(A1)&lt;=Capacity!$A$16,Capacity!H17,"")</f>
        <v>210</v>
      </c>
      <c r="I12" s="217">
        <f ca="1">IF(ROW(A1)&lt;=Capacity!$A$16,'Capacity calculation (hide)'!DL5,"")</f>
        <v>210.00000000000011</v>
      </c>
      <c r="J12" s="218" t="str">
        <f ca="1">IFERROR(IF(G12-F12 &lt;0, "Under","Over"),"")</f>
        <v>Over</v>
      </c>
    </row>
    <row r="13" spans="1:11" x14ac:dyDescent="0.2">
      <c r="B13" s="218" t="str">
        <f>IF(Capacity!B18=0,"",Capacity!B18)</f>
        <v>Core Clinic 2</v>
      </c>
      <c r="C13" s="132" t="s">
        <v>1259</v>
      </c>
      <c r="D13" s="132" t="s">
        <v>1260</v>
      </c>
      <c r="E13" s="132"/>
      <c r="F13" s="215">
        <f>IF(ROW(A2)&lt;=Capacity!$A$16,Capacity!E18,"")</f>
        <v>30</v>
      </c>
      <c r="G13" s="216">
        <f ca="1">IF(ROW(A2)&lt;=Capacity!$A$16,'Capacity calculation (hide)'!BH6,"")</f>
        <v>52</v>
      </c>
      <c r="H13" s="215">
        <f>IF(ROW(A2)&lt;=Capacity!$A$16,Capacity!H18,"")</f>
        <v>210</v>
      </c>
      <c r="I13" s="217">
        <f ca="1">IF(ROW(A2)&lt;=Capacity!$A$16,'Capacity calculation (hide)'!DL6,"")</f>
        <v>210.00000000000011</v>
      </c>
      <c r="J13" s="218" t="str">
        <f t="shared" ref="J13:J76" ca="1" si="0">IFERROR(IF(G13-F13 &lt;0, "Under","Over"),"")</f>
        <v>Over</v>
      </c>
    </row>
    <row r="14" spans="1:11" x14ac:dyDescent="0.2">
      <c r="B14" s="218" t="str">
        <f>IF(Capacity!B19=0,"",Capacity!B19)</f>
        <v>Core Clinic 3</v>
      </c>
      <c r="C14" s="132" t="s">
        <v>1260</v>
      </c>
      <c r="D14" s="132" t="s">
        <v>1261</v>
      </c>
      <c r="E14" s="132"/>
      <c r="F14" s="215">
        <f>IF(ROW(A3)&lt;=Capacity!$A$16,Capacity!E19,"")</f>
        <v>21</v>
      </c>
      <c r="G14" s="216">
        <f ca="1">IF(ROW(A3)&lt;=Capacity!$A$16,'Capacity calculation (hide)'!BH7,"")</f>
        <v>52</v>
      </c>
      <c r="H14" s="215">
        <f>IF(ROW(A3)&lt;=Capacity!$A$16,Capacity!H19,"")</f>
        <v>84</v>
      </c>
      <c r="I14" s="217">
        <f ca="1">IF(ROW(A3)&lt;=Capacity!$A$16,'Capacity calculation (hide)'!DL7,"")</f>
        <v>83.999999999999943</v>
      </c>
      <c r="J14" s="218" t="str">
        <f t="shared" ca="1" si="0"/>
        <v>Over</v>
      </c>
    </row>
    <row r="15" spans="1:11" x14ac:dyDescent="0.2">
      <c r="B15" s="218" t="str">
        <f>IF(Capacity!B20=0,"",Capacity!B20)</f>
        <v>Core Clinic 4</v>
      </c>
      <c r="C15" s="132" t="s">
        <v>1261</v>
      </c>
      <c r="D15" s="132"/>
      <c r="E15" s="132"/>
      <c r="F15" s="215">
        <f>IF(ROW(A4)&lt;=Capacity!$A$16,Capacity!E20,"")</f>
        <v>12</v>
      </c>
      <c r="G15" s="216">
        <f ca="1">IF(ROW(A4)&lt;=Capacity!$A$16,'Capacity calculation (hide)'!BH8,"")</f>
        <v>52</v>
      </c>
      <c r="H15" s="215">
        <f>IF(ROW(A4)&lt;=Capacity!$A$16,Capacity!H20,"")</f>
        <v>48</v>
      </c>
      <c r="I15" s="217">
        <f ca="1">IF(ROW(A4)&lt;=Capacity!$A$16,'Capacity calculation (hide)'!DL8,"")</f>
        <v>47.99999999999995</v>
      </c>
      <c r="J15" s="218" t="str">
        <f t="shared" ca="1" si="0"/>
        <v>Over</v>
      </c>
    </row>
    <row r="16" spans="1:11" x14ac:dyDescent="0.2">
      <c r="B16" s="218" t="str">
        <f>IF(Capacity!B21=0,"",Capacity!B21)</f>
        <v>Covid restoration clinic</v>
      </c>
      <c r="C16" s="132"/>
      <c r="D16" s="132"/>
      <c r="E16" s="132"/>
      <c r="F16" s="215">
        <f>IF(ROW(A5)&lt;=Capacity!$A$16,Capacity!E21,"")</f>
        <v>42</v>
      </c>
      <c r="G16" s="216">
        <f ca="1">IF(ROW(A5)&lt;=Capacity!$A$16,'Capacity calculation (hide)'!BH9,"")</f>
        <v>52</v>
      </c>
      <c r="H16" s="215">
        <f>IF(ROW(A5)&lt;=Capacity!$A$16,Capacity!H21,"")</f>
        <v>126</v>
      </c>
      <c r="I16" s="217">
        <f ca="1">IF(ROW(A5)&lt;=Capacity!$A$16,'Capacity calculation (hide)'!DL9,"")</f>
        <v>125.99999999999987</v>
      </c>
      <c r="J16" s="218" t="str">
        <f t="shared" ca="1" si="0"/>
        <v>Over</v>
      </c>
    </row>
    <row r="17" spans="2:10" x14ac:dyDescent="0.2">
      <c r="B17" s="218" t="str">
        <f>IF(Capacity!B22=0,"",Capacity!B22)</f>
        <v>new</v>
      </c>
      <c r="C17" s="132"/>
      <c r="D17" s="132"/>
      <c r="E17" s="132"/>
      <c r="F17" s="215">
        <f>IF(ROW(A6)&lt;=Capacity!$A$16,Capacity!E22,"")</f>
        <v>0</v>
      </c>
      <c r="G17" s="216">
        <f ca="1">IF(ROW(A6)&lt;=Capacity!$A$16,'Capacity calculation (hide)'!BH10,"")</f>
        <v>52</v>
      </c>
      <c r="H17" s="215">
        <f>IF(ROW(A6)&lt;=Capacity!$A$16,Capacity!H22,"")</f>
        <v>0</v>
      </c>
      <c r="I17" s="217">
        <f ca="1">IF(ROW(A6)&lt;=Capacity!$A$16,'Capacity calculation (hide)'!DL10,"")</f>
        <v>0</v>
      </c>
      <c r="J17" s="218" t="str">
        <f t="shared" ca="1" si="0"/>
        <v>Over</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Independent sector 1</v>
      </c>
      <c r="C118" s="132" t="s">
        <v>1261</v>
      </c>
      <c r="D118" s="132"/>
      <c r="E118" s="132"/>
      <c r="F118" s="215">
        <f>IF(ROW(A1)&lt;=Capacity!$M$16,Capacity!Q17,"")</f>
        <v>10</v>
      </c>
      <c r="G118" s="320">
        <f ca="1">IF(ROW(A1)&lt;=Capacity!$M$16,'Capacity calculation (hide)'!BH112,"")</f>
        <v>52</v>
      </c>
      <c r="H118" s="215">
        <f>IF(ROW(A1)&lt;=Capacity!$M$16,Capacity!T17,"")</f>
        <v>50</v>
      </c>
      <c r="I118" s="217">
        <f ca="1">IF(ROW(A1)&lt;=Capacity!$M$16,'Capacity calculation (hide)'!DL111,"")</f>
        <v>112.11538461538454</v>
      </c>
      <c r="J118" s="218" t="str">
        <f ca="1">IFERROR(IF(G118-F118 &lt;0, "Under","Over"),"")</f>
        <v>Over</v>
      </c>
    </row>
    <row r="119" spans="2:10" hidden="1" x14ac:dyDescent="0.2">
      <c r="B119" s="218" t="str">
        <f>IF(Capacity!N18=0,"",Capacity!N18)</f>
        <v>Ad Hoc 2</v>
      </c>
      <c r="C119" s="132" t="s">
        <v>1261</v>
      </c>
      <c r="D119" s="132" t="s">
        <v>1260</v>
      </c>
      <c r="E119" s="132"/>
      <c r="F119" s="215">
        <f>IF(ROW(A2)&lt;=Capacity!$M$16,Capacity!Q18,"")</f>
        <v>12</v>
      </c>
      <c r="G119" s="320">
        <f ca="1">IF(ROW(A2)&lt;=Capacity!$M$16,'Capacity calculation (hide)'!BH113,"")</f>
        <v>52</v>
      </c>
      <c r="H119" s="215">
        <f>IF(ROW(A2)&lt;=Capacity!$M$16,Capacity!T18,"")</f>
        <v>60</v>
      </c>
      <c r="I119" s="217">
        <f ca="1">IF(ROW(A2)&lt;=Capacity!$M$16,'Capacity calculation (hide)'!DL112,"")</f>
        <v>49.999999999999943</v>
      </c>
      <c r="J119" s="218" t="str">
        <f t="shared" ref="J119:J182" ca="1" si="2">IFERROR(IF(G119-F119 &lt;0, "Under","Over"),"")</f>
        <v>Over</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 ca="1">'Capacity calculation (hide)'!DL4</f>
        <v>691.03846153846189</v>
      </c>
      <c r="D4" s="221">
        <f ca="1">'Capacity calculation (hide)'!DL111</f>
        <v>112.11538461538454</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1" t="s">
        <v>57</v>
      </c>
      <c r="D10" s="402"/>
      <c r="E10" s="403"/>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1" t="s">
        <v>57</v>
      </c>
      <c r="D11" s="402"/>
      <c r="E11" s="403"/>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30" t="s">
        <v>1273</v>
      </c>
      <c r="C21" s="433" t="s">
        <v>486</v>
      </c>
      <c r="D21" s="434"/>
      <c r="E21" s="437" t="s">
        <v>483</v>
      </c>
      <c r="F21" s="438"/>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31"/>
      <c r="C22" s="435"/>
      <c r="D22" s="436"/>
      <c r="E22" s="439"/>
      <c r="F22" s="440"/>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32"/>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1243</v>
      </c>
      <c r="BJ23" s="125"/>
      <c r="BK23" s="125"/>
      <c r="BL23" s="125"/>
    </row>
    <row r="24" spans="2:64" hidden="1" x14ac:dyDescent="0.2">
      <c r="B24" s="219" t="str">
        <f>IF(Capacity!N17="","",Capacity!N17)</f>
        <v>Independent sector 1</v>
      </c>
      <c r="C24" s="220">
        <f>IF(B24="","",Capacity!Q17)</f>
        <v>10</v>
      </c>
      <c r="D24" s="309">
        <f>IF(B24="","",Capacity!R17)</f>
        <v>5</v>
      </c>
      <c r="E24" s="220">
        <f>IF(B24="","",IF(COUNTBLANK(H24:BG24)=52,SUM('Capacity calculation (hide)'!H112:BG112),52-COUNTBLANK(H24:BG24)))</f>
        <v>1</v>
      </c>
      <c r="F24" s="310">
        <f ca="1">'Capacity calculation (hide)'!BI112</f>
        <v>0.96153846153846156</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1238</v>
      </c>
      <c r="BH24" s="66"/>
      <c r="BI24" s="342" t="s">
        <v>1238</v>
      </c>
      <c r="BJ24" s="66"/>
      <c r="BK24" s="66"/>
      <c r="BL24" s="66"/>
    </row>
    <row r="25" spans="2:64" hidden="1" x14ac:dyDescent="0.2">
      <c r="B25" s="219" t="str">
        <f>IF(Capacity!N18="","",Capacity!N18)</f>
        <v>Ad Hoc 2</v>
      </c>
      <c r="C25" s="220">
        <f>IF(B25="","",Capacity!Q18)</f>
        <v>12</v>
      </c>
      <c r="D25" s="309">
        <f>IF(B25="","",Capacity!R18)</f>
        <v>5</v>
      </c>
      <c r="E25" s="220">
        <f ca="1">IF(B25="","",IF(COUNTBLANK(H25:BG25)=52,SUM('Capacity calculation (hide)'!H113:BG113),52-COUNTBLANK(H25:BG25)))</f>
        <v>52</v>
      </c>
      <c r="F25" s="310">
        <f ca="1">'Capacity calculation (hide)'!BI113</f>
        <v>1.1538461538461537</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1238</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1238</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1238</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1238</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1238</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1238</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1238</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1238</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1238</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1238</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1238</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1238</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1238</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1238</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1238</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1238</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1238</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1238</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1238</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1238</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1238</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1238</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1238</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1238</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1238</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1238</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1238</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1238</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1238</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1238</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1238</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1238</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1238</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1238</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1238</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1238</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1238</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1238</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1238</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1238</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1238</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1238</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1238</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1238</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1238</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1238</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1238</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1238</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1238</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1238</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1238</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1238</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1238</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1238</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1238</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1238</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1238</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1238</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1238</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1238</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1238</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1238</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1238</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1238</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1238</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1238</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1238</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1238</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1238</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1238</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1238</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1238</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1238</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1238</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1238</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1238</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1238</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1238</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1238</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1238</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1238</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1238</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1238</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1238</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1238</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1238</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1238</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1238</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1238</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1238</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1238</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1238</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1238</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1238</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1238</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1238</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1238</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1238</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1238</v>
      </c>
    </row>
    <row r="124" spans="2:61" x14ac:dyDescent="0.2">
      <c r="B124" s="67" t="str">
        <f>IF(Capacity!B17="","",Capacity!B17)</f>
        <v>Core Clinic 1</v>
      </c>
      <c r="C124" s="220">
        <f>IF(B124="","",Capacity!E17)</f>
        <v>30</v>
      </c>
      <c r="D124" s="309">
        <f>IF(B124="","",Capacity!F17)</f>
        <v>7</v>
      </c>
      <c r="E124" s="220">
        <f ca="1">IF(B124="","",IF(COUNTBLANK(H124:BG124)=52,SUM('Capacity calculation (hide)'!H5:BG5),52-COUNTBLANK(H124:BG124)))</f>
        <v>52</v>
      </c>
      <c r="F124" s="310">
        <f ca="1">'Capacity calculation (hide)'!BI5</f>
        <v>4.0384615384615383</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1238</v>
      </c>
    </row>
    <row r="125" spans="2:61" x14ac:dyDescent="0.2">
      <c r="B125" s="67" t="str">
        <f>IF(Capacity!B18="","",Capacity!B18)</f>
        <v>Core Clinic 2</v>
      </c>
      <c r="C125" s="220">
        <f>IF(B125="","",Capacity!E18)</f>
        <v>30</v>
      </c>
      <c r="D125" s="309">
        <f>IF(B125="","",Capacity!F18)</f>
        <v>7</v>
      </c>
      <c r="E125" s="220">
        <f ca="1">IF(B125="","",IF(COUNTBLANK(H125:BG125)=52,SUM('Capacity calculation (hide)'!H6:BG6),52-COUNTBLANK(H125:BG125)))</f>
        <v>52</v>
      </c>
      <c r="F125" s="310">
        <f ca="1">'Capacity calculation (hide)'!BI6</f>
        <v>4.0384615384615383</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1238</v>
      </c>
    </row>
    <row r="126" spans="2:61" x14ac:dyDescent="0.2">
      <c r="B126" s="67" t="str">
        <f>IF(Capacity!B19="","",Capacity!B19)</f>
        <v>Core Clinic 3</v>
      </c>
      <c r="C126" s="220">
        <f>IF(B126="","",Capacity!E19)</f>
        <v>21</v>
      </c>
      <c r="D126" s="309">
        <f>IF(B126="","",Capacity!F19)</f>
        <v>4</v>
      </c>
      <c r="E126" s="220">
        <f ca="1">IF(B126="","",IF(COUNTBLANK(H126:BG126)=52,SUM('Capacity calculation (hide)'!H7:BG7),52-COUNTBLANK(H126:BG126)))</f>
        <v>52</v>
      </c>
      <c r="F126" s="310">
        <f ca="1">'Capacity calculation (hide)'!BI7</f>
        <v>1.6153846153846154</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1238</v>
      </c>
    </row>
    <row r="127" spans="2:61" x14ac:dyDescent="0.2">
      <c r="B127" s="67" t="str">
        <f>IF(Capacity!B20="","",Capacity!B20)</f>
        <v>Core Clinic 4</v>
      </c>
      <c r="C127" s="220">
        <f>IF(B127="","",Capacity!E20)</f>
        <v>12</v>
      </c>
      <c r="D127" s="309">
        <f>IF(B127="","",Capacity!F20)</f>
        <v>4</v>
      </c>
      <c r="E127" s="220">
        <f ca="1">IF(B127="","",IF(COUNTBLANK(H127:BG127)=52,SUM('Capacity calculation (hide)'!H8:BG8),52-COUNTBLANK(H127:BG127)))</f>
        <v>52</v>
      </c>
      <c r="F127" s="310">
        <f ca="1">'Capacity calculation (hide)'!BI8</f>
        <v>0.92307692307692313</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1238</v>
      </c>
    </row>
    <row r="128" spans="2:61" x14ac:dyDescent="0.2">
      <c r="B128" s="67" t="str">
        <f>IF(Capacity!B21="","",Capacity!B21)</f>
        <v>Covid restoration clinic</v>
      </c>
      <c r="C128" s="220">
        <f>IF(B128="","",Capacity!E21)</f>
        <v>42</v>
      </c>
      <c r="D128" s="309">
        <f>IF(B128="","",Capacity!F21)</f>
        <v>3</v>
      </c>
      <c r="E128" s="220">
        <f ca="1">IF(B128="","",IF(COUNTBLANK(H128:BG128)=52,SUM('Capacity calculation (hide)'!H9:BG9),52-COUNTBLANK(H128:BG128)))</f>
        <v>52</v>
      </c>
      <c r="F128" s="310">
        <f ca="1">'Capacity calculation (hide)'!BI9</f>
        <v>2.4230769230769229</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1238</v>
      </c>
    </row>
    <row r="129" spans="2:61" x14ac:dyDescent="0.2">
      <c r="B129" s="67" t="str">
        <f>IF(Capacity!B22="","",Capacity!B22)</f>
        <v>new</v>
      </c>
      <c r="C129" s="220">
        <f>IF(B129="","",Capacity!E22)</f>
        <v>0</v>
      </c>
      <c r="D129" s="309">
        <f>IF(B129="","",Capacity!F22)</f>
        <v>0</v>
      </c>
      <c r="E129" s="220">
        <f ca="1">IF(B129="","",IF(COUNTBLANK(H129:BG129)=52,SUM('Capacity calculation (hide)'!H10:BG10),52-COUNTBLANK(H129:BG129)))</f>
        <v>52</v>
      </c>
      <c r="F129" s="310">
        <f ca="1">'Capacity calculation (hide)'!BI10</f>
        <v>0</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1238</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1238</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1238</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1238</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1238</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1238</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1238</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1238</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1238</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1238</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1238</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1238</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1238</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1238</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1238</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1238</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1238</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1238</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1238</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1238</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1238</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1238</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1238</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1238</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1238</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1238</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1238</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1238</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1238</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1238</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1238</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1238</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1238</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1238</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1238</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1238</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1238</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1238</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1238</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1238</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1238</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1238</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1238</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1238</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1238</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1238</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1238</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1238</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1238</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1238</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1238</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1238</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1238</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1238</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1238</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1238</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1238</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1238</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1238</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1238</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1238</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1238</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1238</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1238</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1238</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1238</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1238</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1238</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1238</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1238</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1238</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1238</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1238</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1238</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1238</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1238</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1238</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1238</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1238</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1238</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1238</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1238</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1238</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1238</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1238</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1238</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1238</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1238</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1238</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1238</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1238</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1238</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1238</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1238</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1238</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58" sqref="F58"/>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44514</v>
      </c>
      <c r="B6" s="87">
        <f ca="1">IF('Critical resources'!$D$3="",TODAY()-WEEKDAY(TODAY(),3)+7,'Critical resources'!D3-WEEKDAY('Critical resources'!D3,3))</f>
        <v>44508</v>
      </c>
      <c r="C6" s="67">
        <v>1</v>
      </c>
      <c r="D6" s="67">
        <f ca="1">YEAR(B6)</f>
        <v>2021</v>
      </c>
      <c r="E6" s="67" t="str">
        <f t="shared" ref="E6:E54" ca="1" si="0">IF(TEXT(B6,"MMM")=TEXT(B5,"MMM")," ",TEXT(B6,"MMM"))</f>
        <v>Nov</v>
      </c>
      <c r="F6" s="67">
        <f ca="1">WEEKNUM(B6,21)</f>
        <v>45</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44521</v>
      </c>
      <c r="B7" s="87">
        <f ca="1">B6+7</f>
        <v>44515</v>
      </c>
      <c r="C7" s="67">
        <v>2</v>
      </c>
      <c r="D7" s="67" t="str">
        <f ca="1">IF(YEAR(B7)=YEAR(B6),"",YEAR(B7))</f>
        <v/>
      </c>
      <c r="E7" s="67" t="str">
        <f t="shared" ca="1" si="0"/>
        <v xml:space="preserve"> </v>
      </c>
      <c r="F7" s="67">
        <f t="shared" ref="F7:F58" ca="1" si="7">WEEKNUM(B7,21)</f>
        <v>46</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44528</v>
      </c>
      <c r="B8" s="87">
        <f t="shared" ref="B8:B58" ca="1" si="9">B7+7</f>
        <v>44522</v>
      </c>
      <c r="C8" s="67">
        <v>3</v>
      </c>
      <c r="D8" s="67" t="str">
        <f t="shared" ref="D8:D57" ca="1" si="10">IF(YEAR(B8)=YEAR(B7),"",YEAR(B8))</f>
        <v/>
      </c>
      <c r="E8" s="67" t="str">
        <f t="shared" ca="1" si="0"/>
        <v xml:space="preserve"> </v>
      </c>
      <c r="F8" s="67">
        <f t="shared" ca="1" si="7"/>
        <v>47</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44535</v>
      </c>
      <c r="B9" s="87">
        <f t="shared" ca="1" si="9"/>
        <v>44529</v>
      </c>
      <c r="C9" s="67">
        <v>4</v>
      </c>
      <c r="D9" s="67" t="str">
        <f t="shared" ca="1" si="10"/>
        <v/>
      </c>
      <c r="E9" s="67" t="str">
        <f t="shared" ca="1" si="0"/>
        <v xml:space="preserve"> </v>
      </c>
      <c r="F9" s="67">
        <f t="shared" ca="1" si="7"/>
        <v>48</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44542</v>
      </c>
      <c r="B10" s="87">
        <f t="shared" ca="1" si="9"/>
        <v>44536</v>
      </c>
      <c r="C10" s="67">
        <v>5</v>
      </c>
      <c r="D10" s="67" t="str">
        <f t="shared" ca="1" si="10"/>
        <v/>
      </c>
      <c r="E10" s="67" t="str">
        <f t="shared" ca="1" si="0"/>
        <v>Dec</v>
      </c>
      <c r="F10" s="67">
        <f t="shared" ca="1" si="7"/>
        <v>49</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44549</v>
      </c>
      <c r="B11" s="87">
        <f t="shared" ca="1" si="9"/>
        <v>44543</v>
      </c>
      <c r="C11" s="67">
        <v>6</v>
      </c>
      <c r="D11" s="67" t="str">
        <f t="shared" ca="1" si="10"/>
        <v/>
      </c>
      <c r="E11" s="67" t="str">
        <f t="shared" ca="1" si="0"/>
        <v xml:space="preserve"> </v>
      </c>
      <c r="F11" s="67">
        <f t="shared" ca="1" si="7"/>
        <v>50</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44556</v>
      </c>
      <c r="B12" s="87">
        <f t="shared" ca="1" si="9"/>
        <v>44550</v>
      </c>
      <c r="C12" s="67">
        <v>7</v>
      </c>
      <c r="D12" s="67" t="str">
        <f t="shared" ca="1" si="10"/>
        <v/>
      </c>
      <c r="E12" s="67" t="str">
        <f t="shared" ca="1" si="0"/>
        <v xml:space="preserve"> </v>
      </c>
      <c r="F12" s="67">
        <f t="shared" ca="1" si="7"/>
        <v>51</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44563</v>
      </c>
      <c r="B13" s="87">
        <f t="shared" ca="1" si="9"/>
        <v>44557</v>
      </c>
      <c r="C13" s="67">
        <v>8</v>
      </c>
      <c r="D13" s="67" t="str">
        <f t="shared" ca="1" si="10"/>
        <v/>
      </c>
      <c r="E13" s="67" t="str">
        <f t="shared" ca="1" si="0"/>
        <v xml:space="preserve"> </v>
      </c>
      <c r="F13" s="67">
        <f t="shared" ca="1" si="7"/>
        <v>52</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44570</v>
      </c>
      <c r="B14" s="87">
        <f t="shared" ca="1" si="9"/>
        <v>44564</v>
      </c>
      <c r="C14" s="67">
        <v>9</v>
      </c>
      <c r="D14" s="67">
        <f t="shared" ca="1" si="10"/>
        <v>2022</v>
      </c>
      <c r="E14" s="67" t="str">
        <f t="shared" ca="1" si="0"/>
        <v>Jan</v>
      </c>
      <c r="F14" s="67">
        <f t="shared" ca="1" si="7"/>
        <v>1</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44577</v>
      </c>
      <c r="B15" s="87">
        <f t="shared" ca="1" si="9"/>
        <v>44571</v>
      </c>
      <c r="C15" s="67">
        <v>10</v>
      </c>
      <c r="D15" s="67" t="str">
        <f t="shared" ca="1" si="10"/>
        <v/>
      </c>
      <c r="E15" s="67" t="str">
        <f t="shared" ca="1" si="0"/>
        <v xml:space="preserve"> </v>
      </c>
      <c r="F15" s="67">
        <f t="shared" ca="1" si="7"/>
        <v>2</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44584</v>
      </c>
      <c r="B16" s="87">
        <f t="shared" ca="1" si="9"/>
        <v>44578</v>
      </c>
      <c r="C16" s="67">
        <v>11</v>
      </c>
      <c r="D16" s="67" t="str">
        <f t="shared" ca="1" si="10"/>
        <v/>
      </c>
      <c r="E16" s="67" t="str">
        <f t="shared" ca="1" si="0"/>
        <v xml:space="preserve"> </v>
      </c>
      <c r="F16" s="67">
        <f t="shared" ca="1" si="7"/>
        <v>3</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44591</v>
      </c>
      <c r="B17" s="87">
        <f t="shared" ca="1" si="9"/>
        <v>44585</v>
      </c>
      <c r="C17" s="67">
        <v>12</v>
      </c>
      <c r="D17" s="67" t="str">
        <f t="shared" ca="1" si="10"/>
        <v/>
      </c>
      <c r="E17" s="67" t="str">
        <f t="shared" ca="1" si="0"/>
        <v xml:space="preserve"> </v>
      </c>
      <c r="F17" s="67">
        <f t="shared" ca="1" si="7"/>
        <v>4</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44598</v>
      </c>
      <c r="B18" s="87">
        <f t="shared" ca="1" si="9"/>
        <v>44592</v>
      </c>
      <c r="C18" s="67">
        <v>13</v>
      </c>
      <c r="D18" s="67" t="str">
        <f t="shared" ca="1" si="10"/>
        <v/>
      </c>
      <c r="E18" s="67" t="str">
        <f t="shared" ca="1" si="0"/>
        <v xml:space="preserve"> </v>
      </c>
      <c r="F18" s="67">
        <f t="shared" ca="1" si="7"/>
        <v>5</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44605</v>
      </c>
      <c r="B19" s="87">
        <f t="shared" ca="1" si="9"/>
        <v>44599</v>
      </c>
      <c r="C19" s="67">
        <v>14</v>
      </c>
      <c r="D19" s="67" t="str">
        <f t="shared" ca="1" si="10"/>
        <v/>
      </c>
      <c r="E19" s="67" t="str">
        <f t="shared" ca="1" si="0"/>
        <v>Feb</v>
      </c>
      <c r="F19" s="67">
        <f t="shared" ca="1" si="7"/>
        <v>6</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44612</v>
      </c>
      <c r="B20" s="87">
        <f t="shared" ca="1" si="9"/>
        <v>44606</v>
      </c>
      <c r="C20" s="67">
        <v>15</v>
      </c>
      <c r="D20" s="67" t="str">
        <f t="shared" ca="1" si="10"/>
        <v/>
      </c>
      <c r="E20" s="67" t="str">
        <f t="shared" ca="1" si="0"/>
        <v xml:space="preserve"> </v>
      </c>
      <c r="F20" s="67">
        <f t="shared" ca="1" si="7"/>
        <v>7</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44619</v>
      </c>
      <c r="B21" s="87">
        <f t="shared" ca="1" si="9"/>
        <v>44613</v>
      </c>
      <c r="C21" s="67">
        <v>16</v>
      </c>
      <c r="D21" s="67" t="str">
        <f t="shared" ca="1" si="10"/>
        <v/>
      </c>
      <c r="E21" s="67" t="str">
        <f t="shared" ca="1" si="0"/>
        <v xml:space="preserve"> </v>
      </c>
      <c r="F21" s="67">
        <f t="shared" ca="1" si="7"/>
        <v>8</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44626</v>
      </c>
      <c r="B22" s="87">
        <f t="shared" ca="1" si="9"/>
        <v>44620</v>
      </c>
      <c r="C22" s="67">
        <v>17</v>
      </c>
      <c r="D22" s="67" t="str">
        <f t="shared" ca="1" si="10"/>
        <v/>
      </c>
      <c r="E22" s="67" t="str">
        <f t="shared" ca="1" si="0"/>
        <v xml:space="preserve"> </v>
      </c>
      <c r="F22" s="67">
        <f t="shared" ca="1" si="7"/>
        <v>9</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44633</v>
      </c>
      <c r="B23" s="87">
        <f t="shared" ca="1" si="9"/>
        <v>44627</v>
      </c>
      <c r="C23" s="67">
        <v>18</v>
      </c>
      <c r="D23" s="67" t="str">
        <f t="shared" ca="1" si="10"/>
        <v/>
      </c>
      <c r="E23" s="67" t="str">
        <f t="shared" ca="1" si="0"/>
        <v>Mar</v>
      </c>
      <c r="F23" s="67">
        <f t="shared" ca="1" si="7"/>
        <v>10</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44640</v>
      </c>
      <c r="B24" s="87">
        <f t="shared" ca="1" si="9"/>
        <v>44634</v>
      </c>
      <c r="C24" s="67">
        <v>19</v>
      </c>
      <c r="D24" s="67" t="str">
        <f t="shared" ca="1" si="10"/>
        <v/>
      </c>
      <c r="E24" s="67" t="str">
        <f t="shared" ca="1" si="0"/>
        <v xml:space="preserve"> </v>
      </c>
      <c r="F24" s="67">
        <f t="shared" ca="1" si="7"/>
        <v>11</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44647</v>
      </c>
      <c r="B25" s="87">
        <f t="shared" ca="1" si="9"/>
        <v>44641</v>
      </c>
      <c r="C25" s="67">
        <v>20</v>
      </c>
      <c r="D25" s="67" t="str">
        <f t="shared" ca="1" si="10"/>
        <v/>
      </c>
      <c r="E25" s="67" t="str">
        <f t="shared" ca="1" si="0"/>
        <v xml:space="preserve"> </v>
      </c>
      <c r="F25" s="67">
        <f t="shared" ca="1" si="7"/>
        <v>12</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44654</v>
      </c>
      <c r="B26" s="87">
        <f t="shared" ca="1" si="9"/>
        <v>44648</v>
      </c>
      <c r="C26" s="67">
        <v>21</v>
      </c>
      <c r="D26" s="67" t="str">
        <f t="shared" ca="1" si="10"/>
        <v/>
      </c>
      <c r="E26" s="67" t="str">
        <f t="shared" ca="1" si="0"/>
        <v xml:space="preserve"> </v>
      </c>
      <c r="F26" s="67">
        <f t="shared" ca="1" si="7"/>
        <v>13</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44661</v>
      </c>
      <c r="B27" s="87">
        <f t="shared" ca="1" si="9"/>
        <v>44655</v>
      </c>
      <c r="C27" s="67">
        <v>22</v>
      </c>
      <c r="D27" s="67" t="str">
        <f t="shared" ca="1" si="10"/>
        <v/>
      </c>
      <c r="E27" s="67" t="str">
        <f t="shared" ca="1" si="0"/>
        <v>Apr</v>
      </c>
      <c r="F27" s="67">
        <f t="shared" ca="1" si="7"/>
        <v>14</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44668</v>
      </c>
      <c r="B28" s="87">
        <f t="shared" ca="1" si="9"/>
        <v>44662</v>
      </c>
      <c r="C28" s="67">
        <v>23</v>
      </c>
      <c r="D28" s="67" t="str">
        <f t="shared" ca="1" si="10"/>
        <v/>
      </c>
      <c r="E28" s="67" t="str">
        <f t="shared" ca="1" si="0"/>
        <v xml:space="preserve"> </v>
      </c>
      <c r="F28" s="67">
        <f t="shared" ca="1" si="7"/>
        <v>15</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44675</v>
      </c>
      <c r="B29" s="87">
        <f t="shared" ca="1" si="9"/>
        <v>44669</v>
      </c>
      <c r="C29" s="67">
        <v>24</v>
      </c>
      <c r="D29" s="67" t="str">
        <f t="shared" ca="1" si="10"/>
        <v/>
      </c>
      <c r="E29" s="67" t="str">
        <f t="shared" ca="1" si="0"/>
        <v xml:space="preserve"> </v>
      </c>
      <c r="F29" s="67">
        <f t="shared" ca="1" si="7"/>
        <v>16</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44682</v>
      </c>
      <c r="B30" s="87">
        <f t="shared" ca="1" si="9"/>
        <v>44676</v>
      </c>
      <c r="C30" s="67">
        <v>25</v>
      </c>
      <c r="D30" s="67" t="str">
        <f t="shared" ca="1" si="10"/>
        <v/>
      </c>
      <c r="E30" s="67" t="str">
        <f t="shared" ca="1" si="0"/>
        <v xml:space="preserve"> </v>
      </c>
      <c r="F30" s="67">
        <f t="shared" ca="1" si="7"/>
        <v>17</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44689</v>
      </c>
      <c r="B31" s="87">
        <f t="shared" ca="1" si="9"/>
        <v>44683</v>
      </c>
      <c r="C31" s="67">
        <v>26</v>
      </c>
      <c r="D31" s="67" t="str">
        <f t="shared" ca="1" si="10"/>
        <v/>
      </c>
      <c r="E31" s="67" t="str">
        <f t="shared" ca="1" si="0"/>
        <v>May</v>
      </c>
      <c r="F31" s="67">
        <f t="shared" ca="1" si="7"/>
        <v>18</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44696</v>
      </c>
      <c r="B32" s="87">
        <f t="shared" ca="1" si="9"/>
        <v>44690</v>
      </c>
      <c r="C32" s="67">
        <v>27</v>
      </c>
      <c r="D32" s="67" t="str">
        <f t="shared" ca="1" si="10"/>
        <v/>
      </c>
      <c r="E32" s="67" t="str">
        <f t="shared" ca="1" si="0"/>
        <v xml:space="preserve"> </v>
      </c>
      <c r="F32" s="67">
        <f t="shared" ca="1" si="7"/>
        <v>19</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44703</v>
      </c>
      <c r="B33" s="87">
        <f t="shared" ca="1" si="9"/>
        <v>44697</v>
      </c>
      <c r="C33" s="67">
        <v>28</v>
      </c>
      <c r="D33" s="67" t="str">
        <f t="shared" ca="1" si="10"/>
        <v/>
      </c>
      <c r="E33" s="67" t="str">
        <f t="shared" ca="1" si="0"/>
        <v xml:space="preserve"> </v>
      </c>
      <c r="F33" s="67">
        <f t="shared" ca="1" si="7"/>
        <v>20</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44710</v>
      </c>
      <c r="B34" s="87">
        <f t="shared" ca="1" si="9"/>
        <v>44704</v>
      </c>
      <c r="C34" s="67">
        <v>29</v>
      </c>
      <c r="D34" s="67" t="str">
        <f t="shared" ca="1" si="10"/>
        <v/>
      </c>
      <c r="E34" s="67" t="str">
        <f t="shared" ca="1" si="0"/>
        <v xml:space="preserve"> </v>
      </c>
      <c r="F34" s="67">
        <f t="shared" ca="1" si="7"/>
        <v>21</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44717</v>
      </c>
      <c r="B35" s="87">
        <f t="shared" ca="1" si="9"/>
        <v>44711</v>
      </c>
      <c r="C35" s="67">
        <v>30</v>
      </c>
      <c r="D35" s="67" t="str">
        <f t="shared" ca="1" si="10"/>
        <v/>
      </c>
      <c r="E35" s="67" t="str">
        <f t="shared" ca="1" si="0"/>
        <v xml:space="preserve"> </v>
      </c>
      <c r="F35" s="67">
        <f t="shared" ca="1" si="7"/>
        <v>22</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44724</v>
      </c>
      <c r="B36" s="87">
        <f t="shared" ca="1" si="9"/>
        <v>44718</v>
      </c>
      <c r="C36" s="67">
        <v>31</v>
      </c>
      <c r="D36" s="67" t="str">
        <f t="shared" ca="1" si="10"/>
        <v/>
      </c>
      <c r="E36" s="67" t="str">
        <f t="shared" ca="1" si="0"/>
        <v>Jun</v>
      </c>
      <c r="F36" s="67">
        <f t="shared" ca="1" si="7"/>
        <v>23</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44731</v>
      </c>
      <c r="B37" s="87">
        <f t="shared" ca="1" si="9"/>
        <v>44725</v>
      </c>
      <c r="C37" s="67">
        <v>32</v>
      </c>
      <c r="D37" s="67" t="str">
        <f t="shared" ca="1" si="10"/>
        <v/>
      </c>
      <c r="E37" s="67" t="str">
        <f t="shared" ca="1" si="0"/>
        <v xml:space="preserve"> </v>
      </c>
      <c r="F37" s="67">
        <f t="shared" ca="1" si="7"/>
        <v>24</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44738</v>
      </c>
      <c r="B38" s="87">
        <f t="shared" ca="1" si="9"/>
        <v>44732</v>
      </c>
      <c r="C38" s="67">
        <v>33</v>
      </c>
      <c r="D38" s="67" t="str">
        <f t="shared" ca="1" si="10"/>
        <v/>
      </c>
      <c r="E38" s="67" t="str">
        <f t="shared" ca="1" si="0"/>
        <v xml:space="preserve"> </v>
      </c>
      <c r="F38" s="67">
        <f t="shared" ca="1" si="7"/>
        <v>25</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44745</v>
      </c>
      <c r="B39" s="87">
        <f t="shared" ca="1" si="9"/>
        <v>44739</v>
      </c>
      <c r="C39" s="67">
        <v>34</v>
      </c>
      <c r="D39" s="67" t="str">
        <f t="shared" ca="1" si="10"/>
        <v/>
      </c>
      <c r="E39" s="67" t="str">
        <f t="shared" ca="1" si="0"/>
        <v xml:space="preserve"> </v>
      </c>
      <c r="F39" s="67">
        <f t="shared" ca="1" si="7"/>
        <v>26</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44752</v>
      </c>
      <c r="B40" s="87">
        <f t="shared" ca="1" si="9"/>
        <v>44746</v>
      </c>
      <c r="C40" s="67">
        <v>35</v>
      </c>
      <c r="D40" s="67" t="str">
        <f t="shared" ca="1" si="10"/>
        <v/>
      </c>
      <c r="E40" s="67" t="str">
        <f t="shared" ca="1" si="0"/>
        <v>Jul</v>
      </c>
      <c r="F40" s="67">
        <f t="shared" ca="1" si="7"/>
        <v>27</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44759</v>
      </c>
      <c r="B41" s="87">
        <f t="shared" ca="1" si="9"/>
        <v>44753</v>
      </c>
      <c r="C41" s="67">
        <v>36</v>
      </c>
      <c r="D41" s="67" t="str">
        <f t="shared" ca="1" si="10"/>
        <v/>
      </c>
      <c r="E41" s="67" t="str">
        <f t="shared" ca="1" si="0"/>
        <v xml:space="preserve"> </v>
      </c>
      <c r="F41" s="67">
        <f t="shared" ca="1" si="7"/>
        <v>28</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44766</v>
      </c>
      <c r="B42" s="87">
        <f t="shared" ca="1" si="9"/>
        <v>44760</v>
      </c>
      <c r="C42" s="67">
        <v>37</v>
      </c>
      <c r="D42" s="67" t="str">
        <f t="shared" ca="1" si="10"/>
        <v/>
      </c>
      <c r="E42" s="67" t="str">
        <f t="shared" ca="1" si="0"/>
        <v xml:space="preserve"> </v>
      </c>
      <c r="F42" s="67">
        <f t="shared" ca="1" si="7"/>
        <v>29</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44773</v>
      </c>
      <c r="B43" s="87">
        <f t="shared" ca="1" si="9"/>
        <v>44767</v>
      </c>
      <c r="C43" s="67">
        <v>38</v>
      </c>
      <c r="D43" s="67" t="str">
        <f t="shared" ca="1" si="10"/>
        <v/>
      </c>
      <c r="E43" s="67" t="str">
        <f t="shared" ca="1" si="0"/>
        <v xml:space="preserve"> </v>
      </c>
      <c r="F43" s="67">
        <f t="shared" ca="1" si="7"/>
        <v>30</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44780</v>
      </c>
      <c r="B44" s="87">
        <f t="shared" ca="1" si="9"/>
        <v>44774</v>
      </c>
      <c r="C44" s="67">
        <v>39</v>
      </c>
      <c r="D44" s="67" t="str">
        <f t="shared" ca="1" si="10"/>
        <v/>
      </c>
      <c r="E44" s="67" t="str">
        <f t="shared" ca="1" si="0"/>
        <v>Aug</v>
      </c>
      <c r="F44" s="67">
        <f t="shared" ca="1" si="7"/>
        <v>31</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44787</v>
      </c>
      <c r="B45" s="87">
        <f t="shared" ca="1" si="9"/>
        <v>44781</v>
      </c>
      <c r="C45" s="67">
        <v>40</v>
      </c>
      <c r="D45" s="67" t="str">
        <f t="shared" ca="1" si="10"/>
        <v/>
      </c>
      <c r="E45" s="67" t="str">
        <f t="shared" ca="1" si="0"/>
        <v xml:space="preserve"> </v>
      </c>
      <c r="F45" s="67">
        <f t="shared" ca="1" si="7"/>
        <v>32</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44794</v>
      </c>
      <c r="B46" s="87">
        <f t="shared" ca="1" si="9"/>
        <v>44788</v>
      </c>
      <c r="C46" s="67">
        <v>41</v>
      </c>
      <c r="D46" s="67" t="str">
        <f t="shared" ca="1" si="10"/>
        <v/>
      </c>
      <c r="E46" s="67" t="str">
        <f t="shared" ca="1" si="0"/>
        <v xml:space="preserve"> </v>
      </c>
      <c r="F46" s="67">
        <f t="shared" ca="1" si="7"/>
        <v>33</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44801</v>
      </c>
      <c r="B47" s="87">
        <f t="shared" ca="1" si="9"/>
        <v>44795</v>
      </c>
      <c r="C47" s="67">
        <v>42</v>
      </c>
      <c r="D47" s="67" t="str">
        <f t="shared" ca="1" si="10"/>
        <v/>
      </c>
      <c r="E47" s="67" t="str">
        <f t="shared" ca="1" si="0"/>
        <v xml:space="preserve"> </v>
      </c>
      <c r="F47" s="67">
        <f t="shared" ca="1" si="7"/>
        <v>34</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44808</v>
      </c>
      <c r="B48" s="87">
        <f t="shared" ca="1" si="9"/>
        <v>44802</v>
      </c>
      <c r="C48" s="67">
        <v>43</v>
      </c>
      <c r="D48" s="67" t="str">
        <f t="shared" ca="1" si="10"/>
        <v/>
      </c>
      <c r="E48" s="67" t="str">
        <f t="shared" ca="1" si="0"/>
        <v xml:space="preserve"> </v>
      </c>
      <c r="F48" s="67">
        <f t="shared" ca="1" si="7"/>
        <v>35</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44815</v>
      </c>
      <c r="B49" s="87">
        <f t="shared" ca="1" si="9"/>
        <v>44809</v>
      </c>
      <c r="C49" s="67">
        <v>44</v>
      </c>
      <c r="D49" s="67" t="str">
        <f t="shared" ca="1" si="10"/>
        <v/>
      </c>
      <c r="E49" s="67" t="str">
        <f t="shared" ca="1" si="0"/>
        <v>Sep</v>
      </c>
      <c r="F49" s="67">
        <f t="shared" ca="1" si="7"/>
        <v>36</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44822</v>
      </c>
      <c r="B50" s="87">
        <f t="shared" ca="1" si="9"/>
        <v>44816</v>
      </c>
      <c r="C50" s="67">
        <v>45</v>
      </c>
      <c r="D50" s="67" t="str">
        <f t="shared" ca="1" si="10"/>
        <v/>
      </c>
      <c r="E50" s="67" t="str">
        <f t="shared" ca="1" si="0"/>
        <v xml:space="preserve"> </v>
      </c>
      <c r="F50" s="67">
        <f t="shared" ca="1" si="7"/>
        <v>37</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44829</v>
      </c>
      <c r="B51" s="87">
        <f t="shared" ca="1" si="9"/>
        <v>44823</v>
      </c>
      <c r="C51" s="67">
        <v>46</v>
      </c>
      <c r="D51" s="67" t="str">
        <f t="shared" ca="1" si="10"/>
        <v/>
      </c>
      <c r="E51" s="67" t="str">
        <f t="shared" ca="1" si="0"/>
        <v xml:space="preserve"> </v>
      </c>
      <c r="F51" s="67">
        <f t="shared" ca="1" si="7"/>
        <v>38</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44836</v>
      </c>
      <c r="B52" s="87">
        <f t="shared" ca="1" si="9"/>
        <v>44830</v>
      </c>
      <c r="C52" s="67">
        <v>47</v>
      </c>
      <c r="D52" s="67" t="str">
        <f t="shared" ca="1" si="10"/>
        <v/>
      </c>
      <c r="E52" s="67" t="str">
        <f t="shared" ca="1" si="0"/>
        <v xml:space="preserve"> </v>
      </c>
      <c r="F52" s="67">
        <f t="shared" ca="1" si="7"/>
        <v>39</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44843</v>
      </c>
      <c r="B53" s="87">
        <f t="shared" ca="1" si="9"/>
        <v>44837</v>
      </c>
      <c r="C53" s="67">
        <v>48</v>
      </c>
      <c r="D53" s="67" t="str">
        <f t="shared" ca="1" si="10"/>
        <v/>
      </c>
      <c r="E53" s="67" t="str">
        <f t="shared" ca="1" si="0"/>
        <v>Oct</v>
      </c>
      <c r="F53" s="67">
        <f t="shared" ca="1" si="7"/>
        <v>40</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44850</v>
      </c>
      <c r="B54" s="87">
        <f t="shared" ca="1" si="9"/>
        <v>44844</v>
      </c>
      <c r="C54" s="67">
        <v>49</v>
      </c>
      <c r="D54" s="67" t="str">
        <f t="shared" ca="1" si="10"/>
        <v/>
      </c>
      <c r="E54" s="67" t="str">
        <f t="shared" ca="1" si="0"/>
        <v xml:space="preserve"> </v>
      </c>
      <c r="F54" s="67">
        <f t="shared" ca="1" si="7"/>
        <v>41</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44857</v>
      </c>
      <c r="B55" s="87">
        <f t="shared" ca="1" si="9"/>
        <v>44851</v>
      </c>
      <c r="C55" s="67">
        <v>50</v>
      </c>
      <c r="D55" s="67" t="str">
        <f t="shared" ca="1" si="10"/>
        <v/>
      </c>
      <c r="E55" s="67" t="str">
        <f ca="1">IF(TEXT(B55,"MMM")=TEXT(B54,"MMM")," ",TEXT(B55,"MMM"))</f>
        <v xml:space="preserve"> </v>
      </c>
      <c r="F55" s="67">
        <f t="shared" ca="1" si="7"/>
        <v>42</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44864</v>
      </c>
      <c r="B56" s="87">
        <f t="shared" ca="1" si="9"/>
        <v>44858</v>
      </c>
      <c r="C56" s="67">
        <v>51</v>
      </c>
      <c r="D56" s="67" t="str">
        <f t="shared" ca="1" si="10"/>
        <v/>
      </c>
      <c r="E56" s="67" t="str">
        <f t="shared" ref="E56:E58" ca="1" si="25">IF(TEXT(B56,"MMM")=TEXT(B55,"MMM")," ",TEXT(B56,"MMM"))</f>
        <v xml:space="preserve"> </v>
      </c>
      <c r="F56" s="67">
        <f t="shared" ca="1" si="7"/>
        <v>43</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44871</v>
      </c>
      <c r="B57" s="87">
        <f t="shared" ca="1" si="9"/>
        <v>44865</v>
      </c>
      <c r="C57" s="67">
        <v>52</v>
      </c>
      <c r="D57" s="67" t="str">
        <f t="shared" ca="1" si="10"/>
        <v/>
      </c>
      <c r="E57" s="67" t="str">
        <f t="shared" ca="1" si="25"/>
        <v xml:space="preserve"> </v>
      </c>
      <c r="F57" s="67">
        <f t="shared" ca="1" si="7"/>
        <v>44</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44878</v>
      </c>
      <c r="B58" s="317">
        <f t="shared" ca="1" si="9"/>
        <v>44872</v>
      </c>
      <c r="C58" s="67">
        <v>53</v>
      </c>
      <c r="E58" s="67" t="str">
        <f t="shared" ca="1" si="25"/>
        <v>Nov</v>
      </c>
      <c r="F58" s="67">
        <f t="shared" ca="1" si="7"/>
        <v>45</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Q1" workbookViewId="0">
      <selection activeCell="DJ3" sqref="DJ3"/>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1244</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44508</v>
      </c>
      <c r="BL1" s="317">
        <f ca="1">INDEX('Critical resources (hide)'!$B$6:$F$58,MATCH('Capacity calculation (hide)'!BL$3,'Critical resources (hide)'!$F$6:$F$58,0),1)</f>
        <v>44515</v>
      </c>
      <c r="BM1" s="317">
        <f ca="1">INDEX('Critical resources (hide)'!$B$6:$F$58,MATCH('Capacity calculation (hide)'!BM$3,'Critical resources (hide)'!$F$6:$F$58,0),1)</f>
        <v>44522</v>
      </c>
      <c r="BN1" s="317">
        <f ca="1">INDEX('Critical resources (hide)'!$B$6:$F$58,MATCH('Capacity calculation (hide)'!BN$3,'Critical resources (hide)'!$F$6:$F$58,0),1)</f>
        <v>44529</v>
      </c>
      <c r="BO1" s="317">
        <f ca="1">INDEX('Critical resources (hide)'!$B$6:$F$58,MATCH('Capacity calculation (hide)'!BO$3,'Critical resources (hide)'!$F$6:$F$58,0),1)</f>
        <v>44536</v>
      </c>
      <c r="BP1" s="317">
        <f ca="1">INDEX('Critical resources (hide)'!$B$6:$F$58,MATCH('Capacity calculation (hide)'!BP$3,'Critical resources (hide)'!$F$6:$F$58,0),1)</f>
        <v>44543</v>
      </c>
      <c r="BQ1" s="317">
        <f ca="1">INDEX('Critical resources (hide)'!$B$6:$F$58,MATCH('Capacity calculation (hide)'!BQ$3,'Critical resources (hide)'!$F$6:$F$58,0),1)</f>
        <v>44550</v>
      </c>
      <c r="BR1" s="317">
        <f ca="1">INDEX('Critical resources (hide)'!$B$6:$F$58,MATCH('Capacity calculation (hide)'!BR$3,'Critical resources (hide)'!$F$6:$F$58,0),1)</f>
        <v>44557</v>
      </c>
      <c r="BS1" s="317">
        <f ca="1">INDEX('Critical resources (hide)'!$B$6:$F$58,MATCH('Capacity calculation (hide)'!BS$3,'Critical resources (hide)'!$F$6:$F$58,0),1)</f>
        <v>44564</v>
      </c>
      <c r="BT1" s="317">
        <f ca="1">INDEX('Critical resources (hide)'!$B$6:$F$58,MATCH('Capacity calculation (hide)'!BT$3,'Critical resources (hide)'!$F$6:$F$58,0),1)</f>
        <v>44571</v>
      </c>
      <c r="BU1" s="317">
        <f ca="1">INDEX('Critical resources (hide)'!$B$6:$F$58,MATCH('Capacity calculation (hide)'!BU$3,'Critical resources (hide)'!$F$6:$F$58,0),1)</f>
        <v>44578</v>
      </c>
      <c r="BV1" s="317">
        <f ca="1">INDEX('Critical resources (hide)'!$B$6:$F$58,MATCH('Capacity calculation (hide)'!BV$3,'Critical resources (hide)'!$F$6:$F$58,0),1)</f>
        <v>44585</v>
      </c>
      <c r="BW1" s="317">
        <f ca="1">INDEX('Critical resources (hide)'!$B$6:$F$58,MATCH('Capacity calculation (hide)'!BW$3,'Critical resources (hide)'!$F$6:$F$58,0),1)</f>
        <v>44592</v>
      </c>
      <c r="BX1" s="317">
        <f ca="1">INDEX('Critical resources (hide)'!$B$6:$F$58,MATCH('Capacity calculation (hide)'!BX$3,'Critical resources (hide)'!$F$6:$F$58,0),1)</f>
        <v>44599</v>
      </c>
      <c r="BY1" s="317">
        <f ca="1">INDEX('Critical resources (hide)'!$B$6:$F$58,MATCH('Capacity calculation (hide)'!BY$3,'Critical resources (hide)'!$F$6:$F$58,0),1)</f>
        <v>44606</v>
      </c>
      <c r="BZ1" s="317">
        <f ca="1">INDEX('Critical resources (hide)'!$B$6:$F$58,MATCH('Capacity calculation (hide)'!BZ$3,'Critical resources (hide)'!$F$6:$F$58,0),1)</f>
        <v>44613</v>
      </c>
      <c r="CA1" s="317">
        <f ca="1">INDEX('Critical resources (hide)'!$B$6:$F$58,MATCH('Capacity calculation (hide)'!CA$3,'Critical resources (hide)'!$F$6:$F$58,0),1)</f>
        <v>44620</v>
      </c>
      <c r="CB1" s="317">
        <f ca="1">INDEX('Critical resources (hide)'!$B$6:$F$58,MATCH('Capacity calculation (hide)'!CB$3,'Critical resources (hide)'!$F$6:$F$58,0),1)</f>
        <v>44627</v>
      </c>
      <c r="CC1" s="317">
        <f ca="1">INDEX('Critical resources (hide)'!$B$6:$F$58,MATCH('Capacity calculation (hide)'!CC$3,'Critical resources (hide)'!$F$6:$F$58,0),1)</f>
        <v>44634</v>
      </c>
      <c r="CD1" s="317">
        <f ca="1">INDEX('Critical resources (hide)'!$B$6:$F$58,MATCH('Capacity calculation (hide)'!CD$3,'Critical resources (hide)'!$F$6:$F$58,0),1)</f>
        <v>44641</v>
      </c>
      <c r="CE1" s="317">
        <f ca="1">INDEX('Critical resources (hide)'!$B$6:$F$58,MATCH('Capacity calculation (hide)'!CE$3,'Critical resources (hide)'!$F$6:$F$58,0),1)</f>
        <v>44648</v>
      </c>
      <c r="CF1" s="317">
        <f ca="1">INDEX('Critical resources (hide)'!$B$6:$F$58,MATCH('Capacity calculation (hide)'!CF$3,'Critical resources (hide)'!$F$6:$F$58,0),1)</f>
        <v>44655</v>
      </c>
      <c r="CG1" s="317">
        <f ca="1">INDEX('Critical resources (hide)'!$B$6:$F$58,MATCH('Capacity calculation (hide)'!CG$3,'Critical resources (hide)'!$F$6:$F$58,0),1)</f>
        <v>44662</v>
      </c>
      <c r="CH1" s="317">
        <f ca="1">INDEX('Critical resources (hide)'!$B$6:$F$58,MATCH('Capacity calculation (hide)'!CH$3,'Critical resources (hide)'!$F$6:$F$58,0),1)</f>
        <v>44669</v>
      </c>
      <c r="CI1" s="317">
        <f ca="1">INDEX('Critical resources (hide)'!$B$6:$F$58,MATCH('Capacity calculation (hide)'!CI$3,'Critical resources (hide)'!$F$6:$F$58,0),1)</f>
        <v>44676</v>
      </c>
      <c r="CJ1" s="317">
        <f ca="1">INDEX('Critical resources (hide)'!$B$6:$F$58,MATCH('Capacity calculation (hide)'!CJ$3,'Critical resources (hide)'!$F$6:$F$58,0),1)</f>
        <v>44683</v>
      </c>
      <c r="CK1" s="317">
        <f ca="1">INDEX('Critical resources (hide)'!$B$6:$F$58,MATCH('Capacity calculation (hide)'!CK$3,'Critical resources (hide)'!$F$6:$F$58,0),1)</f>
        <v>44690</v>
      </c>
      <c r="CL1" s="317">
        <f ca="1">INDEX('Critical resources (hide)'!$B$6:$F$58,MATCH('Capacity calculation (hide)'!CL$3,'Critical resources (hide)'!$F$6:$F$58,0),1)</f>
        <v>44697</v>
      </c>
      <c r="CM1" s="317">
        <f ca="1">INDEX('Critical resources (hide)'!$B$6:$F$58,MATCH('Capacity calculation (hide)'!CM$3,'Critical resources (hide)'!$F$6:$F$58,0),1)</f>
        <v>44704</v>
      </c>
      <c r="CN1" s="317">
        <f ca="1">INDEX('Critical resources (hide)'!$B$6:$F$58,MATCH('Capacity calculation (hide)'!CN$3,'Critical resources (hide)'!$F$6:$F$58,0),1)</f>
        <v>44711</v>
      </c>
      <c r="CO1" s="317">
        <f ca="1">INDEX('Critical resources (hide)'!$B$6:$F$58,MATCH('Capacity calculation (hide)'!CO$3,'Critical resources (hide)'!$F$6:$F$58,0),1)</f>
        <v>44718</v>
      </c>
      <c r="CP1" s="317">
        <f ca="1">INDEX('Critical resources (hide)'!$B$6:$F$58,MATCH('Capacity calculation (hide)'!CP$3,'Critical resources (hide)'!$F$6:$F$58,0),1)</f>
        <v>44725</v>
      </c>
      <c r="CQ1" s="317">
        <f ca="1">INDEX('Critical resources (hide)'!$B$6:$F$58,MATCH('Capacity calculation (hide)'!CQ$3,'Critical resources (hide)'!$F$6:$F$58,0),1)</f>
        <v>44732</v>
      </c>
      <c r="CR1" s="317">
        <f ca="1">INDEX('Critical resources (hide)'!$B$6:$F$58,MATCH('Capacity calculation (hide)'!CR$3,'Critical resources (hide)'!$F$6:$F$58,0),1)</f>
        <v>44739</v>
      </c>
      <c r="CS1" s="317">
        <f ca="1">INDEX('Critical resources (hide)'!$B$6:$F$58,MATCH('Capacity calculation (hide)'!CS$3,'Critical resources (hide)'!$F$6:$F$58,0),1)</f>
        <v>44746</v>
      </c>
      <c r="CT1" s="317">
        <f ca="1">INDEX('Critical resources (hide)'!$B$6:$F$58,MATCH('Capacity calculation (hide)'!CT$3,'Critical resources (hide)'!$F$6:$F$58,0),1)</f>
        <v>44753</v>
      </c>
      <c r="CU1" s="317">
        <f ca="1">INDEX('Critical resources (hide)'!$B$6:$F$58,MATCH('Capacity calculation (hide)'!CU$3,'Critical resources (hide)'!$F$6:$F$58,0),1)</f>
        <v>44760</v>
      </c>
      <c r="CV1" s="317">
        <f ca="1">INDEX('Critical resources (hide)'!$B$6:$F$58,MATCH('Capacity calculation (hide)'!CV$3,'Critical resources (hide)'!$F$6:$F$58,0),1)</f>
        <v>44767</v>
      </c>
      <c r="CW1" s="317">
        <f ca="1">INDEX('Critical resources (hide)'!$B$6:$F$58,MATCH('Capacity calculation (hide)'!CW$3,'Critical resources (hide)'!$F$6:$F$58,0),1)</f>
        <v>44774</v>
      </c>
      <c r="CX1" s="317">
        <f ca="1">INDEX('Critical resources (hide)'!$B$6:$F$58,MATCH('Capacity calculation (hide)'!CX$3,'Critical resources (hide)'!$F$6:$F$58,0),1)</f>
        <v>44781</v>
      </c>
      <c r="CY1" s="317">
        <f ca="1">INDEX('Critical resources (hide)'!$B$6:$F$58,MATCH('Capacity calculation (hide)'!CY$3,'Critical resources (hide)'!$F$6:$F$58,0),1)</f>
        <v>44788</v>
      </c>
      <c r="CZ1" s="317">
        <f ca="1">INDEX('Critical resources (hide)'!$B$6:$F$58,MATCH('Capacity calculation (hide)'!CZ$3,'Critical resources (hide)'!$F$6:$F$58,0),1)</f>
        <v>44795</v>
      </c>
      <c r="DA1" s="317">
        <f ca="1">INDEX('Critical resources (hide)'!$B$6:$F$58,MATCH('Capacity calculation (hide)'!DA$3,'Critical resources (hide)'!$F$6:$F$58,0),1)</f>
        <v>44802</v>
      </c>
      <c r="DB1" s="317">
        <f ca="1">INDEX('Critical resources (hide)'!$B$6:$F$58,MATCH('Capacity calculation (hide)'!DB$3,'Critical resources (hide)'!$F$6:$F$58,0),1)</f>
        <v>44809</v>
      </c>
      <c r="DC1" s="317">
        <f ca="1">INDEX('Critical resources (hide)'!$B$6:$F$58,MATCH('Capacity calculation (hide)'!DC$3,'Critical resources (hide)'!$F$6:$F$58,0),1)</f>
        <v>44816</v>
      </c>
      <c r="DD1" s="317">
        <f ca="1">INDEX('Critical resources (hide)'!$B$6:$F$58,MATCH('Capacity calculation (hide)'!DD$3,'Critical resources (hide)'!$F$6:$F$58,0),1)</f>
        <v>44823</v>
      </c>
      <c r="DE1" s="317">
        <f ca="1">INDEX('Critical resources (hide)'!$B$6:$F$58,MATCH('Capacity calculation (hide)'!DE$3,'Critical resources (hide)'!$F$6:$F$58,0),1)</f>
        <v>44830</v>
      </c>
      <c r="DF1" s="317">
        <f ca="1">INDEX('Critical resources (hide)'!$B$6:$F$58,MATCH('Capacity calculation (hide)'!DF$3,'Critical resources (hide)'!$F$6:$F$58,0),1)</f>
        <v>44837</v>
      </c>
      <c r="DG1" s="317">
        <f ca="1">INDEX('Critical resources (hide)'!$B$6:$F$58,MATCH('Capacity calculation (hide)'!DG$3,'Critical resources (hide)'!$F$6:$F$58,0),1)</f>
        <v>44844</v>
      </c>
      <c r="DH1" s="317">
        <f ca="1">INDEX('Critical resources (hide)'!$B$6:$F$58,MATCH('Capacity calculation (hide)'!DH$3,'Critical resources (hide)'!$F$6:$F$58,0),1)</f>
        <v>44851</v>
      </c>
      <c r="DI1" s="317">
        <f ca="1">INDEX('Critical resources (hide)'!$B$6:$F$58,MATCH('Capacity calculation (hide)'!DI$3,'Critical resources (hide)'!$F$6:$F$58,0),1)</f>
        <v>44858</v>
      </c>
      <c r="DJ1" s="317">
        <f ca="1">INDEX('Critical resources (hide)'!$B$6:$F$58,MATCH('Capacity calculation (hide)'!DJ$3,'Critical resources (hide)'!$F$6:$F$58,0),1)</f>
        <v>44865</v>
      </c>
      <c r="DK1" s="317">
        <f ca="1">INDEX('Critical resources (hide)'!$B$6:$F$58,MATCH('Capacity calculation (hide)'!DK$3,'Critical resources (hide)'!$F$6:$F$58,0),1)</f>
        <v>44508</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4">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45</v>
      </c>
      <c r="BL3" s="59">
        <f ca="1">OFFSET('Critical resources (hide)'!$F$6,COLUMN(B1)-1,0,1,1)</f>
        <v>46</v>
      </c>
      <c r="BM3" s="59">
        <f ca="1">OFFSET('Critical resources (hide)'!$F$6,COLUMN(C1)-1,0,1,1)</f>
        <v>47</v>
      </c>
      <c r="BN3" s="59">
        <f ca="1">OFFSET('Critical resources (hide)'!$F$6,COLUMN(D1)-1,0,1,1)</f>
        <v>48</v>
      </c>
      <c r="BO3" s="59">
        <f ca="1">OFFSET('Critical resources (hide)'!$F$6,COLUMN(E1)-1,0,1,1)</f>
        <v>49</v>
      </c>
      <c r="BP3" s="59">
        <f ca="1">OFFSET('Critical resources (hide)'!$F$6,COLUMN(F1)-1,0,1,1)</f>
        <v>50</v>
      </c>
      <c r="BQ3" s="59">
        <f ca="1">OFFSET('Critical resources (hide)'!$F$6,COLUMN(G1)-1,0,1,1)</f>
        <v>51</v>
      </c>
      <c r="BR3" s="59">
        <f ca="1">OFFSET('Critical resources (hide)'!$F$6,COLUMN(H1)-1,0,1,1)</f>
        <v>52</v>
      </c>
      <c r="BS3" s="59">
        <f ca="1">OFFSET('Critical resources (hide)'!$F$6,COLUMN(I1)-1,0,1,1)</f>
        <v>1</v>
      </c>
      <c r="BT3" s="59">
        <f ca="1">OFFSET('Critical resources (hide)'!$F$6,COLUMN(J1)-1,0,1,1)</f>
        <v>2</v>
      </c>
      <c r="BU3" s="59">
        <f ca="1">OFFSET('Critical resources (hide)'!$F$6,COLUMN(K1)-1,0,1,1)</f>
        <v>3</v>
      </c>
      <c r="BV3" s="59">
        <f ca="1">OFFSET('Critical resources (hide)'!$F$6,COLUMN(L1)-1,0,1,1)</f>
        <v>4</v>
      </c>
      <c r="BW3" s="59">
        <f ca="1">OFFSET('Critical resources (hide)'!$F$6,COLUMN(M1)-1,0,1,1)</f>
        <v>5</v>
      </c>
      <c r="BX3" s="59">
        <f ca="1">OFFSET('Critical resources (hide)'!$F$6,COLUMN(N1)-1,0,1,1)</f>
        <v>6</v>
      </c>
      <c r="BY3" s="59">
        <f ca="1">OFFSET('Critical resources (hide)'!$F$6,COLUMN(O1)-1,0,1,1)</f>
        <v>7</v>
      </c>
      <c r="BZ3" s="59">
        <f ca="1">OFFSET('Critical resources (hide)'!$F$6,COLUMN(P1)-1,0,1,1)</f>
        <v>8</v>
      </c>
      <c r="CA3" s="59">
        <f ca="1">OFFSET('Critical resources (hide)'!$F$6,COLUMN(Q1)-1,0,1,1)</f>
        <v>9</v>
      </c>
      <c r="CB3" s="59">
        <f ca="1">OFFSET('Critical resources (hide)'!$F$6,COLUMN(R1)-1,0,1,1)</f>
        <v>10</v>
      </c>
      <c r="CC3" s="59">
        <f ca="1">OFFSET('Critical resources (hide)'!$F$6,COLUMN(S1)-1,0,1,1)</f>
        <v>11</v>
      </c>
      <c r="CD3" s="59">
        <f ca="1">OFFSET('Critical resources (hide)'!$F$6,COLUMN(T1)-1,0,1,1)</f>
        <v>12</v>
      </c>
      <c r="CE3" s="59">
        <f ca="1">OFFSET('Critical resources (hide)'!$F$6,COLUMN(U1)-1,0,1,1)</f>
        <v>13</v>
      </c>
      <c r="CF3" s="59">
        <f ca="1">OFFSET('Critical resources (hide)'!$F$6,COLUMN(V1)-1,0,1,1)</f>
        <v>14</v>
      </c>
      <c r="CG3" s="59">
        <f ca="1">OFFSET('Critical resources (hide)'!$F$6,COLUMN(W1)-1,0,1,1)</f>
        <v>15</v>
      </c>
      <c r="CH3" s="59">
        <f ca="1">OFFSET('Critical resources (hide)'!$F$6,COLUMN(X1)-1,0,1,1)</f>
        <v>16</v>
      </c>
      <c r="CI3" s="59">
        <f ca="1">OFFSET('Critical resources (hide)'!$F$6,COLUMN(Y1)-1,0,1,1)</f>
        <v>17</v>
      </c>
      <c r="CJ3" s="59">
        <f ca="1">OFFSET('Critical resources (hide)'!$F$6,COLUMN(Z1)-1,0,1,1)</f>
        <v>18</v>
      </c>
      <c r="CK3" s="59">
        <f ca="1">OFFSET('Critical resources (hide)'!$F$6,COLUMN(AA1)-1,0,1,1)</f>
        <v>19</v>
      </c>
      <c r="CL3" s="59">
        <f ca="1">OFFSET('Critical resources (hide)'!$F$6,COLUMN(AB1)-1,0,1,1)</f>
        <v>20</v>
      </c>
      <c r="CM3" s="59">
        <f ca="1">OFFSET('Critical resources (hide)'!$F$6,COLUMN(AC1)-1,0,1,1)</f>
        <v>21</v>
      </c>
      <c r="CN3" s="59">
        <f ca="1">OFFSET('Critical resources (hide)'!$F$6,COLUMN(AD1)-1,0,1,1)</f>
        <v>22</v>
      </c>
      <c r="CO3" s="59">
        <f ca="1">OFFSET('Critical resources (hide)'!$F$6,COLUMN(AE1)-1,0,1,1)</f>
        <v>23</v>
      </c>
      <c r="CP3" s="59">
        <f ca="1">OFFSET('Critical resources (hide)'!$F$6,COLUMN(AF1)-1,0,1,1)</f>
        <v>24</v>
      </c>
      <c r="CQ3" s="59">
        <f ca="1">OFFSET('Critical resources (hide)'!$F$6,COLUMN(AG1)-1,0,1,1)</f>
        <v>25</v>
      </c>
      <c r="CR3" s="59">
        <f ca="1">OFFSET('Critical resources (hide)'!$F$6,COLUMN(AH1)-1,0,1,1)</f>
        <v>26</v>
      </c>
      <c r="CS3" s="59">
        <f ca="1">OFFSET('Critical resources (hide)'!$F$6,COLUMN(AI1)-1,0,1,1)</f>
        <v>27</v>
      </c>
      <c r="CT3" s="59">
        <f ca="1">OFFSET('Critical resources (hide)'!$F$6,COLUMN(AJ1)-1,0,1,1)</f>
        <v>28</v>
      </c>
      <c r="CU3" s="59">
        <f ca="1">OFFSET('Critical resources (hide)'!$F$6,COLUMN(AK1)-1,0,1,1)</f>
        <v>29</v>
      </c>
      <c r="CV3" s="59">
        <f ca="1">OFFSET('Critical resources (hide)'!$F$6,COLUMN(AL1)-1,0,1,1)</f>
        <v>30</v>
      </c>
      <c r="CW3" s="59">
        <f ca="1">OFFSET('Critical resources (hide)'!$F$6,COLUMN(AM1)-1,0,1,1)</f>
        <v>31</v>
      </c>
      <c r="CX3" s="59">
        <f ca="1">OFFSET('Critical resources (hide)'!$F$6,COLUMN(AN1)-1,0,1,1)</f>
        <v>32</v>
      </c>
      <c r="CY3" s="59">
        <f ca="1">OFFSET('Critical resources (hide)'!$F$6,COLUMN(AO1)-1,0,1,1)</f>
        <v>33</v>
      </c>
      <c r="CZ3" s="59">
        <f ca="1">OFFSET('Critical resources (hide)'!$F$6,COLUMN(AP1)-1,0,1,1)</f>
        <v>34</v>
      </c>
      <c r="DA3" s="59">
        <f ca="1">OFFSET('Critical resources (hide)'!$F$6,COLUMN(AQ1)-1,0,1,1)</f>
        <v>35</v>
      </c>
      <c r="DB3" s="59">
        <f ca="1">OFFSET('Critical resources (hide)'!$F$6,COLUMN(AR1)-1,0,1,1)</f>
        <v>36</v>
      </c>
      <c r="DC3" s="59">
        <f ca="1">OFFSET('Critical resources (hide)'!$F$6,COLUMN(AS1)-1,0,1,1)</f>
        <v>37</v>
      </c>
      <c r="DD3" s="59">
        <f ca="1">OFFSET('Critical resources (hide)'!$F$6,COLUMN(AT1)-1,0,1,1)</f>
        <v>38</v>
      </c>
      <c r="DE3" s="59">
        <f ca="1">OFFSET('Critical resources (hide)'!$F$6,COLUMN(AU1)-1,0,1,1)</f>
        <v>39</v>
      </c>
      <c r="DF3" s="59">
        <f ca="1">OFFSET('Critical resources (hide)'!$F$6,COLUMN(AV1)-1,0,1,1)</f>
        <v>40</v>
      </c>
      <c r="DG3" s="59">
        <f ca="1">OFFSET('Critical resources (hide)'!$F$6,COLUMN(AW1)-1,0,1,1)</f>
        <v>41</v>
      </c>
      <c r="DH3" s="59">
        <f ca="1">OFFSET('Critical resources (hide)'!$F$6,COLUMN(AX1)-1,0,1,1)</f>
        <v>42</v>
      </c>
      <c r="DI3" s="59">
        <f ca="1">OFFSET('Critical resources (hide)'!$F$6,COLUMN(AY1)-1,0,1,1)</f>
        <v>43</v>
      </c>
      <c r="DJ3" s="59">
        <f ca="1">OFFSET('Critical resources (hide)'!$F$6,COLUMN(AZ1)-1,0,1,1)</f>
        <v>44</v>
      </c>
      <c r="DK3" s="375">
        <f ca="1">DJ3+1</f>
        <v>45</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ca="1" si="0">SUM(BK5:BK104)</f>
        <v>13.038461538461538</v>
      </c>
      <c r="BL4" s="311">
        <f t="shared" ca="1" si="0"/>
        <v>13.038461538461538</v>
      </c>
      <c r="BM4" s="311">
        <f t="shared" ca="1" si="0"/>
        <v>13.038461538461538</v>
      </c>
      <c r="BN4" s="311">
        <f t="shared" ca="1" si="0"/>
        <v>13.038461538461538</v>
      </c>
      <c r="BO4" s="311">
        <f t="shared" ca="1" si="0"/>
        <v>13.038461538461538</v>
      </c>
      <c r="BP4" s="311">
        <f t="shared" ca="1" si="0"/>
        <v>13.038461538461538</v>
      </c>
      <c r="BQ4" s="311">
        <f t="shared" ca="1" si="0"/>
        <v>13.038461538461538</v>
      </c>
      <c r="BR4" s="311">
        <f t="shared" ca="1" si="0"/>
        <v>13.038461538461538</v>
      </c>
      <c r="BS4" s="311">
        <f t="shared" ca="1" si="0"/>
        <v>13.038461538461538</v>
      </c>
      <c r="BT4" s="311">
        <f t="shared" ca="1" si="0"/>
        <v>13.038461538461538</v>
      </c>
      <c r="BU4" s="311">
        <f t="shared" ca="1" si="0"/>
        <v>13.038461538461538</v>
      </c>
      <c r="BV4" s="311">
        <f t="shared" ca="1" si="0"/>
        <v>13.038461538461538</v>
      </c>
      <c r="BW4" s="311">
        <f t="shared" ca="1" si="0"/>
        <v>13.038461538461538</v>
      </c>
      <c r="BX4" s="311">
        <f t="shared" ca="1" si="0"/>
        <v>13.038461538461538</v>
      </c>
      <c r="BY4" s="311">
        <f t="shared" ca="1" si="0"/>
        <v>13.038461538461538</v>
      </c>
      <c r="BZ4" s="311">
        <f t="shared" ca="1" si="0"/>
        <v>13.038461538461538</v>
      </c>
      <c r="CA4" s="311">
        <f t="shared" ca="1" si="0"/>
        <v>13.038461538461538</v>
      </c>
      <c r="CB4" s="311">
        <f t="shared" ca="1" si="0"/>
        <v>13.038461538461538</v>
      </c>
      <c r="CC4" s="311">
        <f t="shared" ca="1" si="0"/>
        <v>13.038461538461538</v>
      </c>
      <c r="CD4" s="311">
        <f t="shared" ca="1" si="0"/>
        <v>13.038461538461538</v>
      </c>
      <c r="CE4" s="311">
        <f t="shared" ca="1" si="0"/>
        <v>13.038461538461538</v>
      </c>
      <c r="CF4" s="311">
        <f t="shared" ca="1" si="0"/>
        <v>13.038461538461538</v>
      </c>
      <c r="CG4" s="311">
        <f t="shared" ca="1" si="0"/>
        <v>13.038461538461538</v>
      </c>
      <c r="CH4" s="311">
        <f t="shared" ca="1" si="0"/>
        <v>13.038461538461538</v>
      </c>
      <c r="CI4" s="311">
        <f t="shared" ca="1" si="0"/>
        <v>13.038461538461538</v>
      </c>
      <c r="CJ4" s="311">
        <f t="shared" ca="1" si="0"/>
        <v>13.038461538461538</v>
      </c>
      <c r="CK4" s="311">
        <f t="shared" ca="1" si="0"/>
        <v>13.038461538461538</v>
      </c>
      <c r="CL4" s="311">
        <f t="shared" ca="1" si="0"/>
        <v>13.038461538461538</v>
      </c>
      <c r="CM4" s="311">
        <f t="shared" ca="1" si="0"/>
        <v>13.038461538461538</v>
      </c>
      <c r="CN4" s="311">
        <f t="shared" ca="1" si="0"/>
        <v>13.038461538461538</v>
      </c>
      <c r="CO4" s="311">
        <f t="shared" ca="1" si="0"/>
        <v>13.038461538461538</v>
      </c>
      <c r="CP4" s="311">
        <f t="shared" ca="1" si="0"/>
        <v>13.038461538461538</v>
      </c>
      <c r="CQ4" s="311">
        <f t="shared" ref="CQ4:DJ4" ca="1" si="1">SUM(CQ5:CQ104)</f>
        <v>13.038461538461538</v>
      </c>
      <c r="CR4" s="311">
        <f t="shared" ca="1" si="1"/>
        <v>13.038461538461538</v>
      </c>
      <c r="CS4" s="311">
        <f t="shared" ca="1" si="1"/>
        <v>13.038461538461538</v>
      </c>
      <c r="CT4" s="311">
        <f t="shared" ca="1" si="1"/>
        <v>13.038461538461538</v>
      </c>
      <c r="CU4" s="311">
        <f t="shared" ca="1" si="1"/>
        <v>13.038461538461538</v>
      </c>
      <c r="CV4" s="311">
        <f t="shared" ca="1" si="1"/>
        <v>13.038461538461538</v>
      </c>
      <c r="CW4" s="311">
        <f t="shared" ca="1" si="1"/>
        <v>13.038461538461538</v>
      </c>
      <c r="CX4" s="311">
        <f t="shared" ca="1" si="1"/>
        <v>13.038461538461538</v>
      </c>
      <c r="CY4" s="311">
        <f t="shared" ca="1" si="1"/>
        <v>13.038461538461538</v>
      </c>
      <c r="CZ4" s="311">
        <f t="shared" ca="1" si="1"/>
        <v>13.038461538461538</v>
      </c>
      <c r="DA4" s="311">
        <f t="shared" ca="1" si="1"/>
        <v>13.038461538461538</v>
      </c>
      <c r="DB4" s="311">
        <f t="shared" ca="1" si="1"/>
        <v>13.038461538461538</v>
      </c>
      <c r="DC4" s="311">
        <f t="shared" ca="1" si="1"/>
        <v>13.038461538461538</v>
      </c>
      <c r="DD4" s="311">
        <f t="shared" ca="1" si="1"/>
        <v>13.038461538461538</v>
      </c>
      <c r="DE4" s="311">
        <f t="shared" ca="1" si="1"/>
        <v>13.038461538461538</v>
      </c>
      <c r="DF4" s="311">
        <f t="shared" ca="1" si="1"/>
        <v>13.038461538461538</v>
      </c>
      <c r="DG4" s="311">
        <f t="shared" ca="1" si="1"/>
        <v>13.038461538461538</v>
      </c>
      <c r="DH4" s="311">
        <f t="shared" ca="1" si="1"/>
        <v>13.038461538461538</v>
      </c>
      <c r="DI4" s="311">
        <f t="shared" ca="1" si="1"/>
        <v>13.038461538461538</v>
      </c>
      <c r="DJ4" s="311">
        <f t="shared" ca="1" si="1"/>
        <v>13.038461538461538</v>
      </c>
      <c r="DK4" s="395">
        <f ca="1">DJ4</f>
        <v>13.038461538461538</v>
      </c>
      <c r="DL4" s="136">
        <f ca="1">SUM(BK4:DK4)</f>
        <v>691.03846153846189</v>
      </c>
      <c r="DM4" s="5">
        <f>SUM(DM5:DM104)</f>
        <v>678</v>
      </c>
    </row>
    <row r="5" spans="1:121" x14ac:dyDescent="0.2">
      <c r="A5" s="67">
        <f>IF(Capacity!L17='Capacity summary'!BI124,1,0)</f>
        <v>1</v>
      </c>
      <c r="B5">
        <f>IF(Capacity!V17='Capacity summary'!BI24,1,0)</f>
        <v>1</v>
      </c>
      <c r="C5" s="67" t="str">
        <f>ROW(A1)&amp;". "&amp;Capacity!B17</f>
        <v>1. Core Clinic 1</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 ca="1">IF(ROW(C1)&lt;=Capacity!$A$16,IF('Capacity summary'!$D$14="No",SUM(H5:BG5),'Capacity summary'!$E124),0)</f>
        <v>52</v>
      </c>
      <c r="BI5" s="5">
        <f ca="1">IF(BH5&gt;0,IF(BH5&lt;Capacity!E17,Capacity!F17,Capacity!H17/'Capacity calculation (hide)'!BH5),"")</f>
        <v>4.0384615384615383</v>
      </c>
      <c r="BK5" s="311">
        <f ca="1">IF($BI5&lt;&gt;"",IF('Capacity summary'!$D$14="Yes",IF(COUNTBLANK('Capacity summary'!$H124:$BG124)&lt;52,IF('Capacity summary'!H124&lt;&gt;"",IF(LOWER('Capacity summary'!H124)="x",$BI5*H5,VALUE('Capacity summary'!H124)),0),H5*$BI5),H5*$BI5),0)</f>
        <v>4.0384615384615383</v>
      </c>
      <c r="BL5" s="311">
        <f ca="1">IF($BI5&lt;&gt;"",IF('Capacity summary'!$D$14="Yes",IF(COUNTBLANK('Capacity summary'!$H124:$BG124)&lt;52,IF('Capacity summary'!I124&lt;&gt;"",IF(LOWER('Capacity summary'!I124)="x",$BI5*I5,VALUE('Capacity summary'!I124)),0),I5*$BI5),I5*$BI5),0)</f>
        <v>4.0384615384615383</v>
      </c>
      <c r="BM5" s="311">
        <f ca="1">IF($BI5&lt;&gt;"",IF('Capacity summary'!$D$14="Yes",IF(COUNTBLANK('Capacity summary'!$H124:$BG124)&lt;52,IF('Capacity summary'!J124&lt;&gt;"",IF(LOWER('Capacity summary'!J124)="x",$BI5*J5,VALUE('Capacity summary'!J124)),0),J5*$BI5),J5*$BI5),0)</f>
        <v>4.0384615384615383</v>
      </c>
      <c r="BN5" s="311">
        <f ca="1">IF($BI5&lt;&gt;"",IF('Capacity summary'!$D$14="Yes",IF(COUNTBLANK('Capacity summary'!$H124:$BG124)&lt;52,IF('Capacity summary'!K124&lt;&gt;"",IF(LOWER('Capacity summary'!K124)="x",$BI5*K5,VALUE('Capacity summary'!K124)),0),K5*$BI5),K5*$BI5),0)</f>
        <v>4.0384615384615383</v>
      </c>
      <c r="BO5" s="311">
        <f ca="1">IF($BI5&lt;&gt;"",IF('Capacity summary'!$D$14="Yes",IF(COUNTBLANK('Capacity summary'!$H124:$BG124)&lt;52,IF('Capacity summary'!L124&lt;&gt;"",IF(LOWER('Capacity summary'!L124)="x",$BI5*L5,VALUE('Capacity summary'!L124)),0),L5*$BI5),L5*$BI5),0)</f>
        <v>4.0384615384615383</v>
      </c>
      <c r="BP5" s="311">
        <f ca="1">IF($BI5&lt;&gt;"",IF('Capacity summary'!$D$14="Yes",IF(COUNTBLANK('Capacity summary'!$H124:$BG124)&lt;52,IF('Capacity summary'!M124&lt;&gt;"",IF(LOWER('Capacity summary'!M124)="x",$BI5*M5,VALUE('Capacity summary'!M124)),0),M5*$BI5),M5*$BI5),0)</f>
        <v>4.0384615384615383</v>
      </c>
      <c r="BQ5" s="311">
        <f ca="1">IF($BI5&lt;&gt;"",IF('Capacity summary'!$D$14="Yes",IF(COUNTBLANK('Capacity summary'!$H124:$BG124)&lt;52,IF('Capacity summary'!N124&lt;&gt;"",IF(LOWER('Capacity summary'!N124)="x",$BI5*N5,VALUE('Capacity summary'!N124)),0),N5*$BI5),N5*$BI5),0)</f>
        <v>4.0384615384615383</v>
      </c>
      <c r="BR5" s="311">
        <f ca="1">IF($BI5&lt;&gt;"",IF('Capacity summary'!$D$14="Yes",IF(COUNTBLANK('Capacity summary'!$H124:$BG124)&lt;52,IF('Capacity summary'!O124&lt;&gt;"",IF(LOWER('Capacity summary'!O124)="x",$BI5*O5,VALUE('Capacity summary'!O124)),0),O5*$BI5),O5*$BI5),0)</f>
        <v>4.0384615384615383</v>
      </c>
      <c r="BS5" s="311">
        <f ca="1">IF($BI5&lt;&gt;"",IF('Capacity summary'!$D$14="Yes",IF(COUNTBLANK('Capacity summary'!$H124:$BG124)&lt;52,IF('Capacity summary'!P124&lt;&gt;"",IF(LOWER('Capacity summary'!P124)="x",$BI5*P5,VALUE('Capacity summary'!P124)),0),P5*$BI5),P5*$BI5),0)</f>
        <v>4.0384615384615383</v>
      </c>
      <c r="BT5" s="311">
        <f ca="1">IF($BI5&lt;&gt;"",IF('Capacity summary'!$D$14="Yes",IF(COUNTBLANK('Capacity summary'!$H124:$BG124)&lt;52,IF('Capacity summary'!Q124&lt;&gt;"",IF(LOWER('Capacity summary'!Q124)="x",$BI5*Q5,VALUE('Capacity summary'!Q124)),0),Q5*$BI5),Q5*$BI5),0)</f>
        <v>4.0384615384615383</v>
      </c>
      <c r="BU5" s="311">
        <f ca="1">IF($BI5&lt;&gt;"",IF('Capacity summary'!$D$14="Yes",IF(COUNTBLANK('Capacity summary'!$H124:$BG124)&lt;52,IF('Capacity summary'!R124&lt;&gt;"",IF(LOWER('Capacity summary'!R124)="x",$BI5*R5,VALUE('Capacity summary'!R124)),0),R5*$BI5),R5*$BI5),0)</f>
        <v>4.0384615384615383</v>
      </c>
      <c r="BV5" s="311">
        <f ca="1">IF($BI5&lt;&gt;"",IF('Capacity summary'!$D$14="Yes",IF(COUNTBLANK('Capacity summary'!$H124:$BG124)&lt;52,IF('Capacity summary'!S124&lt;&gt;"",IF(LOWER('Capacity summary'!S124)="x",$BI5*S5,VALUE('Capacity summary'!S124)),0),S5*$BI5),S5*$BI5),0)</f>
        <v>4.0384615384615383</v>
      </c>
      <c r="BW5" s="311">
        <f ca="1">IF($BI5&lt;&gt;"",IF('Capacity summary'!$D$14="Yes",IF(COUNTBLANK('Capacity summary'!$H124:$BG124)&lt;52,IF('Capacity summary'!T124&lt;&gt;"",IF(LOWER('Capacity summary'!T124)="x",$BI5*T5,VALUE('Capacity summary'!T124)),0),T5*$BI5),T5*$BI5),0)</f>
        <v>4.0384615384615383</v>
      </c>
      <c r="BX5" s="311">
        <f ca="1">IF($BI5&lt;&gt;"",IF('Capacity summary'!$D$14="Yes",IF(COUNTBLANK('Capacity summary'!$H124:$BG124)&lt;52,IF('Capacity summary'!U124&lt;&gt;"",IF(LOWER('Capacity summary'!U124)="x",$BI5*U5,VALUE('Capacity summary'!U124)),0),U5*$BI5),U5*$BI5),0)</f>
        <v>4.0384615384615383</v>
      </c>
      <c r="BY5" s="311">
        <f ca="1">IF($BI5&lt;&gt;"",IF('Capacity summary'!$D$14="Yes",IF(COUNTBLANK('Capacity summary'!$H124:$BG124)&lt;52,IF('Capacity summary'!V124&lt;&gt;"",IF(LOWER('Capacity summary'!V124)="x",$BI5*V5,VALUE('Capacity summary'!V124)),0),V5*$BI5),V5*$BI5),0)</f>
        <v>4.0384615384615383</v>
      </c>
      <c r="BZ5" s="311">
        <f ca="1">IF($BI5&lt;&gt;"",IF('Capacity summary'!$D$14="Yes",IF(COUNTBLANK('Capacity summary'!$H124:$BG124)&lt;52,IF('Capacity summary'!W124&lt;&gt;"",IF(LOWER('Capacity summary'!W124)="x",$BI5*W5,VALUE('Capacity summary'!W124)),0),W5*$BI5),W5*$BI5),0)</f>
        <v>4.0384615384615383</v>
      </c>
      <c r="CA5" s="311">
        <f ca="1">IF($BI5&lt;&gt;"",IF('Capacity summary'!$D$14="Yes",IF(COUNTBLANK('Capacity summary'!$H124:$BG124)&lt;52,IF('Capacity summary'!X124&lt;&gt;"",IF(LOWER('Capacity summary'!X124)="x",$BI5*X5,VALUE('Capacity summary'!X124)),0),X5*$BI5),X5*$BI5),0)</f>
        <v>4.0384615384615383</v>
      </c>
      <c r="CB5" s="311">
        <f ca="1">IF($BI5&lt;&gt;"",IF('Capacity summary'!$D$14="Yes",IF(COUNTBLANK('Capacity summary'!$H124:$BG124)&lt;52,IF('Capacity summary'!Y124&lt;&gt;"",IF(LOWER('Capacity summary'!Y124)="x",$BI5*Y5,VALUE('Capacity summary'!Y124)),0),Y5*$BI5),Y5*$BI5),0)</f>
        <v>4.0384615384615383</v>
      </c>
      <c r="CC5" s="311">
        <f ca="1">IF($BI5&lt;&gt;"",IF('Capacity summary'!$D$14="Yes",IF(COUNTBLANK('Capacity summary'!$H124:$BG124)&lt;52,IF('Capacity summary'!Z124&lt;&gt;"",IF(LOWER('Capacity summary'!Z124)="x",$BI5*Z5,VALUE('Capacity summary'!Z124)),0),Z5*$BI5),Z5*$BI5),0)</f>
        <v>4.0384615384615383</v>
      </c>
      <c r="CD5" s="311">
        <f ca="1">IF($BI5&lt;&gt;"",IF('Capacity summary'!$D$14="Yes",IF(COUNTBLANK('Capacity summary'!$H124:$BG124)&lt;52,IF('Capacity summary'!AA124&lt;&gt;"",IF(LOWER('Capacity summary'!AA124)="x",$BI5*AA5,VALUE('Capacity summary'!AA124)),0),AA5*$BI5),AA5*$BI5),0)</f>
        <v>4.0384615384615383</v>
      </c>
      <c r="CE5" s="311">
        <f ca="1">IF($BI5&lt;&gt;"",IF('Capacity summary'!$D$14="Yes",IF(COUNTBLANK('Capacity summary'!$H124:$BG124)&lt;52,IF('Capacity summary'!AB124&lt;&gt;"",IF(LOWER('Capacity summary'!AB124)="x",$BI5*AB5,VALUE('Capacity summary'!AB124)),0),AB5*$BI5),AB5*$BI5),0)</f>
        <v>4.0384615384615383</v>
      </c>
      <c r="CF5" s="311">
        <f ca="1">IF($BI5&lt;&gt;"",IF('Capacity summary'!$D$14="Yes",IF(COUNTBLANK('Capacity summary'!$H124:$BG124)&lt;52,IF('Capacity summary'!AC124&lt;&gt;"",IF(LOWER('Capacity summary'!AC124)="x",$BI5*AC5,VALUE('Capacity summary'!AC124)),0),AC5*$BI5),AC5*$BI5),0)</f>
        <v>4.0384615384615383</v>
      </c>
      <c r="CG5" s="311">
        <f ca="1">IF($BI5&lt;&gt;"",IF('Capacity summary'!$D$14="Yes",IF(COUNTBLANK('Capacity summary'!$H124:$BG124)&lt;52,IF('Capacity summary'!AD124&lt;&gt;"",IF(LOWER('Capacity summary'!AD124)="x",$BI5*AD5,VALUE('Capacity summary'!AD124)),0),AD5*$BI5),AD5*$BI5),0)</f>
        <v>4.0384615384615383</v>
      </c>
      <c r="CH5" s="311">
        <f ca="1">IF($BI5&lt;&gt;"",IF('Capacity summary'!$D$14="Yes",IF(COUNTBLANK('Capacity summary'!$H124:$BG124)&lt;52,IF('Capacity summary'!AE124&lt;&gt;"",IF(LOWER('Capacity summary'!AE124)="x",$BI5*AE5,VALUE('Capacity summary'!AE124)),0),AE5*$BI5),AE5*$BI5),0)</f>
        <v>4.0384615384615383</v>
      </c>
      <c r="CI5" s="311">
        <f ca="1">IF($BI5&lt;&gt;"",IF('Capacity summary'!$D$14="Yes",IF(COUNTBLANK('Capacity summary'!$H124:$BG124)&lt;52,IF('Capacity summary'!AF124&lt;&gt;"",IF(LOWER('Capacity summary'!AF124)="x",$BI5*AF5,VALUE('Capacity summary'!AF124)),0),AF5*$BI5),AF5*$BI5),0)</f>
        <v>4.0384615384615383</v>
      </c>
      <c r="CJ5" s="311">
        <f ca="1">IF($BI5&lt;&gt;"",IF('Capacity summary'!$D$14="Yes",IF(COUNTBLANK('Capacity summary'!$H124:$BG124)&lt;52,IF('Capacity summary'!AG124&lt;&gt;"",IF(LOWER('Capacity summary'!AG124)="x",$BI5*AG5,VALUE('Capacity summary'!AG124)),0),AG5*$BI5),AG5*$BI5),0)</f>
        <v>4.0384615384615383</v>
      </c>
      <c r="CK5" s="311">
        <f ca="1">IF($BI5&lt;&gt;"",IF('Capacity summary'!$D$14="Yes",IF(COUNTBLANK('Capacity summary'!$H124:$BG124)&lt;52,IF('Capacity summary'!AH124&lt;&gt;"",IF(LOWER('Capacity summary'!AH124)="x",$BI5*AH5,VALUE('Capacity summary'!AH124)),0),AH5*$BI5),AH5*$BI5),0)</f>
        <v>4.0384615384615383</v>
      </c>
      <c r="CL5" s="311">
        <f ca="1">IF($BI5&lt;&gt;"",IF('Capacity summary'!$D$14="Yes",IF(COUNTBLANK('Capacity summary'!$H124:$BG124)&lt;52,IF('Capacity summary'!AI124&lt;&gt;"",IF(LOWER('Capacity summary'!AI124)="x",$BI5*AI5,VALUE('Capacity summary'!AI124)),0),AI5*$BI5),AI5*$BI5),0)</f>
        <v>4.0384615384615383</v>
      </c>
      <c r="CM5" s="311">
        <f ca="1">IF($BI5&lt;&gt;"",IF('Capacity summary'!$D$14="Yes",IF(COUNTBLANK('Capacity summary'!$H124:$BG124)&lt;52,IF('Capacity summary'!AJ124&lt;&gt;"",IF(LOWER('Capacity summary'!AJ124)="x",$BI5*AJ5,VALUE('Capacity summary'!AJ124)),0),AJ5*$BI5),AJ5*$BI5),0)</f>
        <v>4.0384615384615383</v>
      </c>
      <c r="CN5" s="311">
        <f ca="1">IF($BI5&lt;&gt;"",IF('Capacity summary'!$D$14="Yes",IF(COUNTBLANK('Capacity summary'!$H124:$BG124)&lt;52,IF('Capacity summary'!AK124&lt;&gt;"",IF(LOWER('Capacity summary'!AK124)="x",$BI5*AK5,VALUE('Capacity summary'!AK124)),0),AK5*$BI5),AK5*$BI5),0)</f>
        <v>4.0384615384615383</v>
      </c>
      <c r="CO5" s="311">
        <f ca="1">IF($BI5&lt;&gt;"",IF('Capacity summary'!$D$14="Yes",IF(COUNTBLANK('Capacity summary'!$H124:$BG124)&lt;52,IF('Capacity summary'!AL124&lt;&gt;"",IF(LOWER('Capacity summary'!AL124)="x",$BI5*AL5,VALUE('Capacity summary'!AL124)),0),AL5*$BI5),AL5*$BI5),0)</f>
        <v>4.0384615384615383</v>
      </c>
      <c r="CP5" s="311">
        <f ca="1">IF($BI5&lt;&gt;"",IF('Capacity summary'!$D$14="Yes",IF(COUNTBLANK('Capacity summary'!$H124:$BG124)&lt;52,IF('Capacity summary'!AM124&lt;&gt;"",IF(LOWER('Capacity summary'!AM124)="x",$BI5*AM5,VALUE('Capacity summary'!AM124)),0),AM5*$BI5),AM5*$BI5),0)</f>
        <v>4.0384615384615383</v>
      </c>
      <c r="CQ5" s="311">
        <f ca="1">IF($BI5&lt;&gt;"",IF('Capacity summary'!$D$14="Yes",IF(COUNTBLANK('Capacity summary'!$H124:$BG124)&lt;52,IF('Capacity summary'!AN124&lt;&gt;"",IF(LOWER('Capacity summary'!AN124)="x",$BI5*AN5,VALUE('Capacity summary'!AN124)),0),AN5*$BI5),AN5*$BI5),0)</f>
        <v>4.0384615384615383</v>
      </c>
      <c r="CR5" s="311">
        <f ca="1">IF($BI5&lt;&gt;"",IF('Capacity summary'!$D$14="Yes",IF(COUNTBLANK('Capacity summary'!$H124:$BG124)&lt;52,IF('Capacity summary'!AO124&lt;&gt;"",IF(LOWER('Capacity summary'!AO124)="x",$BI5*AO5,VALUE('Capacity summary'!AO124)),0),AO5*$BI5),AO5*$BI5),0)</f>
        <v>4.0384615384615383</v>
      </c>
      <c r="CS5" s="311">
        <f ca="1">IF($BI5&lt;&gt;"",IF('Capacity summary'!$D$14="Yes",IF(COUNTBLANK('Capacity summary'!$H124:$BG124)&lt;52,IF('Capacity summary'!AP124&lt;&gt;"",IF(LOWER('Capacity summary'!AP124)="x",$BI5*AP5,VALUE('Capacity summary'!AP124)),0),AP5*$BI5),AP5*$BI5),0)</f>
        <v>4.0384615384615383</v>
      </c>
      <c r="CT5" s="311">
        <f ca="1">IF($BI5&lt;&gt;"",IF('Capacity summary'!$D$14="Yes",IF(COUNTBLANK('Capacity summary'!$H124:$BG124)&lt;52,IF('Capacity summary'!AQ124&lt;&gt;"",IF(LOWER('Capacity summary'!AQ124)="x",$BI5*AQ5,VALUE('Capacity summary'!AQ124)),0),AQ5*$BI5),AQ5*$BI5),0)</f>
        <v>4.0384615384615383</v>
      </c>
      <c r="CU5" s="311">
        <f ca="1">IF($BI5&lt;&gt;"",IF('Capacity summary'!$D$14="Yes",IF(COUNTBLANK('Capacity summary'!$H124:$BG124)&lt;52,IF('Capacity summary'!AR124&lt;&gt;"",IF(LOWER('Capacity summary'!AR124)="x",$BI5*AR5,VALUE('Capacity summary'!AR124)),0),AR5*$BI5),AR5*$BI5),0)</f>
        <v>4.0384615384615383</v>
      </c>
      <c r="CV5" s="311">
        <f ca="1">IF($BI5&lt;&gt;"",IF('Capacity summary'!$D$14="Yes",IF(COUNTBLANK('Capacity summary'!$H124:$BG124)&lt;52,IF('Capacity summary'!AS124&lt;&gt;"",IF(LOWER('Capacity summary'!AS124)="x",$BI5*AS5,VALUE('Capacity summary'!AS124)),0),AS5*$BI5),AS5*$BI5),0)</f>
        <v>4.0384615384615383</v>
      </c>
      <c r="CW5" s="311">
        <f ca="1">IF($BI5&lt;&gt;"",IF('Capacity summary'!$D$14="Yes",IF(COUNTBLANK('Capacity summary'!$H124:$BG124)&lt;52,IF('Capacity summary'!AT124&lt;&gt;"",IF(LOWER('Capacity summary'!AT124)="x",$BI5*AT5,VALUE('Capacity summary'!AT124)),0),AT5*$BI5),AT5*$BI5),0)</f>
        <v>4.0384615384615383</v>
      </c>
      <c r="CX5" s="311">
        <f ca="1">IF($BI5&lt;&gt;"",IF('Capacity summary'!$D$14="Yes",IF(COUNTBLANK('Capacity summary'!$H124:$BG124)&lt;52,IF('Capacity summary'!AU124&lt;&gt;"",IF(LOWER('Capacity summary'!AU124)="x",$BI5*AU5,VALUE('Capacity summary'!AU124)),0),AU5*$BI5),AU5*$BI5),0)</f>
        <v>4.0384615384615383</v>
      </c>
      <c r="CY5" s="311">
        <f ca="1">IF($BI5&lt;&gt;"",IF('Capacity summary'!$D$14="Yes",IF(COUNTBLANK('Capacity summary'!$H124:$BG124)&lt;52,IF('Capacity summary'!AV124&lt;&gt;"",IF(LOWER('Capacity summary'!AV124)="x",$BI5*AV5,VALUE('Capacity summary'!AV124)),0),AV5*$BI5),AV5*$BI5),0)</f>
        <v>4.0384615384615383</v>
      </c>
      <c r="CZ5" s="311">
        <f ca="1">IF($BI5&lt;&gt;"",IF('Capacity summary'!$D$14="Yes",IF(COUNTBLANK('Capacity summary'!$H124:$BG124)&lt;52,IF('Capacity summary'!AW124&lt;&gt;"",IF(LOWER('Capacity summary'!AW124)="x",$BI5*AW5,VALUE('Capacity summary'!AW124)),0),AW5*$BI5),AW5*$BI5),0)</f>
        <v>4.0384615384615383</v>
      </c>
      <c r="DA5" s="311">
        <f ca="1">IF($BI5&lt;&gt;"",IF('Capacity summary'!$D$14="Yes",IF(COUNTBLANK('Capacity summary'!$H124:$BG124)&lt;52,IF('Capacity summary'!AX124&lt;&gt;"",IF(LOWER('Capacity summary'!AX124)="x",$BI5*AX5,VALUE('Capacity summary'!AX124)),0),AX5*$BI5),AX5*$BI5),0)</f>
        <v>4.0384615384615383</v>
      </c>
      <c r="DB5" s="311">
        <f ca="1">IF($BI5&lt;&gt;"",IF('Capacity summary'!$D$14="Yes",IF(COUNTBLANK('Capacity summary'!$H124:$BG124)&lt;52,IF('Capacity summary'!AY124&lt;&gt;"",IF(LOWER('Capacity summary'!AY124)="x",$BI5*AY5,VALUE('Capacity summary'!AY124)),0),AY5*$BI5),AY5*$BI5),0)</f>
        <v>4.0384615384615383</v>
      </c>
      <c r="DC5" s="311">
        <f ca="1">IF($BI5&lt;&gt;"",IF('Capacity summary'!$D$14="Yes",IF(COUNTBLANK('Capacity summary'!$H124:$BG124)&lt;52,IF('Capacity summary'!AZ124&lt;&gt;"",IF(LOWER('Capacity summary'!AZ124)="x",$BI5*AZ5,VALUE('Capacity summary'!AZ124)),0),AZ5*$BI5),AZ5*$BI5),0)</f>
        <v>4.0384615384615383</v>
      </c>
      <c r="DD5" s="311">
        <f ca="1">IF($BI5&lt;&gt;"",IF('Capacity summary'!$D$14="Yes",IF(COUNTBLANK('Capacity summary'!$H124:$BG124)&lt;52,IF('Capacity summary'!BA124&lt;&gt;"",IF(LOWER('Capacity summary'!BA124)="x",$BI5*BA5,VALUE('Capacity summary'!BA124)),0),BA5*$BI5),BA5*$BI5),0)</f>
        <v>4.0384615384615383</v>
      </c>
      <c r="DE5" s="311">
        <f ca="1">IF($BI5&lt;&gt;"",IF('Capacity summary'!$D$14="Yes",IF(COUNTBLANK('Capacity summary'!$H124:$BG124)&lt;52,IF('Capacity summary'!BB124&lt;&gt;"",IF(LOWER('Capacity summary'!BB124)="x",$BI5*BB5,VALUE('Capacity summary'!BB124)),0),BB5*$BI5),BB5*$BI5),0)</f>
        <v>4.0384615384615383</v>
      </c>
      <c r="DF5" s="311">
        <f ca="1">IF($BI5&lt;&gt;"",IF('Capacity summary'!$D$14="Yes",IF(COUNTBLANK('Capacity summary'!$H124:$BG124)&lt;52,IF('Capacity summary'!BC124&lt;&gt;"",IF(LOWER('Capacity summary'!BC124)="x",$BI5*BC5,VALUE('Capacity summary'!BC124)),0),BC5*$BI5),BC5*$BI5),0)</f>
        <v>4.0384615384615383</v>
      </c>
      <c r="DG5" s="311">
        <f ca="1">IF($BI5&lt;&gt;"",IF('Capacity summary'!$D$14="Yes",IF(COUNTBLANK('Capacity summary'!$H124:$BG124)&lt;52,IF('Capacity summary'!BD124&lt;&gt;"",IF(LOWER('Capacity summary'!BD124)="x",$BI5*BD5,VALUE('Capacity summary'!BD124)),0),BD5*$BI5),BD5*$BI5),0)</f>
        <v>4.0384615384615383</v>
      </c>
      <c r="DH5" s="311">
        <f ca="1">IF($BI5&lt;&gt;"",IF('Capacity summary'!$D$14="Yes",IF(COUNTBLANK('Capacity summary'!$H124:$BG124)&lt;52,IF('Capacity summary'!BE124&lt;&gt;"",IF(LOWER('Capacity summary'!BE124)="x",$BI5*BE5,VALUE('Capacity summary'!BE124)),0),BE5*$BI5),BE5*$BI5),0)</f>
        <v>4.0384615384615383</v>
      </c>
      <c r="DI5" s="311">
        <f ca="1">IF($BI5&lt;&gt;"",IF('Capacity summary'!$D$14="Yes",IF(COUNTBLANK('Capacity summary'!$H124:$BG124)&lt;52,IF('Capacity summary'!BF124&lt;&gt;"",IF(LOWER('Capacity summary'!BF124)="x",$BI5*BF5,VALUE('Capacity summary'!BF124)),0),BF5*$BI5),BF5*$BI5),0)</f>
        <v>4.0384615384615383</v>
      </c>
      <c r="DJ5" s="311">
        <f ca="1">IF($BI5&lt;&gt;"",IF('Capacity summary'!$D$14="Yes",IF(COUNTBLANK('Capacity summary'!$H124:$BG124)&lt;52,IF('Capacity summary'!BG124&lt;&gt;"",IF(LOWER('Capacity summary'!BG124)="x",$BI5*BG5,VALUE('Capacity summary'!BG124)),0),BG5*$BI5),BG5*$BI5),0)</f>
        <v>4.0384615384615383</v>
      </c>
      <c r="DK5" s="395">
        <f t="shared" ref="DK5:DK68" ca="1" si="2">DJ5</f>
        <v>4.0384615384615383</v>
      </c>
      <c r="DL5" s="136">
        <f t="shared" ref="DL5:DL68" ca="1" si="3">SUM(BK5:DJ5)</f>
        <v>210.00000000000011</v>
      </c>
      <c r="DM5" s="311">
        <f>Capacity!H17</f>
        <v>210</v>
      </c>
      <c r="DQ5" s="5"/>
    </row>
    <row r="6" spans="1:121" x14ac:dyDescent="0.2">
      <c r="A6" s="67">
        <f>IF(Capacity!L18='Capacity summary'!BI125,1,0)</f>
        <v>1</v>
      </c>
      <c r="B6" s="67">
        <f>IF(Capacity!V18='Capacity summary'!BI25,1,0)</f>
        <v>1</v>
      </c>
      <c r="C6" s="67" t="str">
        <f>ROW(A2)&amp;". "&amp;Capacity!B18</f>
        <v>2. Core Clinic 2</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 ca="1">IF(ROW(C2)&lt;=Capacity!$A$16,IF('Capacity summary'!$D$14="No",SUM(H6:BG6),'Capacity summary'!$E125),0)</f>
        <v>52</v>
      </c>
      <c r="BI6" s="5">
        <f ca="1">IF(BH6&gt;0,IF(BH6&lt;Capacity!E18,Capacity!F18,Capacity!H18/'Capacity calculation (hide)'!BH6),"")</f>
        <v>4.0384615384615383</v>
      </c>
      <c r="BK6" s="311">
        <f ca="1">IF($BI6&lt;&gt;"",IF('Capacity summary'!$D$14="Yes",IF(COUNTBLANK('Capacity summary'!$H125:$BG125)&lt;52,IF('Capacity summary'!H125&lt;&gt;"",IF(LOWER('Capacity summary'!H125)="x",$BI6*H6,VALUE('Capacity summary'!H125)),0),H6*$BI6),H6*$BI6),0)</f>
        <v>4.0384615384615383</v>
      </c>
      <c r="BL6" s="311">
        <f ca="1">IF($BI6&lt;&gt;"",IF('Capacity summary'!$D$14="Yes",IF(COUNTBLANK('Capacity summary'!$H125:$BG125)&lt;52,IF('Capacity summary'!I125&lt;&gt;"",IF(LOWER('Capacity summary'!I125)="x",$BI6*I6,VALUE('Capacity summary'!I125)),0),I6*$BI6),I6*$BI6),0)</f>
        <v>4.0384615384615383</v>
      </c>
      <c r="BM6" s="311">
        <f ca="1">IF($BI6&lt;&gt;"",IF('Capacity summary'!$D$14="Yes",IF(COUNTBLANK('Capacity summary'!$H125:$BG125)&lt;52,IF('Capacity summary'!J125&lt;&gt;"",IF(LOWER('Capacity summary'!J125)="x",$BI6*J6,VALUE('Capacity summary'!J125)),0),J6*$BI6),J6*$BI6),0)</f>
        <v>4.0384615384615383</v>
      </c>
      <c r="BN6" s="311">
        <f ca="1">IF($BI6&lt;&gt;"",IF('Capacity summary'!$D$14="Yes",IF(COUNTBLANK('Capacity summary'!$H125:$BG125)&lt;52,IF('Capacity summary'!K125&lt;&gt;"",IF(LOWER('Capacity summary'!K125)="x",$BI6*K6,VALUE('Capacity summary'!K125)),0),K6*$BI6),K6*$BI6),0)</f>
        <v>4.0384615384615383</v>
      </c>
      <c r="BO6" s="311">
        <f ca="1">IF($BI6&lt;&gt;"",IF('Capacity summary'!$D$14="Yes",IF(COUNTBLANK('Capacity summary'!$H125:$BG125)&lt;52,IF('Capacity summary'!L125&lt;&gt;"",IF(LOWER('Capacity summary'!L125)="x",$BI6*L6,VALUE('Capacity summary'!L125)),0),L6*$BI6),L6*$BI6),0)</f>
        <v>4.0384615384615383</v>
      </c>
      <c r="BP6" s="311">
        <f ca="1">IF($BI6&lt;&gt;"",IF('Capacity summary'!$D$14="Yes",IF(COUNTBLANK('Capacity summary'!$H125:$BG125)&lt;52,IF('Capacity summary'!M125&lt;&gt;"",IF(LOWER('Capacity summary'!M125)="x",$BI6*M6,VALUE('Capacity summary'!M125)),0),M6*$BI6),M6*$BI6),0)</f>
        <v>4.0384615384615383</v>
      </c>
      <c r="BQ6" s="311">
        <f ca="1">IF($BI6&lt;&gt;"",IF('Capacity summary'!$D$14="Yes",IF(COUNTBLANK('Capacity summary'!$H125:$BG125)&lt;52,IF('Capacity summary'!N125&lt;&gt;"",IF(LOWER('Capacity summary'!N125)="x",$BI6*N6,VALUE('Capacity summary'!N125)),0),N6*$BI6),N6*$BI6),0)</f>
        <v>4.0384615384615383</v>
      </c>
      <c r="BR6" s="311">
        <f ca="1">IF($BI6&lt;&gt;"",IF('Capacity summary'!$D$14="Yes",IF(COUNTBLANK('Capacity summary'!$H125:$BG125)&lt;52,IF('Capacity summary'!O125&lt;&gt;"",IF(LOWER('Capacity summary'!O125)="x",$BI6*O6,VALUE('Capacity summary'!O125)),0),O6*$BI6),O6*$BI6),0)</f>
        <v>4.0384615384615383</v>
      </c>
      <c r="BS6" s="311">
        <f ca="1">IF($BI6&lt;&gt;"",IF('Capacity summary'!$D$14="Yes",IF(COUNTBLANK('Capacity summary'!$H125:$BG125)&lt;52,IF('Capacity summary'!P125&lt;&gt;"",IF(LOWER('Capacity summary'!P125)="x",$BI6*P6,VALUE('Capacity summary'!P125)),0),P6*$BI6),P6*$BI6),0)</f>
        <v>4.0384615384615383</v>
      </c>
      <c r="BT6" s="311">
        <f ca="1">IF($BI6&lt;&gt;"",IF('Capacity summary'!$D$14="Yes",IF(COUNTBLANK('Capacity summary'!$H125:$BG125)&lt;52,IF('Capacity summary'!Q125&lt;&gt;"",IF(LOWER('Capacity summary'!Q125)="x",$BI6*Q6,VALUE('Capacity summary'!Q125)),0),Q6*$BI6),Q6*$BI6),0)</f>
        <v>4.0384615384615383</v>
      </c>
      <c r="BU6" s="311">
        <f ca="1">IF($BI6&lt;&gt;"",IF('Capacity summary'!$D$14="Yes",IF(COUNTBLANK('Capacity summary'!$H125:$BG125)&lt;52,IF('Capacity summary'!R125&lt;&gt;"",IF(LOWER('Capacity summary'!R125)="x",$BI6*R6,VALUE('Capacity summary'!R125)),0),R6*$BI6),R6*$BI6),0)</f>
        <v>4.0384615384615383</v>
      </c>
      <c r="BV6" s="311">
        <f ca="1">IF($BI6&lt;&gt;"",IF('Capacity summary'!$D$14="Yes",IF(COUNTBLANK('Capacity summary'!$H125:$BG125)&lt;52,IF('Capacity summary'!S125&lt;&gt;"",IF(LOWER('Capacity summary'!S125)="x",$BI6*S6,VALUE('Capacity summary'!S125)),0),S6*$BI6),S6*$BI6),0)</f>
        <v>4.0384615384615383</v>
      </c>
      <c r="BW6" s="311">
        <f ca="1">IF($BI6&lt;&gt;"",IF('Capacity summary'!$D$14="Yes",IF(COUNTBLANK('Capacity summary'!$H125:$BG125)&lt;52,IF('Capacity summary'!T125&lt;&gt;"",IF(LOWER('Capacity summary'!T125)="x",$BI6*T6,VALUE('Capacity summary'!T125)),0),T6*$BI6),T6*$BI6),0)</f>
        <v>4.0384615384615383</v>
      </c>
      <c r="BX6" s="311">
        <f ca="1">IF($BI6&lt;&gt;"",IF('Capacity summary'!$D$14="Yes",IF(COUNTBLANK('Capacity summary'!$H125:$BG125)&lt;52,IF('Capacity summary'!U125&lt;&gt;"",IF(LOWER('Capacity summary'!U125)="x",$BI6*U6,VALUE('Capacity summary'!U125)),0),U6*$BI6),U6*$BI6),0)</f>
        <v>4.0384615384615383</v>
      </c>
      <c r="BY6" s="311">
        <f ca="1">IF($BI6&lt;&gt;"",IF('Capacity summary'!$D$14="Yes",IF(COUNTBLANK('Capacity summary'!$H125:$BG125)&lt;52,IF('Capacity summary'!V125&lt;&gt;"",IF(LOWER('Capacity summary'!V125)="x",$BI6*V6,VALUE('Capacity summary'!V125)),0),V6*$BI6),V6*$BI6),0)</f>
        <v>4.0384615384615383</v>
      </c>
      <c r="BZ6" s="311">
        <f ca="1">IF($BI6&lt;&gt;"",IF('Capacity summary'!$D$14="Yes",IF(COUNTBLANK('Capacity summary'!$H125:$BG125)&lt;52,IF('Capacity summary'!W125&lt;&gt;"",IF(LOWER('Capacity summary'!W125)="x",$BI6*W6,VALUE('Capacity summary'!W125)),0),W6*$BI6),W6*$BI6),0)</f>
        <v>4.0384615384615383</v>
      </c>
      <c r="CA6" s="311">
        <f ca="1">IF($BI6&lt;&gt;"",IF('Capacity summary'!$D$14="Yes",IF(COUNTBLANK('Capacity summary'!$H125:$BG125)&lt;52,IF('Capacity summary'!X125&lt;&gt;"",IF(LOWER('Capacity summary'!X125)="x",$BI6*X6,VALUE('Capacity summary'!X125)),0),X6*$BI6),X6*$BI6),0)</f>
        <v>4.0384615384615383</v>
      </c>
      <c r="CB6" s="311">
        <f ca="1">IF($BI6&lt;&gt;"",IF('Capacity summary'!$D$14="Yes",IF(COUNTBLANK('Capacity summary'!$H125:$BG125)&lt;52,IF('Capacity summary'!Y125&lt;&gt;"",IF(LOWER('Capacity summary'!Y125)="x",$BI6*Y6,VALUE('Capacity summary'!Y125)),0),Y6*$BI6),Y6*$BI6),0)</f>
        <v>4.0384615384615383</v>
      </c>
      <c r="CC6" s="311">
        <f ca="1">IF($BI6&lt;&gt;"",IF('Capacity summary'!$D$14="Yes",IF(COUNTBLANK('Capacity summary'!$H125:$BG125)&lt;52,IF('Capacity summary'!Z125&lt;&gt;"",IF(LOWER('Capacity summary'!Z125)="x",$BI6*Z6,VALUE('Capacity summary'!Z125)),0),Z6*$BI6),Z6*$BI6),0)</f>
        <v>4.0384615384615383</v>
      </c>
      <c r="CD6" s="311">
        <f ca="1">IF($BI6&lt;&gt;"",IF('Capacity summary'!$D$14="Yes",IF(COUNTBLANK('Capacity summary'!$H125:$BG125)&lt;52,IF('Capacity summary'!AA125&lt;&gt;"",IF(LOWER('Capacity summary'!AA125)="x",$BI6*AA6,VALUE('Capacity summary'!AA125)),0),AA6*$BI6),AA6*$BI6),0)</f>
        <v>4.0384615384615383</v>
      </c>
      <c r="CE6" s="311">
        <f ca="1">IF($BI6&lt;&gt;"",IF('Capacity summary'!$D$14="Yes",IF(COUNTBLANK('Capacity summary'!$H125:$BG125)&lt;52,IF('Capacity summary'!AB125&lt;&gt;"",IF(LOWER('Capacity summary'!AB125)="x",$BI6*AB6,VALUE('Capacity summary'!AB125)),0),AB6*$BI6),AB6*$BI6),0)</f>
        <v>4.0384615384615383</v>
      </c>
      <c r="CF6" s="311">
        <f ca="1">IF($BI6&lt;&gt;"",IF('Capacity summary'!$D$14="Yes",IF(COUNTBLANK('Capacity summary'!$H125:$BG125)&lt;52,IF('Capacity summary'!AC125&lt;&gt;"",IF(LOWER('Capacity summary'!AC125)="x",$BI6*AC6,VALUE('Capacity summary'!AC125)),0),AC6*$BI6),AC6*$BI6),0)</f>
        <v>4.0384615384615383</v>
      </c>
      <c r="CG6" s="311">
        <f ca="1">IF($BI6&lt;&gt;"",IF('Capacity summary'!$D$14="Yes",IF(COUNTBLANK('Capacity summary'!$H125:$BG125)&lt;52,IF('Capacity summary'!AD125&lt;&gt;"",IF(LOWER('Capacity summary'!AD125)="x",$BI6*AD6,VALUE('Capacity summary'!AD125)),0),AD6*$BI6),AD6*$BI6),0)</f>
        <v>4.0384615384615383</v>
      </c>
      <c r="CH6" s="311">
        <f ca="1">IF($BI6&lt;&gt;"",IF('Capacity summary'!$D$14="Yes",IF(COUNTBLANK('Capacity summary'!$H125:$BG125)&lt;52,IF('Capacity summary'!AE125&lt;&gt;"",IF(LOWER('Capacity summary'!AE125)="x",$BI6*AE6,VALUE('Capacity summary'!AE125)),0),AE6*$BI6),AE6*$BI6),0)</f>
        <v>4.0384615384615383</v>
      </c>
      <c r="CI6" s="311">
        <f ca="1">IF($BI6&lt;&gt;"",IF('Capacity summary'!$D$14="Yes",IF(COUNTBLANK('Capacity summary'!$H125:$BG125)&lt;52,IF('Capacity summary'!AF125&lt;&gt;"",IF(LOWER('Capacity summary'!AF125)="x",$BI6*AF6,VALUE('Capacity summary'!AF125)),0),AF6*$BI6),AF6*$BI6),0)</f>
        <v>4.0384615384615383</v>
      </c>
      <c r="CJ6" s="311">
        <f ca="1">IF($BI6&lt;&gt;"",IF('Capacity summary'!$D$14="Yes",IF(COUNTBLANK('Capacity summary'!$H125:$BG125)&lt;52,IF('Capacity summary'!AG125&lt;&gt;"",IF(LOWER('Capacity summary'!AG125)="x",$BI6*AG6,VALUE('Capacity summary'!AG125)),0),AG6*$BI6),AG6*$BI6),0)</f>
        <v>4.0384615384615383</v>
      </c>
      <c r="CK6" s="311">
        <f ca="1">IF($BI6&lt;&gt;"",IF('Capacity summary'!$D$14="Yes",IF(COUNTBLANK('Capacity summary'!$H125:$BG125)&lt;52,IF('Capacity summary'!AH125&lt;&gt;"",IF(LOWER('Capacity summary'!AH125)="x",$BI6*AH6,VALUE('Capacity summary'!AH125)),0),AH6*$BI6),AH6*$BI6),0)</f>
        <v>4.0384615384615383</v>
      </c>
      <c r="CL6" s="311">
        <f ca="1">IF($BI6&lt;&gt;"",IF('Capacity summary'!$D$14="Yes",IF(COUNTBLANK('Capacity summary'!$H125:$BG125)&lt;52,IF('Capacity summary'!AI125&lt;&gt;"",IF(LOWER('Capacity summary'!AI125)="x",$BI6*AI6,VALUE('Capacity summary'!AI125)),0),AI6*$BI6),AI6*$BI6),0)</f>
        <v>4.0384615384615383</v>
      </c>
      <c r="CM6" s="311">
        <f ca="1">IF($BI6&lt;&gt;"",IF('Capacity summary'!$D$14="Yes",IF(COUNTBLANK('Capacity summary'!$H125:$BG125)&lt;52,IF('Capacity summary'!AJ125&lt;&gt;"",IF(LOWER('Capacity summary'!AJ125)="x",$BI6*AJ6,VALUE('Capacity summary'!AJ125)),0),AJ6*$BI6),AJ6*$BI6),0)</f>
        <v>4.0384615384615383</v>
      </c>
      <c r="CN6" s="311">
        <f ca="1">IF($BI6&lt;&gt;"",IF('Capacity summary'!$D$14="Yes",IF(COUNTBLANK('Capacity summary'!$H125:$BG125)&lt;52,IF('Capacity summary'!AK125&lt;&gt;"",IF(LOWER('Capacity summary'!AK125)="x",$BI6*AK6,VALUE('Capacity summary'!AK125)),0),AK6*$BI6),AK6*$BI6),0)</f>
        <v>4.0384615384615383</v>
      </c>
      <c r="CO6" s="311">
        <f ca="1">IF($BI6&lt;&gt;"",IF('Capacity summary'!$D$14="Yes",IF(COUNTBLANK('Capacity summary'!$H125:$BG125)&lt;52,IF('Capacity summary'!AL125&lt;&gt;"",IF(LOWER('Capacity summary'!AL125)="x",$BI6*AL6,VALUE('Capacity summary'!AL125)),0),AL6*$BI6),AL6*$BI6),0)</f>
        <v>4.0384615384615383</v>
      </c>
      <c r="CP6" s="311">
        <f ca="1">IF($BI6&lt;&gt;"",IF('Capacity summary'!$D$14="Yes",IF(COUNTBLANK('Capacity summary'!$H125:$BG125)&lt;52,IF('Capacity summary'!AM125&lt;&gt;"",IF(LOWER('Capacity summary'!AM125)="x",$BI6*AM6,VALUE('Capacity summary'!AM125)),0),AM6*$BI6),AM6*$BI6),0)</f>
        <v>4.0384615384615383</v>
      </c>
      <c r="CQ6" s="311">
        <f ca="1">IF($BI6&lt;&gt;"",IF('Capacity summary'!$D$14="Yes",IF(COUNTBLANK('Capacity summary'!$H125:$BG125)&lt;52,IF('Capacity summary'!AN125&lt;&gt;"",IF(LOWER('Capacity summary'!AN125)="x",$BI6*AN6,VALUE('Capacity summary'!AN125)),0),AN6*$BI6),AN6*$BI6),0)</f>
        <v>4.0384615384615383</v>
      </c>
      <c r="CR6" s="311">
        <f ca="1">IF($BI6&lt;&gt;"",IF('Capacity summary'!$D$14="Yes",IF(COUNTBLANK('Capacity summary'!$H125:$BG125)&lt;52,IF('Capacity summary'!AO125&lt;&gt;"",IF(LOWER('Capacity summary'!AO125)="x",$BI6*AO6,VALUE('Capacity summary'!AO125)),0),AO6*$BI6),AO6*$BI6),0)</f>
        <v>4.0384615384615383</v>
      </c>
      <c r="CS6" s="311">
        <f ca="1">IF($BI6&lt;&gt;"",IF('Capacity summary'!$D$14="Yes",IF(COUNTBLANK('Capacity summary'!$H125:$BG125)&lt;52,IF('Capacity summary'!AP125&lt;&gt;"",IF(LOWER('Capacity summary'!AP125)="x",$BI6*AP6,VALUE('Capacity summary'!AP125)),0),AP6*$BI6),AP6*$BI6),0)</f>
        <v>4.0384615384615383</v>
      </c>
      <c r="CT6" s="311">
        <f ca="1">IF($BI6&lt;&gt;"",IF('Capacity summary'!$D$14="Yes",IF(COUNTBLANK('Capacity summary'!$H125:$BG125)&lt;52,IF('Capacity summary'!AQ125&lt;&gt;"",IF(LOWER('Capacity summary'!AQ125)="x",$BI6*AQ6,VALUE('Capacity summary'!AQ125)),0),AQ6*$BI6),AQ6*$BI6),0)</f>
        <v>4.0384615384615383</v>
      </c>
      <c r="CU6" s="311">
        <f ca="1">IF($BI6&lt;&gt;"",IF('Capacity summary'!$D$14="Yes",IF(COUNTBLANK('Capacity summary'!$H125:$BG125)&lt;52,IF('Capacity summary'!AR125&lt;&gt;"",IF(LOWER('Capacity summary'!AR125)="x",$BI6*AR6,VALUE('Capacity summary'!AR125)),0),AR6*$BI6),AR6*$BI6),0)</f>
        <v>4.0384615384615383</v>
      </c>
      <c r="CV6" s="311">
        <f ca="1">IF($BI6&lt;&gt;"",IF('Capacity summary'!$D$14="Yes",IF(COUNTBLANK('Capacity summary'!$H125:$BG125)&lt;52,IF('Capacity summary'!AS125&lt;&gt;"",IF(LOWER('Capacity summary'!AS125)="x",$BI6*AS6,VALUE('Capacity summary'!AS125)),0),AS6*$BI6),AS6*$BI6),0)</f>
        <v>4.0384615384615383</v>
      </c>
      <c r="CW6" s="311">
        <f ca="1">IF($BI6&lt;&gt;"",IF('Capacity summary'!$D$14="Yes",IF(COUNTBLANK('Capacity summary'!$H125:$BG125)&lt;52,IF('Capacity summary'!AT125&lt;&gt;"",IF(LOWER('Capacity summary'!AT125)="x",$BI6*AT6,VALUE('Capacity summary'!AT125)),0),AT6*$BI6),AT6*$BI6),0)</f>
        <v>4.0384615384615383</v>
      </c>
      <c r="CX6" s="311">
        <f ca="1">IF($BI6&lt;&gt;"",IF('Capacity summary'!$D$14="Yes",IF(COUNTBLANK('Capacity summary'!$H125:$BG125)&lt;52,IF('Capacity summary'!AU125&lt;&gt;"",IF(LOWER('Capacity summary'!AU125)="x",$BI6*AU6,VALUE('Capacity summary'!AU125)),0),AU6*$BI6),AU6*$BI6),0)</f>
        <v>4.0384615384615383</v>
      </c>
      <c r="CY6" s="311">
        <f ca="1">IF($BI6&lt;&gt;"",IF('Capacity summary'!$D$14="Yes",IF(COUNTBLANK('Capacity summary'!$H125:$BG125)&lt;52,IF('Capacity summary'!AV125&lt;&gt;"",IF(LOWER('Capacity summary'!AV125)="x",$BI6*AV6,VALUE('Capacity summary'!AV125)),0),AV6*$BI6),AV6*$BI6),0)</f>
        <v>4.0384615384615383</v>
      </c>
      <c r="CZ6" s="311">
        <f ca="1">IF($BI6&lt;&gt;"",IF('Capacity summary'!$D$14="Yes",IF(COUNTBLANK('Capacity summary'!$H125:$BG125)&lt;52,IF('Capacity summary'!AW125&lt;&gt;"",IF(LOWER('Capacity summary'!AW125)="x",$BI6*AW6,VALUE('Capacity summary'!AW125)),0),AW6*$BI6),AW6*$BI6),0)</f>
        <v>4.0384615384615383</v>
      </c>
      <c r="DA6" s="311">
        <f ca="1">IF($BI6&lt;&gt;"",IF('Capacity summary'!$D$14="Yes",IF(COUNTBLANK('Capacity summary'!$H125:$BG125)&lt;52,IF('Capacity summary'!AX125&lt;&gt;"",IF(LOWER('Capacity summary'!AX125)="x",$BI6*AX6,VALUE('Capacity summary'!AX125)),0),AX6*$BI6),AX6*$BI6),0)</f>
        <v>4.0384615384615383</v>
      </c>
      <c r="DB6" s="311">
        <f ca="1">IF($BI6&lt;&gt;"",IF('Capacity summary'!$D$14="Yes",IF(COUNTBLANK('Capacity summary'!$H125:$BG125)&lt;52,IF('Capacity summary'!AY125&lt;&gt;"",IF(LOWER('Capacity summary'!AY125)="x",$BI6*AY6,VALUE('Capacity summary'!AY125)),0),AY6*$BI6),AY6*$BI6),0)</f>
        <v>4.0384615384615383</v>
      </c>
      <c r="DC6" s="311">
        <f ca="1">IF($BI6&lt;&gt;"",IF('Capacity summary'!$D$14="Yes",IF(COUNTBLANK('Capacity summary'!$H125:$BG125)&lt;52,IF('Capacity summary'!AZ125&lt;&gt;"",IF(LOWER('Capacity summary'!AZ125)="x",$BI6*AZ6,VALUE('Capacity summary'!AZ125)),0),AZ6*$BI6),AZ6*$BI6),0)</f>
        <v>4.0384615384615383</v>
      </c>
      <c r="DD6" s="311">
        <f ca="1">IF($BI6&lt;&gt;"",IF('Capacity summary'!$D$14="Yes",IF(COUNTBLANK('Capacity summary'!$H125:$BG125)&lt;52,IF('Capacity summary'!BA125&lt;&gt;"",IF(LOWER('Capacity summary'!BA125)="x",$BI6*BA6,VALUE('Capacity summary'!BA125)),0),BA6*$BI6),BA6*$BI6),0)</f>
        <v>4.0384615384615383</v>
      </c>
      <c r="DE6" s="311">
        <f ca="1">IF($BI6&lt;&gt;"",IF('Capacity summary'!$D$14="Yes",IF(COUNTBLANK('Capacity summary'!$H125:$BG125)&lt;52,IF('Capacity summary'!BB125&lt;&gt;"",IF(LOWER('Capacity summary'!BB125)="x",$BI6*BB6,VALUE('Capacity summary'!BB125)),0),BB6*$BI6),BB6*$BI6),0)</f>
        <v>4.0384615384615383</v>
      </c>
      <c r="DF6" s="311">
        <f ca="1">IF($BI6&lt;&gt;"",IF('Capacity summary'!$D$14="Yes",IF(COUNTBLANK('Capacity summary'!$H125:$BG125)&lt;52,IF('Capacity summary'!BC125&lt;&gt;"",IF(LOWER('Capacity summary'!BC125)="x",$BI6*BC6,VALUE('Capacity summary'!BC125)),0),BC6*$BI6),BC6*$BI6),0)</f>
        <v>4.0384615384615383</v>
      </c>
      <c r="DG6" s="311">
        <f ca="1">IF($BI6&lt;&gt;"",IF('Capacity summary'!$D$14="Yes",IF(COUNTBLANK('Capacity summary'!$H125:$BG125)&lt;52,IF('Capacity summary'!BD125&lt;&gt;"",IF(LOWER('Capacity summary'!BD125)="x",$BI6*BD6,VALUE('Capacity summary'!BD125)),0),BD6*$BI6),BD6*$BI6),0)</f>
        <v>4.0384615384615383</v>
      </c>
      <c r="DH6" s="311">
        <f ca="1">IF($BI6&lt;&gt;"",IF('Capacity summary'!$D$14="Yes",IF(COUNTBLANK('Capacity summary'!$H125:$BG125)&lt;52,IF('Capacity summary'!BE125&lt;&gt;"",IF(LOWER('Capacity summary'!BE125)="x",$BI6*BE6,VALUE('Capacity summary'!BE125)),0),BE6*$BI6),BE6*$BI6),0)</f>
        <v>4.0384615384615383</v>
      </c>
      <c r="DI6" s="311">
        <f ca="1">IF($BI6&lt;&gt;"",IF('Capacity summary'!$D$14="Yes",IF(COUNTBLANK('Capacity summary'!$H125:$BG125)&lt;52,IF('Capacity summary'!BF125&lt;&gt;"",IF(LOWER('Capacity summary'!BF125)="x",$BI6*BF6,VALUE('Capacity summary'!BF125)),0),BF6*$BI6),BF6*$BI6),0)</f>
        <v>4.0384615384615383</v>
      </c>
      <c r="DJ6" s="311">
        <f ca="1">IF($BI6&lt;&gt;"",IF('Capacity summary'!$D$14="Yes",IF(COUNTBLANK('Capacity summary'!$H125:$BG125)&lt;52,IF('Capacity summary'!BG125&lt;&gt;"",IF(LOWER('Capacity summary'!BG125)="x",$BI6*BG6,VALUE('Capacity summary'!BG125)),0),BG6*$BI6),BG6*$BI6),0)</f>
        <v>4.0384615384615383</v>
      </c>
      <c r="DK6" s="395">
        <f t="shared" ca="1" si="2"/>
        <v>4.0384615384615383</v>
      </c>
      <c r="DL6" s="136">
        <f t="shared" ca="1" si="3"/>
        <v>210.00000000000011</v>
      </c>
      <c r="DM6" s="311">
        <f>Capacity!H18</f>
        <v>210</v>
      </c>
      <c r="DQ6" s="5"/>
    </row>
    <row r="7" spans="1:121" x14ac:dyDescent="0.2">
      <c r="A7" s="67">
        <f>IF(Capacity!L19='Capacity summary'!BI126,1,0)</f>
        <v>1</v>
      </c>
      <c r="B7" s="67">
        <f>IF(Capacity!V19='Capacity summary'!BI26,1,0)</f>
        <v>1</v>
      </c>
      <c r="C7" s="67" t="str">
        <f>ROW(A3)&amp;". "&amp;Capacity!B19</f>
        <v>3. Core Clinic 3</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 ca="1">IF(ROW(C3)&lt;=Capacity!$A$16,IF('Capacity summary'!$D$14="No",SUM(H7:BG7),'Capacity summary'!$E126),0)</f>
        <v>52</v>
      </c>
      <c r="BI7" s="5">
        <f ca="1">IF(BH7&gt;0,IF(BH7&lt;Capacity!E19,Capacity!F19,Capacity!H19/'Capacity calculation (hide)'!BH7),"")</f>
        <v>1.6153846153846154</v>
      </c>
      <c r="BK7" s="311">
        <f ca="1">IF($BI7&lt;&gt;"",IF('Capacity summary'!$D$14="Yes",IF(COUNTBLANK('Capacity summary'!$H126:$BG126)&lt;52,IF('Capacity summary'!H126&lt;&gt;"",IF(LOWER('Capacity summary'!H126)="x",$BI7*H7,VALUE('Capacity summary'!H126)),0),H7*$BI7),H7*$BI7),0)</f>
        <v>1.6153846153846154</v>
      </c>
      <c r="BL7" s="311">
        <f ca="1">IF($BI7&lt;&gt;"",IF('Capacity summary'!$D$14="Yes",IF(COUNTBLANK('Capacity summary'!$H126:$BG126)&lt;52,IF('Capacity summary'!I126&lt;&gt;"",IF(LOWER('Capacity summary'!I126)="x",$BI7*I7,VALUE('Capacity summary'!I126)),0),I7*$BI7),I7*$BI7),0)</f>
        <v>1.6153846153846154</v>
      </c>
      <c r="BM7" s="311">
        <f ca="1">IF($BI7&lt;&gt;"",IF('Capacity summary'!$D$14="Yes",IF(COUNTBLANK('Capacity summary'!$H126:$BG126)&lt;52,IF('Capacity summary'!J126&lt;&gt;"",IF(LOWER('Capacity summary'!J126)="x",$BI7*J7,VALUE('Capacity summary'!J126)),0),J7*$BI7),J7*$BI7),0)</f>
        <v>1.6153846153846154</v>
      </c>
      <c r="BN7" s="311">
        <f ca="1">IF($BI7&lt;&gt;"",IF('Capacity summary'!$D$14="Yes",IF(COUNTBLANK('Capacity summary'!$H126:$BG126)&lt;52,IF('Capacity summary'!K126&lt;&gt;"",IF(LOWER('Capacity summary'!K126)="x",$BI7*K7,VALUE('Capacity summary'!K126)),0),K7*$BI7),K7*$BI7),0)</f>
        <v>1.6153846153846154</v>
      </c>
      <c r="BO7" s="311">
        <f ca="1">IF($BI7&lt;&gt;"",IF('Capacity summary'!$D$14="Yes",IF(COUNTBLANK('Capacity summary'!$H126:$BG126)&lt;52,IF('Capacity summary'!L126&lt;&gt;"",IF(LOWER('Capacity summary'!L126)="x",$BI7*L7,VALUE('Capacity summary'!L126)),0),L7*$BI7),L7*$BI7),0)</f>
        <v>1.6153846153846154</v>
      </c>
      <c r="BP7" s="311">
        <f ca="1">IF($BI7&lt;&gt;"",IF('Capacity summary'!$D$14="Yes",IF(COUNTBLANK('Capacity summary'!$H126:$BG126)&lt;52,IF('Capacity summary'!M126&lt;&gt;"",IF(LOWER('Capacity summary'!M126)="x",$BI7*M7,VALUE('Capacity summary'!M126)),0),M7*$BI7),M7*$BI7),0)</f>
        <v>1.6153846153846154</v>
      </c>
      <c r="BQ7" s="311">
        <f ca="1">IF($BI7&lt;&gt;"",IF('Capacity summary'!$D$14="Yes",IF(COUNTBLANK('Capacity summary'!$H126:$BG126)&lt;52,IF('Capacity summary'!N126&lt;&gt;"",IF(LOWER('Capacity summary'!N126)="x",$BI7*N7,VALUE('Capacity summary'!N126)),0),N7*$BI7),N7*$BI7),0)</f>
        <v>1.6153846153846154</v>
      </c>
      <c r="BR7" s="311">
        <f ca="1">IF($BI7&lt;&gt;"",IF('Capacity summary'!$D$14="Yes",IF(COUNTBLANK('Capacity summary'!$H126:$BG126)&lt;52,IF('Capacity summary'!O126&lt;&gt;"",IF(LOWER('Capacity summary'!O126)="x",$BI7*O7,VALUE('Capacity summary'!O126)),0),O7*$BI7),O7*$BI7),0)</f>
        <v>1.6153846153846154</v>
      </c>
      <c r="BS7" s="311">
        <f ca="1">IF($BI7&lt;&gt;"",IF('Capacity summary'!$D$14="Yes",IF(COUNTBLANK('Capacity summary'!$H126:$BG126)&lt;52,IF('Capacity summary'!P126&lt;&gt;"",IF(LOWER('Capacity summary'!P126)="x",$BI7*P7,VALUE('Capacity summary'!P126)),0),P7*$BI7),P7*$BI7),0)</f>
        <v>1.6153846153846154</v>
      </c>
      <c r="BT7" s="311">
        <f ca="1">IF($BI7&lt;&gt;"",IF('Capacity summary'!$D$14="Yes",IF(COUNTBLANK('Capacity summary'!$H126:$BG126)&lt;52,IF('Capacity summary'!Q126&lt;&gt;"",IF(LOWER('Capacity summary'!Q126)="x",$BI7*Q7,VALUE('Capacity summary'!Q126)),0),Q7*$BI7),Q7*$BI7),0)</f>
        <v>1.6153846153846154</v>
      </c>
      <c r="BU7" s="311">
        <f ca="1">IF($BI7&lt;&gt;"",IF('Capacity summary'!$D$14="Yes",IF(COUNTBLANK('Capacity summary'!$H126:$BG126)&lt;52,IF('Capacity summary'!R126&lt;&gt;"",IF(LOWER('Capacity summary'!R126)="x",$BI7*R7,VALUE('Capacity summary'!R126)),0),R7*$BI7),R7*$BI7),0)</f>
        <v>1.6153846153846154</v>
      </c>
      <c r="BV7" s="311">
        <f ca="1">IF($BI7&lt;&gt;"",IF('Capacity summary'!$D$14="Yes",IF(COUNTBLANK('Capacity summary'!$H126:$BG126)&lt;52,IF('Capacity summary'!S126&lt;&gt;"",IF(LOWER('Capacity summary'!S126)="x",$BI7*S7,VALUE('Capacity summary'!S126)),0),S7*$BI7),S7*$BI7),0)</f>
        <v>1.6153846153846154</v>
      </c>
      <c r="BW7" s="311">
        <f ca="1">IF($BI7&lt;&gt;"",IF('Capacity summary'!$D$14="Yes",IF(COUNTBLANK('Capacity summary'!$H126:$BG126)&lt;52,IF('Capacity summary'!T126&lt;&gt;"",IF(LOWER('Capacity summary'!T126)="x",$BI7*T7,VALUE('Capacity summary'!T126)),0),T7*$BI7),T7*$BI7),0)</f>
        <v>1.6153846153846154</v>
      </c>
      <c r="BX7" s="311">
        <f ca="1">IF($BI7&lt;&gt;"",IF('Capacity summary'!$D$14="Yes",IF(COUNTBLANK('Capacity summary'!$H126:$BG126)&lt;52,IF('Capacity summary'!U126&lt;&gt;"",IF(LOWER('Capacity summary'!U126)="x",$BI7*U7,VALUE('Capacity summary'!U126)),0),U7*$BI7),U7*$BI7),0)</f>
        <v>1.6153846153846154</v>
      </c>
      <c r="BY7" s="311">
        <f ca="1">IF($BI7&lt;&gt;"",IF('Capacity summary'!$D$14="Yes",IF(COUNTBLANK('Capacity summary'!$H126:$BG126)&lt;52,IF('Capacity summary'!V126&lt;&gt;"",IF(LOWER('Capacity summary'!V126)="x",$BI7*V7,VALUE('Capacity summary'!V126)),0),V7*$BI7),V7*$BI7),0)</f>
        <v>1.6153846153846154</v>
      </c>
      <c r="BZ7" s="311">
        <f ca="1">IF($BI7&lt;&gt;"",IF('Capacity summary'!$D$14="Yes",IF(COUNTBLANK('Capacity summary'!$H126:$BG126)&lt;52,IF('Capacity summary'!W126&lt;&gt;"",IF(LOWER('Capacity summary'!W126)="x",$BI7*W7,VALUE('Capacity summary'!W126)),0),W7*$BI7),W7*$BI7),0)</f>
        <v>1.6153846153846154</v>
      </c>
      <c r="CA7" s="311">
        <f ca="1">IF($BI7&lt;&gt;"",IF('Capacity summary'!$D$14="Yes",IF(COUNTBLANK('Capacity summary'!$H126:$BG126)&lt;52,IF('Capacity summary'!X126&lt;&gt;"",IF(LOWER('Capacity summary'!X126)="x",$BI7*X7,VALUE('Capacity summary'!X126)),0),X7*$BI7),X7*$BI7),0)</f>
        <v>1.6153846153846154</v>
      </c>
      <c r="CB7" s="311">
        <f ca="1">IF($BI7&lt;&gt;"",IF('Capacity summary'!$D$14="Yes",IF(COUNTBLANK('Capacity summary'!$H126:$BG126)&lt;52,IF('Capacity summary'!Y126&lt;&gt;"",IF(LOWER('Capacity summary'!Y126)="x",$BI7*Y7,VALUE('Capacity summary'!Y126)),0),Y7*$BI7),Y7*$BI7),0)</f>
        <v>1.6153846153846154</v>
      </c>
      <c r="CC7" s="311">
        <f ca="1">IF($BI7&lt;&gt;"",IF('Capacity summary'!$D$14="Yes",IF(COUNTBLANK('Capacity summary'!$H126:$BG126)&lt;52,IF('Capacity summary'!Z126&lt;&gt;"",IF(LOWER('Capacity summary'!Z126)="x",$BI7*Z7,VALUE('Capacity summary'!Z126)),0),Z7*$BI7),Z7*$BI7),0)</f>
        <v>1.6153846153846154</v>
      </c>
      <c r="CD7" s="311">
        <f ca="1">IF($BI7&lt;&gt;"",IF('Capacity summary'!$D$14="Yes",IF(COUNTBLANK('Capacity summary'!$H126:$BG126)&lt;52,IF('Capacity summary'!AA126&lt;&gt;"",IF(LOWER('Capacity summary'!AA126)="x",$BI7*AA7,VALUE('Capacity summary'!AA126)),0),AA7*$BI7),AA7*$BI7),0)</f>
        <v>1.6153846153846154</v>
      </c>
      <c r="CE7" s="311">
        <f ca="1">IF($BI7&lt;&gt;"",IF('Capacity summary'!$D$14="Yes",IF(COUNTBLANK('Capacity summary'!$H126:$BG126)&lt;52,IF('Capacity summary'!AB126&lt;&gt;"",IF(LOWER('Capacity summary'!AB126)="x",$BI7*AB7,VALUE('Capacity summary'!AB126)),0),AB7*$BI7),AB7*$BI7),0)</f>
        <v>1.6153846153846154</v>
      </c>
      <c r="CF7" s="311">
        <f ca="1">IF($BI7&lt;&gt;"",IF('Capacity summary'!$D$14="Yes",IF(COUNTBLANK('Capacity summary'!$H126:$BG126)&lt;52,IF('Capacity summary'!AC126&lt;&gt;"",IF(LOWER('Capacity summary'!AC126)="x",$BI7*AC7,VALUE('Capacity summary'!AC126)),0),AC7*$BI7),AC7*$BI7),0)</f>
        <v>1.6153846153846154</v>
      </c>
      <c r="CG7" s="311">
        <f ca="1">IF($BI7&lt;&gt;"",IF('Capacity summary'!$D$14="Yes",IF(COUNTBLANK('Capacity summary'!$H126:$BG126)&lt;52,IF('Capacity summary'!AD126&lt;&gt;"",IF(LOWER('Capacity summary'!AD126)="x",$BI7*AD7,VALUE('Capacity summary'!AD126)),0),AD7*$BI7),AD7*$BI7),0)</f>
        <v>1.6153846153846154</v>
      </c>
      <c r="CH7" s="311">
        <f ca="1">IF($BI7&lt;&gt;"",IF('Capacity summary'!$D$14="Yes",IF(COUNTBLANK('Capacity summary'!$H126:$BG126)&lt;52,IF('Capacity summary'!AE126&lt;&gt;"",IF(LOWER('Capacity summary'!AE126)="x",$BI7*AE7,VALUE('Capacity summary'!AE126)),0),AE7*$BI7),AE7*$BI7),0)</f>
        <v>1.6153846153846154</v>
      </c>
      <c r="CI7" s="311">
        <f ca="1">IF($BI7&lt;&gt;"",IF('Capacity summary'!$D$14="Yes",IF(COUNTBLANK('Capacity summary'!$H126:$BG126)&lt;52,IF('Capacity summary'!AF126&lt;&gt;"",IF(LOWER('Capacity summary'!AF126)="x",$BI7*AF7,VALUE('Capacity summary'!AF126)),0),AF7*$BI7),AF7*$BI7),0)</f>
        <v>1.6153846153846154</v>
      </c>
      <c r="CJ7" s="311">
        <f ca="1">IF($BI7&lt;&gt;"",IF('Capacity summary'!$D$14="Yes",IF(COUNTBLANK('Capacity summary'!$H126:$BG126)&lt;52,IF('Capacity summary'!AG126&lt;&gt;"",IF(LOWER('Capacity summary'!AG126)="x",$BI7*AG7,VALUE('Capacity summary'!AG126)),0),AG7*$BI7),AG7*$BI7),0)</f>
        <v>1.6153846153846154</v>
      </c>
      <c r="CK7" s="311">
        <f ca="1">IF($BI7&lt;&gt;"",IF('Capacity summary'!$D$14="Yes",IF(COUNTBLANK('Capacity summary'!$H126:$BG126)&lt;52,IF('Capacity summary'!AH126&lt;&gt;"",IF(LOWER('Capacity summary'!AH126)="x",$BI7*AH7,VALUE('Capacity summary'!AH126)),0),AH7*$BI7),AH7*$BI7),0)</f>
        <v>1.6153846153846154</v>
      </c>
      <c r="CL7" s="311">
        <f ca="1">IF($BI7&lt;&gt;"",IF('Capacity summary'!$D$14="Yes",IF(COUNTBLANK('Capacity summary'!$H126:$BG126)&lt;52,IF('Capacity summary'!AI126&lt;&gt;"",IF(LOWER('Capacity summary'!AI126)="x",$BI7*AI7,VALUE('Capacity summary'!AI126)),0),AI7*$BI7),AI7*$BI7),0)</f>
        <v>1.6153846153846154</v>
      </c>
      <c r="CM7" s="311">
        <f ca="1">IF($BI7&lt;&gt;"",IF('Capacity summary'!$D$14="Yes",IF(COUNTBLANK('Capacity summary'!$H126:$BG126)&lt;52,IF('Capacity summary'!AJ126&lt;&gt;"",IF(LOWER('Capacity summary'!AJ126)="x",$BI7*AJ7,VALUE('Capacity summary'!AJ126)),0),AJ7*$BI7),AJ7*$BI7),0)</f>
        <v>1.6153846153846154</v>
      </c>
      <c r="CN7" s="311">
        <f ca="1">IF($BI7&lt;&gt;"",IF('Capacity summary'!$D$14="Yes",IF(COUNTBLANK('Capacity summary'!$H126:$BG126)&lt;52,IF('Capacity summary'!AK126&lt;&gt;"",IF(LOWER('Capacity summary'!AK126)="x",$BI7*AK7,VALUE('Capacity summary'!AK126)),0),AK7*$BI7),AK7*$BI7),0)</f>
        <v>1.6153846153846154</v>
      </c>
      <c r="CO7" s="311">
        <f ca="1">IF($BI7&lt;&gt;"",IF('Capacity summary'!$D$14="Yes",IF(COUNTBLANK('Capacity summary'!$H126:$BG126)&lt;52,IF('Capacity summary'!AL126&lt;&gt;"",IF(LOWER('Capacity summary'!AL126)="x",$BI7*AL7,VALUE('Capacity summary'!AL126)),0),AL7*$BI7),AL7*$BI7),0)</f>
        <v>1.6153846153846154</v>
      </c>
      <c r="CP7" s="311">
        <f ca="1">IF($BI7&lt;&gt;"",IF('Capacity summary'!$D$14="Yes",IF(COUNTBLANK('Capacity summary'!$H126:$BG126)&lt;52,IF('Capacity summary'!AM126&lt;&gt;"",IF(LOWER('Capacity summary'!AM126)="x",$BI7*AM7,VALUE('Capacity summary'!AM126)),0),AM7*$BI7),AM7*$BI7),0)</f>
        <v>1.6153846153846154</v>
      </c>
      <c r="CQ7" s="311">
        <f ca="1">IF($BI7&lt;&gt;"",IF('Capacity summary'!$D$14="Yes",IF(COUNTBLANK('Capacity summary'!$H126:$BG126)&lt;52,IF('Capacity summary'!AN126&lt;&gt;"",IF(LOWER('Capacity summary'!AN126)="x",$BI7*AN7,VALUE('Capacity summary'!AN126)),0),AN7*$BI7),AN7*$BI7),0)</f>
        <v>1.6153846153846154</v>
      </c>
      <c r="CR7" s="311">
        <f ca="1">IF($BI7&lt;&gt;"",IF('Capacity summary'!$D$14="Yes",IF(COUNTBLANK('Capacity summary'!$H126:$BG126)&lt;52,IF('Capacity summary'!AO126&lt;&gt;"",IF(LOWER('Capacity summary'!AO126)="x",$BI7*AO7,VALUE('Capacity summary'!AO126)),0),AO7*$BI7),AO7*$BI7),0)</f>
        <v>1.6153846153846154</v>
      </c>
      <c r="CS7" s="311">
        <f ca="1">IF($BI7&lt;&gt;"",IF('Capacity summary'!$D$14="Yes",IF(COUNTBLANK('Capacity summary'!$H126:$BG126)&lt;52,IF('Capacity summary'!AP126&lt;&gt;"",IF(LOWER('Capacity summary'!AP126)="x",$BI7*AP7,VALUE('Capacity summary'!AP126)),0),AP7*$BI7),AP7*$BI7),0)</f>
        <v>1.6153846153846154</v>
      </c>
      <c r="CT7" s="311">
        <f ca="1">IF($BI7&lt;&gt;"",IF('Capacity summary'!$D$14="Yes",IF(COUNTBLANK('Capacity summary'!$H126:$BG126)&lt;52,IF('Capacity summary'!AQ126&lt;&gt;"",IF(LOWER('Capacity summary'!AQ126)="x",$BI7*AQ7,VALUE('Capacity summary'!AQ126)),0),AQ7*$BI7),AQ7*$BI7),0)</f>
        <v>1.6153846153846154</v>
      </c>
      <c r="CU7" s="311">
        <f ca="1">IF($BI7&lt;&gt;"",IF('Capacity summary'!$D$14="Yes",IF(COUNTBLANK('Capacity summary'!$H126:$BG126)&lt;52,IF('Capacity summary'!AR126&lt;&gt;"",IF(LOWER('Capacity summary'!AR126)="x",$BI7*AR7,VALUE('Capacity summary'!AR126)),0),AR7*$BI7),AR7*$BI7),0)</f>
        <v>1.6153846153846154</v>
      </c>
      <c r="CV7" s="311">
        <f ca="1">IF($BI7&lt;&gt;"",IF('Capacity summary'!$D$14="Yes",IF(COUNTBLANK('Capacity summary'!$H126:$BG126)&lt;52,IF('Capacity summary'!AS126&lt;&gt;"",IF(LOWER('Capacity summary'!AS126)="x",$BI7*AS7,VALUE('Capacity summary'!AS126)),0),AS7*$BI7),AS7*$BI7),0)</f>
        <v>1.6153846153846154</v>
      </c>
      <c r="CW7" s="311">
        <f ca="1">IF($BI7&lt;&gt;"",IF('Capacity summary'!$D$14="Yes",IF(COUNTBLANK('Capacity summary'!$H126:$BG126)&lt;52,IF('Capacity summary'!AT126&lt;&gt;"",IF(LOWER('Capacity summary'!AT126)="x",$BI7*AT7,VALUE('Capacity summary'!AT126)),0),AT7*$BI7),AT7*$BI7),0)</f>
        <v>1.6153846153846154</v>
      </c>
      <c r="CX7" s="311">
        <f ca="1">IF($BI7&lt;&gt;"",IF('Capacity summary'!$D$14="Yes",IF(COUNTBLANK('Capacity summary'!$H126:$BG126)&lt;52,IF('Capacity summary'!AU126&lt;&gt;"",IF(LOWER('Capacity summary'!AU126)="x",$BI7*AU7,VALUE('Capacity summary'!AU126)),0),AU7*$BI7),AU7*$BI7),0)</f>
        <v>1.6153846153846154</v>
      </c>
      <c r="CY7" s="311">
        <f ca="1">IF($BI7&lt;&gt;"",IF('Capacity summary'!$D$14="Yes",IF(COUNTBLANK('Capacity summary'!$H126:$BG126)&lt;52,IF('Capacity summary'!AV126&lt;&gt;"",IF(LOWER('Capacity summary'!AV126)="x",$BI7*AV7,VALUE('Capacity summary'!AV126)),0),AV7*$BI7),AV7*$BI7),0)</f>
        <v>1.6153846153846154</v>
      </c>
      <c r="CZ7" s="311">
        <f ca="1">IF($BI7&lt;&gt;"",IF('Capacity summary'!$D$14="Yes",IF(COUNTBLANK('Capacity summary'!$H126:$BG126)&lt;52,IF('Capacity summary'!AW126&lt;&gt;"",IF(LOWER('Capacity summary'!AW126)="x",$BI7*AW7,VALUE('Capacity summary'!AW126)),0),AW7*$BI7),AW7*$BI7),0)</f>
        <v>1.6153846153846154</v>
      </c>
      <c r="DA7" s="311">
        <f ca="1">IF($BI7&lt;&gt;"",IF('Capacity summary'!$D$14="Yes",IF(COUNTBLANK('Capacity summary'!$H126:$BG126)&lt;52,IF('Capacity summary'!AX126&lt;&gt;"",IF(LOWER('Capacity summary'!AX126)="x",$BI7*AX7,VALUE('Capacity summary'!AX126)),0),AX7*$BI7),AX7*$BI7),0)</f>
        <v>1.6153846153846154</v>
      </c>
      <c r="DB7" s="311">
        <f ca="1">IF($BI7&lt;&gt;"",IF('Capacity summary'!$D$14="Yes",IF(COUNTBLANK('Capacity summary'!$H126:$BG126)&lt;52,IF('Capacity summary'!AY126&lt;&gt;"",IF(LOWER('Capacity summary'!AY126)="x",$BI7*AY7,VALUE('Capacity summary'!AY126)),0),AY7*$BI7),AY7*$BI7),0)</f>
        <v>1.6153846153846154</v>
      </c>
      <c r="DC7" s="311">
        <f ca="1">IF($BI7&lt;&gt;"",IF('Capacity summary'!$D$14="Yes",IF(COUNTBLANK('Capacity summary'!$H126:$BG126)&lt;52,IF('Capacity summary'!AZ126&lt;&gt;"",IF(LOWER('Capacity summary'!AZ126)="x",$BI7*AZ7,VALUE('Capacity summary'!AZ126)),0),AZ7*$BI7),AZ7*$BI7),0)</f>
        <v>1.6153846153846154</v>
      </c>
      <c r="DD7" s="311">
        <f ca="1">IF($BI7&lt;&gt;"",IF('Capacity summary'!$D$14="Yes",IF(COUNTBLANK('Capacity summary'!$H126:$BG126)&lt;52,IF('Capacity summary'!BA126&lt;&gt;"",IF(LOWER('Capacity summary'!BA126)="x",$BI7*BA7,VALUE('Capacity summary'!BA126)),0),BA7*$BI7),BA7*$BI7),0)</f>
        <v>1.6153846153846154</v>
      </c>
      <c r="DE7" s="311">
        <f ca="1">IF($BI7&lt;&gt;"",IF('Capacity summary'!$D$14="Yes",IF(COUNTBLANK('Capacity summary'!$H126:$BG126)&lt;52,IF('Capacity summary'!BB126&lt;&gt;"",IF(LOWER('Capacity summary'!BB126)="x",$BI7*BB7,VALUE('Capacity summary'!BB126)),0),BB7*$BI7),BB7*$BI7),0)</f>
        <v>1.6153846153846154</v>
      </c>
      <c r="DF7" s="311">
        <f ca="1">IF($BI7&lt;&gt;"",IF('Capacity summary'!$D$14="Yes",IF(COUNTBLANK('Capacity summary'!$H126:$BG126)&lt;52,IF('Capacity summary'!BC126&lt;&gt;"",IF(LOWER('Capacity summary'!BC126)="x",$BI7*BC7,VALUE('Capacity summary'!BC126)),0),BC7*$BI7),BC7*$BI7),0)</f>
        <v>1.6153846153846154</v>
      </c>
      <c r="DG7" s="311">
        <f ca="1">IF($BI7&lt;&gt;"",IF('Capacity summary'!$D$14="Yes",IF(COUNTBLANK('Capacity summary'!$H126:$BG126)&lt;52,IF('Capacity summary'!BD126&lt;&gt;"",IF(LOWER('Capacity summary'!BD126)="x",$BI7*BD7,VALUE('Capacity summary'!BD126)),0),BD7*$BI7),BD7*$BI7),0)</f>
        <v>1.6153846153846154</v>
      </c>
      <c r="DH7" s="311">
        <f ca="1">IF($BI7&lt;&gt;"",IF('Capacity summary'!$D$14="Yes",IF(COUNTBLANK('Capacity summary'!$H126:$BG126)&lt;52,IF('Capacity summary'!BE126&lt;&gt;"",IF(LOWER('Capacity summary'!BE126)="x",$BI7*BE7,VALUE('Capacity summary'!BE126)),0),BE7*$BI7),BE7*$BI7),0)</f>
        <v>1.6153846153846154</v>
      </c>
      <c r="DI7" s="311">
        <f ca="1">IF($BI7&lt;&gt;"",IF('Capacity summary'!$D$14="Yes",IF(COUNTBLANK('Capacity summary'!$H126:$BG126)&lt;52,IF('Capacity summary'!BF126&lt;&gt;"",IF(LOWER('Capacity summary'!BF126)="x",$BI7*BF7,VALUE('Capacity summary'!BF126)),0),BF7*$BI7),BF7*$BI7),0)</f>
        <v>1.6153846153846154</v>
      </c>
      <c r="DJ7" s="311">
        <f ca="1">IF($BI7&lt;&gt;"",IF('Capacity summary'!$D$14="Yes",IF(COUNTBLANK('Capacity summary'!$H126:$BG126)&lt;52,IF('Capacity summary'!BG126&lt;&gt;"",IF(LOWER('Capacity summary'!BG126)="x",$BI7*BG7,VALUE('Capacity summary'!BG126)),0),BG7*$BI7),BG7*$BI7),0)</f>
        <v>1.6153846153846154</v>
      </c>
      <c r="DK7" s="395">
        <f t="shared" ca="1" si="2"/>
        <v>1.6153846153846154</v>
      </c>
      <c r="DL7" s="136">
        <f t="shared" ca="1" si="3"/>
        <v>83.999999999999943</v>
      </c>
      <c r="DM7" s="311">
        <f>Capacity!H19</f>
        <v>84</v>
      </c>
      <c r="DQ7" s="5"/>
    </row>
    <row r="8" spans="1:121" x14ac:dyDescent="0.2">
      <c r="A8" s="67">
        <f>IF(Capacity!L20='Capacity summary'!BI127,1,0)</f>
        <v>1</v>
      </c>
      <c r="B8" s="67">
        <f>IF(Capacity!V20='Capacity summary'!BI27,1,0)</f>
        <v>1</v>
      </c>
      <c r="C8" s="67" t="str">
        <f>ROW(A4)&amp;". "&amp;Capacity!B20</f>
        <v>4. Core Clinic 4</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 ca="1">IF(ROW(C4)&lt;=Capacity!$A$16,IF('Capacity summary'!$D$14="No",SUM(H8:BG8),'Capacity summary'!$E127),0)</f>
        <v>52</v>
      </c>
      <c r="BI8" s="5">
        <f ca="1">IF(BH8&gt;0,IF(BH8&lt;Capacity!E20,Capacity!F20,Capacity!H20/'Capacity calculation (hide)'!BH8),"")</f>
        <v>0.92307692307692313</v>
      </c>
      <c r="BK8" s="311">
        <f ca="1">IF($BI8&lt;&gt;"",IF('Capacity summary'!$D$14="Yes",IF(COUNTBLANK('Capacity summary'!$H127:$BG127)&lt;52,IF('Capacity summary'!H127&lt;&gt;"",IF(LOWER('Capacity summary'!H127)="x",$BI8*H8,VALUE('Capacity summary'!H127)),0),H8*$BI8),H8*$BI8),0)</f>
        <v>0.92307692307692313</v>
      </c>
      <c r="BL8" s="311">
        <f ca="1">IF($BI8&lt;&gt;"",IF('Capacity summary'!$D$14="Yes",IF(COUNTBLANK('Capacity summary'!$H127:$BG127)&lt;52,IF('Capacity summary'!I127&lt;&gt;"",IF(LOWER('Capacity summary'!I127)="x",$BI8*I8,VALUE('Capacity summary'!I127)),0),I8*$BI8),I8*$BI8),0)</f>
        <v>0.92307692307692313</v>
      </c>
      <c r="BM8" s="311">
        <f ca="1">IF($BI8&lt;&gt;"",IF('Capacity summary'!$D$14="Yes",IF(COUNTBLANK('Capacity summary'!$H127:$BG127)&lt;52,IF('Capacity summary'!J127&lt;&gt;"",IF(LOWER('Capacity summary'!J127)="x",$BI8*J8,VALUE('Capacity summary'!J127)),0),J8*$BI8),J8*$BI8),0)</f>
        <v>0.92307692307692313</v>
      </c>
      <c r="BN8" s="311">
        <f ca="1">IF($BI8&lt;&gt;"",IF('Capacity summary'!$D$14="Yes",IF(COUNTBLANK('Capacity summary'!$H127:$BG127)&lt;52,IF('Capacity summary'!K127&lt;&gt;"",IF(LOWER('Capacity summary'!K127)="x",$BI8*K8,VALUE('Capacity summary'!K127)),0),K8*$BI8),K8*$BI8),0)</f>
        <v>0.92307692307692313</v>
      </c>
      <c r="BO8" s="311">
        <f ca="1">IF($BI8&lt;&gt;"",IF('Capacity summary'!$D$14="Yes",IF(COUNTBLANK('Capacity summary'!$H127:$BG127)&lt;52,IF('Capacity summary'!L127&lt;&gt;"",IF(LOWER('Capacity summary'!L127)="x",$BI8*L8,VALUE('Capacity summary'!L127)),0),L8*$BI8),L8*$BI8),0)</f>
        <v>0.92307692307692313</v>
      </c>
      <c r="BP8" s="311">
        <f ca="1">IF($BI8&lt;&gt;"",IF('Capacity summary'!$D$14="Yes",IF(COUNTBLANK('Capacity summary'!$H127:$BG127)&lt;52,IF('Capacity summary'!M127&lt;&gt;"",IF(LOWER('Capacity summary'!M127)="x",$BI8*M8,VALUE('Capacity summary'!M127)),0),M8*$BI8),M8*$BI8),0)</f>
        <v>0.92307692307692313</v>
      </c>
      <c r="BQ8" s="311">
        <f ca="1">IF($BI8&lt;&gt;"",IF('Capacity summary'!$D$14="Yes",IF(COUNTBLANK('Capacity summary'!$H127:$BG127)&lt;52,IF('Capacity summary'!N127&lt;&gt;"",IF(LOWER('Capacity summary'!N127)="x",$BI8*N8,VALUE('Capacity summary'!N127)),0),N8*$BI8),N8*$BI8),0)</f>
        <v>0.92307692307692313</v>
      </c>
      <c r="BR8" s="311">
        <f ca="1">IF($BI8&lt;&gt;"",IF('Capacity summary'!$D$14="Yes",IF(COUNTBLANK('Capacity summary'!$H127:$BG127)&lt;52,IF('Capacity summary'!O127&lt;&gt;"",IF(LOWER('Capacity summary'!O127)="x",$BI8*O8,VALUE('Capacity summary'!O127)),0),O8*$BI8),O8*$BI8),0)</f>
        <v>0.92307692307692313</v>
      </c>
      <c r="BS8" s="311">
        <f ca="1">IF($BI8&lt;&gt;"",IF('Capacity summary'!$D$14="Yes",IF(COUNTBLANK('Capacity summary'!$H127:$BG127)&lt;52,IF('Capacity summary'!P127&lt;&gt;"",IF(LOWER('Capacity summary'!P127)="x",$BI8*P8,VALUE('Capacity summary'!P127)),0),P8*$BI8),P8*$BI8),0)</f>
        <v>0.92307692307692313</v>
      </c>
      <c r="BT8" s="311">
        <f ca="1">IF($BI8&lt;&gt;"",IF('Capacity summary'!$D$14="Yes",IF(COUNTBLANK('Capacity summary'!$H127:$BG127)&lt;52,IF('Capacity summary'!Q127&lt;&gt;"",IF(LOWER('Capacity summary'!Q127)="x",$BI8*Q8,VALUE('Capacity summary'!Q127)),0),Q8*$BI8),Q8*$BI8),0)</f>
        <v>0.92307692307692313</v>
      </c>
      <c r="BU8" s="311">
        <f ca="1">IF($BI8&lt;&gt;"",IF('Capacity summary'!$D$14="Yes",IF(COUNTBLANK('Capacity summary'!$H127:$BG127)&lt;52,IF('Capacity summary'!R127&lt;&gt;"",IF(LOWER('Capacity summary'!R127)="x",$BI8*R8,VALUE('Capacity summary'!R127)),0),R8*$BI8),R8*$BI8),0)</f>
        <v>0.92307692307692313</v>
      </c>
      <c r="BV8" s="311">
        <f ca="1">IF($BI8&lt;&gt;"",IF('Capacity summary'!$D$14="Yes",IF(COUNTBLANK('Capacity summary'!$H127:$BG127)&lt;52,IF('Capacity summary'!S127&lt;&gt;"",IF(LOWER('Capacity summary'!S127)="x",$BI8*S8,VALUE('Capacity summary'!S127)),0),S8*$BI8),S8*$BI8),0)</f>
        <v>0.92307692307692313</v>
      </c>
      <c r="BW8" s="311">
        <f ca="1">IF($BI8&lt;&gt;"",IF('Capacity summary'!$D$14="Yes",IF(COUNTBLANK('Capacity summary'!$H127:$BG127)&lt;52,IF('Capacity summary'!T127&lt;&gt;"",IF(LOWER('Capacity summary'!T127)="x",$BI8*T8,VALUE('Capacity summary'!T127)),0),T8*$BI8),T8*$BI8),0)</f>
        <v>0.92307692307692313</v>
      </c>
      <c r="BX8" s="311">
        <f ca="1">IF($BI8&lt;&gt;"",IF('Capacity summary'!$D$14="Yes",IF(COUNTBLANK('Capacity summary'!$H127:$BG127)&lt;52,IF('Capacity summary'!U127&lt;&gt;"",IF(LOWER('Capacity summary'!U127)="x",$BI8*U8,VALUE('Capacity summary'!U127)),0),U8*$BI8),U8*$BI8),0)</f>
        <v>0.92307692307692313</v>
      </c>
      <c r="BY8" s="311">
        <f ca="1">IF($BI8&lt;&gt;"",IF('Capacity summary'!$D$14="Yes",IF(COUNTBLANK('Capacity summary'!$H127:$BG127)&lt;52,IF('Capacity summary'!V127&lt;&gt;"",IF(LOWER('Capacity summary'!V127)="x",$BI8*V8,VALUE('Capacity summary'!V127)),0),V8*$BI8),V8*$BI8),0)</f>
        <v>0.92307692307692313</v>
      </c>
      <c r="BZ8" s="311">
        <f ca="1">IF($BI8&lt;&gt;"",IF('Capacity summary'!$D$14="Yes",IF(COUNTBLANK('Capacity summary'!$H127:$BG127)&lt;52,IF('Capacity summary'!W127&lt;&gt;"",IF(LOWER('Capacity summary'!W127)="x",$BI8*W8,VALUE('Capacity summary'!W127)),0),W8*$BI8),W8*$BI8),0)</f>
        <v>0.92307692307692313</v>
      </c>
      <c r="CA8" s="311">
        <f ca="1">IF($BI8&lt;&gt;"",IF('Capacity summary'!$D$14="Yes",IF(COUNTBLANK('Capacity summary'!$H127:$BG127)&lt;52,IF('Capacity summary'!X127&lt;&gt;"",IF(LOWER('Capacity summary'!X127)="x",$BI8*X8,VALUE('Capacity summary'!X127)),0),X8*$BI8),X8*$BI8),0)</f>
        <v>0.92307692307692313</v>
      </c>
      <c r="CB8" s="311">
        <f ca="1">IF($BI8&lt;&gt;"",IF('Capacity summary'!$D$14="Yes",IF(COUNTBLANK('Capacity summary'!$H127:$BG127)&lt;52,IF('Capacity summary'!Y127&lt;&gt;"",IF(LOWER('Capacity summary'!Y127)="x",$BI8*Y8,VALUE('Capacity summary'!Y127)),0),Y8*$BI8),Y8*$BI8),0)</f>
        <v>0.92307692307692313</v>
      </c>
      <c r="CC8" s="311">
        <f ca="1">IF($BI8&lt;&gt;"",IF('Capacity summary'!$D$14="Yes",IF(COUNTBLANK('Capacity summary'!$H127:$BG127)&lt;52,IF('Capacity summary'!Z127&lt;&gt;"",IF(LOWER('Capacity summary'!Z127)="x",$BI8*Z8,VALUE('Capacity summary'!Z127)),0),Z8*$BI8),Z8*$BI8),0)</f>
        <v>0.92307692307692313</v>
      </c>
      <c r="CD8" s="311">
        <f ca="1">IF($BI8&lt;&gt;"",IF('Capacity summary'!$D$14="Yes",IF(COUNTBLANK('Capacity summary'!$H127:$BG127)&lt;52,IF('Capacity summary'!AA127&lt;&gt;"",IF(LOWER('Capacity summary'!AA127)="x",$BI8*AA8,VALUE('Capacity summary'!AA127)),0),AA8*$BI8),AA8*$BI8),0)</f>
        <v>0.92307692307692313</v>
      </c>
      <c r="CE8" s="311">
        <f ca="1">IF($BI8&lt;&gt;"",IF('Capacity summary'!$D$14="Yes",IF(COUNTBLANK('Capacity summary'!$H127:$BG127)&lt;52,IF('Capacity summary'!AB127&lt;&gt;"",IF(LOWER('Capacity summary'!AB127)="x",$BI8*AB8,VALUE('Capacity summary'!AB127)),0),AB8*$BI8),AB8*$BI8),0)</f>
        <v>0.92307692307692313</v>
      </c>
      <c r="CF8" s="311">
        <f ca="1">IF($BI8&lt;&gt;"",IF('Capacity summary'!$D$14="Yes",IF(COUNTBLANK('Capacity summary'!$H127:$BG127)&lt;52,IF('Capacity summary'!AC127&lt;&gt;"",IF(LOWER('Capacity summary'!AC127)="x",$BI8*AC8,VALUE('Capacity summary'!AC127)),0),AC8*$BI8),AC8*$BI8),0)</f>
        <v>0.92307692307692313</v>
      </c>
      <c r="CG8" s="311">
        <f ca="1">IF($BI8&lt;&gt;"",IF('Capacity summary'!$D$14="Yes",IF(COUNTBLANK('Capacity summary'!$H127:$BG127)&lt;52,IF('Capacity summary'!AD127&lt;&gt;"",IF(LOWER('Capacity summary'!AD127)="x",$BI8*AD8,VALUE('Capacity summary'!AD127)),0),AD8*$BI8),AD8*$BI8),0)</f>
        <v>0.92307692307692313</v>
      </c>
      <c r="CH8" s="311">
        <f ca="1">IF($BI8&lt;&gt;"",IF('Capacity summary'!$D$14="Yes",IF(COUNTBLANK('Capacity summary'!$H127:$BG127)&lt;52,IF('Capacity summary'!AE127&lt;&gt;"",IF(LOWER('Capacity summary'!AE127)="x",$BI8*AE8,VALUE('Capacity summary'!AE127)),0),AE8*$BI8),AE8*$BI8),0)</f>
        <v>0.92307692307692313</v>
      </c>
      <c r="CI8" s="311">
        <f ca="1">IF($BI8&lt;&gt;"",IF('Capacity summary'!$D$14="Yes",IF(COUNTBLANK('Capacity summary'!$H127:$BG127)&lt;52,IF('Capacity summary'!AF127&lt;&gt;"",IF(LOWER('Capacity summary'!AF127)="x",$BI8*AF8,VALUE('Capacity summary'!AF127)),0),AF8*$BI8),AF8*$BI8),0)</f>
        <v>0.92307692307692313</v>
      </c>
      <c r="CJ8" s="311">
        <f ca="1">IF($BI8&lt;&gt;"",IF('Capacity summary'!$D$14="Yes",IF(COUNTBLANK('Capacity summary'!$H127:$BG127)&lt;52,IF('Capacity summary'!AG127&lt;&gt;"",IF(LOWER('Capacity summary'!AG127)="x",$BI8*AG8,VALUE('Capacity summary'!AG127)),0),AG8*$BI8),AG8*$BI8),0)</f>
        <v>0.92307692307692313</v>
      </c>
      <c r="CK8" s="311">
        <f ca="1">IF($BI8&lt;&gt;"",IF('Capacity summary'!$D$14="Yes",IF(COUNTBLANK('Capacity summary'!$H127:$BG127)&lt;52,IF('Capacity summary'!AH127&lt;&gt;"",IF(LOWER('Capacity summary'!AH127)="x",$BI8*AH8,VALUE('Capacity summary'!AH127)),0),AH8*$BI8),AH8*$BI8),0)</f>
        <v>0.92307692307692313</v>
      </c>
      <c r="CL8" s="311">
        <f ca="1">IF($BI8&lt;&gt;"",IF('Capacity summary'!$D$14="Yes",IF(COUNTBLANK('Capacity summary'!$H127:$BG127)&lt;52,IF('Capacity summary'!AI127&lt;&gt;"",IF(LOWER('Capacity summary'!AI127)="x",$BI8*AI8,VALUE('Capacity summary'!AI127)),0),AI8*$BI8),AI8*$BI8),0)</f>
        <v>0.92307692307692313</v>
      </c>
      <c r="CM8" s="311">
        <f ca="1">IF($BI8&lt;&gt;"",IF('Capacity summary'!$D$14="Yes",IF(COUNTBLANK('Capacity summary'!$H127:$BG127)&lt;52,IF('Capacity summary'!AJ127&lt;&gt;"",IF(LOWER('Capacity summary'!AJ127)="x",$BI8*AJ8,VALUE('Capacity summary'!AJ127)),0),AJ8*$BI8),AJ8*$BI8),0)</f>
        <v>0.92307692307692313</v>
      </c>
      <c r="CN8" s="311">
        <f ca="1">IF($BI8&lt;&gt;"",IF('Capacity summary'!$D$14="Yes",IF(COUNTBLANK('Capacity summary'!$H127:$BG127)&lt;52,IF('Capacity summary'!AK127&lt;&gt;"",IF(LOWER('Capacity summary'!AK127)="x",$BI8*AK8,VALUE('Capacity summary'!AK127)),0),AK8*$BI8),AK8*$BI8),0)</f>
        <v>0.92307692307692313</v>
      </c>
      <c r="CO8" s="311">
        <f ca="1">IF($BI8&lt;&gt;"",IF('Capacity summary'!$D$14="Yes",IF(COUNTBLANK('Capacity summary'!$H127:$BG127)&lt;52,IF('Capacity summary'!AL127&lt;&gt;"",IF(LOWER('Capacity summary'!AL127)="x",$BI8*AL8,VALUE('Capacity summary'!AL127)),0),AL8*$BI8),AL8*$BI8),0)</f>
        <v>0.92307692307692313</v>
      </c>
      <c r="CP8" s="311">
        <f ca="1">IF($BI8&lt;&gt;"",IF('Capacity summary'!$D$14="Yes",IF(COUNTBLANK('Capacity summary'!$H127:$BG127)&lt;52,IF('Capacity summary'!AM127&lt;&gt;"",IF(LOWER('Capacity summary'!AM127)="x",$BI8*AM8,VALUE('Capacity summary'!AM127)),0),AM8*$BI8),AM8*$BI8),0)</f>
        <v>0.92307692307692313</v>
      </c>
      <c r="CQ8" s="311">
        <f ca="1">IF($BI8&lt;&gt;"",IF('Capacity summary'!$D$14="Yes",IF(COUNTBLANK('Capacity summary'!$H127:$BG127)&lt;52,IF('Capacity summary'!AN127&lt;&gt;"",IF(LOWER('Capacity summary'!AN127)="x",$BI8*AN8,VALUE('Capacity summary'!AN127)),0),AN8*$BI8),AN8*$BI8),0)</f>
        <v>0.92307692307692313</v>
      </c>
      <c r="CR8" s="311">
        <f ca="1">IF($BI8&lt;&gt;"",IF('Capacity summary'!$D$14="Yes",IF(COUNTBLANK('Capacity summary'!$H127:$BG127)&lt;52,IF('Capacity summary'!AO127&lt;&gt;"",IF(LOWER('Capacity summary'!AO127)="x",$BI8*AO8,VALUE('Capacity summary'!AO127)),0),AO8*$BI8),AO8*$BI8),0)</f>
        <v>0.92307692307692313</v>
      </c>
      <c r="CS8" s="311">
        <f ca="1">IF($BI8&lt;&gt;"",IF('Capacity summary'!$D$14="Yes",IF(COUNTBLANK('Capacity summary'!$H127:$BG127)&lt;52,IF('Capacity summary'!AP127&lt;&gt;"",IF(LOWER('Capacity summary'!AP127)="x",$BI8*AP8,VALUE('Capacity summary'!AP127)),0),AP8*$BI8),AP8*$BI8),0)</f>
        <v>0.92307692307692313</v>
      </c>
      <c r="CT8" s="311">
        <f ca="1">IF($BI8&lt;&gt;"",IF('Capacity summary'!$D$14="Yes",IF(COUNTBLANK('Capacity summary'!$H127:$BG127)&lt;52,IF('Capacity summary'!AQ127&lt;&gt;"",IF(LOWER('Capacity summary'!AQ127)="x",$BI8*AQ8,VALUE('Capacity summary'!AQ127)),0),AQ8*$BI8),AQ8*$BI8),0)</f>
        <v>0.92307692307692313</v>
      </c>
      <c r="CU8" s="311">
        <f ca="1">IF($BI8&lt;&gt;"",IF('Capacity summary'!$D$14="Yes",IF(COUNTBLANK('Capacity summary'!$H127:$BG127)&lt;52,IF('Capacity summary'!AR127&lt;&gt;"",IF(LOWER('Capacity summary'!AR127)="x",$BI8*AR8,VALUE('Capacity summary'!AR127)),0),AR8*$BI8),AR8*$BI8),0)</f>
        <v>0.92307692307692313</v>
      </c>
      <c r="CV8" s="311">
        <f ca="1">IF($BI8&lt;&gt;"",IF('Capacity summary'!$D$14="Yes",IF(COUNTBLANK('Capacity summary'!$H127:$BG127)&lt;52,IF('Capacity summary'!AS127&lt;&gt;"",IF(LOWER('Capacity summary'!AS127)="x",$BI8*AS8,VALUE('Capacity summary'!AS127)),0),AS8*$BI8),AS8*$BI8),0)</f>
        <v>0.92307692307692313</v>
      </c>
      <c r="CW8" s="311">
        <f ca="1">IF($BI8&lt;&gt;"",IF('Capacity summary'!$D$14="Yes",IF(COUNTBLANK('Capacity summary'!$H127:$BG127)&lt;52,IF('Capacity summary'!AT127&lt;&gt;"",IF(LOWER('Capacity summary'!AT127)="x",$BI8*AT8,VALUE('Capacity summary'!AT127)),0),AT8*$BI8),AT8*$BI8),0)</f>
        <v>0.92307692307692313</v>
      </c>
      <c r="CX8" s="311">
        <f ca="1">IF($BI8&lt;&gt;"",IF('Capacity summary'!$D$14="Yes",IF(COUNTBLANK('Capacity summary'!$H127:$BG127)&lt;52,IF('Capacity summary'!AU127&lt;&gt;"",IF(LOWER('Capacity summary'!AU127)="x",$BI8*AU8,VALUE('Capacity summary'!AU127)),0),AU8*$BI8),AU8*$BI8),0)</f>
        <v>0.92307692307692313</v>
      </c>
      <c r="CY8" s="311">
        <f ca="1">IF($BI8&lt;&gt;"",IF('Capacity summary'!$D$14="Yes",IF(COUNTBLANK('Capacity summary'!$H127:$BG127)&lt;52,IF('Capacity summary'!AV127&lt;&gt;"",IF(LOWER('Capacity summary'!AV127)="x",$BI8*AV8,VALUE('Capacity summary'!AV127)),0),AV8*$BI8),AV8*$BI8),0)</f>
        <v>0.92307692307692313</v>
      </c>
      <c r="CZ8" s="311">
        <f ca="1">IF($BI8&lt;&gt;"",IF('Capacity summary'!$D$14="Yes",IF(COUNTBLANK('Capacity summary'!$H127:$BG127)&lt;52,IF('Capacity summary'!AW127&lt;&gt;"",IF(LOWER('Capacity summary'!AW127)="x",$BI8*AW8,VALUE('Capacity summary'!AW127)),0),AW8*$BI8),AW8*$BI8),0)</f>
        <v>0.92307692307692313</v>
      </c>
      <c r="DA8" s="311">
        <f ca="1">IF($BI8&lt;&gt;"",IF('Capacity summary'!$D$14="Yes",IF(COUNTBLANK('Capacity summary'!$H127:$BG127)&lt;52,IF('Capacity summary'!AX127&lt;&gt;"",IF(LOWER('Capacity summary'!AX127)="x",$BI8*AX8,VALUE('Capacity summary'!AX127)),0),AX8*$BI8),AX8*$BI8),0)</f>
        <v>0.92307692307692313</v>
      </c>
      <c r="DB8" s="311">
        <f ca="1">IF($BI8&lt;&gt;"",IF('Capacity summary'!$D$14="Yes",IF(COUNTBLANK('Capacity summary'!$H127:$BG127)&lt;52,IF('Capacity summary'!AY127&lt;&gt;"",IF(LOWER('Capacity summary'!AY127)="x",$BI8*AY8,VALUE('Capacity summary'!AY127)),0),AY8*$BI8),AY8*$BI8),0)</f>
        <v>0.92307692307692313</v>
      </c>
      <c r="DC8" s="311">
        <f ca="1">IF($BI8&lt;&gt;"",IF('Capacity summary'!$D$14="Yes",IF(COUNTBLANK('Capacity summary'!$H127:$BG127)&lt;52,IF('Capacity summary'!AZ127&lt;&gt;"",IF(LOWER('Capacity summary'!AZ127)="x",$BI8*AZ8,VALUE('Capacity summary'!AZ127)),0),AZ8*$BI8),AZ8*$BI8),0)</f>
        <v>0.92307692307692313</v>
      </c>
      <c r="DD8" s="311">
        <f ca="1">IF($BI8&lt;&gt;"",IF('Capacity summary'!$D$14="Yes",IF(COUNTBLANK('Capacity summary'!$H127:$BG127)&lt;52,IF('Capacity summary'!BA127&lt;&gt;"",IF(LOWER('Capacity summary'!BA127)="x",$BI8*BA8,VALUE('Capacity summary'!BA127)),0),BA8*$BI8),BA8*$BI8),0)</f>
        <v>0.92307692307692313</v>
      </c>
      <c r="DE8" s="311">
        <f ca="1">IF($BI8&lt;&gt;"",IF('Capacity summary'!$D$14="Yes",IF(COUNTBLANK('Capacity summary'!$H127:$BG127)&lt;52,IF('Capacity summary'!BB127&lt;&gt;"",IF(LOWER('Capacity summary'!BB127)="x",$BI8*BB8,VALUE('Capacity summary'!BB127)),0),BB8*$BI8),BB8*$BI8),0)</f>
        <v>0.92307692307692313</v>
      </c>
      <c r="DF8" s="311">
        <f ca="1">IF($BI8&lt;&gt;"",IF('Capacity summary'!$D$14="Yes",IF(COUNTBLANK('Capacity summary'!$H127:$BG127)&lt;52,IF('Capacity summary'!BC127&lt;&gt;"",IF(LOWER('Capacity summary'!BC127)="x",$BI8*BC8,VALUE('Capacity summary'!BC127)),0),BC8*$BI8),BC8*$BI8),0)</f>
        <v>0.92307692307692313</v>
      </c>
      <c r="DG8" s="311">
        <f ca="1">IF($BI8&lt;&gt;"",IF('Capacity summary'!$D$14="Yes",IF(COUNTBLANK('Capacity summary'!$H127:$BG127)&lt;52,IF('Capacity summary'!BD127&lt;&gt;"",IF(LOWER('Capacity summary'!BD127)="x",$BI8*BD8,VALUE('Capacity summary'!BD127)),0),BD8*$BI8),BD8*$BI8),0)</f>
        <v>0.92307692307692313</v>
      </c>
      <c r="DH8" s="311">
        <f ca="1">IF($BI8&lt;&gt;"",IF('Capacity summary'!$D$14="Yes",IF(COUNTBLANK('Capacity summary'!$H127:$BG127)&lt;52,IF('Capacity summary'!BE127&lt;&gt;"",IF(LOWER('Capacity summary'!BE127)="x",$BI8*BE8,VALUE('Capacity summary'!BE127)),0),BE8*$BI8),BE8*$BI8),0)</f>
        <v>0.92307692307692313</v>
      </c>
      <c r="DI8" s="311">
        <f ca="1">IF($BI8&lt;&gt;"",IF('Capacity summary'!$D$14="Yes",IF(COUNTBLANK('Capacity summary'!$H127:$BG127)&lt;52,IF('Capacity summary'!BF127&lt;&gt;"",IF(LOWER('Capacity summary'!BF127)="x",$BI8*BF8,VALUE('Capacity summary'!BF127)),0),BF8*$BI8),BF8*$BI8),0)</f>
        <v>0.92307692307692313</v>
      </c>
      <c r="DJ8" s="311">
        <f ca="1">IF($BI8&lt;&gt;"",IF('Capacity summary'!$D$14="Yes",IF(COUNTBLANK('Capacity summary'!$H127:$BG127)&lt;52,IF('Capacity summary'!BG127&lt;&gt;"",IF(LOWER('Capacity summary'!BG127)="x",$BI8*BG8,VALUE('Capacity summary'!BG127)),0),BG8*$BI8),BG8*$BI8),0)</f>
        <v>0.92307692307692313</v>
      </c>
      <c r="DK8" s="395">
        <f t="shared" ca="1" si="2"/>
        <v>0.92307692307692313</v>
      </c>
      <c r="DL8" s="136">
        <f t="shared" ca="1" si="3"/>
        <v>47.99999999999995</v>
      </c>
      <c r="DM8" s="311">
        <f>Capacity!H20</f>
        <v>48</v>
      </c>
      <c r="DQ8" s="5"/>
    </row>
    <row r="9" spans="1:121" x14ac:dyDescent="0.2">
      <c r="A9" s="67">
        <f>IF(Capacity!L21='Capacity summary'!BI128,1,0)</f>
        <v>1</v>
      </c>
      <c r="B9" s="67">
        <f>IF(Capacity!V21='Capacity summary'!BI28,1,0)</f>
        <v>1</v>
      </c>
      <c r="C9" s="67" t="str">
        <f>ROW(A5)&amp;". "&amp;Capacity!B21</f>
        <v>5. Covid restoration clinic</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 ca="1">IF(ROW(C5)&lt;=Capacity!$A$16,IF('Capacity summary'!$D$14="No",SUM(H9:BG9),'Capacity summary'!$E128),0)</f>
        <v>52</v>
      </c>
      <c r="BI9" s="5">
        <f ca="1">IF(BH9&gt;0,IF(BH9&lt;Capacity!E21,Capacity!F21,Capacity!H21/'Capacity calculation (hide)'!BH9),"")</f>
        <v>2.4230769230769229</v>
      </c>
      <c r="BK9" s="311">
        <f ca="1">IF($BI9&lt;&gt;"",IF('Capacity summary'!$D$14="Yes",IF(COUNTBLANK('Capacity summary'!$H128:$BG128)&lt;52,IF('Capacity summary'!H128&lt;&gt;"",IF(LOWER('Capacity summary'!H128)="x",$BI9*H9,VALUE('Capacity summary'!H128)),0),H9*$BI9),H9*$BI9),0)</f>
        <v>2.4230769230769229</v>
      </c>
      <c r="BL9" s="311">
        <f ca="1">IF($BI9&lt;&gt;"",IF('Capacity summary'!$D$14="Yes",IF(COUNTBLANK('Capacity summary'!$H128:$BG128)&lt;52,IF('Capacity summary'!I128&lt;&gt;"",IF(LOWER('Capacity summary'!I128)="x",$BI9*I9,VALUE('Capacity summary'!I128)),0),I9*$BI9),I9*$BI9),0)</f>
        <v>2.4230769230769229</v>
      </c>
      <c r="BM9" s="311">
        <f ca="1">IF($BI9&lt;&gt;"",IF('Capacity summary'!$D$14="Yes",IF(COUNTBLANK('Capacity summary'!$H128:$BG128)&lt;52,IF('Capacity summary'!J128&lt;&gt;"",IF(LOWER('Capacity summary'!J128)="x",$BI9*J9,VALUE('Capacity summary'!J128)),0),J9*$BI9),J9*$BI9),0)</f>
        <v>2.4230769230769229</v>
      </c>
      <c r="BN9" s="311">
        <f ca="1">IF($BI9&lt;&gt;"",IF('Capacity summary'!$D$14="Yes",IF(COUNTBLANK('Capacity summary'!$H128:$BG128)&lt;52,IF('Capacity summary'!K128&lt;&gt;"",IF(LOWER('Capacity summary'!K128)="x",$BI9*K9,VALUE('Capacity summary'!K128)),0),K9*$BI9),K9*$BI9),0)</f>
        <v>2.4230769230769229</v>
      </c>
      <c r="BO9" s="311">
        <f ca="1">IF($BI9&lt;&gt;"",IF('Capacity summary'!$D$14="Yes",IF(COUNTBLANK('Capacity summary'!$H128:$BG128)&lt;52,IF('Capacity summary'!L128&lt;&gt;"",IF(LOWER('Capacity summary'!L128)="x",$BI9*L9,VALUE('Capacity summary'!L128)),0),L9*$BI9),L9*$BI9),0)</f>
        <v>2.4230769230769229</v>
      </c>
      <c r="BP9" s="311">
        <f ca="1">IF($BI9&lt;&gt;"",IF('Capacity summary'!$D$14="Yes",IF(COUNTBLANK('Capacity summary'!$H128:$BG128)&lt;52,IF('Capacity summary'!M128&lt;&gt;"",IF(LOWER('Capacity summary'!M128)="x",$BI9*M9,VALUE('Capacity summary'!M128)),0),M9*$BI9),M9*$BI9),0)</f>
        <v>2.4230769230769229</v>
      </c>
      <c r="BQ9" s="311">
        <f ca="1">IF($BI9&lt;&gt;"",IF('Capacity summary'!$D$14="Yes",IF(COUNTBLANK('Capacity summary'!$H128:$BG128)&lt;52,IF('Capacity summary'!N128&lt;&gt;"",IF(LOWER('Capacity summary'!N128)="x",$BI9*N9,VALUE('Capacity summary'!N128)),0),N9*$BI9),N9*$BI9),0)</f>
        <v>2.4230769230769229</v>
      </c>
      <c r="BR9" s="311">
        <f ca="1">IF($BI9&lt;&gt;"",IF('Capacity summary'!$D$14="Yes",IF(COUNTBLANK('Capacity summary'!$H128:$BG128)&lt;52,IF('Capacity summary'!O128&lt;&gt;"",IF(LOWER('Capacity summary'!O128)="x",$BI9*O9,VALUE('Capacity summary'!O128)),0),O9*$BI9),O9*$BI9),0)</f>
        <v>2.4230769230769229</v>
      </c>
      <c r="BS9" s="311">
        <f ca="1">IF($BI9&lt;&gt;"",IF('Capacity summary'!$D$14="Yes",IF(COUNTBLANK('Capacity summary'!$H128:$BG128)&lt;52,IF('Capacity summary'!P128&lt;&gt;"",IF(LOWER('Capacity summary'!P128)="x",$BI9*P9,VALUE('Capacity summary'!P128)),0),P9*$BI9),P9*$BI9),0)</f>
        <v>2.4230769230769229</v>
      </c>
      <c r="BT9" s="311">
        <f ca="1">IF($BI9&lt;&gt;"",IF('Capacity summary'!$D$14="Yes",IF(COUNTBLANK('Capacity summary'!$H128:$BG128)&lt;52,IF('Capacity summary'!Q128&lt;&gt;"",IF(LOWER('Capacity summary'!Q128)="x",$BI9*Q9,VALUE('Capacity summary'!Q128)),0),Q9*$BI9),Q9*$BI9),0)</f>
        <v>2.4230769230769229</v>
      </c>
      <c r="BU9" s="311">
        <f ca="1">IF($BI9&lt;&gt;"",IF('Capacity summary'!$D$14="Yes",IF(COUNTBLANK('Capacity summary'!$H128:$BG128)&lt;52,IF('Capacity summary'!R128&lt;&gt;"",IF(LOWER('Capacity summary'!R128)="x",$BI9*R9,VALUE('Capacity summary'!R128)),0),R9*$BI9),R9*$BI9),0)</f>
        <v>2.4230769230769229</v>
      </c>
      <c r="BV9" s="311">
        <f ca="1">IF($BI9&lt;&gt;"",IF('Capacity summary'!$D$14="Yes",IF(COUNTBLANK('Capacity summary'!$H128:$BG128)&lt;52,IF('Capacity summary'!S128&lt;&gt;"",IF(LOWER('Capacity summary'!S128)="x",$BI9*S9,VALUE('Capacity summary'!S128)),0),S9*$BI9),S9*$BI9),0)</f>
        <v>2.4230769230769229</v>
      </c>
      <c r="BW9" s="311">
        <f ca="1">IF($BI9&lt;&gt;"",IF('Capacity summary'!$D$14="Yes",IF(COUNTBLANK('Capacity summary'!$H128:$BG128)&lt;52,IF('Capacity summary'!T128&lt;&gt;"",IF(LOWER('Capacity summary'!T128)="x",$BI9*T9,VALUE('Capacity summary'!T128)),0),T9*$BI9),T9*$BI9),0)</f>
        <v>2.4230769230769229</v>
      </c>
      <c r="BX9" s="311">
        <f ca="1">IF($BI9&lt;&gt;"",IF('Capacity summary'!$D$14="Yes",IF(COUNTBLANK('Capacity summary'!$H128:$BG128)&lt;52,IF('Capacity summary'!U128&lt;&gt;"",IF(LOWER('Capacity summary'!U128)="x",$BI9*U9,VALUE('Capacity summary'!U128)),0),U9*$BI9),U9*$BI9),0)</f>
        <v>2.4230769230769229</v>
      </c>
      <c r="BY9" s="311">
        <f ca="1">IF($BI9&lt;&gt;"",IF('Capacity summary'!$D$14="Yes",IF(COUNTBLANK('Capacity summary'!$H128:$BG128)&lt;52,IF('Capacity summary'!V128&lt;&gt;"",IF(LOWER('Capacity summary'!V128)="x",$BI9*V9,VALUE('Capacity summary'!V128)),0),V9*$BI9),V9*$BI9),0)</f>
        <v>2.4230769230769229</v>
      </c>
      <c r="BZ9" s="311">
        <f ca="1">IF($BI9&lt;&gt;"",IF('Capacity summary'!$D$14="Yes",IF(COUNTBLANK('Capacity summary'!$H128:$BG128)&lt;52,IF('Capacity summary'!W128&lt;&gt;"",IF(LOWER('Capacity summary'!W128)="x",$BI9*W9,VALUE('Capacity summary'!W128)),0),W9*$BI9),W9*$BI9),0)</f>
        <v>2.4230769230769229</v>
      </c>
      <c r="CA9" s="311">
        <f ca="1">IF($BI9&lt;&gt;"",IF('Capacity summary'!$D$14="Yes",IF(COUNTBLANK('Capacity summary'!$H128:$BG128)&lt;52,IF('Capacity summary'!X128&lt;&gt;"",IF(LOWER('Capacity summary'!X128)="x",$BI9*X9,VALUE('Capacity summary'!X128)),0),X9*$BI9),X9*$BI9),0)</f>
        <v>2.4230769230769229</v>
      </c>
      <c r="CB9" s="311">
        <f ca="1">IF($BI9&lt;&gt;"",IF('Capacity summary'!$D$14="Yes",IF(COUNTBLANK('Capacity summary'!$H128:$BG128)&lt;52,IF('Capacity summary'!Y128&lt;&gt;"",IF(LOWER('Capacity summary'!Y128)="x",$BI9*Y9,VALUE('Capacity summary'!Y128)),0),Y9*$BI9),Y9*$BI9),0)</f>
        <v>2.4230769230769229</v>
      </c>
      <c r="CC9" s="311">
        <f ca="1">IF($BI9&lt;&gt;"",IF('Capacity summary'!$D$14="Yes",IF(COUNTBLANK('Capacity summary'!$H128:$BG128)&lt;52,IF('Capacity summary'!Z128&lt;&gt;"",IF(LOWER('Capacity summary'!Z128)="x",$BI9*Z9,VALUE('Capacity summary'!Z128)),0),Z9*$BI9),Z9*$BI9),0)</f>
        <v>2.4230769230769229</v>
      </c>
      <c r="CD9" s="311">
        <f ca="1">IF($BI9&lt;&gt;"",IF('Capacity summary'!$D$14="Yes",IF(COUNTBLANK('Capacity summary'!$H128:$BG128)&lt;52,IF('Capacity summary'!AA128&lt;&gt;"",IF(LOWER('Capacity summary'!AA128)="x",$BI9*AA9,VALUE('Capacity summary'!AA128)),0),AA9*$BI9),AA9*$BI9),0)</f>
        <v>2.4230769230769229</v>
      </c>
      <c r="CE9" s="311">
        <f ca="1">IF($BI9&lt;&gt;"",IF('Capacity summary'!$D$14="Yes",IF(COUNTBLANK('Capacity summary'!$H128:$BG128)&lt;52,IF('Capacity summary'!AB128&lt;&gt;"",IF(LOWER('Capacity summary'!AB128)="x",$BI9*AB9,VALUE('Capacity summary'!AB128)),0),AB9*$BI9),AB9*$BI9),0)</f>
        <v>2.4230769230769229</v>
      </c>
      <c r="CF9" s="311">
        <f ca="1">IF($BI9&lt;&gt;"",IF('Capacity summary'!$D$14="Yes",IF(COUNTBLANK('Capacity summary'!$H128:$BG128)&lt;52,IF('Capacity summary'!AC128&lt;&gt;"",IF(LOWER('Capacity summary'!AC128)="x",$BI9*AC9,VALUE('Capacity summary'!AC128)),0),AC9*$BI9),AC9*$BI9),0)</f>
        <v>2.4230769230769229</v>
      </c>
      <c r="CG9" s="311">
        <f ca="1">IF($BI9&lt;&gt;"",IF('Capacity summary'!$D$14="Yes",IF(COUNTBLANK('Capacity summary'!$H128:$BG128)&lt;52,IF('Capacity summary'!AD128&lt;&gt;"",IF(LOWER('Capacity summary'!AD128)="x",$BI9*AD9,VALUE('Capacity summary'!AD128)),0),AD9*$BI9),AD9*$BI9),0)</f>
        <v>2.4230769230769229</v>
      </c>
      <c r="CH9" s="311">
        <f ca="1">IF($BI9&lt;&gt;"",IF('Capacity summary'!$D$14="Yes",IF(COUNTBLANK('Capacity summary'!$H128:$BG128)&lt;52,IF('Capacity summary'!AE128&lt;&gt;"",IF(LOWER('Capacity summary'!AE128)="x",$BI9*AE9,VALUE('Capacity summary'!AE128)),0),AE9*$BI9),AE9*$BI9),0)</f>
        <v>2.4230769230769229</v>
      </c>
      <c r="CI9" s="311">
        <f ca="1">IF($BI9&lt;&gt;"",IF('Capacity summary'!$D$14="Yes",IF(COUNTBLANK('Capacity summary'!$H128:$BG128)&lt;52,IF('Capacity summary'!AF128&lt;&gt;"",IF(LOWER('Capacity summary'!AF128)="x",$BI9*AF9,VALUE('Capacity summary'!AF128)),0),AF9*$BI9),AF9*$BI9),0)</f>
        <v>2.4230769230769229</v>
      </c>
      <c r="CJ9" s="311">
        <f ca="1">IF($BI9&lt;&gt;"",IF('Capacity summary'!$D$14="Yes",IF(COUNTBLANK('Capacity summary'!$H128:$BG128)&lt;52,IF('Capacity summary'!AG128&lt;&gt;"",IF(LOWER('Capacity summary'!AG128)="x",$BI9*AG9,VALUE('Capacity summary'!AG128)),0),AG9*$BI9),AG9*$BI9),0)</f>
        <v>2.4230769230769229</v>
      </c>
      <c r="CK9" s="311">
        <f ca="1">IF($BI9&lt;&gt;"",IF('Capacity summary'!$D$14="Yes",IF(COUNTBLANK('Capacity summary'!$H128:$BG128)&lt;52,IF('Capacity summary'!AH128&lt;&gt;"",IF(LOWER('Capacity summary'!AH128)="x",$BI9*AH9,VALUE('Capacity summary'!AH128)),0),AH9*$BI9),AH9*$BI9),0)</f>
        <v>2.4230769230769229</v>
      </c>
      <c r="CL9" s="311">
        <f ca="1">IF($BI9&lt;&gt;"",IF('Capacity summary'!$D$14="Yes",IF(COUNTBLANK('Capacity summary'!$H128:$BG128)&lt;52,IF('Capacity summary'!AI128&lt;&gt;"",IF(LOWER('Capacity summary'!AI128)="x",$BI9*AI9,VALUE('Capacity summary'!AI128)),0),AI9*$BI9),AI9*$BI9),0)</f>
        <v>2.4230769230769229</v>
      </c>
      <c r="CM9" s="311">
        <f ca="1">IF($BI9&lt;&gt;"",IF('Capacity summary'!$D$14="Yes",IF(COUNTBLANK('Capacity summary'!$H128:$BG128)&lt;52,IF('Capacity summary'!AJ128&lt;&gt;"",IF(LOWER('Capacity summary'!AJ128)="x",$BI9*AJ9,VALUE('Capacity summary'!AJ128)),0),AJ9*$BI9),AJ9*$BI9),0)</f>
        <v>2.4230769230769229</v>
      </c>
      <c r="CN9" s="311">
        <f ca="1">IF($BI9&lt;&gt;"",IF('Capacity summary'!$D$14="Yes",IF(COUNTBLANK('Capacity summary'!$H128:$BG128)&lt;52,IF('Capacity summary'!AK128&lt;&gt;"",IF(LOWER('Capacity summary'!AK128)="x",$BI9*AK9,VALUE('Capacity summary'!AK128)),0),AK9*$BI9),AK9*$BI9),0)</f>
        <v>2.4230769230769229</v>
      </c>
      <c r="CO9" s="311">
        <f ca="1">IF($BI9&lt;&gt;"",IF('Capacity summary'!$D$14="Yes",IF(COUNTBLANK('Capacity summary'!$H128:$BG128)&lt;52,IF('Capacity summary'!AL128&lt;&gt;"",IF(LOWER('Capacity summary'!AL128)="x",$BI9*AL9,VALUE('Capacity summary'!AL128)),0),AL9*$BI9),AL9*$BI9),0)</f>
        <v>2.4230769230769229</v>
      </c>
      <c r="CP9" s="311">
        <f ca="1">IF($BI9&lt;&gt;"",IF('Capacity summary'!$D$14="Yes",IF(COUNTBLANK('Capacity summary'!$H128:$BG128)&lt;52,IF('Capacity summary'!AM128&lt;&gt;"",IF(LOWER('Capacity summary'!AM128)="x",$BI9*AM9,VALUE('Capacity summary'!AM128)),0),AM9*$BI9),AM9*$BI9),0)</f>
        <v>2.4230769230769229</v>
      </c>
      <c r="CQ9" s="311">
        <f ca="1">IF($BI9&lt;&gt;"",IF('Capacity summary'!$D$14="Yes",IF(COUNTBLANK('Capacity summary'!$H128:$BG128)&lt;52,IF('Capacity summary'!AN128&lt;&gt;"",IF(LOWER('Capacity summary'!AN128)="x",$BI9*AN9,VALUE('Capacity summary'!AN128)),0),AN9*$BI9),AN9*$BI9),0)</f>
        <v>2.4230769230769229</v>
      </c>
      <c r="CR9" s="311">
        <f ca="1">IF($BI9&lt;&gt;"",IF('Capacity summary'!$D$14="Yes",IF(COUNTBLANK('Capacity summary'!$H128:$BG128)&lt;52,IF('Capacity summary'!AO128&lt;&gt;"",IF(LOWER('Capacity summary'!AO128)="x",$BI9*AO9,VALUE('Capacity summary'!AO128)),0),AO9*$BI9),AO9*$BI9),0)</f>
        <v>2.4230769230769229</v>
      </c>
      <c r="CS9" s="311">
        <f ca="1">IF($BI9&lt;&gt;"",IF('Capacity summary'!$D$14="Yes",IF(COUNTBLANK('Capacity summary'!$H128:$BG128)&lt;52,IF('Capacity summary'!AP128&lt;&gt;"",IF(LOWER('Capacity summary'!AP128)="x",$BI9*AP9,VALUE('Capacity summary'!AP128)),0),AP9*$BI9),AP9*$BI9),0)</f>
        <v>2.4230769230769229</v>
      </c>
      <c r="CT9" s="311">
        <f ca="1">IF($BI9&lt;&gt;"",IF('Capacity summary'!$D$14="Yes",IF(COUNTBLANK('Capacity summary'!$H128:$BG128)&lt;52,IF('Capacity summary'!AQ128&lt;&gt;"",IF(LOWER('Capacity summary'!AQ128)="x",$BI9*AQ9,VALUE('Capacity summary'!AQ128)),0),AQ9*$BI9),AQ9*$BI9),0)</f>
        <v>2.4230769230769229</v>
      </c>
      <c r="CU9" s="311">
        <f ca="1">IF($BI9&lt;&gt;"",IF('Capacity summary'!$D$14="Yes",IF(COUNTBLANK('Capacity summary'!$H128:$BG128)&lt;52,IF('Capacity summary'!AR128&lt;&gt;"",IF(LOWER('Capacity summary'!AR128)="x",$BI9*AR9,VALUE('Capacity summary'!AR128)),0),AR9*$BI9),AR9*$BI9),0)</f>
        <v>2.4230769230769229</v>
      </c>
      <c r="CV9" s="311">
        <f ca="1">IF($BI9&lt;&gt;"",IF('Capacity summary'!$D$14="Yes",IF(COUNTBLANK('Capacity summary'!$H128:$BG128)&lt;52,IF('Capacity summary'!AS128&lt;&gt;"",IF(LOWER('Capacity summary'!AS128)="x",$BI9*AS9,VALUE('Capacity summary'!AS128)),0),AS9*$BI9),AS9*$BI9),0)</f>
        <v>2.4230769230769229</v>
      </c>
      <c r="CW9" s="311">
        <f ca="1">IF($BI9&lt;&gt;"",IF('Capacity summary'!$D$14="Yes",IF(COUNTBLANK('Capacity summary'!$H128:$BG128)&lt;52,IF('Capacity summary'!AT128&lt;&gt;"",IF(LOWER('Capacity summary'!AT128)="x",$BI9*AT9,VALUE('Capacity summary'!AT128)),0),AT9*$BI9),AT9*$BI9),0)</f>
        <v>2.4230769230769229</v>
      </c>
      <c r="CX9" s="311">
        <f ca="1">IF($BI9&lt;&gt;"",IF('Capacity summary'!$D$14="Yes",IF(COUNTBLANK('Capacity summary'!$H128:$BG128)&lt;52,IF('Capacity summary'!AU128&lt;&gt;"",IF(LOWER('Capacity summary'!AU128)="x",$BI9*AU9,VALUE('Capacity summary'!AU128)),0),AU9*$BI9),AU9*$BI9),0)</f>
        <v>2.4230769230769229</v>
      </c>
      <c r="CY9" s="311">
        <f ca="1">IF($BI9&lt;&gt;"",IF('Capacity summary'!$D$14="Yes",IF(COUNTBLANK('Capacity summary'!$H128:$BG128)&lt;52,IF('Capacity summary'!AV128&lt;&gt;"",IF(LOWER('Capacity summary'!AV128)="x",$BI9*AV9,VALUE('Capacity summary'!AV128)),0),AV9*$BI9),AV9*$BI9),0)</f>
        <v>2.4230769230769229</v>
      </c>
      <c r="CZ9" s="311">
        <f ca="1">IF($BI9&lt;&gt;"",IF('Capacity summary'!$D$14="Yes",IF(COUNTBLANK('Capacity summary'!$H128:$BG128)&lt;52,IF('Capacity summary'!AW128&lt;&gt;"",IF(LOWER('Capacity summary'!AW128)="x",$BI9*AW9,VALUE('Capacity summary'!AW128)),0),AW9*$BI9),AW9*$BI9),0)</f>
        <v>2.4230769230769229</v>
      </c>
      <c r="DA9" s="311">
        <f ca="1">IF($BI9&lt;&gt;"",IF('Capacity summary'!$D$14="Yes",IF(COUNTBLANK('Capacity summary'!$H128:$BG128)&lt;52,IF('Capacity summary'!AX128&lt;&gt;"",IF(LOWER('Capacity summary'!AX128)="x",$BI9*AX9,VALUE('Capacity summary'!AX128)),0),AX9*$BI9),AX9*$BI9),0)</f>
        <v>2.4230769230769229</v>
      </c>
      <c r="DB9" s="311">
        <f ca="1">IF($BI9&lt;&gt;"",IF('Capacity summary'!$D$14="Yes",IF(COUNTBLANK('Capacity summary'!$H128:$BG128)&lt;52,IF('Capacity summary'!AY128&lt;&gt;"",IF(LOWER('Capacity summary'!AY128)="x",$BI9*AY9,VALUE('Capacity summary'!AY128)),0),AY9*$BI9),AY9*$BI9),0)</f>
        <v>2.4230769230769229</v>
      </c>
      <c r="DC9" s="311">
        <f ca="1">IF($BI9&lt;&gt;"",IF('Capacity summary'!$D$14="Yes",IF(COUNTBLANK('Capacity summary'!$H128:$BG128)&lt;52,IF('Capacity summary'!AZ128&lt;&gt;"",IF(LOWER('Capacity summary'!AZ128)="x",$BI9*AZ9,VALUE('Capacity summary'!AZ128)),0),AZ9*$BI9),AZ9*$BI9),0)</f>
        <v>2.4230769230769229</v>
      </c>
      <c r="DD9" s="311">
        <f ca="1">IF($BI9&lt;&gt;"",IF('Capacity summary'!$D$14="Yes",IF(COUNTBLANK('Capacity summary'!$H128:$BG128)&lt;52,IF('Capacity summary'!BA128&lt;&gt;"",IF(LOWER('Capacity summary'!BA128)="x",$BI9*BA9,VALUE('Capacity summary'!BA128)),0),BA9*$BI9),BA9*$BI9),0)</f>
        <v>2.4230769230769229</v>
      </c>
      <c r="DE9" s="311">
        <f ca="1">IF($BI9&lt;&gt;"",IF('Capacity summary'!$D$14="Yes",IF(COUNTBLANK('Capacity summary'!$H128:$BG128)&lt;52,IF('Capacity summary'!BB128&lt;&gt;"",IF(LOWER('Capacity summary'!BB128)="x",$BI9*BB9,VALUE('Capacity summary'!BB128)),0),BB9*$BI9),BB9*$BI9),0)</f>
        <v>2.4230769230769229</v>
      </c>
      <c r="DF9" s="311">
        <f ca="1">IF($BI9&lt;&gt;"",IF('Capacity summary'!$D$14="Yes",IF(COUNTBLANK('Capacity summary'!$H128:$BG128)&lt;52,IF('Capacity summary'!BC128&lt;&gt;"",IF(LOWER('Capacity summary'!BC128)="x",$BI9*BC9,VALUE('Capacity summary'!BC128)),0),BC9*$BI9),BC9*$BI9),0)</f>
        <v>2.4230769230769229</v>
      </c>
      <c r="DG9" s="311">
        <f ca="1">IF($BI9&lt;&gt;"",IF('Capacity summary'!$D$14="Yes",IF(COUNTBLANK('Capacity summary'!$H128:$BG128)&lt;52,IF('Capacity summary'!BD128&lt;&gt;"",IF(LOWER('Capacity summary'!BD128)="x",$BI9*BD9,VALUE('Capacity summary'!BD128)),0),BD9*$BI9),BD9*$BI9),0)</f>
        <v>2.4230769230769229</v>
      </c>
      <c r="DH9" s="311">
        <f ca="1">IF($BI9&lt;&gt;"",IF('Capacity summary'!$D$14="Yes",IF(COUNTBLANK('Capacity summary'!$H128:$BG128)&lt;52,IF('Capacity summary'!BE128&lt;&gt;"",IF(LOWER('Capacity summary'!BE128)="x",$BI9*BE9,VALUE('Capacity summary'!BE128)),0),BE9*$BI9),BE9*$BI9),0)</f>
        <v>2.4230769230769229</v>
      </c>
      <c r="DI9" s="311">
        <f ca="1">IF($BI9&lt;&gt;"",IF('Capacity summary'!$D$14="Yes",IF(COUNTBLANK('Capacity summary'!$H128:$BG128)&lt;52,IF('Capacity summary'!BF128&lt;&gt;"",IF(LOWER('Capacity summary'!BF128)="x",$BI9*BF9,VALUE('Capacity summary'!BF128)),0),BF9*$BI9),BF9*$BI9),0)</f>
        <v>2.4230769230769229</v>
      </c>
      <c r="DJ9" s="311">
        <f ca="1">IF($BI9&lt;&gt;"",IF('Capacity summary'!$D$14="Yes",IF(COUNTBLANK('Capacity summary'!$H128:$BG128)&lt;52,IF('Capacity summary'!BG128&lt;&gt;"",IF(LOWER('Capacity summary'!BG128)="x",$BI9*BG9,VALUE('Capacity summary'!BG128)),0),BG9*$BI9),BG9*$BI9),0)</f>
        <v>2.4230769230769229</v>
      </c>
      <c r="DK9" s="395">
        <f t="shared" ca="1" si="2"/>
        <v>2.4230769230769229</v>
      </c>
      <c r="DL9" s="136">
        <f t="shared" ca="1" si="3"/>
        <v>125.99999999999987</v>
      </c>
      <c r="DM9" s="311">
        <f>Capacity!H21</f>
        <v>126</v>
      </c>
      <c r="DQ9" s="5"/>
    </row>
    <row r="10" spans="1:121" x14ac:dyDescent="0.2">
      <c r="A10" s="67">
        <f>IF(Capacity!L22='Capacity summary'!BI129,1,0)</f>
        <v>1</v>
      </c>
      <c r="B10" s="67">
        <f>IF(Capacity!V22='Capacity summary'!BI29,1,0)</f>
        <v>1</v>
      </c>
      <c r="C10" s="67" t="str">
        <f>ROW(A6)&amp;". "&amp;Capacity!B22</f>
        <v>6. new</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 ca="1">IF(ROW(C6)&lt;=Capacity!$A$16,IF('Capacity summary'!$D$14="No",SUM(H10:BG10),'Capacity summary'!$E129),0)</f>
        <v>52</v>
      </c>
      <c r="BI10" s="5">
        <f ca="1">IF(BH10&gt;0,IF(BH10&lt;Capacity!E22,Capacity!F22,Capacity!H22/'Capacity calculation (hide)'!BH10),"")</f>
        <v>0</v>
      </c>
      <c r="BK10" s="311">
        <f ca="1">IF($BI10&lt;&gt;"",IF('Capacity summary'!$D$14="Yes",IF(COUNTBLANK('Capacity summary'!$H129:$BG129)&lt;52,IF('Capacity summary'!H129&lt;&gt;"",IF(LOWER('Capacity summary'!H129)="x",$BI10*H10,VALUE('Capacity summary'!H129)),0),H10*$BI10),H10*$BI10),0)</f>
        <v>0</v>
      </c>
      <c r="BL10" s="311">
        <f ca="1">IF($BI10&lt;&gt;"",IF('Capacity summary'!$D$14="Yes",IF(COUNTBLANK('Capacity summary'!$H129:$BG129)&lt;52,IF('Capacity summary'!I129&lt;&gt;"",IF(LOWER('Capacity summary'!I129)="x",$BI10*I10,VALUE('Capacity summary'!I129)),0),I10*$BI10),I10*$BI10),0)</f>
        <v>0</v>
      </c>
      <c r="BM10" s="311">
        <f ca="1">IF($BI10&lt;&gt;"",IF('Capacity summary'!$D$14="Yes",IF(COUNTBLANK('Capacity summary'!$H129:$BG129)&lt;52,IF('Capacity summary'!J129&lt;&gt;"",IF(LOWER('Capacity summary'!J129)="x",$BI10*J10,VALUE('Capacity summary'!J129)),0),J10*$BI10),J10*$BI10),0)</f>
        <v>0</v>
      </c>
      <c r="BN10" s="311">
        <f ca="1">IF($BI10&lt;&gt;"",IF('Capacity summary'!$D$14="Yes",IF(COUNTBLANK('Capacity summary'!$H129:$BG129)&lt;52,IF('Capacity summary'!K129&lt;&gt;"",IF(LOWER('Capacity summary'!K129)="x",$BI10*K10,VALUE('Capacity summary'!K129)),0),K10*$BI10),K10*$BI10),0)</f>
        <v>0</v>
      </c>
      <c r="BO10" s="311">
        <f ca="1">IF($BI10&lt;&gt;"",IF('Capacity summary'!$D$14="Yes",IF(COUNTBLANK('Capacity summary'!$H129:$BG129)&lt;52,IF('Capacity summary'!L129&lt;&gt;"",IF(LOWER('Capacity summary'!L129)="x",$BI10*L10,VALUE('Capacity summary'!L129)),0),L10*$BI10),L10*$BI10),0)</f>
        <v>0</v>
      </c>
      <c r="BP10" s="311">
        <f ca="1">IF($BI10&lt;&gt;"",IF('Capacity summary'!$D$14="Yes",IF(COUNTBLANK('Capacity summary'!$H129:$BG129)&lt;52,IF('Capacity summary'!M129&lt;&gt;"",IF(LOWER('Capacity summary'!M129)="x",$BI10*M10,VALUE('Capacity summary'!M129)),0),M10*$BI10),M10*$BI10),0)</f>
        <v>0</v>
      </c>
      <c r="BQ10" s="311">
        <f ca="1">IF($BI10&lt;&gt;"",IF('Capacity summary'!$D$14="Yes",IF(COUNTBLANK('Capacity summary'!$H129:$BG129)&lt;52,IF('Capacity summary'!N129&lt;&gt;"",IF(LOWER('Capacity summary'!N129)="x",$BI10*N10,VALUE('Capacity summary'!N129)),0),N10*$BI10),N10*$BI10),0)</f>
        <v>0</v>
      </c>
      <c r="BR10" s="311">
        <f ca="1">IF($BI10&lt;&gt;"",IF('Capacity summary'!$D$14="Yes",IF(COUNTBLANK('Capacity summary'!$H129:$BG129)&lt;52,IF('Capacity summary'!O129&lt;&gt;"",IF(LOWER('Capacity summary'!O129)="x",$BI10*O10,VALUE('Capacity summary'!O129)),0),O10*$BI10),O10*$BI10),0)</f>
        <v>0</v>
      </c>
      <c r="BS10" s="311">
        <f ca="1">IF($BI10&lt;&gt;"",IF('Capacity summary'!$D$14="Yes",IF(COUNTBLANK('Capacity summary'!$H129:$BG129)&lt;52,IF('Capacity summary'!P129&lt;&gt;"",IF(LOWER('Capacity summary'!P129)="x",$BI10*P10,VALUE('Capacity summary'!P129)),0),P10*$BI10),P10*$BI10),0)</f>
        <v>0</v>
      </c>
      <c r="BT10" s="311">
        <f ca="1">IF($BI10&lt;&gt;"",IF('Capacity summary'!$D$14="Yes",IF(COUNTBLANK('Capacity summary'!$H129:$BG129)&lt;52,IF('Capacity summary'!Q129&lt;&gt;"",IF(LOWER('Capacity summary'!Q129)="x",$BI10*Q10,VALUE('Capacity summary'!Q129)),0),Q10*$BI10),Q10*$BI10),0)</f>
        <v>0</v>
      </c>
      <c r="BU10" s="311">
        <f ca="1">IF($BI10&lt;&gt;"",IF('Capacity summary'!$D$14="Yes",IF(COUNTBLANK('Capacity summary'!$H129:$BG129)&lt;52,IF('Capacity summary'!R129&lt;&gt;"",IF(LOWER('Capacity summary'!R129)="x",$BI10*R10,VALUE('Capacity summary'!R129)),0),R10*$BI10),R10*$BI10),0)</f>
        <v>0</v>
      </c>
      <c r="BV10" s="311">
        <f ca="1">IF($BI10&lt;&gt;"",IF('Capacity summary'!$D$14="Yes",IF(COUNTBLANK('Capacity summary'!$H129:$BG129)&lt;52,IF('Capacity summary'!S129&lt;&gt;"",IF(LOWER('Capacity summary'!S129)="x",$BI10*S10,VALUE('Capacity summary'!S129)),0),S10*$BI10),S10*$BI10),0)</f>
        <v>0</v>
      </c>
      <c r="BW10" s="311">
        <f ca="1">IF($BI10&lt;&gt;"",IF('Capacity summary'!$D$14="Yes",IF(COUNTBLANK('Capacity summary'!$H129:$BG129)&lt;52,IF('Capacity summary'!T129&lt;&gt;"",IF(LOWER('Capacity summary'!T129)="x",$BI10*T10,VALUE('Capacity summary'!T129)),0),T10*$BI10),T10*$BI10),0)</f>
        <v>0</v>
      </c>
      <c r="BX10" s="311">
        <f ca="1">IF($BI10&lt;&gt;"",IF('Capacity summary'!$D$14="Yes",IF(COUNTBLANK('Capacity summary'!$H129:$BG129)&lt;52,IF('Capacity summary'!U129&lt;&gt;"",IF(LOWER('Capacity summary'!U129)="x",$BI10*U10,VALUE('Capacity summary'!U129)),0),U10*$BI10),U10*$BI10),0)</f>
        <v>0</v>
      </c>
      <c r="BY10" s="311">
        <f ca="1">IF($BI10&lt;&gt;"",IF('Capacity summary'!$D$14="Yes",IF(COUNTBLANK('Capacity summary'!$H129:$BG129)&lt;52,IF('Capacity summary'!V129&lt;&gt;"",IF(LOWER('Capacity summary'!V129)="x",$BI10*V10,VALUE('Capacity summary'!V129)),0),V10*$BI10),V10*$BI10),0)</f>
        <v>0</v>
      </c>
      <c r="BZ10" s="311">
        <f ca="1">IF($BI10&lt;&gt;"",IF('Capacity summary'!$D$14="Yes",IF(COUNTBLANK('Capacity summary'!$H129:$BG129)&lt;52,IF('Capacity summary'!W129&lt;&gt;"",IF(LOWER('Capacity summary'!W129)="x",$BI10*W10,VALUE('Capacity summary'!W129)),0),W10*$BI10),W10*$BI10),0)</f>
        <v>0</v>
      </c>
      <c r="CA10" s="311">
        <f ca="1">IF($BI10&lt;&gt;"",IF('Capacity summary'!$D$14="Yes",IF(COUNTBLANK('Capacity summary'!$H129:$BG129)&lt;52,IF('Capacity summary'!X129&lt;&gt;"",IF(LOWER('Capacity summary'!X129)="x",$BI10*X10,VALUE('Capacity summary'!X129)),0),X10*$BI10),X10*$BI10),0)</f>
        <v>0</v>
      </c>
      <c r="CB10" s="311">
        <f ca="1">IF($BI10&lt;&gt;"",IF('Capacity summary'!$D$14="Yes",IF(COUNTBLANK('Capacity summary'!$H129:$BG129)&lt;52,IF('Capacity summary'!Y129&lt;&gt;"",IF(LOWER('Capacity summary'!Y129)="x",$BI10*Y10,VALUE('Capacity summary'!Y129)),0),Y10*$BI10),Y10*$BI10),0)</f>
        <v>0</v>
      </c>
      <c r="CC10" s="311">
        <f ca="1">IF($BI10&lt;&gt;"",IF('Capacity summary'!$D$14="Yes",IF(COUNTBLANK('Capacity summary'!$H129:$BG129)&lt;52,IF('Capacity summary'!Z129&lt;&gt;"",IF(LOWER('Capacity summary'!Z129)="x",$BI10*Z10,VALUE('Capacity summary'!Z129)),0),Z10*$BI10),Z10*$BI10),0)</f>
        <v>0</v>
      </c>
      <c r="CD10" s="311">
        <f ca="1">IF($BI10&lt;&gt;"",IF('Capacity summary'!$D$14="Yes",IF(COUNTBLANK('Capacity summary'!$H129:$BG129)&lt;52,IF('Capacity summary'!AA129&lt;&gt;"",IF(LOWER('Capacity summary'!AA129)="x",$BI10*AA10,VALUE('Capacity summary'!AA129)),0),AA10*$BI10),AA10*$BI10),0)</f>
        <v>0</v>
      </c>
      <c r="CE10" s="311">
        <f ca="1">IF($BI10&lt;&gt;"",IF('Capacity summary'!$D$14="Yes",IF(COUNTBLANK('Capacity summary'!$H129:$BG129)&lt;52,IF('Capacity summary'!AB129&lt;&gt;"",IF(LOWER('Capacity summary'!AB129)="x",$BI10*AB10,VALUE('Capacity summary'!AB129)),0),AB10*$BI10),AB10*$BI10),0)</f>
        <v>0</v>
      </c>
      <c r="CF10" s="311">
        <f ca="1">IF($BI10&lt;&gt;"",IF('Capacity summary'!$D$14="Yes",IF(COUNTBLANK('Capacity summary'!$H129:$BG129)&lt;52,IF('Capacity summary'!AC129&lt;&gt;"",IF(LOWER('Capacity summary'!AC129)="x",$BI10*AC10,VALUE('Capacity summary'!AC129)),0),AC10*$BI10),AC10*$BI10),0)</f>
        <v>0</v>
      </c>
      <c r="CG10" s="311">
        <f ca="1">IF($BI10&lt;&gt;"",IF('Capacity summary'!$D$14="Yes",IF(COUNTBLANK('Capacity summary'!$H129:$BG129)&lt;52,IF('Capacity summary'!AD129&lt;&gt;"",IF(LOWER('Capacity summary'!AD129)="x",$BI10*AD10,VALUE('Capacity summary'!AD129)),0),AD10*$BI10),AD10*$BI10),0)</f>
        <v>0</v>
      </c>
      <c r="CH10" s="311">
        <f ca="1">IF($BI10&lt;&gt;"",IF('Capacity summary'!$D$14="Yes",IF(COUNTBLANK('Capacity summary'!$H129:$BG129)&lt;52,IF('Capacity summary'!AE129&lt;&gt;"",IF(LOWER('Capacity summary'!AE129)="x",$BI10*AE10,VALUE('Capacity summary'!AE129)),0),AE10*$BI10),AE10*$BI10),0)</f>
        <v>0</v>
      </c>
      <c r="CI10" s="311">
        <f ca="1">IF($BI10&lt;&gt;"",IF('Capacity summary'!$D$14="Yes",IF(COUNTBLANK('Capacity summary'!$H129:$BG129)&lt;52,IF('Capacity summary'!AF129&lt;&gt;"",IF(LOWER('Capacity summary'!AF129)="x",$BI10*AF10,VALUE('Capacity summary'!AF129)),0),AF10*$BI10),AF10*$BI10),0)</f>
        <v>0</v>
      </c>
      <c r="CJ10" s="311">
        <f ca="1">IF($BI10&lt;&gt;"",IF('Capacity summary'!$D$14="Yes",IF(COUNTBLANK('Capacity summary'!$H129:$BG129)&lt;52,IF('Capacity summary'!AG129&lt;&gt;"",IF(LOWER('Capacity summary'!AG129)="x",$BI10*AG10,VALUE('Capacity summary'!AG129)),0),AG10*$BI10),AG10*$BI10),0)</f>
        <v>0</v>
      </c>
      <c r="CK10" s="311">
        <f ca="1">IF($BI10&lt;&gt;"",IF('Capacity summary'!$D$14="Yes",IF(COUNTBLANK('Capacity summary'!$H129:$BG129)&lt;52,IF('Capacity summary'!AH129&lt;&gt;"",IF(LOWER('Capacity summary'!AH129)="x",$BI10*AH10,VALUE('Capacity summary'!AH129)),0),AH10*$BI10),AH10*$BI10),0)</f>
        <v>0</v>
      </c>
      <c r="CL10" s="311">
        <f ca="1">IF($BI10&lt;&gt;"",IF('Capacity summary'!$D$14="Yes",IF(COUNTBLANK('Capacity summary'!$H129:$BG129)&lt;52,IF('Capacity summary'!AI129&lt;&gt;"",IF(LOWER('Capacity summary'!AI129)="x",$BI10*AI10,VALUE('Capacity summary'!AI129)),0),AI10*$BI10),AI10*$BI10),0)</f>
        <v>0</v>
      </c>
      <c r="CM10" s="311">
        <f ca="1">IF($BI10&lt;&gt;"",IF('Capacity summary'!$D$14="Yes",IF(COUNTBLANK('Capacity summary'!$H129:$BG129)&lt;52,IF('Capacity summary'!AJ129&lt;&gt;"",IF(LOWER('Capacity summary'!AJ129)="x",$BI10*AJ10,VALUE('Capacity summary'!AJ129)),0),AJ10*$BI10),AJ10*$BI10),0)</f>
        <v>0</v>
      </c>
      <c r="CN10" s="311">
        <f ca="1">IF($BI10&lt;&gt;"",IF('Capacity summary'!$D$14="Yes",IF(COUNTBLANK('Capacity summary'!$H129:$BG129)&lt;52,IF('Capacity summary'!AK129&lt;&gt;"",IF(LOWER('Capacity summary'!AK129)="x",$BI10*AK10,VALUE('Capacity summary'!AK129)),0),AK10*$BI10),AK10*$BI10),0)</f>
        <v>0</v>
      </c>
      <c r="CO10" s="311">
        <f ca="1">IF($BI10&lt;&gt;"",IF('Capacity summary'!$D$14="Yes",IF(COUNTBLANK('Capacity summary'!$H129:$BG129)&lt;52,IF('Capacity summary'!AL129&lt;&gt;"",IF(LOWER('Capacity summary'!AL129)="x",$BI10*AL10,VALUE('Capacity summary'!AL129)),0),AL10*$BI10),AL10*$BI10),0)</f>
        <v>0</v>
      </c>
      <c r="CP10" s="311">
        <f ca="1">IF($BI10&lt;&gt;"",IF('Capacity summary'!$D$14="Yes",IF(COUNTBLANK('Capacity summary'!$H129:$BG129)&lt;52,IF('Capacity summary'!AM129&lt;&gt;"",IF(LOWER('Capacity summary'!AM129)="x",$BI10*AM10,VALUE('Capacity summary'!AM129)),0),AM10*$BI10),AM10*$BI10),0)</f>
        <v>0</v>
      </c>
      <c r="CQ10" s="311">
        <f ca="1">IF($BI10&lt;&gt;"",IF('Capacity summary'!$D$14="Yes",IF(COUNTBLANK('Capacity summary'!$H129:$BG129)&lt;52,IF('Capacity summary'!AN129&lt;&gt;"",IF(LOWER('Capacity summary'!AN129)="x",$BI10*AN10,VALUE('Capacity summary'!AN129)),0),AN10*$BI10),AN10*$BI10),0)</f>
        <v>0</v>
      </c>
      <c r="CR10" s="311">
        <f ca="1">IF($BI10&lt;&gt;"",IF('Capacity summary'!$D$14="Yes",IF(COUNTBLANK('Capacity summary'!$H129:$BG129)&lt;52,IF('Capacity summary'!AO129&lt;&gt;"",IF(LOWER('Capacity summary'!AO129)="x",$BI10*AO10,VALUE('Capacity summary'!AO129)),0),AO10*$BI10),AO10*$BI10),0)</f>
        <v>0</v>
      </c>
      <c r="CS10" s="311">
        <f ca="1">IF($BI10&lt;&gt;"",IF('Capacity summary'!$D$14="Yes",IF(COUNTBLANK('Capacity summary'!$H129:$BG129)&lt;52,IF('Capacity summary'!AP129&lt;&gt;"",IF(LOWER('Capacity summary'!AP129)="x",$BI10*AP10,VALUE('Capacity summary'!AP129)),0),AP10*$BI10),AP10*$BI10),0)</f>
        <v>0</v>
      </c>
      <c r="CT10" s="311">
        <f ca="1">IF($BI10&lt;&gt;"",IF('Capacity summary'!$D$14="Yes",IF(COUNTBLANK('Capacity summary'!$H129:$BG129)&lt;52,IF('Capacity summary'!AQ129&lt;&gt;"",IF(LOWER('Capacity summary'!AQ129)="x",$BI10*AQ10,VALUE('Capacity summary'!AQ129)),0),AQ10*$BI10),AQ10*$BI10),0)</f>
        <v>0</v>
      </c>
      <c r="CU10" s="311">
        <f ca="1">IF($BI10&lt;&gt;"",IF('Capacity summary'!$D$14="Yes",IF(COUNTBLANK('Capacity summary'!$H129:$BG129)&lt;52,IF('Capacity summary'!AR129&lt;&gt;"",IF(LOWER('Capacity summary'!AR129)="x",$BI10*AR10,VALUE('Capacity summary'!AR129)),0),AR10*$BI10),AR10*$BI10),0)</f>
        <v>0</v>
      </c>
      <c r="CV10" s="311">
        <f ca="1">IF($BI10&lt;&gt;"",IF('Capacity summary'!$D$14="Yes",IF(COUNTBLANK('Capacity summary'!$H129:$BG129)&lt;52,IF('Capacity summary'!AS129&lt;&gt;"",IF(LOWER('Capacity summary'!AS129)="x",$BI10*AS10,VALUE('Capacity summary'!AS129)),0),AS10*$BI10),AS10*$BI10),0)</f>
        <v>0</v>
      </c>
      <c r="CW10" s="311">
        <f ca="1">IF($BI10&lt;&gt;"",IF('Capacity summary'!$D$14="Yes",IF(COUNTBLANK('Capacity summary'!$H129:$BG129)&lt;52,IF('Capacity summary'!AT129&lt;&gt;"",IF(LOWER('Capacity summary'!AT129)="x",$BI10*AT10,VALUE('Capacity summary'!AT129)),0),AT10*$BI10),AT10*$BI10),0)</f>
        <v>0</v>
      </c>
      <c r="CX10" s="311">
        <f ca="1">IF($BI10&lt;&gt;"",IF('Capacity summary'!$D$14="Yes",IF(COUNTBLANK('Capacity summary'!$H129:$BG129)&lt;52,IF('Capacity summary'!AU129&lt;&gt;"",IF(LOWER('Capacity summary'!AU129)="x",$BI10*AU10,VALUE('Capacity summary'!AU129)),0),AU10*$BI10),AU10*$BI10),0)</f>
        <v>0</v>
      </c>
      <c r="CY10" s="311">
        <f ca="1">IF($BI10&lt;&gt;"",IF('Capacity summary'!$D$14="Yes",IF(COUNTBLANK('Capacity summary'!$H129:$BG129)&lt;52,IF('Capacity summary'!AV129&lt;&gt;"",IF(LOWER('Capacity summary'!AV129)="x",$BI10*AV10,VALUE('Capacity summary'!AV129)),0),AV10*$BI10),AV10*$BI10),0)</f>
        <v>0</v>
      </c>
      <c r="CZ10" s="311">
        <f ca="1">IF($BI10&lt;&gt;"",IF('Capacity summary'!$D$14="Yes",IF(COUNTBLANK('Capacity summary'!$H129:$BG129)&lt;52,IF('Capacity summary'!AW129&lt;&gt;"",IF(LOWER('Capacity summary'!AW129)="x",$BI10*AW10,VALUE('Capacity summary'!AW129)),0),AW10*$BI10),AW10*$BI10),0)</f>
        <v>0</v>
      </c>
      <c r="DA10" s="311">
        <f ca="1">IF($BI10&lt;&gt;"",IF('Capacity summary'!$D$14="Yes",IF(COUNTBLANK('Capacity summary'!$H129:$BG129)&lt;52,IF('Capacity summary'!AX129&lt;&gt;"",IF(LOWER('Capacity summary'!AX129)="x",$BI10*AX10,VALUE('Capacity summary'!AX129)),0),AX10*$BI10),AX10*$BI10),0)</f>
        <v>0</v>
      </c>
      <c r="DB10" s="311">
        <f ca="1">IF($BI10&lt;&gt;"",IF('Capacity summary'!$D$14="Yes",IF(COUNTBLANK('Capacity summary'!$H129:$BG129)&lt;52,IF('Capacity summary'!AY129&lt;&gt;"",IF(LOWER('Capacity summary'!AY129)="x",$BI10*AY10,VALUE('Capacity summary'!AY129)),0),AY10*$BI10),AY10*$BI10),0)</f>
        <v>0</v>
      </c>
      <c r="DC10" s="311">
        <f ca="1">IF($BI10&lt;&gt;"",IF('Capacity summary'!$D$14="Yes",IF(COUNTBLANK('Capacity summary'!$H129:$BG129)&lt;52,IF('Capacity summary'!AZ129&lt;&gt;"",IF(LOWER('Capacity summary'!AZ129)="x",$BI10*AZ10,VALUE('Capacity summary'!AZ129)),0),AZ10*$BI10),AZ10*$BI10),0)</f>
        <v>0</v>
      </c>
      <c r="DD10" s="311">
        <f ca="1">IF($BI10&lt;&gt;"",IF('Capacity summary'!$D$14="Yes",IF(COUNTBLANK('Capacity summary'!$H129:$BG129)&lt;52,IF('Capacity summary'!BA129&lt;&gt;"",IF(LOWER('Capacity summary'!BA129)="x",$BI10*BA10,VALUE('Capacity summary'!BA129)),0),BA10*$BI10),BA10*$BI10),0)</f>
        <v>0</v>
      </c>
      <c r="DE10" s="311">
        <f ca="1">IF($BI10&lt;&gt;"",IF('Capacity summary'!$D$14="Yes",IF(COUNTBLANK('Capacity summary'!$H129:$BG129)&lt;52,IF('Capacity summary'!BB129&lt;&gt;"",IF(LOWER('Capacity summary'!BB129)="x",$BI10*BB10,VALUE('Capacity summary'!BB129)),0),BB10*$BI10),BB10*$BI10),0)</f>
        <v>0</v>
      </c>
      <c r="DF10" s="311">
        <f ca="1">IF($BI10&lt;&gt;"",IF('Capacity summary'!$D$14="Yes",IF(COUNTBLANK('Capacity summary'!$H129:$BG129)&lt;52,IF('Capacity summary'!BC129&lt;&gt;"",IF(LOWER('Capacity summary'!BC129)="x",$BI10*BC10,VALUE('Capacity summary'!BC129)),0),BC10*$BI10),BC10*$BI10),0)</f>
        <v>0</v>
      </c>
      <c r="DG10" s="311">
        <f ca="1">IF($BI10&lt;&gt;"",IF('Capacity summary'!$D$14="Yes",IF(COUNTBLANK('Capacity summary'!$H129:$BG129)&lt;52,IF('Capacity summary'!BD129&lt;&gt;"",IF(LOWER('Capacity summary'!BD129)="x",$BI10*BD10,VALUE('Capacity summary'!BD129)),0),BD10*$BI10),BD10*$BI10),0)</f>
        <v>0</v>
      </c>
      <c r="DH10" s="311">
        <f ca="1">IF($BI10&lt;&gt;"",IF('Capacity summary'!$D$14="Yes",IF(COUNTBLANK('Capacity summary'!$H129:$BG129)&lt;52,IF('Capacity summary'!BE129&lt;&gt;"",IF(LOWER('Capacity summary'!BE129)="x",$BI10*BE10,VALUE('Capacity summary'!BE129)),0),BE10*$BI10),BE10*$BI10),0)</f>
        <v>0</v>
      </c>
      <c r="DI10" s="311">
        <f ca="1">IF($BI10&lt;&gt;"",IF('Capacity summary'!$D$14="Yes",IF(COUNTBLANK('Capacity summary'!$H129:$BG129)&lt;52,IF('Capacity summary'!BF129&lt;&gt;"",IF(LOWER('Capacity summary'!BF129)="x",$BI10*BF10,VALUE('Capacity summary'!BF129)),0),BF10*$BI10),BF10*$BI10),0)</f>
        <v>0</v>
      </c>
      <c r="DJ10" s="311">
        <f ca="1">IF($BI10&lt;&gt;"",IF('Capacity summary'!$D$14="Yes",IF(COUNTBLANK('Capacity summary'!$H129:$BG129)&lt;52,IF('Capacity summary'!BG129&lt;&gt;"",IF(LOWER('Capacity summary'!BG129)="x",$BI10*BG10,VALUE('Capacity summary'!BG129)),0),BG10*$BI10),BG10*$BI10),0)</f>
        <v>0</v>
      </c>
      <c r="DK10" s="395">
        <f t="shared" ca="1" si="2"/>
        <v>0</v>
      </c>
      <c r="DL10" s="136">
        <f t="shared" ca="1" si="3"/>
        <v>0</v>
      </c>
      <c r="DM10" s="311">
        <f>Capacity!H22</f>
        <v>0</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5">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5">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5">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5">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5">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5">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5">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5">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5">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5">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5">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5">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5">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5">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5">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5">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5">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5">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5">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5">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5">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5">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5">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5">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5">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5">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5">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5">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5">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5">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5">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5">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5">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5">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5">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5">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5">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5">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5">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5">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5">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5">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5">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5">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5">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5">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5">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5">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5">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5">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5">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5">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5">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5">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5">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5">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5">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5">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5">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5">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5">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5">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5">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5">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5">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5">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5">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5">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5">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5">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5">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5">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5">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5">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5">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5">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5">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5">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5">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5">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5">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5">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5">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5">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5">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5">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5">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5">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5">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5">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5">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5">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5">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5">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4">
        <v>53</v>
      </c>
      <c r="DL109" s="2" t="s">
        <v>462</v>
      </c>
    </row>
    <row r="110" spans="1:117" x14ac:dyDescent="0.2">
      <c r="C110" t="s">
        <v>466</v>
      </c>
      <c r="H110" s="67"/>
      <c r="BJ110"/>
      <c r="BK110">
        <f ca="1">BK3</f>
        <v>45</v>
      </c>
      <c r="BL110" s="67">
        <f t="shared" ref="BL110:DJ110" ca="1" si="6">BL3</f>
        <v>46</v>
      </c>
      <c r="BM110" s="67">
        <f t="shared" ca="1" si="6"/>
        <v>47</v>
      </c>
      <c r="BN110" s="67">
        <f t="shared" ca="1" si="6"/>
        <v>48</v>
      </c>
      <c r="BO110" s="67">
        <f t="shared" ca="1" si="6"/>
        <v>49</v>
      </c>
      <c r="BP110" s="67">
        <f t="shared" ca="1" si="6"/>
        <v>50</v>
      </c>
      <c r="BQ110" s="67">
        <f t="shared" ca="1" si="6"/>
        <v>51</v>
      </c>
      <c r="BR110" s="67">
        <f t="shared" ca="1" si="6"/>
        <v>52</v>
      </c>
      <c r="BS110" s="67">
        <f t="shared" ca="1" si="6"/>
        <v>1</v>
      </c>
      <c r="BT110" s="67">
        <f t="shared" ca="1" si="6"/>
        <v>2</v>
      </c>
      <c r="BU110" s="67">
        <f t="shared" ca="1" si="6"/>
        <v>3</v>
      </c>
      <c r="BV110" s="67">
        <f t="shared" ca="1" si="6"/>
        <v>4</v>
      </c>
      <c r="BW110" s="67">
        <f t="shared" ca="1" si="6"/>
        <v>5</v>
      </c>
      <c r="BX110" s="67">
        <f t="shared" ca="1" si="6"/>
        <v>6</v>
      </c>
      <c r="BY110" s="67">
        <f t="shared" ca="1" si="6"/>
        <v>7</v>
      </c>
      <c r="BZ110" s="67">
        <f t="shared" ca="1" si="6"/>
        <v>8</v>
      </c>
      <c r="CA110" s="67">
        <f t="shared" ca="1" si="6"/>
        <v>9</v>
      </c>
      <c r="CB110" s="67">
        <f t="shared" ca="1" si="6"/>
        <v>10</v>
      </c>
      <c r="CC110" s="67">
        <f t="shared" ca="1" si="6"/>
        <v>11</v>
      </c>
      <c r="CD110" s="67">
        <f t="shared" ca="1" si="6"/>
        <v>12</v>
      </c>
      <c r="CE110" s="67">
        <f t="shared" ca="1" si="6"/>
        <v>13</v>
      </c>
      <c r="CF110" s="67">
        <f t="shared" ca="1" si="6"/>
        <v>14</v>
      </c>
      <c r="CG110" s="67">
        <f t="shared" ca="1" si="6"/>
        <v>15</v>
      </c>
      <c r="CH110" s="67">
        <f t="shared" ca="1" si="6"/>
        <v>16</v>
      </c>
      <c r="CI110" s="67">
        <f t="shared" ca="1" si="6"/>
        <v>17</v>
      </c>
      <c r="CJ110" s="67">
        <f t="shared" ca="1" si="6"/>
        <v>18</v>
      </c>
      <c r="CK110" s="67">
        <f t="shared" ca="1" si="6"/>
        <v>19</v>
      </c>
      <c r="CL110" s="67">
        <f t="shared" ca="1" si="6"/>
        <v>20</v>
      </c>
      <c r="CM110" s="67">
        <f t="shared" ca="1" si="6"/>
        <v>21</v>
      </c>
      <c r="CN110" s="67">
        <f t="shared" ca="1" si="6"/>
        <v>22</v>
      </c>
      <c r="CO110" s="67">
        <f t="shared" ca="1" si="6"/>
        <v>23</v>
      </c>
      <c r="CP110" s="67">
        <f t="shared" ca="1" si="6"/>
        <v>24</v>
      </c>
      <c r="CQ110" s="67">
        <f t="shared" ca="1" si="6"/>
        <v>25</v>
      </c>
      <c r="CR110" s="67">
        <f t="shared" ca="1" si="6"/>
        <v>26</v>
      </c>
      <c r="CS110" s="67">
        <f t="shared" ca="1" si="6"/>
        <v>27</v>
      </c>
      <c r="CT110" s="67">
        <f t="shared" ca="1" si="6"/>
        <v>28</v>
      </c>
      <c r="CU110" s="67">
        <f t="shared" ca="1" si="6"/>
        <v>29</v>
      </c>
      <c r="CV110" s="67">
        <f t="shared" ca="1" si="6"/>
        <v>30</v>
      </c>
      <c r="CW110" s="67">
        <f t="shared" ca="1" si="6"/>
        <v>31</v>
      </c>
      <c r="CX110" s="67">
        <f t="shared" ca="1" si="6"/>
        <v>32</v>
      </c>
      <c r="CY110" s="67">
        <f t="shared" ca="1" si="6"/>
        <v>33</v>
      </c>
      <c r="CZ110" s="67">
        <f t="shared" ca="1" si="6"/>
        <v>34</v>
      </c>
      <c r="DA110" s="67">
        <f t="shared" ca="1" si="6"/>
        <v>35</v>
      </c>
      <c r="DB110" s="67">
        <f t="shared" ca="1" si="6"/>
        <v>36</v>
      </c>
      <c r="DC110" s="67">
        <f t="shared" ca="1" si="6"/>
        <v>37</v>
      </c>
      <c r="DD110" s="67">
        <f t="shared" ca="1" si="6"/>
        <v>38</v>
      </c>
      <c r="DE110" s="67">
        <f t="shared" ca="1" si="6"/>
        <v>39</v>
      </c>
      <c r="DF110" s="67">
        <f t="shared" ca="1" si="6"/>
        <v>40</v>
      </c>
      <c r="DG110" s="67">
        <f t="shared" ca="1" si="6"/>
        <v>41</v>
      </c>
      <c r="DH110" s="67">
        <f t="shared" ca="1" si="6"/>
        <v>42</v>
      </c>
      <c r="DI110" s="67">
        <f t="shared" ca="1" si="6"/>
        <v>43</v>
      </c>
      <c r="DJ110" s="67">
        <f t="shared" ca="1" si="6"/>
        <v>44</v>
      </c>
      <c r="DK110" s="375">
        <f ca="1">DJ110+1</f>
        <v>45</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 ca="1">SUM(BK112:BK211)</f>
        <v>2.1153846153846154</v>
      </c>
      <c r="BL111" s="5">
        <f t="shared" ref="BL111:DJ111" ca="1" si="7">SUM(BL112:BL211)</f>
        <v>2.1153846153846154</v>
      </c>
      <c r="BM111" s="5">
        <f t="shared" ca="1" si="7"/>
        <v>2.1153846153846154</v>
      </c>
      <c r="BN111" s="5">
        <f t="shared" ca="1" si="7"/>
        <v>2.1153846153846154</v>
      </c>
      <c r="BO111" s="5">
        <f t="shared" ca="1" si="7"/>
        <v>2.1153846153846154</v>
      </c>
      <c r="BP111" s="5">
        <f t="shared" ca="1" si="7"/>
        <v>2.1153846153846154</v>
      </c>
      <c r="BQ111" s="5">
        <f t="shared" ca="1" si="7"/>
        <v>2.1153846153846154</v>
      </c>
      <c r="BR111" s="5">
        <f t="shared" ca="1" si="7"/>
        <v>2.1153846153846154</v>
      </c>
      <c r="BS111" s="5">
        <f t="shared" ca="1" si="7"/>
        <v>2.1153846153846154</v>
      </c>
      <c r="BT111" s="5">
        <f t="shared" ca="1" si="7"/>
        <v>2.1153846153846154</v>
      </c>
      <c r="BU111" s="5">
        <f t="shared" ca="1" si="7"/>
        <v>2.1153846153846154</v>
      </c>
      <c r="BV111" s="5">
        <f t="shared" ca="1" si="7"/>
        <v>2.1153846153846154</v>
      </c>
      <c r="BW111" s="5">
        <f t="shared" ca="1" si="7"/>
        <v>2.1153846153846154</v>
      </c>
      <c r="BX111" s="5">
        <f t="shared" ca="1" si="7"/>
        <v>2.1153846153846154</v>
      </c>
      <c r="BY111" s="5">
        <f t="shared" ca="1" si="7"/>
        <v>2.1153846153846154</v>
      </c>
      <c r="BZ111" s="5">
        <f t="shared" ca="1" si="7"/>
        <v>2.1153846153846154</v>
      </c>
      <c r="CA111" s="5">
        <f t="shared" ca="1" si="7"/>
        <v>2.1153846153846154</v>
      </c>
      <c r="CB111" s="5">
        <f t="shared" ca="1" si="7"/>
        <v>2.1153846153846154</v>
      </c>
      <c r="CC111" s="5">
        <f t="shared" ca="1" si="7"/>
        <v>2.1153846153846154</v>
      </c>
      <c r="CD111" s="5">
        <f t="shared" ca="1" si="7"/>
        <v>2.1153846153846154</v>
      </c>
      <c r="CE111" s="5">
        <f t="shared" ca="1" si="7"/>
        <v>2.1153846153846154</v>
      </c>
      <c r="CF111" s="5">
        <f t="shared" ca="1" si="7"/>
        <v>2.1153846153846154</v>
      </c>
      <c r="CG111" s="5">
        <f t="shared" ca="1" si="7"/>
        <v>2.1153846153846154</v>
      </c>
      <c r="CH111" s="5">
        <f t="shared" ca="1" si="7"/>
        <v>2.1153846153846154</v>
      </c>
      <c r="CI111" s="5">
        <f t="shared" ca="1" si="7"/>
        <v>2.1153846153846154</v>
      </c>
      <c r="CJ111" s="5">
        <f t="shared" ca="1" si="7"/>
        <v>2.1153846153846154</v>
      </c>
      <c r="CK111" s="5">
        <f t="shared" ca="1" si="7"/>
        <v>2.1153846153846154</v>
      </c>
      <c r="CL111" s="5">
        <f t="shared" ca="1" si="7"/>
        <v>2.1153846153846154</v>
      </c>
      <c r="CM111" s="5">
        <f t="shared" ca="1" si="7"/>
        <v>2.1153846153846154</v>
      </c>
      <c r="CN111" s="5">
        <f t="shared" ca="1" si="7"/>
        <v>2.1153846153846154</v>
      </c>
      <c r="CO111" s="5">
        <f t="shared" ca="1" si="7"/>
        <v>2.1153846153846154</v>
      </c>
      <c r="CP111" s="5">
        <f t="shared" ca="1" si="7"/>
        <v>2.1153846153846154</v>
      </c>
      <c r="CQ111" s="5">
        <f t="shared" ca="1" si="7"/>
        <v>2.1153846153846154</v>
      </c>
      <c r="CR111" s="5">
        <f t="shared" ca="1" si="7"/>
        <v>2.1153846153846154</v>
      </c>
      <c r="CS111" s="5">
        <f t="shared" ca="1" si="7"/>
        <v>2.1153846153846154</v>
      </c>
      <c r="CT111" s="5">
        <f t="shared" ca="1" si="7"/>
        <v>2.1153846153846154</v>
      </c>
      <c r="CU111" s="5">
        <f t="shared" ca="1" si="7"/>
        <v>2.1153846153846154</v>
      </c>
      <c r="CV111" s="5">
        <f t="shared" ca="1" si="7"/>
        <v>2.1153846153846154</v>
      </c>
      <c r="CW111" s="5">
        <f t="shared" ca="1" si="7"/>
        <v>2.1153846153846154</v>
      </c>
      <c r="CX111" s="5">
        <f t="shared" ca="1" si="7"/>
        <v>2.1153846153846154</v>
      </c>
      <c r="CY111" s="5">
        <f t="shared" ca="1" si="7"/>
        <v>2.1153846153846154</v>
      </c>
      <c r="CZ111" s="5">
        <f t="shared" ca="1" si="7"/>
        <v>2.1153846153846154</v>
      </c>
      <c r="DA111" s="5">
        <f t="shared" ca="1" si="7"/>
        <v>2.1153846153846154</v>
      </c>
      <c r="DB111" s="5">
        <f t="shared" ca="1" si="7"/>
        <v>2.1153846153846154</v>
      </c>
      <c r="DC111" s="5">
        <f t="shared" ca="1" si="7"/>
        <v>2.1153846153846154</v>
      </c>
      <c r="DD111" s="5">
        <f t="shared" ca="1" si="7"/>
        <v>2.1153846153846154</v>
      </c>
      <c r="DE111" s="5">
        <f t="shared" ca="1" si="7"/>
        <v>2.1153846153846154</v>
      </c>
      <c r="DF111" s="5">
        <f t="shared" ca="1" si="7"/>
        <v>2.1153846153846154</v>
      </c>
      <c r="DG111" s="5">
        <f t="shared" ca="1" si="7"/>
        <v>2.1153846153846154</v>
      </c>
      <c r="DH111" s="5">
        <f t="shared" ca="1" si="7"/>
        <v>2.1153846153846154</v>
      </c>
      <c r="DI111" s="5">
        <f t="shared" ca="1" si="7"/>
        <v>2.1153846153846154</v>
      </c>
      <c r="DJ111" s="5">
        <f t="shared" ca="1" si="7"/>
        <v>2.1153846153846154</v>
      </c>
      <c r="DK111" s="395">
        <f ca="1">DJ111</f>
        <v>2.1153846153846154</v>
      </c>
      <c r="DL111" s="5">
        <f ca="1">SUM(BK111:DK111)</f>
        <v>112.11538461538454</v>
      </c>
    </row>
    <row r="112" spans="1:117" x14ac:dyDescent="0.2">
      <c r="C112" t="str">
        <f>ROW(A1)&amp;". "&amp;Capacity!N17</f>
        <v>1. Independent sector 1</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 ca="1">IF(ROW(A1)&lt;=Capacity!$M$16,IF('Capacity summary'!$C$14="No",SUM(H112:BG112),'Capacity summary'!$E24),0)</f>
        <v>52</v>
      </c>
      <c r="BI112">
        <f ca="1">IF(BH112&gt;0,IF(BH112&lt;Capacity!Q17,Capacity!R17,Capacity!T17/'Capacity calculation (hide)'!BH112),"")</f>
        <v>0.96153846153846156</v>
      </c>
      <c r="BJ112" s="5"/>
      <c r="BK112" s="5">
        <f ca="1">IF($BI112&lt;&gt;"",IF('Capacity summary'!$C$14="Yes",IF(COUNTBLANK('Capacity summary'!$H24:$BG24)&lt;52,IF('Capacity summary'!H24&lt;&gt;"",IF(LOWER('Capacity summary'!H24)="x",$BI112*H112,VALUE('Capacity summary'!H24)),0),H112*$BI112),H112*$BI112),0)</f>
        <v>0.96153846153846156</v>
      </c>
      <c r="BL112" s="5">
        <f ca="1">IF($BI112&lt;&gt;"",IF('Capacity summary'!$C$14="Yes",IF(COUNTBLANK('Capacity summary'!$H24:$BG24)&lt;52,IF('Capacity summary'!I24&lt;&gt;"",IF(LOWER('Capacity summary'!I24)="x",$BI112*I112,VALUE('Capacity summary'!I24)),0),I112*$BI112),I112*$BI112),0)</f>
        <v>0.96153846153846156</v>
      </c>
      <c r="BM112" s="5">
        <f ca="1">IF($BI112&lt;&gt;"",IF('Capacity summary'!$C$14="Yes",IF(COUNTBLANK('Capacity summary'!$H24:$BG24)&lt;52,IF('Capacity summary'!J24&lt;&gt;"",IF(LOWER('Capacity summary'!J24)="x",$BI112*J112,VALUE('Capacity summary'!J24)),0),J112*$BI112),J112*$BI112),0)</f>
        <v>0.96153846153846156</v>
      </c>
      <c r="BN112" s="5">
        <f ca="1">IF($BI112&lt;&gt;"",IF('Capacity summary'!$C$14="Yes",IF(COUNTBLANK('Capacity summary'!$H24:$BG24)&lt;52,IF('Capacity summary'!K24&lt;&gt;"",IF(LOWER('Capacity summary'!K24)="x",$BI112*K112,VALUE('Capacity summary'!K24)),0),K112*$BI112),K112*$BI112),0)</f>
        <v>0.96153846153846156</v>
      </c>
      <c r="BO112" s="5">
        <f ca="1">IF($BI112&lt;&gt;"",IF('Capacity summary'!$C$14="Yes",IF(COUNTBLANK('Capacity summary'!$H24:$BG24)&lt;52,IF('Capacity summary'!L24&lt;&gt;"",IF(LOWER('Capacity summary'!L24)="x",$BI112*L112,VALUE('Capacity summary'!L24)),0),L112*$BI112),L112*$BI112),0)</f>
        <v>0.96153846153846156</v>
      </c>
      <c r="BP112" s="5">
        <f ca="1">IF($BI112&lt;&gt;"",IF('Capacity summary'!$C$14="Yes",IF(COUNTBLANK('Capacity summary'!$H24:$BG24)&lt;52,IF('Capacity summary'!M24&lt;&gt;"",IF(LOWER('Capacity summary'!M24)="x",$BI112*M112,VALUE('Capacity summary'!M24)),0),M112*$BI112),M112*$BI112),0)</f>
        <v>0.96153846153846156</v>
      </c>
      <c r="BQ112" s="5">
        <f ca="1">IF($BI112&lt;&gt;"",IF('Capacity summary'!$C$14="Yes",IF(COUNTBLANK('Capacity summary'!$H24:$BG24)&lt;52,IF('Capacity summary'!N24&lt;&gt;"",IF(LOWER('Capacity summary'!N24)="x",$BI112*N112,VALUE('Capacity summary'!N24)),0),N112*$BI112),N112*$BI112),0)</f>
        <v>0.96153846153846156</v>
      </c>
      <c r="BR112" s="5">
        <f ca="1">IF($BI112&lt;&gt;"",IF('Capacity summary'!$C$14="Yes",IF(COUNTBLANK('Capacity summary'!$H24:$BG24)&lt;52,IF('Capacity summary'!O24&lt;&gt;"",IF(LOWER('Capacity summary'!O24)="x",$BI112*O112,VALUE('Capacity summary'!O24)),0),O112*$BI112),O112*$BI112),0)</f>
        <v>0.96153846153846156</v>
      </c>
      <c r="BS112" s="5">
        <f ca="1">IF($BI112&lt;&gt;"",IF('Capacity summary'!$C$14="Yes",IF(COUNTBLANK('Capacity summary'!$H24:$BG24)&lt;52,IF('Capacity summary'!P24&lt;&gt;"",IF(LOWER('Capacity summary'!P24)="x",$BI112*P112,VALUE('Capacity summary'!P24)),0),P112*$BI112),P112*$BI112),0)</f>
        <v>0.96153846153846156</v>
      </c>
      <c r="BT112" s="5">
        <f ca="1">IF($BI112&lt;&gt;"",IF('Capacity summary'!$C$14="Yes",IF(COUNTBLANK('Capacity summary'!$H24:$BG24)&lt;52,IF('Capacity summary'!Q24&lt;&gt;"",IF(LOWER('Capacity summary'!Q24)="x",$BI112*Q112,VALUE('Capacity summary'!Q24)),0),Q112*$BI112),Q112*$BI112),0)</f>
        <v>0.96153846153846156</v>
      </c>
      <c r="BU112" s="5">
        <f ca="1">IF($BI112&lt;&gt;"",IF('Capacity summary'!$C$14="Yes",IF(COUNTBLANK('Capacity summary'!$H24:$BG24)&lt;52,IF('Capacity summary'!R24&lt;&gt;"",IF(LOWER('Capacity summary'!R24)="x",$BI112*R112,VALUE('Capacity summary'!R24)),0),R112*$BI112),R112*$BI112),0)</f>
        <v>0.96153846153846156</v>
      </c>
      <c r="BV112" s="5">
        <f ca="1">IF($BI112&lt;&gt;"",IF('Capacity summary'!$C$14="Yes",IF(COUNTBLANK('Capacity summary'!$H24:$BG24)&lt;52,IF('Capacity summary'!S24&lt;&gt;"",IF(LOWER('Capacity summary'!S24)="x",$BI112*S112,VALUE('Capacity summary'!S24)),0),S112*$BI112),S112*$BI112),0)</f>
        <v>0.96153846153846156</v>
      </c>
      <c r="BW112" s="5">
        <f ca="1">IF($BI112&lt;&gt;"",IF('Capacity summary'!$C$14="Yes",IF(COUNTBLANK('Capacity summary'!$H24:$BG24)&lt;52,IF('Capacity summary'!T24&lt;&gt;"",IF(LOWER('Capacity summary'!T24)="x",$BI112*T112,VALUE('Capacity summary'!T24)),0),T112*$BI112),T112*$BI112),0)</f>
        <v>0.96153846153846156</v>
      </c>
      <c r="BX112" s="5">
        <f ca="1">IF($BI112&lt;&gt;"",IF('Capacity summary'!$C$14="Yes",IF(COUNTBLANK('Capacity summary'!$H24:$BG24)&lt;52,IF('Capacity summary'!U24&lt;&gt;"",IF(LOWER('Capacity summary'!U24)="x",$BI112*U112,VALUE('Capacity summary'!U24)),0),U112*$BI112),U112*$BI112),0)</f>
        <v>0.96153846153846156</v>
      </c>
      <c r="BY112" s="5">
        <f ca="1">IF($BI112&lt;&gt;"",IF('Capacity summary'!$C$14="Yes",IF(COUNTBLANK('Capacity summary'!$H24:$BG24)&lt;52,IF('Capacity summary'!V24&lt;&gt;"",IF(LOWER('Capacity summary'!V24)="x",$BI112*V112,VALUE('Capacity summary'!V24)),0),V112*$BI112),V112*$BI112),0)</f>
        <v>0.96153846153846156</v>
      </c>
      <c r="BZ112" s="5">
        <f ca="1">IF($BI112&lt;&gt;"",IF('Capacity summary'!$C$14="Yes",IF(COUNTBLANK('Capacity summary'!$H24:$BG24)&lt;52,IF('Capacity summary'!W24&lt;&gt;"",IF(LOWER('Capacity summary'!W24)="x",$BI112*W112,VALUE('Capacity summary'!W24)),0),W112*$BI112),W112*$BI112),0)</f>
        <v>0.96153846153846156</v>
      </c>
      <c r="CA112" s="5">
        <f ca="1">IF($BI112&lt;&gt;"",IF('Capacity summary'!$C$14="Yes",IF(COUNTBLANK('Capacity summary'!$H24:$BG24)&lt;52,IF('Capacity summary'!X24&lt;&gt;"",IF(LOWER('Capacity summary'!X24)="x",$BI112*X112,VALUE('Capacity summary'!X24)),0),X112*$BI112),X112*$BI112),0)</f>
        <v>0.96153846153846156</v>
      </c>
      <c r="CB112" s="5">
        <f ca="1">IF($BI112&lt;&gt;"",IF('Capacity summary'!$C$14="Yes",IF(COUNTBLANK('Capacity summary'!$H24:$BG24)&lt;52,IF('Capacity summary'!Y24&lt;&gt;"",IF(LOWER('Capacity summary'!Y24)="x",$BI112*Y112,VALUE('Capacity summary'!Y24)),0),Y112*$BI112),Y112*$BI112),0)</f>
        <v>0.96153846153846156</v>
      </c>
      <c r="CC112" s="5">
        <f ca="1">IF($BI112&lt;&gt;"",IF('Capacity summary'!$C$14="Yes",IF(COUNTBLANK('Capacity summary'!$H24:$BG24)&lt;52,IF('Capacity summary'!Z24&lt;&gt;"",IF(LOWER('Capacity summary'!Z24)="x",$BI112*Z112,VALUE('Capacity summary'!Z24)),0),Z112*$BI112),Z112*$BI112),0)</f>
        <v>0.96153846153846156</v>
      </c>
      <c r="CD112" s="5">
        <f ca="1">IF($BI112&lt;&gt;"",IF('Capacity summary'!$C$14="Yes",IF(COUNTBLANK('Capacity summary'!$H24:$BG24)&lt;52,IF('Capacity summary'!AA24&lt;&gt;"",IF(LOWER('Capacity summary'!AA24)="x",$BI112*AA112,VALUE('Capacity summary'!AA24)),0),AA112*$BI112),AA112*$BI112),0)</f>
        <v>0.96153846153846156</v>
      </c>
      <c r="CE112" s="5">
        <f ca="1">IF($BI112&lt;&gt;"",IF('Capacity summary'!$C$14="Yes",IF(COUNTBLANK('Capacity summary'!$H24:$BG24)&lt;52,IF('Capacity summary'!AB24&lt;&gt;"",IF(LOWER('Capacity summary'!AB24)="x",$BI112*AB112,VALUE('Capacity summary'!AB24)),0),AB112*$BI112),AB112*$BI112),0)</f>
        <v>0.96153846153846156</v>
      </c>
      <c r="CF112" s="5">
        <f ca="1">IF($BI112&lt;&gt;"",IF('Capacity summary'!$C$14="Yes",IF(COUNTBLANK('Capacity summary'!$H24:$BG24)&lt;52,IF('Capacity summary'!AC24&lt;&gt;"",IF(LOWER('Capacity summary'!AC24)="x",$BI112*AC112,VALUE('Capacity summary'!AC24)),0),AC112*$BI112),AC112*$BI112),0)</f>
        <v>0.96153846153846156</v>
      </c>
      <c r="CG112" s="5">
        <f ca="1">IF($BI112&lt;&gt;"",IF('Capacity summary'!$C$14="Yes",IF(COUNTBLANK('Capacity summary'!$H24:$BG24)&lt;52,IF('Capacity summary'!AD24&lt;&gt;"",IF(LOWER('Capacity summary'!AD24)="x",$BI112*AD112,VALUE('Capacity summary'!AD24)),0),AD112*$BI112),AD112*$BI112),0)</f>
        <v>0.96153846153846156</v>
      </c>
      <c r="CH112" s="5">
        <f ca="1">IF($BI112&lt;&gt;"",IF('Capacity summary'!$C$14="Yes",IF(COUNTBLANK('Capacity summary'!$H24:$BG24)&lt;52,IF('Capacity summary'!AE24&lt;&gt;"",IF(LOWER('Capacity summary'!AE24)="x",$BI112*AE112,VALUE('Capacity summary'!AE24)),0),AE112*$BI112),AE112*$BI112),0)</f>
        <v>0.96153846153846156</v>
      </c>
      <c r="CI112" s="5">
        <f ca="1">IF($BI112&lt;&gt;"",IF('Capacity summary'!$C$14="Yes",IF(COUNTBLANK('Capacity summary'!$H24:$BG24)&lt;52,IF('Capacity summary'!AF24&lt;&gt;"",IF(LOWER('Capacity summary'!AF24)="x",$BI112*AF112,VALUE('Capacity summary'!AF24)),0),AF112*$BI112),AF112*$BI112),0)</f>
        <v>0.96153846153846156</v>
      </c>
      <c r="CJ112" s="5">
        <f ca="1">IF($BI112&lt;&gt;"",IF('Capacity summary'!$C$14="Yes",IF(COUNTBLANK('Capacity summary'!$H24:$BG24)&lt;52,IF('Capacity summary'!AG24&lt;&gt;"",IF(LOWER('Capacity summary'!AG24)="x",$BI112*AG112,VALUE('Capacity summary'!AG24)),0),AG112*$BI112),AG112*$BI112),0)</f>
        <v>0.96153846153846156</v>
      </c>
      <c r="CK112" s="5">
        <f ca="1">IF($BI112&lt;&gt;"",IF('Capacity summary'!$C$14="Yes",IF(COUNTBLANK('Capacity summary'!$H24:$BG24)&lt;52,IF('Capacity summary'!AH24&lt;&gt;"",IF(LOWER('Capacity summary'!AH24)="x",$BI112*AH112,VALUE('Capacity summary'!AH24)),0),AH112*$BI112),AH112*$BI112),0)</f>
        <v>0.96153846153846156</v>
      </c>
      <c r="CL112" s="5">
        <f ca="1">IF($BI112&lt;&gt;"",IF('Capacity summary'!$C$14="Yes",IF(COUNTBLANK('Capacity summary'!$H24:$BG24)&lt;52,IF('Capacity summary'!AI24&lt;&gt;"",IF(LOWER('Capacity summary'!AI24)="x",$BI112*AI112,VALUE('Capacity summary'!AI24)),0),AI112*$BI112),AI112*$BI112),0)</f>
        <v>0.96153846153846156</v>
      </c>
      <c r="CM112" s="5">
        <f ca="1">IF($BI112&lt;&gt;"",IF('Capacity summary'!$C$14="Yes",IF(COUNTBLANK('Capacity summary'!$H24:$BG24)&lt;52,IF('Capacity summary'!AJ24&lt;&gt;"",IF(LOWER('Capacity summary'!AJ24)="x",$BI112*AJ112,VALUE('Capacity summary'!AJ24)),0),AJ112*$BI112),AJ112*$BI112),0)</f>
        <v>0.96153846153846156</v>
      </c>
      <c r="CN112" s="5">
        <f ca="1">IF($BI112&lt;&gt;"",IF('Capacity summary'!$C$14="Yes",IF(COUNTBLANK('Capacity summary'!$H24:$BG24)&lt;52,IF('Capacity summary'!AK24&lt;&gt;"",IF(LOWER('Capacity summary'!AK24)="x",$BI112*AK112,VALUE('Capacity summary'!AK24)),0),AK112*$BI112),AK112*$BI112),0)</f>
        <v>0.96153846153846156</v>
      </c>
      <c r="CO112" s="5">
        <f ca="1">IF($BI112&lt;&gt;"",IF('Capacity summary'!$C$14="Yes",IF(COUNTBLANK('Capacity summary'!$H24:$BG24)&lt;52,IF('Capacity summary'!AL24&lt;&gt;"",IF(LOWER('Capacity summary'!AL24)="x",$BI112*AL112,VALUE('Capacity summary'!AL24)),0),AL112*$BI112),AL112*$BI112),0)</f>
        <v>0.96153846153846156</v>
      </c>
      <c r="CP112" s="5">
        <f ca="1">IF($BI112&lt;&gt;"",IF('Capacity summary'!$C$14="Yes",IF(COUNTBLANK('Capacity summary'!$H24:$BG24)&lt;52,IF('Capacity summary'!AM24&lt;&gt;"",IF(LOWER('Capacity summary'!AM24)="x",$BI112*AM112,VALUE('Capacity summary'!AM24)),0),AM112*$BI112),AM112*$BI112),0)</f>
        <v>0.96153846153846156</v>
      </c>
      <c r="CQ112" s="5">
        <f ca="1">IF($BI112&lt;&gt;"",IF('Capacity summary'!$C$14="Yes",IF(COUNTBLANK('Capacity summary'!$H24:$BG24)&lt;52,IF('Capacity summary'!AN24&lt;&gt;"",IF(LOWER('Capacity summary'!AN24)="x",$BI112*AN112,VALUE('Capacity summary'!AN24)),0),AN112*$BI112),AN112*$BI112),0)</f>
        <v>0.96153846153846156</v>
      </c>
      <c r="CR112" s="5">
        <f ca="1">IF($BI112&lt;&gt;"",IF('Capacity summary'!$C$14="Yes",IF(COUNTBLANK('Capacity summary'!$H24:$BG24)&lt;52,IF('Capacity summary'!AO24&lt;&gt;"",IF(LOWER('Capacity summary'!AO24)="x",$BI112*AO112,VALUE('Capacity summary'!AO24)),0),AO112*$BI112),AO112*$BI112),0)</f>
        <v>0.96153846153846156</v>
      </c>
      <c r="CS112" s="5">
        <f ca="1">IF($BI112&lt;&gt;"",IF('Capacity summary'!$C$14="Yes",IF(COUNTBLANK('Capacity summary'!$H24:$BG24)&lt;52,IF('Capacity summary'!AP24&lt;&gt;"",IF(LOWER('Capacity summary'!AP24)="x",$BI112*AP112,VALUE('Capacity summary'!AP24)),0),AP112*$BI112),AP112*$BI112),0)</f>
        <v>0.96153846153846156</v>
      </c>
      <c r="CT112" s="5">
        <f ca="1">IF($BI112&lt;&gt;"",IF('Capacity summary'!$C$14="Yes",IF(COUNTBLANK('Capacity summary'!$H24:$BG24)&lt;52,IF('Capacity summary'!AQ24&lt;&gt;"",IF(LOWER('Capacity summary'!AQ24)="x",$BI112*AQ112,VALUE('Capacity summary'!AQ24)),0),AQ112*$BI112),AQ112*$BI112),0)</f>
        <v>0.96153846153846156</v>
      </c>
      <c r="CU112" s="5">
        <f ca="1">IF($BI112&lt;&gt;"",IF('Capacity summary'!$C$14="Yes",IF(COUNTBLANK('Capacity summary'!$H24:$BG24)&lt;52,IF('Capacity summary'!AR24&lt;&gt;"",IF(LOWER('Capacity summary'!AR24)="x",$BI112*AR112,VALUE('Capacity summary'!AR24)),0),AR112*$BI112),AR112*$BI112),0)</f>
        <v>0.96153846153846156</v>
      </c>
      <c r="CV112" s="5">
        <f ca="1">IF($BI112&lt;&gt;"",IF('Capacity summary'!$C$14="Yes",IF(COUNTBLANK('Capacity summary'!$H24:$BG24)&lt;52,IF('Capacity summary'!AS24&lt;&gt;"",IF(LOWER('Capacity summary'!AS24)="x",$BI112*AS112,VALUE('Capacity summary'!AS24)),0),AS112*$BI112),AS112*$BI112),0)</f>
        <v>0.96153846153846156</v>
      </c>
      <c r="CW112" s="5">
        <f ca="1">IF($BI112&lt;&gt;"",IF('Capacity summary'!$C$14="Yes",IF(COUNTBLANK('Capacity summary'!$H24:$BG24)&lt;52,IF('Capacity summary'!AT24&lt;&gt;"",IF(LOWER('Capacity summary'!AT24)="x",$BI112*AT112,VALUE('Capacity summary'!AT24)),0),AT112*$BI112),AT112*$BI112),0)</f>
        <v>0.96153846153846156</v>
      </c>
      <c r="CX112" s="5">
        <f ca="1">IF($BI112&lt;&gt;"",IF('Capacity summary'!$C$14="Yes",IF(COUNTBLANK('Capacity summary'!$H24:$BG24)&lt;52,IF('Capacity summary'!AU24&lt;&gt;"",IF(LOWER('Capacity summary'!AU24)="x",$BI112*AU112,VALUE('Capacity summary'!AU24)),0),AU112*$BI112),AU112*$BI112),0)</f>
        <v>0.96153846153846156</v>
      </c>
      <c r="CY112" s="5">
        <f ca="1">IF($BI112&lt;&gt;"",IF('Capacity summary'!$C$14="Yes",IF(COUNTBLANK('Capacity summary'!$H24:$BG24)&lt;52,IF('Capacity summary'!AV24&lt;&gt;"",IF(LOWER('Capacity summary'!AV24)="x",$BI112*AV112,VALUE('Capacity summary'!AV24)),0),AV112*$BI112),AV112*$BI112),0)</f>
        <v>0.96153846153846156</v>
      </c>
      <c r="CZ112" s="5">
        <f ca="1">IF($BI112&lt;&gt;"",IF('Capacity summary'!$C$14="Yes",IF(COUNTBLANK('Capacity summary'!$H24:$BG24)&lt;52,IF('Capacity summary'!AW24&lt;&gt;"",IF(LOWER('Capacity summary'!AW24)="x",$BI112*AW112,VALUE('Capacity summary'!AW24)),0),AW112*$BI112),AW112*$BI112),0)</f>
        <v>0.96153846153846156</v>
      </c>
      <c r="DA112" s="5">
        <f ca="1">IF($BI112&lt;&gt;"",IF('Capacity summary'!$C$14="Yes",IF(COUNTBLANK('Capacity summary'!$H24:$BG24)&lt;52,IF('Capacity summary'!AX24&lt;&gt;"",IF(LOWER('Capacity summary'!AX24)="x",$BI112*AX112,VALUE('Capacity summary'!AX24)),0),AX112*$BI112),AX112*$BI112),0)</f>
        <v>0.96153846153846156</v>
      </c>
      <c r="DB112" s="5">
        <f ca="1">IF($BI112&lt;&gt;"",IF('Capacity summary'!$C$14="Yes",IF(COUNTBLANK('Capacity summary'!$H24:$BG24)&lt;52,IF('Capacity summary'!AY24&lt;&gt;"",IF(LOWER('Capacity summary'!AY24)="x",$BI112*AY112,VALUE('Capacity summary'!AY24)),0),AY112*$BI112),AY112*$BI112),0)</f>
        <v>0.96153846153846156</v>
      </c>
      <c r="DC112" s="5">
        <f ca="1">IF($BI112&lt;&gt;"",IF('Capacity summary'!$C$14="Yes",IF(COUNTBLANK('Capacity summary'!$H24:$BG24)&lt;52,IF('Capacity summary'!AZ24&lt;&gt;"",IF(LOWER('Capacity summary'!AZ24)="x",$BI112*AZ112,VALUE('Capacity summary'!AZ24)),0),AZ112*$BI112),AZ112*$BI112),0)</f>
        <v>0.96153846153846156</v>
      </c>
      <c r="DD112" s="5">
        <f ca="1">IF($BI112&lt;&gt;"",IF('Capacity summary'!$C$14="Yes",IF(COUNTBLANK('Capacity summary'!$H24:$BG24)&lt;52,IF('Capacity summary'!BA24&lt;&gt;"",IF(LOWER('Capacity summary'!BA24)="x",$BI112*BA112,VALUE('Capacity summary'!BA24)),0),BA112*$BI112),BA112*$BI112),0)</f>
        <v>0.96153846153846156</v>
      </c>
      <c r="DE112" s="5">
        <f ca="1">IF($BI112&lt;&gt;"",IF('Capacity summary'!$C$14="Yes",IF(COUNTBLANK('Capacity summary'!$H24:$BG24)&lt;52,IF('Capacity summary'!BB24&lt;&gt;"",IF(LOWER('Capacity summary'!BB24)="x",$BI112*BB112,VALUE('Capacity summary'!BB24)),0),BB112*$BI112),BB112*$BI112),0)</f>
        <v>0.96153846153846156</v>
      </c>
      <c r="DF112" s="5">
        <f ca="1">IF($BI112&lt;&gt;"",IF('Capacity summary'!$C$14="Yes",IF(COUNTBLANK('Capacity summary'!$H24:$BG24)&lt;52,IF('Capacity summary'!BC24&lt;&gt;"",IF(LOWER('Capacity summary'!BC24)="x",$BI112*BC112,VALUE('Capacity summary'!BC24)),0),BC112*$BI112),BC112*$BI112),0)</f>
        <v>0.96153846153846156</v>
      </c>
      <c r="DG112" s="5">
        <f ca="1">IF($BI112&lt;&gt;"",IF('Capacity summary'!$C$14="Yes",IF(COUNTBLANK('Capacity summary'!$H24:$BG24)&lt;52,IF('Capacity summary'!BD24&lt;&gt;"",IF(LOWER('Capacity summary'!BD24)="x",$BI112*BD112,VALUE('Capacity summary'!BD24)),0),BD112*$BI112),BD112*$BI112),0)</f>
        <v>0.96153846153846156</v>
      </c>
      <c r="DH112" s="5">
        <f ca="1">IF($BI112&lt;&gt;"",IF('Capacity summary'!$C$14="Yes",IF(COUNTBLANK('Capacity summary'!$H24:$BG24)&lt;52,IF('Capacity summary'!BE24&lt;&gt;"",IF(LOWER('Capacity summary'!BE24)="x",$BI112*BE112,VALUE('Capacity summary'!BE24)),0),BE112*$BI112),BE112*$BI112),0)</f>
        <v>0.96153846153846156</v>
      </c>
      <c r="DI112" s="5">
        <f ca="1">IF($BI112&lt;&gt;"",IF('Capacity summary'!$C$14="Yes",IF(COUNTBLANK('Capacity summary'!$H24:$BG24)&lt;52,IF('Capacity summary'!BF24&lt;&gt;"",IF(LOWER('Capacity summary'!BF24)="x",$BI112*BF112,VALUE('Capacity summary'!BF24)),0),BF112*$BI112),BF112*$BI112),0)</f>
        <v>0.96153846153846156</v>
      </c>
      <c r="DJ112" s="5">
        <f ca="1">IF($BI112&lt;&gt;"",IF('Capacity summary'!$C$14="Yes",IF(COUNTBLANK('Capacity summary'!$H24:$BG24)&lt;52,IF('Capacity summary'!BG24&lt;&gt;"",IF(LOWER('Capacity summary'!BG24)="x",$BI112*BG112,VALUE('Capacity summary'!BG24)),0),BG112*$BI112),BG112*$BI112),0)</f>
        <v>0.96153846153846156</v>
      </c>
      <c r="DK112" s="395">
        <f t="shared" ref="DK112:DK175" ca="1" si="8">DJ112</f>
        <v>0.96153846153846156</v>
      </c>
      <c r="DL112" s="5">
        <f t="shared" ref="DL112:DL175" ca="1" si="9">SUM(BK112:DJ112)</f>
        <v>49.999999999999943</v>
      </c>
    </row>
    <row r="113" spans="3:116" x14ac:dyDescent="0.2">
      <c r="C113" s="67" t="str">
        <f>ROW(A2)&amp;". "&amp;Capacity!N18</f>
        <v>2. Ad Hoc 2</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 ca="1">IF(ROW(A2)&lt;=Capacity!$M$16,IF('Capacity summary'!$C$14="No",SUM(H113:BG113),'Capacity summary'!$E25),0)</f>
        <v>52</v>
      </c>
      <c r="BI113" s="67">
        <f ca="1">IF(BH113&gt;0,IF(BH113&lt;Capacity!Q18,Capacity!R18,Capacity!T18/'Capacity calculation (hide)'!BH113),"")</f>
        <v>1.1538461538461537</v>
      </c>
      <c r="BJ113" s="5"/>
      <c r="BK113" s="5">
        <f ca="1">IF($BI113&lt;&gt;"",IF('Capacity summary'!$C$14="Yes",IF(COUNTBLANK('Capacity summary'!$H25:$BG25)&lt;52,IF('Capacity summary'!H25&lt;&gt;"",IF(LOWER('Capacity summary'!H25)="x",$BI113*H113,VALUE('Capacity summary'!H25)),0),H113*$BI113),H113*$BI113),0)</f>
        <v>1.1538461538461537</v>
      </c>
      <c r="BL113" s="5">
        <f ca="1">IF($BI113&lt;&gt;"",IF('Capacity summary'!$C$14="Yes",IF(COUNTBLANK('Capacity summary'!$H25:$BG25)&lt;52,IF('Capacity summary'!I25&lt;&gt;"",IF(LOWER('Capacity summary'!I25)="x",$BI113*I113,VALUE('Capacity summary'!I25)),0),I113*$BI113),I113*$BI113),0)</f>
        <v>1.1538461538461537</v>
      </c>
      <c r="BM113" s="5">
        <f ca="1">IF($BI113&lt;&gt;"",IF('Capacity summary'!$C$14="Yes",IF(COUNTBLANK('Capacity summary'!$H25:$BG25)&lt;52,IF('Capacity summary'!J25&lt;&gt;"",IF(LOWER('Capacity summary'!J25)="x",$BI113*J113,VALUE('Capacity summary'!J25)),0),J113*$BI113),J113*$BI113),0)</f>
        <v>1.1538461538461537</v>
      </c>
      <c r="BN113" s="5">
        <f ca="1">IF($BI113&lt;&gt;"",IF('Capacity summary'!$C$14="Yes",IF(COUNTBLANK('Capacity summary'!$H25:$BG25)&lt;52,IF('Capacity summary'!K25&lt;&gt;"",IF(LOWER('Capacity summary'!K25)="x",$BI113*K113,VALUE('Capacity summary'!K25)),0),K113*$BI113),K113*$BI113),0)</f>
        <v>1.1538461538461537</v>
      </c>
      <c r="BO113" s="5">
        <f ca="1">IF($BI113&lt;&gt;"",IF('Capacity summary'!$C$14="Yes",IF(COUNTBLANK('Capacity summary'!$H25:$BG25)&lt;52,IF('Capacity summary'!L25&lt;&gt;"",IF(LOWER('Capacity summary'!L25)="x",$BI113*L113,VALUE('Capacity summary'!L25)),0),L113*$BI113),L113*$BI113),0)</f>
        <v>1.1538461538461537</v>
      </c>
      <c r="BP113" s="5">
        <f ca="1">IF($BI113&lt;&gt;"",IF('Capacity summary'!$C$14="Yes",IF(COUNTBLANK('Capacity summary'!$H25:$BG25)&lt;52,IF('Capacity summary'!M25&lt;&gt;"",IF(LOWER('Capacity summary'!M25)="x",$BI113*M113,VALUE('Capacity summary'!M25)),0),M113*$BI113),M113*$BI113),0)</f>
        <v>1.1538461538461537</v>
      </c>
      <c r="BQ113" s="5">
        <f ca="1">IF($BI113&lt;&gt;"",IF('Capacity summary'!$C$14="Yes",IF(COUNTBLANK('Capacity summary'!$H25:$BG25)&lt;52,IF('Capacity summary'!N25&lt;&gt;"",IF(LOWER('Capacity summary'!N25)="x",$BI113*N113,VALUE('Capacity summary'!N25)),0),N113*$BI113),N113*$BI113),0)</f>
        <v>1.1538461538461537</v>
      </c>
      <c r="BR113" s="5">
        <f ca="1">IF($BI113&lt;&gt;"",IF('Capacity summary'!$C$14="Yes",IF(COUNTBLANK('Capacity summary'!$H25:$BG25)&lt;52,IF('Capacity summary'!O25&lt;&gt;"",IF(LOWER('Capacity summary'!O25)="x",$BI113*O113,VALUE('Capacity summary'!O25)),0),O113*$BI113),O113*$BI113),0)</f>
        <v>1.1538461538461537</v>
      </c>
      <c r="BS113" s="5">
        <f ca="1">IF($BI113&lt;&gt;"",IF('Capacity summary'!$C$14="Yes",IF(COUNTBLANK('Capacity summary'!$H25:$BG25)&lt;52,IF('Capacity summary'!P25&lt;&gt;"",IF(LOWER('Capacity summary'!P25)="x",$BI113*P113,VALUE('Capacity summary'!P25)),0),P113*$BI113),P113*$BI113),0)</f>
        <v>1.1538461538461537</v>
      </c>
      <c r="BT113" s="5">
        <f ca="1">IF($BI113&lt;&gt;"",IF('Capacity summary'!$C$14="Yes",IF(COUNTBLANK('Capacity summary'!$H25:$BG25)&lt;52,IF('Capacity summary'!Q25&lt;&gt;"",IF(LOWER('Capacity summary'!Q25)="x",$BI113*Q113,VALUE('Capacity summary'!Q25)),0),Q113*$BI113),Q113*$BI113),0)</f>
        <v>1.1538461538461537</v>
      </c>
      <c r="BU113" s="5">
        <f ca="1">IF($BI113&lt;&gt;"",IF('Capacity summary'!$C$14="Yes",IF(COUNTBLANK('Capacity summary'!$H25:$BG25)&lt;52,IF('Capacity summary'!R25&lt;&gt;"",IF(LOWER('Capacity summary'!R25)="x",$BI113*R113,VALUE('Capacity summary'!R25)),0),R113*$BI113),R113*$BI113),0)</f>
        <v>1.1538461538461537</v>
      </c>
      <c r="BV113" s="5">
        <f ca="1">IF($BI113&lt;&gt;"",IF('Capacity summary'!$C$14="Yes",IF(COUNTBLANK('Capacity summary'!$H25:$BG25)&lt;52,IF('Capacity summary'!S25&lt;&gt;"",IF(LOWER('Capacity summary'!S25)="x",$BI113*S113,VALUE('Capacity summary'!S25)),0),S113*$BI113),S113*$BI113),0)</f>
        <v>1.1538461538461537</v>
      </c>
      <c r="BW113" s="5">
        <f ca="1">IF($BI113&lt;&gt;"",IF('Capacity summary'!$C$14="Yes",IF(COUNTBLANK('Capacity summary'!$H25:$BG25)&lt;52,IF('Capacity summary'!T25&lt;&gt;"",IF(LOWER('Capacity summary'!T25)="x",$BI113*T113,VALUE('Capacity summary'!T25)),0),T113*$BI113),T113*$BI113),0)</f>
        <v>1.1538461538461537</v>
      </c>
      <c r="BX113" s="5">
        <f ca="1">IF($BI113&lt;&gt;"",IF('Capacity summary'!$C$14="Yes",IF(COUNTBLANK('Capacity summary'!$H25:$BG25)&lt;52,IF('Capacity summary'!U25&lt;&gt;"",IF(LOWER('Capacity summary'!U25)="x",$BI113*U113,VALUE('Capacity summary'!U25)),0),U113*$BI113),U113*$BI113),0)</f>
        <v>1.1538461538461537</v>
      </c>
      <c r="BY113" s="5">
        <f ca="1">IF($BI113&lt;&gt;"",IF('Capacity summary'!$C$14="Yes",IF(COUNTBLANK('Capacity summary'!$H25:$BG25)&lt;52,IF('Capacity summary'!V25&lt;&gt;"",IF(LOWER('Capacity summary'!V25)="x",$BI113*V113,VALUE('Capacity summary'!V25)),0),V113*$BI113),V113*$BI113),0)</f>
        <v>1.1538461538461537</v>
      </c>
      <c r="BZ113" s="5">
        <f ca="1">IF($BI113&lt;&gt;"",IF('Capacity summary'!$C$14="Yes",IF(COUNTBLANK('Capacity summary'!$H25:$BG25)&lt;52,IF('Capacity summary'!W25&lt;&gt;"",IF(LOWER('Capacity summary'!W25)="x",$BI113*W113,VALUE('Capacity summary'!W25)),0),W113*$BI113),W113*$BI113),0)</f>
        <v>1.1538461538461537</v>
      </c>
      <c r="CA113" s="5">
        <f ca="1">IF($BI113&lt;&gt;"",IF('Capacity summary'!$C$14="Yes",IF(COUNTBLANK('Capacity summary'!$H25:$BG25)&lt;52,IF('Capacity summary'!X25&lt;&gt;"",IF(LOWER('Capacity summary'!X25)="x",$BI113*X113,VALUE('Capacity summary'!X25)),0),X113*$BI113),X113*$BI113),0)</f>
        <v>1.1538461538461537</v>
      </c>
      <c r="CB113" s="5">
        <f ca="1">IF($BI113&lt;&gt;"",IF('Capacity summary'!$C$14="Yes",IF(COUNTBLANK('Capacity summary'!$H25:$BG25)&lt;52,IF('Capacity summary'!Y25&lt;&gt;"",IF(LOWER('Capacity summary'!Y25)="x",$BI113*Y113,VALUE('Capacity summary'!Y25)),0),Y113*$BI113),Y113*$BI113),0)</f>
        <v>1.1538461538461537</v>
      </c>
      <c r="CC113" s="5">
        <f ca="1">IF($BI113&lt;&gt;"",IF('Capacity summary'!$C$14="Yes",IF(COUNTBLANK('Capacity summary'!$H25:$BG25)&lt;52,IF('Capacity summary'!Z25&lt;&gt;"",IF(LOWER('Capacity summary'!Z25)="x",$BI113*Z113,VALUE('Capacity summary'!Z25)),0),Z113*$BI113),Z113*$BI113),0)</f>
        <v>1.1538461538461537</v>
      </c>
      <c r="CD113" s="5">
        <f ca="1">IF($BI113&lt;&gt;"",IF('Capacity summary'!$C$14="Yes",IF(COUNTBLANK('Capacity summary'!$H25:$BG25)&lt;52,IF('Capacity summary'!AA25&lt;&gt;"",IF(LOWER('Capacity summary'!AA25)="x",$BI113*AA113,VALUE('Capacity summary'!AA25)),0),AA113*$BI113),AA113*$BI113),0)</f>
        <v>1.1538461538461537</v>
      </c>
      <c r="CE113" s="5">
        <f ca="1">IF($BI113&lt;&gt;"",IF('Capacity summary'!$C$14="Yes",IF(COUNTBLANK('Capacity summary'!$H25:$BG25)&lt;52,IF('Capacity summary'!AB25&lt;&gt;"",IF(LOWER('Capacity summary'!AB25)="x",$BI113*AB113,VALUE('Capacity summary'!AB25)),0),AB113*$BI113),AB113*$BI113),0)</f>
        <v>1.1538461538461537</v>
      </c>
      <c r="CF113" s="5">
        <f ca="1">IF($BI113&lt;&gt;"",IF('Capacity summary'!$C$14="Yes",IF(COUNTBLANK('Capacity summary'!$H25:$BG25)&lt;52,IF('Capacity summary'!AC25&lt;&gt;"",IF(LOWER('Capacity summary'!AC25)="x",$BI113*AC113,VALUE('Capacity summary'!AC25)),0),AC113*$BI113),AC113*$BI113),0)</f>
        <v>1.1538461538461537</v>
      </c>
      <c r="CG113" s="5">
        <f ca="1">IF($BI113&lt;&gt;"",IF('Capacity summary'!$C$14="Yes",IF(COUNTBLANK('Capacity summary'!$H25:$BG25)&lt;52,IF('Capacity summary'!AD25&lt;&gt;"",IF(LOWER('Capacity summary'!AD25)="x",$BI113*AD113,VALUE('Capacity summary'!AD25)),0),AD113*$BI113),AD113*$BI113),0)</f>
        <v>1.1538461538461537</v>
      </c>
      <c r="CH113" s="5">
        <f ca="1">IF($BI113&lt;&gt;"",IF('Capacity summary'!$C$14="Yes",IF(COUNTBLANK('Capacity summary'!$H25:$BG25)&lt;52,IF('Capacity summary'!AE25&lt;&gt;"",IF(LOWER('Capacity summary'!AE25)="x",$BI113*AE113,VALUE('Capacity summary'!AE25)),0),AE113*$BI113),AE113*$BI113),0)</f>
        <v>1.1538461538461537</v>
      </c>
      <c r="CI113" s="5">
        <f ca="1">IF($BI113&lt;&gt;"",IF('Capacity summary'!$C$14="Yes",IF(COUNTBLANK('Capacity summary'!$H25:$BG25)&lt;52,IF('Capacity summary'!AF25&lt;&gt;"",IF(LOWER('Capacity summary'!AF25)="x",$BI113*AF113,VALUE('Capacity summary'!AF25)),0),AF113*$BI113),AF113*$BI113),0)</f>
        <v>1.1538461538461537</v>
      </c>
      <c r="CJ113" s="5">
        <f ca="1">IF($BI113&lt;&gt;"",IF('Capacity summary'!$C$14="Yes",IF(COUNTBLANK('Capacity summary'!$H25:$BG25)&lt;52,IF('Capacity summary'!AG25&lt;&gt;"",IF(LOWER('Capacity summary'!AG25)="x",$BI113*AG113,VALUE('Capacity summary'!AG25)),0),AG113*$BI113),AG113*$BI113),0)</f>
        <v>1.1538461538461537</v>
      </c>
      <c r="CK113" s="5">
        <f ca="1">IF($BI113&lt;&gt;"",IF('Capacity summary'!$C$14="Yes",IF(COUNTBLANK('Capacity summary'!$H25:$BG25)&lt;52,IF('Capacity summary'!AH25&lt;&gt;"",IF(LOWER('Capacity summary'!AH25)="x",$BI113*AH113,VALUE('Capacity summary'!AH25)),0),AH113*$BI113),AH113*$BI113),0)</f>
        <v>1.1538461538461537</v>
      </c>
      <c r="CL113" s="5">
        <f ca="1">IF($BI113&lt;&gt;"",IF('Capacity summary'!$C$14="Yes",IF(COUNTBLANK('Capacity summary'!$H25:$BG25)&lt;52,IF('Capacity summary'!AI25&lt;&gt;"",IF(LOWER('Capacity summary'!AI25)="x",$BI113*AI113,VALUE('Capacity summary'!AI25)),0),AI113*$BI113),AI113*$BI113),0)</f>
        <v>1.1538461538461537</v>
      </c>
      <c r="CM113" s="5">
        <f ca="1">IF($BI113&lt;&gt;"",IF('Capacity summary'!$C$14="Yes",IF(COUNTBLANK('Capacity summary'!$H25:$BG25)&lt;52,IF('Capacity summary'!AJ25&lt;&gt;"",IF(LOWER('Capacity summary'!AJ25)="x",$BI113*AJ113,VALUE('Capacity summary'!AJ25)),0),AJ113*$BI113),AJ113*$BI113),0)</f>
        <v>1.1538461538461537</v>
      </c>
      <c r="CN113" s="5">
        <f ca="1">IF($BI113&lt;&gt;"",IF('Capacity summary'!$C$14="Yes",IF(COUNTBLANK('Capacity summary'!$H25:$BG25)&lt;52,IF('Capacity summary'!AK25&lt;&gt;"",IF(LOWER('Capacity summary'!AK25)="x",$BI113*AK113,VALUE('Capacity summary'!AK25)),0),AK113*$BI113),AK113*$BI113),0)</f>
        <v>1.1538461538461537</v>
      </c>
      <c r="CO113" s="5">
        <f ca="1">IF($BI113&lt;&gt;"",IF('Capacity summary'!$C$14="Yes",IF(COUNTBLANK('Capacity summary'!$H25:$BG25)&lt;52,IF('Capacity summary'!AL25&lt;&gt;"",IF(LOWER('Capacity summary'!AL25)="x",$BI113*AL113,VALUE('Capacity summary'!AL25)),0),AL113*$BI113),AL113*$BI113),0)</f>
        <v>1.1538461538461537</v>
      </c>
      <c r="CP113" s="5">
        <f ca="1">IF($BI113&lt;&gt;"",IF('Capacity summary'!$C$14="Yes",IF(COUNTBLANK('Capacity summary'!$H25:$BG25)&lt;52,IF('Capacity summary'!AM25&lt;&gt;"",IF(LOWER('Capacity summary'!AM25)="x",$BI113*AM113,VALUE('Capacity summary'!AM25)),0),AM113*$BI113),AM113*$BI113),0)</f>
        <v>1.1538461538461537</v>
      </c>
      <c r="CQ113" s="5">
        <f ca="1">IF($BI113&lt;&gt;"",IF('Capacity summary'!$C$14="Yes",IF(COUNTBLANK('Capacity summary'!$H25:$BG25)&lt;52,IF('Capacity summary'!AN25&lt;&gt;"",IF(LOWER('Capacity summary'!AN25)="x",$BI113*AN113,VALUE('Capacity summary'!AN25)),0),AN113*$BI113),AN113*$BI113),0)</f>
        <v>1.1538461538461537</v>
      </c>
      <c r="CR113" s="5">
        <f ca="1">IF($BI113&lt;&gt;"",IF('Capacity summary'!$C$14="Yes",IF(COUNTBLANK('Capacity summary'!$H25:$BG25)&lt;52,IF('Capacity summary'!AO25&lt;&gt;"",IF(LOWER('Capacity summary'!AO25)="x",$BI113*AO113,VALUE('Capacity summary'!AO25)),0),AO113*$BI113),AO113*$BI113),0)</f>
        <v>1.1538461538461537</v>
      </c>
      <c r="CS113" s="5">
        <f ca="1">IF($BI113&lt;&gt;"",IF('Capacity summary'!$C$14="Yes",IF(COUNTBLANK('Capacity summary'!$H25:$BG25)&lt;52,IF('Capacity summary'!AP25&lt;&gt;"",IF(LOWER('Capacity summary'!AP25)="x",$BI113*AP113,VALUE('Capacity summary'!AP25)),0),AP113*$BI113),AP113*$BI113),0)</f>
        <v>1.1538461538461537</v>
      </c>
      <c r="CT113" s="5">
        <f ca="1">IF($BI113&lt;&gt;"",IF('Capacity summary'!$C$14="Yes",IF(COUNTBLANK('Capacity summary'!$H25:$BG25)&lt;52,IF('Capacity summary'!AQ25&lt;&gt;"",IF(LOWER('Capacity summary'!AQ25)="x",$BI113*AQ113,VALUE('Capacity summary'!AQ25)),0),AQ113*$BI113),AQ113*$BI113),0)</f>
        <v>1.1538461538461537</v>
      </c>
      <c r="CU113" s="5">
        <f ca="1">IF($BI113&lt;&gt;"",IF('Capacity summary'!$C$14="Yes",IF(COUNTBLANK('Capacity summary'!$H25:$BG25)&lt;52,IF('Capacity summary'!AR25&lt;&gt;"",IF(LOWER('Capacity summary'!AR25)="x",$BI113*AR113,VALUE('Capacity summary'!AR25)),0),AR113*$BI113),AR113*$BI113),0)</f>
        <v>1.1538461538461537</v>
      </c>
      <c r="CV113" s="5">
        <f ca="1">IF($BI113&lt;&gt;"",IF('Capacity summary'!$C$14="Yes",IF(COUNTBLANK('Capacity summary'!$H25:$BG25)&lt;52,IF('Capacity summary'!AS25&lt;&gt;"",IF(LOWER('Capacity summary'!AS25)="x",$BI113*AS113,VALUE('Capacity summary'!AS25)),0),AS113*$BI113),AS113*$BI113),0)</f>
        <v>1.1538461538461537</v>
      </c>
      <c r="CW113" s="5">
        <f ca="1">IF($BI113&lt;&gt;"",IF('Capacity summary'!$C$14="Yes",IF(COUNTBLANK('Capacity summary'!$H25:$BG25)&lt;52,IF('Capacity summary'!AT25&lt;&gt;"",IF(LOWER('Capacity summary'!AT25)="x",$BI113*AT113,VALUE('Capacity summary'!AT25)),0),AT113*$BI113),AT113*$BI113),0)</f>
        <v>1.1538461538461537</v>
      </c>
      <c r="CX113" s="5">
        <f ca="1">IF($BI113&lt;&gt;"",IF('Capacity summary'!$C$14="Yes",IF(COUNTBLANK('Capacity summary'!$H25:$BG25)&lt;52,IF('Capacity summary'!AU25&lt;&gt;"",IF(LOWER('Capacity summary'!AU25)="x",$BI113*AU113,VALUE('Capacity summary'!AU25)),0),AU113*$BI113),AU113*$BI113),0)</f>
        <v>1.1538461538461537</v>
      </c>
      <c r="CY113" s="5">
        <f ca="1">IF($BI113&lt;&gt;"",IF('Capacity summary'!$C$14="Yes",IF(COUNTBLANK('Capacity summary'!$H25:$BG25)&lt;52,IF('Capacity summary'!AV25&lt;&gt;"",IF(LOWER('Capacity summary'!AV25)="x",$BI113*AV113,VALUE('Capacity summary'!AV25)),0),AV113*$BI113),AV113*$BI113),0)</f>
        <v>1.1538461538461537</v>
      </c>
      <c r="CZ113" s="5">
        <f ca="1">IF($BI113&lt;&gt;"",IF('Capacity summary'!$C$14="Yes",IF(COUNTBLANK('Capacity summary'!$H25:$BG25)&lt;52,IF('Capacity summary'!AW25&lt;&gt;"",IF(LOWER('Capacity summary'!AW25)="x",$BI113*AW113,VALUE('Capacity summary'!AW25)),0),AW113*$BI113),AW113*$BI113),0)</f>
        <v>1.1538461538461537</v>
      </c>
      <c r="DA113" s="5">
        <f ca="1">IF($BI113&lt;&gt;"",IF('Capacity summary'!$C$14="Yes",IF(COUNTBLANK('Capacity summary'!$H25:$BG25)&lt;52,IF('Capacity summary'!AX25&lt;&gt;"",IF(LOWER('Capacity summary'!AX25)="x",$BI113*AX113,VALUE('Capacity summary'!AX25)),0),AX113*$BI113),AX113*$BI113),0)</f>
        <v>1.1538461538461537</v>
      </c>
      <c r="DB113" s="5">
        <f ca="1">IF($BI113&lt;&gt;"",IF('Capacity summary'!$C$14="Yes",IF(COUNTBLANK('Capacity summary'!$H25:$BG25)&lt;52,IF('Capacity summary'!AY25&lt;&gt;"",IF(LOWER('Capacity summary'!AY25)="x",$BI113*AY113,VALUE('Capacity summary'!AY25)),0),AY113*$BI113),AY113*$BI113),0)</f>
        <v>1.1538461538461537</v>
      </c>
      <c r="DC113" s="5">
        <f ca="1">IF($BI113&lt;&gt;"",IF('Capacity summary'!$C$14="Yes",IF(COUNTBLANK('Capacity summary'!$H25:$BG25)&lt;52,IF('Capacity summary'!AZ25&lt;&gt;"",IF(LOWER('Capacity summary'!AZ25)="x",$BI113*AZ113,VALUE('Capacity summary'!AZ25)),0),AZ113*$BI113),AZ113*$BI113),0)</f>
        <v>1.1538461538461537</v>
      </c>
      <c r="DD113" s="5">
        <f ca="1">IF($BI113&lt;&gt;"",IF('Capacity summary'!$C$14="Yes",IF(COUNTBLANK('Capacity summary'!$H25:$BG25)&lt;52,IF('Capacity summary'!BA25&lt;&gt;"",IF(LOWER('Capacity summary'!BA25)="x",$BI113*BA113,VALUE('Capacity summary'!BA25)),0),BA113*$BI113),BA113*$BI113),0)</f>
        <v>1.1538461538461537</v>
      </c>
      <c r="DE113" s="5">
        <f ca="1">IF($BI113&lt;&gt;"",IF('Capacity summary'!$C$14="Yes",IF(COUNTBLANK('Capacity summary'!$H25:$BG25)&lt;52,IF('Capacity summary'!BB25&lt;&gt;"",IF(LOWER('Capacity summary'!BB25)="x",$BI113*BB113,VALUE('Capacity summary'!BB25)),0),BB113*$BI113),BB113*$BI113),0)</f>
        <v>1.1538461538461537</v>
      </c>
      <c r="DF113" s="5">
        <f ca="1">IF($BI113&lt;&gt;"",IF('Capacity summary'!$C$14="Yes",IF(COUNTBLANK('Capacity summary'!$H25:$BG25)&lt;52,IF('Capacity summary'!BC25&lt;&gt;"",IF(LOWER('Capacity summary'!BC25)="x",$BI113*BC113,VALUE('Capacity summary'!BC25)),0),BC113*$BI113),BC113*$BI113),0)</f>
        <v>1.1538461538461537</v>
      </c>
      <c r="DG113" s="5">
        <f ca="1">IF($BI113&lt;&gt;"",IF('Capacity summary'!$C$14="Yes",IF(COUNTBLANK('Capacity summary'!$H25:$BG25)&lt;52,IF('Capacity summary'!BD25&lt;&gt;"",IF(LOWER('Capacity summary'!BD25)="x",$BI113*BD113,VALUE('Capacity summary'!BD25)),0),BD113*$BI113),BD113*$BI113),0)</f>
        <v>1.1538461538461537</v>
      </c>
      <c r="DH113" s="5">
        <f ca="1">IF($BI113&lt;&gt;"",IF('Capacity summary'!$C$14="Yes",IF(COUNTBLANK('Capacity summary'!$H25:$BG25)&lt;52,IF('Capacity summary'!BE25&lt;&gt;"",IF(LOWER('Capacity summary'!BE25)="x",$BI113*BE113,VALUE('Capacity summary'!BE25)),0),BE113*$BI113),BE113*$BI113),0)</f>
        <v>1.1538461538461537</v>
      </c>
      <c r="DI113" s="5">
        <f ca="1">IF($BI113&lt;&gt;"",IF('Capacity summary'!$C$14="Yes",IF(COUNTBLANK('Capacity summary'!$H25:$BG25)&lt;52,IF('Capacity summary'!BF25&lt;&gt;"",IF(LOWER('Capacity summary'!BF25)="x",$BI113*BF113,VALUE('Capacity summary'!BF25)),0),BF113*$BI113),BF113*$BI113),0)</f>
        <v>1.1538461538461537</v>
      </c>
      <c r="DJ113" s="5">
        <f ca="1">IF($BI113&lt;&gt;"",IF('Capacity summary'!$C$14="Yes",IF(COUNTBLANK('Capacity summary'!$H25:$BG25)&lt;52,IF('Capacity summary'!BG25&lt;&gt;"",IF(LOWER('Capacity summary'!BG25)="x",$BI113*BG113,VALUE('Capacity summary'!BG25)),0),BG113*$BI113),BG113*$BI113),0)</f>
        <v>1.1538461538461537</v>
      </c>
      <c r="DK113" s="395">
        <f t="shared" ca="1" si="8"/>
        <v>1.1538461538461537</v>
      </c>
      <c r="DL113" s="5">
        <f t="shared" ca="1" si="9"/>
        <v>59.999999999999979</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5">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5">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5">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5">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5">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5">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5">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5">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5">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5">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5">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5">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5">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5">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5">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5">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5">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5">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5">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5">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5">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5">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5">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5">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5">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5">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5">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5">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5">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5">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5">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5">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5">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5">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5">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5">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5">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5">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5">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5">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5">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5">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5">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5">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5">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5">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5">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5">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5">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5">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5">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5">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5">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5">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5">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5">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5">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5">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5">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5">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5">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5">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5">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5">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5">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5">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5">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5">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5">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5">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5">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5">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5">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5">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5">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5">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5">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5">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5">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5">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5">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5">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5">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5">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5">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5">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5">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5">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5">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5">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5">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5">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5">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5">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5">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5">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5">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5">
        <f t="shared" si="10"/>
        <v>0</v>
      </c>
      <c r="DL211" s="5">
        <f t="shared" si="11"/>
        <v>0</v>
      </c>
    </row>
    <row r="212" spans="2:116" x14ac:dyDescent="0.2">
      <c r="B212" s="67"/>
    </row>
    <row r="213" spans="2:116" x14ac:dyDescent="0.2">
      <c r="B213" s="67"/>
    </row>
    <row r="214" spans="2:116" ht="15" x14ac:dyDescent="0.25">
      <c r="B214" s="67"/>
      <c r="BI214" s="305" t="s">
        <v>1113</v>
      </c>
      <c r="BK214">
        <f ca="1">SUMIFS(BK$112:BK$211,Capacity!$V$17:$V$116,"X")</f>
        <v>2.1153846153846154</v>
      </c>
      <c r="BL214" s="67">
        <f ca="1">SUMIFS(BL$112:BL$211,Capacity!$V$17:$V$116,"X")</f>
        <v>2.1153846153846154</v>
      </c>
      <c r="BM214" s="67">
        <f ca="1">SUMIFS(BM$112:BM$211,Capacity!$V$17:$V$116,"X")</f>
        <v>2.1153846153846154</v>
      </c>
      <c r="BN214" s="67">
        <f ca="1">SUMIFS(BN$112:BN$211,Capacity!$V$17:$V$116,"X")</f>
        <v>2.1153846153846154</v>
      </c>
      <c r="BO214" s="67">
        <f ca="1">SUMIFS(BO$112:BO$211,Capacity!$V$17:$V$116,"X")</f>
        <v>2.1153846153846154</v>
      </c>
      <c r="BP214" s="67">
        <f ca="1">SUMIFS(BP$112:BP$211,Capacity!$V$17:$V$116,"X")</f>
        <v>2.1153846153846154</v>
      </c>
      <c r="BQ214" s="67">
        <f ca="1">SUMIFS(BQ$112:BQ$211,Capacity!$V$17:$V$116,"X")</f>
        <v>2.1153846153846154</v>
      </c>
      <c r="BR214" s="67">
        <f ca="1">SUMIFS(BR$112:BR$211,Capacity!$V$17:$V$116,"X")</f>
        <v>2.1153846153846154</v>
      </c>
      <c r="BS214" s="67">
        <f ca="1">SUMIFS(BS$112:BS$211,Capacity!$V$17:$V$116,"X")</f>
        <v>2.1153846153846154</v>
      </c>
      <c r="BT214" s="67">
        <f ca="1">SUMIFS(BT$112:BT$211,Capacity!$V$17:$V$116,"X")</f>
        <v>2.1153846153846154</v>
      </c>
      <c r="BU214" s="67">
        <f ca="1">SUMIFS(BU$112:BU$211,Capacity!$V$17:$V$116,"X")</f>
        <v>2.1153846153846154</v>
      </c>
      <c r="BV214" s="67">
        <f ca="1">SUMIFS(BV$112:BV$211,Capacity!$V$17:$V$116,"X")</f>
        <v>2.1153846153846154</v>
      </c>
      <c r="BW214" s="67">
        <f ca="1">SUMIFS(BW$112:BW$211,Capacity!$V$17:$V$116,"X")</f>
        <v>2.1153846153846154</v>
      </c>
      <c r="BX214" s="67">
        <f ca="1">SUMIFS(BX$112:BX$211,Capacity!$V$17:$V$116,"X")</f>
        <v>2.1153846153846154</v>
      </c>
      <c r="BY214" s="67">
        <f ca="1">SUMIFS(BY$112:BY$211,Capacity!$V$17:$V$116,"X")</f>
        <v>2.1153846153846154</v>
      </c>
      <c r="BZ214" s="67">
        <f ca="1">SUMIFS(BZ$112:BZ$211,Capacity!$V$17:$V$116,"X")</f>
        <v>2.1153846153846154</v>
      </c>
      <c r="CA214" s="67">
        <f ca="1">SUMIFS(CA$112:CA$211,Capacity!$V$17:$V$116,"X")</f>
        <v>2.1153846153846154</v>
      </c>
      <c r="CB214" s="67">
        <f ca="1">SUMIFS(CB$112:CB$211,Capacity!$V$17:$V$116,"X")</f>
        <v>2.1153846153846154</v>
      </c>
      <c r="CC214" s="67">
        <f ca="1">SUMIFS(CC$112:CC$211,Capacity!$V$17:$V$116,"X")</f>
        <v>2.1153846153846154</v>
      </c>
      <c r="CD214" s="67">
        <f ca="1">SUMIFS(CD$112:CD$211,Capacity!$V$17:$V$116,"X")</f>
        <v>2.1153846153846154</v>
      </c>
      <c r="CE214" s="67">
        <f ca="1">SUMIFS(CE$112:CE$211,Capacity!$V$17:$V$116,"X")</f>
        <v>2.1153846153846154</v>
      </c>
      <c r="CF214" s="67">
        <f ca="1">SUMIFS(CF$112:CF$211,Capacity!$V$17:$V$116,"X")</f>
        <v>2.1153846153846154</v>
      </c>
      <c r="CG214" s="67">
        <f ca="1">SUMIFS(CG$112:CG$211,Capacity!$V$17:$V$116,"X")</f>
        <v>2.1153846153846154</v>
      </c>
      <c r="CH214" s="67">
        <f ca="1">SUMIFS(CH$112:CH$211,Capacity!$V$17:$V$116,"X")</f>
        <v>2.1153846153846154</v>
      </c>
      <c r="CI214" s="67">
        <f ca="1">SUMIFS(CI$112:CI$211,Capacity!$V$17:$V$116,"X")</f>
        <v>2.1153846153846154</v>
      </c>
      <c r="CJ214" s="67">
        <f ca="1">SUMIFS(CJ$112:CJ$211,Capacity!$V$17:$V$116,"X")</f>
        <v>2.1153846153846154</v>
      </c>
      <c r="CK214" s="67">
        <f ca="1">SUMIFS(CK$112:CK$211,Capacity!$V$17:$V$116,"X")</f>
        <v>2.1153846153846154</v>
      </c>
      <c r="CL214" s="67">
        <f ca="1">SUMIFS(CL$112:CL$211,Capacity!$V$17:$V$116,"X")</f>
        <v>2.1153846153846154</v>
      </c>
      <c r="CM214" s="67">
        <f ca="1">SUMIFS(CM$112:CM$211,Capacity!$V$17:$V$116,"X")</f>
        <v>2.1153846153846154</v>
      </c>
      <c r="CN214" s="67">
        <f ca="1">SUMIFS(CN$112:CN$211,Capacity!$V$17:$V$116,"X")</f>
        <v>2.1153846153846154</v>
      </c>
      <c r="CO214" s="67">
        <f ca="1">SUMIFS(CO$112:CO$211,Capacity!$V$17:$V$116,"X")</f>
        <v>2.1153846153846154</v>
      </c>
      <c r="CP214" s="67">
        <f ca="1">SUMIFS(CP$112:CP$211,Capacity!$V$17:$V$116,"X")</f>
        <v>2.1153846153846154</v>
      </c>
      <c r="CQ214" s="67">
        <f ca="1">SUMIFS(CQ$112:CQ$211,Capacity!$V$17:$V$116,"X")</f>
        <v>2.1153846153846154</v>
      </c>
      <c r="CR214" s="67">
        <f ca="1">SUMIFS(CR$112:CR$211,Capacity!$V$17:$V$116,"X")</f>
        <v>2.1153846153846154</v>
      </c>
      <c r="CS214" s="67">
        <f ca="1">SUMIFS(CS$112:CS$211,Capacity!$V$17:$V$116,"X")</f>
        <v>2.1153846153846154</v>
      </c>
      <c r="CT214" s="67">
        <f ca="1">SUMIFS(CT$112:CT$211,Capacity!$V$17:$V$116,"X")</f>
        <v>2.1153846153846154</v>
      </c>
      <c r="CU214" s="67">
        <f ca="1">SUMIFS(CU$112:CU$211,Capacity!$V$17:$V$116,"X")</f>
        <v>2.1153846153846154</v>
      </c>
      <c r="CV214" s="67">
        <f ca="1">SUMIFS(CV$112:CV$211,Capacity!$V$17:$V$116,"X")</f>
        <v>2.1153846153846154</v>
      </c>
      <c r="CW214" s="67">
        <f ca="1">SUMIFS(CW$112:CW$211,Capacity!$V$17:$V$116,"X")</f>
        <v>2.1153846153846154</v>
      </c>
      <c r="CX214" s="67">
        <f ca="1">SUMIFS(CX$112:CX$211,Capacity!$V$17:$V$116,"X")</f>
        <v>2.1153846153846154</v>
      </c>
      <c r="CY214" s="67">
        <f ca="1">SUMIFS(CY$112:CY$211,Capacity!$V$17:$V$116,"X")</f>
        <v>2.1153846153846154</v>
      </c>
      <c r="CZ214" s="67">
        <f ca="1">SUMIFS(CZ$112:CZ$211,Capacity!$V$17:$V$116,"X")</f>
        <v>2.1153846153846154</v>
      </c>
      <c r="DA214" s="67">
        <f ca="1">SUMIFS(DA$112:DA$211,Capacity!$V$17:$V$116,"X")</f>
        <v>2.1153846153846154</v>
      </c>
      <c r="DB214" s="67">
        <f ca="1">SUMIFS(DB$112:DB$211,Capacity!$V$17:$V$116,"X")</f>
        <v>2.1153846153846154</v>
      </c>
      <c r="DC214" s="67">
        <f ca="1">SUMIFS(DC$112:DC$211,Capacity!$V$17:$V$116,"X")</f>
        <v>2.1153846153846154</v>
      </c>
      <c r="DD214" s="67">
        <f ca="1">SUMIFS(DD$112:DD$211,Capacity!$V$17:$V$116,"X")</f>
        <v>2.1153846153846154</v>
      </c>
      <c r="DE214" s="67">
        <f ca="1">SUMIFS(DE$112:DE$211,Capacity!$V$17:$V$116,"X")</f>
        <v>2.1153846153846154</v>
      </c>
      <c r="DF214" s="67">
        <f ca="1">SUMIFS(DF$112:DF$211,Capacity!$V$17:$V$116,"X")</f>
        <v>2.1153846153846154</v>
      </c>
      <c r="DG214" s="67">
        <f ca="1">SUMIFS(DG$112:DG$211,Capacity!$V$17:$V$116,"X")</f>
        <v>2.1153846153846154</v>
      </c>
      <c r="DH214" s="67">
        <f ca="1">SUMIFS(DH$112:DH$211,Capacity!$V$17:$V$116,"X")</f>
        <v>2.1153846153846154</v>
      </c>
      <c r="DI214" s="67">
        <f ca="1">SUMIFS(DI$112:DI$211,Capacity!$V$17:$V$116,"X")</f>
        <v>2.1153846153846154</v>
      </c>
      <c r="DJ214" s="67">
        <f ca="1">SUMIFS(DJ$112:DJ$211,Capacity!$V$17:$V$116,"X")</f>
        <v>2.1153846153846154</v>
      </c>
      <c r="DK214" s="67">
        <f ca="1">SUMIFS(DK$112:DK$211,Capacity!$V$17:$V$116,"X")</f>
        <v>2.1153846153846154</v>
      </c>
      <c r="DL214" s="67">
        <f ca="1">SUMIFS(DL$112:DL$211,Capacity!$V$17:$V$116,"X")</f>
        <v>109.99999999999991</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G11" sqref="G11:G12"/>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1" t="s">
        <v>87</v>
      </c>
      <c r="D2" s="403"/>
      <c r="F2" s="240" t="str">
        <f ca="1">"On aggregate, 1 patient = "&amp;TEXT('Demand background (hide)'!$BN$16,"#.#")&amp;" "&amp;Setup!$I$17</f>
        <v>On aggregate, 1 patient = 37. Minutes</v>
      </c>
    </row>
    <row r="3" spans="1:15" x14ac:dyDescent="0.2">
      <c r="A3" t="s">
        <v>328</v>
      </c>
      <c r="C3" s="458">
        <v>52</v>
      </c>
      <c r="D3" s="459"/>
      <c r="F3" s="347" t="s">
        <v>326</v>
      </c>
    </row>
    <row r="4" spans="1:15" x14ac:dyDescent="0.2">
      <c r="A4" t="s">
        <v>14</v>
      </c>
      <c r="C4" s="401" t="s">
        <v>19</v>
      </c>
      <c r="D4" s="403"/>
    </row>
    <row r="5" spans="1:15" x14ac:dyDescent="0.2">
      <c r="K5" s="72"/>
    </row>
    <row r="6" spans="1:15" ht="14.65" customHeight="1" thickBot="1" x14ac:dyDescent="0.3">
      <c r="A6" s="102" t="s">
        <v>309</v>
      </c>
      <c r="B6" s="103"/>
      <c r="C6" s="103"/>
      <c r="D6" s="9"/>
      <c r="E6" s="472" t="s">
        <v>346</v>
      </c>
      <c r="F6" s="472"/>
      <c r="G6" s="63" t="s">
        <v>87</v>
      </c>
      <c r="H6" s="9" t="s">
        <v>88</v>
      </c>
      <c r="I6" s="9"/>
      <c r="K6" s="72"/>
    </row>
    <row r="7" spans="1:15" ht="15" thickBot="1" x14ac:dyDescent="0.25">
      <c r="A7" s="10"/>
      <c r="B7" s="11"/>
      <c r="C7" s="11"/>
      <c r="D7" s="9"/>
      <c r="E7" s="473" t="s">
        <v>214</v>
      </c>
      <c r="F7" s="467"/>
      <c r="G7" s="455">
        <v>0.1</v>
      </c>
      <c r="H7" s="442">
        <f ca="1">'Parameters calculator (hide)'!B25</f>
        <v>69.600000000000009</v>
      </c>
      <c r="I7" s="9"/>
    </row>
    <row r="8" spans="1:15" ht="15" thickBot="1" x14ac:dyDescent="0.25">
      <c r="A8" s="11"/>
      <c r="B8" s="11"/>
      <c r="C8" s="11"/>
      <c r="D8" s="12"/>
      <c r="E8" s="13"/>
      <c r="F8" s="14"/>
      <c r="G8" s="456"/>
      <c r="H8" s="443"/>
      <c r="I8" s="9"/>
    </row>
    <row r="9" spans="1:15" ht="15" thickBot="1" x14ac:dyDescent="0.25">
      <c r="A9" s="85" t="s">
        <v>338</v>
      </c>
      <c r="B9" s="462" t="str">
        <f ca="1">TEXT('Parameters calculator (hide)'!B19,"#,#")</f>
        <v>696</v>
      </c>
      <c r="C9" s="11"/>
      <c r="D9" s="12"/>
      <c r="E9" s="9"/>
      <c r="F9" s="9"/>
      <c r="G9" s="9"/>
      <c r="H9" s="9"/>
      <c r="I9" s="9"/>
    </row>
    <row r="10" spans="1:15" ht="15" thickBot="1" x14ac:dyDescent="0.25">
      <c r="A10" s="242" t="str">
        <f>"("&amp;$C$4&amp;")"</f>
        <v>(Patients)</v>
      </c>
      <c r="B10" s="463"/>
      <c r="C10" s="15"/>
      <c r="D10" s="16"/>
      <c r="E10" s="464" t="s">
        <v>348</v>
      </c>
      <c r="F10" s="465"/>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66" t="s">
        <v>89</v>
      </c>
      <c r="F11" s="467"/>
      <c r="G11" s="468"/>
      <c r="H11" s="44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69"/>
      <c r="H12" s="44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70" t="s">
        <v>373</v>
      </c>
      <c r="D15" s="471"/>
      <c r="E15" s="20"/>
      <c r="F15" s="441" t="s">
        <v>399</v>
      </c>
      <c r="G15" s="441"/>
      <c r="H15" s="20"/>
      <c r="I15" s="64" t="s">
        <v>87</v>
      </c>
      <c r="J15" s="20" t="s">
        <v>88</v>
      </c>
      <c r="K15" s="20"/>
      <c r="L15" s="20"/>
    </row>
    <row r="16" spans="1:15" ht="15" thickBot="1" x14ac:dyDescent="0.25">
      <c r="B16" s="20"/>
      <c r="C16" s="444">
        <f ca="1">IF(B9-H7-H11+J16&lt;0, 0, B9-H7-H11+J16)</f>
        <v>626.4</v>
      </c>
      <c r="D16" s="445"/>
      <c r="E16" s="20"/>
      <c r="F16" s="20" t="s">
        <v>92</v>
      </c>
      <c r="G16" s="20"/>
      <c r="H16" s="20"/>
      <c r="I16" s="448">
        <f>'Parameters calculator (hide)'!$H$24</f>
        <v>0</v>
      </c>
      <c r="J16" s="450">
        <f ca="1">'Parameters calculator (hide)'!H25</f>
        <v>0</v>
      </c>
      <c r="K16" s="20"/>
      <c r="L16" s="20"/>
    </row>
    <row r="17" spans="1:13" ht="15" thickBot="1" x14ac:dyDescent="0.25">
      <c r="B17" s="20"/>
      <c r="C17" s="446"/>
      <c r="D17" s="447"/>
      <c r="E17" s="22"/>
      <c r="F17" s="23"/>
      <c r="G17" s="23"/>
      <c r="H17" s="23"/>
      <c r="I17" s="449"/>
      <c r="J17" s="451"/>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52" t="s">
        <v>347</v>
      </c>
      <c r="F20" s="452"/>
      <c r="G20" s="64" t="s">
        <v>87</v>
      </c>
      <c r="H20" s="25" t="s">
        <v>88</v>
      </c>
      <c r="I20" s="25"/>
      <c r="J20" s="25"/>
      <c r="K20" s="26"/>
      <c r="L20" s="20"/>
    </row>
    <row r="21" spans="1:13" ht="15" thickBot="1" x14ac:dyDescent="0.25">
      <c r="B21" s="20"/>
      <c r="C21" s="20"/>
      <c r="D21" s="28"/>
      <c r="E21" s="453" t="s">
        <v>93</v>
      </c>
      <c r="F21" s="454"/>
      <c r="G21" s="455">
        <v>0.1</v>
      </c>
      <c r="H21" s="442">
        <f ca="1">'Parameters calculator (hide)'!E25</f>
        <v>62.64</v>
      </c>
      <c r="I21" s="29"/>
      <c r="J21" s="29"/>
      <c r="K21" s="21"/>
      <c r="L21" s="20"/>
    </row>
    <row r="22" spans="1:13" ht="15" thickBot="1" x14ac:dyDescent="0.25">
      <c r="B22" s="90"/>
      <c r="C22" s="26"/>
      <c r="D22" s="23"/>
      <c r="E22" s="23"/>
      <c r="F22" s="24"/>
      <c r="G22" s="456"/>
      <c r="H22" s="44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57" t="s">
        <v>372</v>
      </c>
      <c r="B25" s="31"/>
      <c r="C25" s="32"/>
      <c r="D25" s="31"/>
      <c r="E25" s="31"/>
      <c r="F25" s="31"/>
      <c r="G25" s="31"/>
      <c r="H25" s="31"/>
      <c r="I25" s="32"/>
      <c r="J25" s="31"/>
      <c r="K25" s="31"/>
    </row>
    <row r="26" spans="1:13" ht="15" thickBot="1" x14ac:dyDescent="0.25">
      <c r="A26" s="457"/>
      <c r="B26" s="460">
        <f ca="1">'Parameters calculator (hide)'!B27</f>
        <v>563.76</v>
      </c>
      <c r="C26" s="33"/>
      <c r="D26" s="31"/>
      <c r="E26" s="31"/>
      <c r="F26" s="31"/>
      <c r="G26" s="92"/>
      <c r="H26" s="31"/>
      <c r="I26" s="32" t="s">
        <v>87</v>
      </c>
      <c r="J26" s="31" t="s">
        <v>88</v>
      </c>
      <c r="K26" s="31"/>
    </row>
    <row r="27" spans="1:13" ht="15" thickBot="1" x14ac:dyDescent="0.25">
      <c r="A27" s="243" t="str">
        <f>"("&amp;$C$4&amp;")"</f>
        <v>(Patients)</v>
      </c>
      <c r="B27" s="461"/>
      <c r="C27" s="31"/>
      <c r="D27" s="31"/>
      <c r="E27" s="31"/>
      <c r="F27" s="83" t="s">
        <v>400</v>
      </c>
      <c r="G27" s="92"/>
      <c r="H27" s="31"/>
      <c r="I27" s="455">
        <v>1</v>
      </c>
      <c r="J27" s="442">
        <f ca="1">'Parameters calculator (hide)'!F25</f>
        <v>62.64</v>
      </c>
      <c r="K27" s="31"/>
    </row>
    <row r="28" spans="1:13" ht="15" thickBot="1" x14ac:dyDescent="0.25">
      <c r="A28" s="83"/>
      <c r="B28" s="31"/>
      <c r="C28" s="31"/>
      <c r="D28" s="31"/>
      <c r="E28" s="31"/>
      <c r="F28" s="31" t="s">
        <v>95</v>
      </c>
      <c r="G28" s="31"/>
      <c r="H28" s="31"/>
      <c r="I28" s="456"/>
      <c r="J28" s="44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 ref="F15:G15"/>
    <mergeCell ref="J27:J28"/>
    <mergeCell ref="C16:D17"/>
    <mergeCell ref="I16:I17"/>
    <mergeCell ref="J16:J17"/>
    <mergeCell ref="E20:F20"/>
    <mergeCell ref="E21:F21"/>
    <mergeCell ref="G21:G22"/>
    <mergeCell ref="H21:H22"/>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696</v>
      </c>
      <c r="C21" s="95">
        <f ca="1">'Parameters calculator (hide)'!B19*'Parameters calculator (hide)'!E18</f>
        <v>25740.000000000004</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f ca="1">'Parameters calculator (hide)'!C16</f>
        <v>0</v>
      </c>
      <c r="C26" s="94">
        <f ca="1">'Parameters calculator (hide)'!E16</f>
        <v>0</v>
      </c>
      <c r="E26" s="94">
        <f ca="1">'Parameters calculator (hide)'!G16</f>
        <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f ca="1">C15/'Parameters calculator'!$C$21</f>
        <v>0</v>
      </c>
      <c r="E16" s="84">
        <f ca="1">E15/('Parameters calculator'!$C$21-C15)</f>
        <v>0</v>
      </c>
      <c r="G16" s="84">
        <f ca="1">G15/('Parameters calculator'!$C$21-C15)</f>
        <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36.982758620689658</v>
      </c>
      <c r="G18" s="67" t="s">
        <v>394</v>
      </c>
      <c r="H18" s="51" t="s">
        <v>501</v>
      </c>
    </row>
    <row r="19" spans="1:13" x14ac:dyDescent="0.2">
      <c r="A19" t="s">
        <v>329</v>
      </c>
      <c r="B19">
        <f ca="1">'Demand background (hide)'!$BM$18*'Parameters calculator (hide)'!$B$18*IF(OR(Parameters!C4="Patients",B34=1),1/E18,1)</f>
        <v>696</v>
      </c>
    </row>
    <row r="20" spans="1:13" x14ac:dyDescent="0.2">
      <c r="B20" t="s">
        <v>75</v>
      </c>
      <c r="C20" t="s">
        <v>336</v>
      </c>
      <c r="E20" t="s">
        <v>99</v>
      </c>
      <c r="F20" t="s">
        <v>337</v>
      </c>
      <c r="H20" t="s">
        <v>101</v>
      </c>
    </row>
    <row r="21" spans="1:13" s="67" customFormat="1" x14ac:dyDescent="0.2">
      <c r="A21" s="67" t="s">
        <v>334</v>
      </c>
      <c r="B21" s="84">
        <f>Parameters!$G$7</f>
        <v>0.1</v>
      </c>
      <c r="C21" s="84">
        <f>Parameters!$G$11</f>
        <v>0</v>
      </c>
      <c r="D21" s="47"/>
      <c r="E21" s="84">
        <f>Parameters!$G$21</f>
        <v>0.1</v>
      </c>
      <c r="F21" s="84">
        <f>Parameters!$I$27</f>
        <v>1</v>
      </c>
      <c r="G21" s="47"/>
      <c r="H21" s="84">
        <f>1-F21</f>
        <v>0</v>
      </c>
      <c r="M21" s="67" t="s">
        <v>393</v>
      </c>
    </row>
    <row r="22" spans="1:13" s="67" customFormat="1" x14ac:dyDescent="0.2">
      <c r="A22" s="67" t="s">
        <v>335</v>
      </c>
      <c r="B22" s="5">
        <f ca="1">Parameters!$H$7</f>
        <v>69.600000000000009</v>
      </c>
      <c r="C22" s="5">
        <f ca="1">Parameters!$H$11</f>
        <v>0</v>
      </c>
      <c r="E22" s="5">
        <f ca="1">Parameters!$H$21</f>
        <v>62.64</v>
      </c>
      <c r="F22" s="5">
        <f ca="1">Parameters!$J$27</f>
        <v>62.64</v>
      </c>
      <c r="H22" s="5">
        <f ca="1">E22-F22</f>
        <v>0</v>
      </c>
    </row>
    <row r="23" spans="1:13" s="67" customFormat="1" x14ac:dyDescent="0.2"/>
    <row r="24" spans="1:13" x14ac:dyDescent="0.2">
      <c r="A24" s="67" t="s">
        <v>332</v>
      </c>
      <c r="B24" s="84">
        <f ca="1">IF($B$34=2,IFERROR(B22/B19,NA()),C16)</f>
        <v>0.1</v>
      </c>
      <c r="C24" s="84">
        <f ca="1">IF($B$34=2,IFERROR(C22/(B19-B22),NA()),E16)</f>
        <v>0</v>
      </c>
      <c r="D24" s="47"/>
      <c r="E24" s="84">
        <f ca="1">IF($B$34=2,IFERROR(E22/(B19-B22),NA()),G16)</f>
        <v>0.1</v>
      </c>
      <c r="F24" s="84">
        <f ca="1">IF($B$34=2,IF(E22=0,0,IFERROR(F22/E22,NA())),I16)</f>
        <v>1</v>
      </c>
      <c r="G24" s="47"/>
      <c r="H24" s="84">
        <f>IF(Parameters!$C$2="%",'Parameters calculator (hide)'!$H$21,1-F24)</f>
        <v>0</v>
      </c>
    </row>
    <row r="25" spans="1:13" x14ac:dyDescent="0.2">
      <c r="A25" t="s">
        <v>333</v>
      </c>
      <c r="B25" s="5">
        <f ca="1">IFERROR(B19*B21,NA())</f>
        <v>69.600000000000009</v>
      </c>
      <c r="C25" s="5">
        <f ca="1">IFERROR((B19*(1-B21)*C21),NA())</f>
        <v>0</v>
      </c>
      <c r="D25" s="67"/>
      <c r="E25" s="5">
        <f ca="1">IFERROR(B19*(1-B21)*E21,NA())</f>
        <v>62.64</v>
      </c>
      <c r="F25" s="5">
        <f ca="1">IFERROR(E25*F21,NA())</f>
        <v>62.64</v>
      </c>
      <c r="G25" s="67"/>
      <c r="H25" s="5">
        <f ca="1">E25-F25</f>
        <v>0</v>
      </c>
    </row>
    <row r="27" spans="1:13" x14ac:dyDescent="0.2">
      <c r="A27" t="s">
        <v>340</v>
      </c>
      <c r="B27">
        <f ca="1">IF(Parameters!$C$2="Volume",B19-B22-C22+H22-E22,B19-B25-C25+H25-E25)</f>
        <v>563.76</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f ca="1">IF(B34=1,C16,B24)</f>
        <v>0.1</v>
      </c>
      <c r="C43" s="146">
        <f ca="1">(1-B43)</f>
        <v>0.9</v>
      </c>
      <c r="E43" s="148"/>
      <c r="G43" s="146"/>
    </row>
    <row r="44" spans="1:13" x14ac:dyDescent="0.2">
      <c r="A44" t="s">
        <v>336</v>
      </c>
      <c r="B44" s="100">
        <f ca="1">IF(B34=1,E16,C24)</f>
        <v>0</v>
      </c>
      <c r="C44" s="146">
        <f ca="1">B44</f>
        <v>0</v>
      </c>
      <c r="E44" s="146" t="s">
        <v>508</v>
      </c>
      <c r="G44" s="146"/>
      <c r="H44" s="67"/>
    </row>
    <row r="45" spans="1:13" x14ac:dyDescent="0.2">
      <c r="A45" t="s">
        <v>99</v>
      </c>
      <c r="B45" s="100">
        <f ca="1">IF(B34=1,G16,E24)</f>
        <v>0.1</v>
      </c>
      <c r="C45" s="146"/>
      <c r="E45" s="146" t="str">
        <f>IF(E42&gt;0,E42/(1-C44-(B45*B46))/C43,"")</f>
        <v/>
      </c>
      <c r="G45" s="146"/>
      <c r="H45" s="67"/>
    </row>
    <row r="46" spans="1:13" x14ac:dyDescent="0.2">
      <c r="A46" t="s">
        <v>337</v>
      </c>
      <c r="B46" s="100">
        <f ca="1">IF(B34=1,I16,F24)</f>
        <v>1</v>
      </c>
      <c r="C46" s="146">
        <f ca="1">B46*B45</f>
        <v>0.1</v>
      </c>
      <c r="E46" s="146"/>
      <c r="G46" s="146"/>
      <c r="H46" s="67"/>
    </row>
    <row r="47" spans="1:13" x14ac:dyDescent="0.2">
      <c r="A47" t="s">
        <v>406</v>
      </c>
      <c r="B47" s="100">
        <f ca="1">IF(B34=1,1-I16,1-F24)</f>
        <v>0</v>
      </c>
      <c r="C47" s="146">
        <f ca="1">B47*B45</f>
        <v>0</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f ca="1">IF(AND(Pathway!$H$5="Override",Pathway!$I$6=""),Pathway!H8,Pathway!G8)</f>
        <v>0.78243978243978252</v>
      </c>
      <c r="F55" s="5">
        <f ca="1">('Demand background (hide)'!$BM$18*E55*(B55+((C55-B55)/2)))</f>
        <v>1549.2307692307693</v>
      </c>
      <c r="G55" s="67">
        <f ca="1">$C$47*E55*D55*'Demand background (hide)'!$BM$18</f>
        <v>0</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f ca="1">IF(AND(Pathway!$H$5="Override",Pathway!$I$6=""),Pathway!H7,Pathway!G7)</f>
        <v>0.21756021756021757</v>
      </c>
      <c r="F56" s="5">
        <f ca="1">('Demand background (hide)'!$BM$18*E56*(B56+((C56-B56)/2)))</f>
        <v>107.69230769230769</v>
      </c>
      <c r="G56" s="67">
        <f ca="1">$C$47*E56*D56* 'Demand background (hide)'!$BM$18</f>
        <v>0</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f ca="1">IF(AND(Pathway!$H$5="Override",Pathway!$I$6=""),Pathway!H6,Pathway!G6)</f>
        <v>0</v>
      </c>
      <c r="F57" s="5">
        <f ca="1">('Demand background (hide)'!$BM$18*E57*(B57+((C57-B57)/2)))</f>
        <v>0</v>
      </c>
      <c r="G57" s="67">
        <f ca="1">$C$47*E57*D57*'Demand background (hide)'!$BM$18</f>
        <v>0</v>
      </c>
      <c r="L57" s="67">
        <f t="shared" si="0"/>
        <v>0</v>
      </c>
      <c r="M57" s="67">
        <f t="shared" si="1"/>
        <v>0</v>
      </c>
      <c r="N57" s="67">
        <f t="shared" si="2"/>
        <v>0</v>
      </c>
    </row>
    <row r="61" spans="1:14" x14ac:dyDescent="0.2">
      <c r="F61" s="5"/>
      <c r="H61" t="s">
        <v>165</v>
      </c>
      <c r="I61" t="s">
        <v>166</v>
      </c>
    </row>
    <row r="62" spans="1:14" x14ac:dyDescent="0.2">
      <c r="A62" t="s">
        <v>415</v>
      </c>
      <c r="F62" s="5">
        <f ca="1">SUM(F55:G57)</f>
        <v>1656.9230769230769</v>
      </c>
      <c r="H62" s="5">
        <f ca="1">F62*0.95</f>
        <v>1574.0769230769231</v>
      </c>
      <c r="I62" s="5">
        <f ca="1">F62*1.05</f>
        <v>1739.7692307692307</v>
      </c>
    </row>
    <row r="63" spans="1:14" x14ac:dyDescent="0.2">
      <c r="A63" t="s">
        <v>416</v>
      </c>
      <c r="F63" s="5">
        <f ca="1">F62/E18</f>
        <v>44.802582033351257</v>
      </c>
      <c r="H63" s="5">
        <f ca="1">F63*0.95</f>
        <v>42.562452931683694</v>
      </c>
      <c r="I63" s="5">
        <f ca="1">F63*1.05</f>
        <v>47.04271113501882</v>
      </c>
    </row>
    <row r="65" spans="1:10" x14ac:dyDescent="0.2">
      <c r="G65" t="str">
        <f>"Waiting list position ("&amp;LOWER(Summary!$C$8)&amp;")"</f>
        <v>Waiting list position (patients)</v>
      </c>
    </row>
    <row r="66" spans="1:10" x14ac:dyDescent="0.2">
      <c r="A66" t="s">
        <v>417</v>
      </c>
      <c r="G66" t="s">
        <v>430</v>
      </c>
      <c r="H66" s="5">
        <f ca="1">IF(Summary!$C$8&lt;&gt;"Patients",H62,H63)</f>
        <v>42.562452931683694</v>
      </c>
      <c r="I66" s="5">
        <f ca="1">IF(Summary!$C$8&lt;&gt;"Patients",I62,I63)</f>
        <v>47.04271113501882</v>
      </c>
      <c r="J66" s="5">
        <f ca="1">I66-H66</f>
        <v>4.4802582033351257</v>
      </c>
    </row>
    <row r="67" spans="1:10" x14ac:dyDescent="0.2">
      <c r="B67" t="s">
        <v>429</v>
      </c>
      <c r="C67" t="s">
        <v>313</v>
      </c>
      <c r="G67" t="s">
        <v>431</v>
      </c>
      <c r="H67" s="5">
        <f ca="1">IF(Summary!$C$8&lt;&gt;"Patients",C79,B79)</f>
        <v>60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30</v>
      </c>
      <c r="C69" s="5">
        <f ca="1">Setup!G28*'Demand background (hide)'!BN7</f>
        <v>1200</v>
      </c>
      <c r="D69" s="67"/>
      <c r="G69" t="s">
        <v>307</v>
      </c>
      <c r="H69" t="str">
        <f ca="1">IF(H67&gt;I66,ROUND(H67-I66,0),0)&amp;" - "&amp;IF(H67&gt;H66,ROUND(H67-H66,0),0)</f>
        <v>13 - 17</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f ca="1">H67-H66</f>
        <v>17.437547068316306</v>
      </c>
      <c r="I71" s="5">
        <f ca="1">H67-I66</f>
        <v>12.95728886498118</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60</v>
      </c>
      <c r="C79" s="5">
        <f ca="1">SUM(OFFSET($C$68,0,0,Num_Modalities,1))</f>
        <v>2100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1250</v>
      </c>
      <c r="G1" s="67" t="s">
        <v>1252</v>
      </c>
      <c r="H1" t="s">
        <v>1251</v>
      </c>
      <c r="M1" s="67" t="s">
        <v>1252</v>
      </c>
      <c r="N1" t="s">
        <v>1250</v>
      </c>
      <c r="BN1" t="s">
        <v>1251</v>
      </c>
      <c r="EA1" t="s">
        <v>1280</v>
      </c>
    </row>
    <row r="2" spans="1:131" x14ac:dyDescent="0.2">
      <c r="A2" t="s">
        <v>1295</v>
      </c>
      <c r="B2" t="s">
        <v>1281</v>
      </c>
      <c r="C2" t="s">
        <v>1282</v>
      </c>
      <c r="E2">
        <v>30</v>
      </c>
      <c r="F2">
        <v>7</v>
      </c>
      <c r="G2" t="s">
        <v>1238</v>
      </c>
      <c r="H2" t="s">
        <v>1283</v>
      </c>
      <c r="K2">
        <v>10</v>
      </c>
      <c r="L2">
        <v>5</v>
      </c>
      <c r="M2" t="s">
        <v>1238</v>
      </c>
      <c r="AC2" t="s">
        <v>1238</v>
      </c>
      <c r="AD2" t="s">
        <v>1238</v>
      </c>
      <c r="AE2" t="s">
        <v>1238</v>
      </c>
      <c r="AF2" t="s">
        <v>1238</v>
      </c>
      <c r="AG2" t="s">
        <v>1238</v>
      </c>
      <c r="AH2" t="s">
        <v>1238</v>
      </c>
      <c r="AI2" t="s">
        <v>1238</v>
      </c>
      <c r="AJ2" t="s">
        <v>1238</v>
      </c>
      <c r="AK2" t="s">
        <v>1238</v>
      </c>
      <c r="AL2" t="s">
        <v>1238</v>
      </c>
      <c r="AM2" t="s">
        <v>1238</v>
      </c>
      <c r="AN2" t="s">
        <v>1238</v>
      </c>
      <c r="AO2" t="s">
        <v>1238</v>
      </c>
      <c r="AP2" t="s">
        <v>1238</v>
      </c>
      <c r="AQ2" t="s">
        <v>1238</v>
      </c>
      <c r="AR2" t="s">
        <v>1238</v>
      </c>
      <c r="AS2" t="s">
        <v>1238</v>
      </c>
      <c r="AT2" t="s">
        <v>1238</v>
      </c>
      <c r="AU2" t="s">
        <v>1238</v>
      </c>
      <c r="AV2" t="s">
        <v>1238</v>
      </c>
      <c r="AW2" t="s">
        <v>1238</v>
      </c>
      <c r="AX2" t="s">
        <v>1238</v>
      </c>
      <c r="AY2" t="s">
        <v>1238</v>
      </c>
      <c r="AZ2" t="s">
        <v>1238</v>
      </c>
      <c r="BA2" t="s">
        <v>1238</v>
      </c>
      <c r="BB2" t="s">
        <v>1238</v>
      </c>
      <c r="BC2" t="s">
        <v>1238</v>
      </c>
      <c r="BM2"/>
      <c r="DM2" t="s">
        <v>1238</v>
      </c>
      <c r="DN2" t="s">
        <v>19</v>
      </c>
      <c r="EA2" t="s">
        <v>1295</v>
      </c>
    </row>
    <row r="3" spans="1:131" x14ac:dyDescent="0.2">
      <c r="B3" t="s">
        <v>1284</v>
      </c>
      <c r="C3" t="s">
        <v>1282</v>
      </c>
      <c r="E3">
        <v>30</v>
      </c>
      <c r="F3">
        <v>7</v>
      </c>
      <c r="G3" t="s">
        <v>1238</v>
      </c>
      <c r="H3" t="s">
        <v>1285</v>
      </c>
      <c r="K3">
        <v>12</v>
      </c>
      <c r="L3">
        <v>5</v>
      </c>
      <c r="M3" t="s">
        <v>1238</v>
      </c>
      <c r="Y3" t="s">
        <v>1238</v>
      </c>
      <c r="Z3" t="s">
        <v>1238</v>
      </c>
      <c r="AA3" t="s">
        <v>1238</v>
      </c>
      <c r="AB3" t="s">
        <v>1238</v>
      </c>
      <c r="AC3" t="s">
        <v>1238</v>
      </c>
      <c r="AD3" t="s">
        <v>1238</v>
      </c>
      <c r="AE3" t="s">
        <v>1238</v>
      </c>
      <c r="AF3" t="s">
        <v>1238</v>
      </c>
      <c r="AG3" t="s">
        <v>1238</v>
      </c>
      <c r="AH3" t="s">
        <v>1238</v>
      </c>
      <c r="AI3" t="s">
        <v>1238</v>
      </c>
      <c r="AJ3" t="s">
        <v>1238</v>
      </c>
      <c r="AK3" t="s">
        <v>1238</v>
      </c>
      <c r="AL3" t="s">
        <v>1238</v>
      </c>
      <c r="AM3" t="s">
        <v>1238</v>
      </c>
      <c r="AN3" t="s">
        <v>1238</v>
      </c>
      <c r="AO3" t="s">
        <v>1238</v>
      </c>
      <c r="AP3" t="s">
        <v>1238</v>
      </c>
      <c r="AQ3" t="s">
        <v>1238</v>
      </c>
      <c r="AR3" t="s">
        <v>1238</v>
      </c>
      <c r="AS3" t="s">
        <v>1238</v>
      </c>
      <c r="AT3" t="s">
        <v>1238</v>
      </c>
      <c r="AU3" t="s">
        <v>1238</v>
      </c>
      <c r="AV3" t="s">
        <v>1238</v>
      </c>
      <c r="AW3" t="s">
        <v>1238</v>
      </c>
      <c r="AX3" t="s">
        <v>1238</v>
      </c>
      <c r="AY3" t="s">
        <v>1238</v>
      </c>
      <c r="AZ3" t="s">
        <v>1238</v>
      </c>
      <c r="BA3" t="s">
        <v>1238</v>
      </c>
      <c r="BB3" t="s">
        <v>1238</v>
      </c>
      <c r="BC3" t="s">
        <v>1238</v>
      </c>
      <c r="BM3"/>
    </row>
    <row r="4" spans="1:131" x14ac:dyDescent="0.2">
      <c r="B4" t="s">
        <v>1286</v>
      </c>
      <c r="C4" t="s">
        <v>1287</v>
      </c>
      <c r="E4">
        <v>21</v>
      </c>
      <c r="F4">
        <v>4</v>
      </c>
      <c r="G4" t="s">
        <v>1238</v>
      </c>
      <c r="M4" t="s">
        <v>1238</v>
      </c>
      <c r="T4" t="s">
        <v>1238</v>
      </c>
      <c r="U4" t="s">
        <v>1238</v>
      </c>
      <c r="V4" t="s">
        <v>1238</v>
      </c>
      <c r="W4" t="s">
        <v>1238</v>
      </c>
      <c r="X4" t="s">
        <v>1238</v>
      </c>
      <c r="Y4" t="s">
        <v>1238</v>
      </c>
      <c r="Z4" t="s">
        <v>1238</v>
      </c>
      <c r="AA4" t="s">
        <v>1238</v>
      </c>
      <c r="AB4" t="s">
        <v>1238</v>
      </c>
      <c r="AC4" t="s">
        <v>1238</v>
      </c>
      <c r="AD4" t="s">
        <v>1238</v>
      </c>
      <c r="AE4" t="s">
        <v>1238</v>
      </c>
      <c r="AF4" t="s">
        <v>1238</v>
      </c>
      <c r="AG4" t="s">
        <v>1238</v>
      </c>
      <c r="AH4" t="s">
        <v>1238</v>
      </c>
      <c r="AI4" t="s">
        <v>1238</v>
      </c>
      <c r="AJ4" t="s">
        <v>1238</v>
      </c>
      <c r="AK4" t="s">
        <v>1238</v>
      </c>
      <c r="AL4" t="s">
        <v>1238</v>
      </c>
      <c r="AM4" t="s">
        <v>1238</v>
      </c>
      <c r="AN4" t="s">
        <v>1238</v>
      </c>
      <c r="AO4" t="s">
        <v>1238</v>
      </c>
      <c r="AP4" t="s">
        <v>1238</v>
      </c>
      <c r="AQ4" t="s">
        <v>1238</v>
      </c>
      <c r="AR4" t="s">
        <v>1238</v>
      </c>
      <c r="AS4" t="s">
        <v>1238</v>
      </c>
      <c r="AT4" t="s">
        <v>1238</v>
      </c>
      <c r="AU4" t="s">
        <v>1238</v>
      </c>
      <c r="AV4" t="s">
        <v>1238</v>
      </c>
      <c r="AW4" t="s">
        <v>1238</v>
      </c>
      <c r="AX4" t="s">
        <v>1238</v>
      </c>
      <c r="AY4" t="s">
        <v>1238</v>
      </c>
      <c r="AZ4" t="s">
        <v>1238</v>
      </c>
      <c r="BA4" t="s">
        <v>1238</v>
      </c>
      <c r="BB4" t="s">
        <v>1238</v>
      </c>
      <c r="BC4" t="s">
        <v>1238</v>
      </c>
      <c r="BM4"/>
    </row>
    <row r="5" spans="1:131" x14ac:dyDescent="0.2">
      <c r="B5" t="s">
        <v>1288</v>
      </c>
      <c r="C5" t="s">
        <v>1289</v>
      </c>
      <c r="E5">
        <v>12</v>
      </c>
      <c r="F5">
        <v>4</v>
      </c>
      <c r="G5" t="s">
        <v>1238</v>
      </c>
      <c r="M5" t="s">
        <v>1238</v>
      </c>
      <c r="X5" t="s">
        <v>1238</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1238</v>
      </c>
      <c r="M6" t="s">
        <v>1238</v>
      </c>
      <c r="N6" t="s">
        <v>1238</v>
      </c>
      <c r="O6" t="s">
        <v>1238</v>
      </c>
      <c r="P6" t="s">
        <v>1238</v>
      </c>
      <c r="Q6" t="s">
        <v>1238</v>
      </c>
      <c r="R6" t="s">
        <v>1238</v>
      </c>
      <c r="S6" t="s">
        <v>1238</v>
      </c>
      <c r="T6" t="s">
        <v>1238</v>
      </c>
      <c r="U6" t="s">
        <v>1238</v>
      </c>
      <c r="V6" t="s">
        <v>1238</v>
      </c>
      <c r="W6" t="s">
        <v>1238</v>
      </c>
      <c r="X6" t="s">
        <v>1238</v>
      </c>
      <c r="Y6" t="s">
        <v>1238</v>
      </c>
      <c r="Z6" t="s">
        <v>1238</v>
      </c>
      <c r="AA6" t="s">
        <v>1238</v>
      </c>
      <c r="AB6" t="s">
        <v>1238</v>
      </c>
      <c r="AC6" t="s">
        <v>1238</v>
      </c>
      <c r="AD6" t="s">
        <v>1238</v>
      </c>
      <c r="AE6" t="s">
        <v>1238</v>
      </c>
      <c r="AF6" t="s">
        <v>1238</v>
      </c>
      <c r="AG6" t="s">
        <v>1238</v>
      </c>
      <c r="AH6" t="s">
        <v>1238</v>
      </c>
      <c r="AI6" t="s">
        <v>1238</v>
      </c>
      <c r="AJ6" t="s">
        <v>1238</v>
      </c>
      <c r="AK6" t="s">
        <v>1238</v>
      </c>
      <c r="AL6" t="s">
        <v>1238</v>
      </c>
      <c r="AM6" t="s">
        <v>1238</v>
      </c>
      <c r="AN6" t="s">
        <v>1238</v>
      </c>
      <c r="AO6" t="s">
        <v>1238</v>
      </c>
      <c r="AP6" t="s">
        <v>1238</v>
      </c>
      <c r="AQ6" t="s">
        <v>1238</v>
      </c>
      <c r="AR6" t="s">
        <v>1238</v>
      </c>
      <c r="BM6"/>
    </row>
    <row r="7" spans="1:131" x14ac:dyDescent="0.2">
      <c r="G7" t="s">
        <v>1238</v>
      </c>
      <c r="M7" t="s">
        <v>1238</v>
      </c>
      <c r="N7">
        <v>0.2163170163170163</v>
      </c>
      <c r="BM7"/>
    </row>
    <row r="8" spans="1:131" x14ac:dyDescent="0.2">
      <c r="G8" t="s">
        <v>1238</v>
      </c>
      <c r="M8" t="s">
        <v>1238</v>
      </c>
      <c r="BM8"/>
    </row>
    <row r="9" spans="1:131" x14ac:dyDescent="0.2">
      <c r="G9" t="s">
        <v>1238</v>
      </c>
      <c r="M9" t="s">
        <v>1238</v>
      </c>
      <c r="BM9"/>
    </row>
    <row r="10" spans="1:131" x14ac:dyDescent="0.2">
      <c r="G10" t="s">
        <v>1238</v>
      </c>
      <c r="M10" t="s">
        <v>1238</v>
      </c>
      <c r="BM10"/>
    </row>
    <row r="11" spans="1:131" x14ac:dyDescent="0.2">
      <c r="G11" t="s">
        <v>1238</v>
      </c>
      <c r="M11" t="s">
        <v>1238</v>
      </c>
      <c r="BM11"/>
    </row>
    <row r="12" spans="1:131" x14ac:dyDescent="0.2">
      <c r="G12" t="s">
        <v>1238</v>
      </c>
      <c r="M12" t="s">
        <v>1238</v>
      </c>
      <c r="BM12"/>
    </row>
    <row r="13" spans="1:131" x14ac:dyDescent="0.2">
      <c r="G13" t="s">
        <v>1238</v>
      </c>
      <c r="M13" t="s">
        <v>1238</v>
      </c>
      <c r="BM13"/>
    </row>
    <row r="14" spans="1:131" x14ac:dyDescent="0.2">
      <c r="G14" t="s">
        <v>1238</v>
      </c>
      <c r="M14" t="s">
        <v>1238</v>
      </c>
      <c r="BM14"/>
    </row>
    <row r="15" spans="1:131" x14ac:dyDescent="0.2">
      <c r="G15" t="s">
        <v>1238</v>
      </c>
      <c r="M15" t="s">
        <v>1238</v>
      </c>
      <c r="BM15"/>
    </row>
    <row r="16" spans="1:131" x14ac:dyDescent="0.2">
      <c r="G16" t="s">
        <v>1238</v>
      </c>
      <c r="M16" t="s">
        <v>1238</v>
      </c>
      <c r="BM16"/>
    </row>
    <row r="17" spans="7:65" x14ac:dyDescent="0.2">
      <c r="G17" t="s">
        <v>1238</v>
      </c>
      <c r="M17" t="s">
        <v>1238</v>
      </c>
      <c r="BM17"/>
    </row>
    <row r="18" spans="7:65" x14ac:dyDescent="0.2">
      <c r="G18" t="s">
        <v>1238</v>
      </c>
      <c r="M18" t="s">
        <v>1238</v>
      </c>
      <c r="BM18"/>
    </row>
    <row r="19" spans="7:65" x14ac:dyDescent="0.2">
      <c r="G19" t="s">
        <v>1238</v>
      </c>
      <c r="M19" t="s">
        <v>1238</v>
      </c>
      <c r="BM19"/>
    </row>
    <row r="20" spans="7:65" x14ac:dyDescent="0.2">
      <c r="G20" t="s">
        <v>1238</v>
      </c>
      <c r="M20" t="s">
        <v>1238</v>
      </c>
      <c r="BM20"/>
    </row>
    <row r="21" spans="7:65" x14ac:dyDescent="0.2">
      <c r="G21" t="s">
        <v>1238</v>
      </c>
      <c r="M21" t="s">
        <v>1238</v>
      </c>
      <c r="BM21"/>
    </row>
    <row r="22" spans="7:65" x14ac:dyDescent="0.2">
      <c r="G22" t="s">
        <v>1238</v>
      </c>
      <c r="M22" t="s">
        <v>1238</v>
      </c>
      <c r="BM22"/>
    </row>
    <row r="23" spans="7:65" x14ac:dyDescent="0.2">
      <c r="G23" t="s">
        <v>1238</v>
      </c>
      <c r="M23" t="s">
        <v>1238</v>
      </c>
      <c r="BM23"/>
    </row>
    <row r="24" spans="7:65" x14ac:dyDescent="0.2">
      <c r="G24" t="s">
        <v>1238</v>
      </c>
      <c r="M24" t="s">
        <v>1238</v>
      </c>
      <c r="BM24"/>
    </row>
    <row r="25" spans="7:65" x14ac:dyDescent="0.2">
      <c r="G25" t="s">
        <v>1238</v>
      </c>
      <c r="M25" t="s">
        <v>1238</v>
      </c>
      <c r="BM25"/>
    </row>
    <row r="26" spans="7:65" x14ac:dyDescent="0.2">
      <c r="G26" t="s">
        <v>1238</v>
      </c>
      <c r="M26" t="s">
        <v>1238</v>
      </c>
      <c r="BM26"/>
    </row>
    <row r="27" spans="7:65" x14ac:dyDescent="0.2">
      <c r="G27" t="s">
        <v>1238</v>
      </c>
      <c r="M27" t="s">
        <v>1238</v>
      </c>
      <c r="BM27"/>
    </row>
    <row r="28" spans="7:65" x14ac:dyDescent="0.2">
      <c r="G28" t="s">
        <v>1238</v>
      </c>
      <c r="M28" t="s">
        <v>1238</v>
      </c>
      <c r="BM28"/>
    </row>
    <row r="29" spans="7:65" x14ac:dyDescent="0.2">
      <c r="G29" t="s">
        <v>1238</v>
      </c>
      <c r="M29" t="s">
        <v>1238</v>
      </c>
      <c r="BM29"/>
    </row>
    <row r="30" spans="7:65" x14ac:dyDescent="0.2">
      <c r="G30" t="s">
        <v>1238</v>
      </c>
      <c r="M30" t="s">
        <v>1238</v>
      </c>
      <c r="BM30"/>
    </row>
    <row r="31" spans="7:65" x14ac:dyDescent="0.2">
      <c r="G31" t="s">
        <v>1238</v>
      </c>
      <c r="M31" t="s">
        <v>1238</v>
      </c>
      <c r="BM31"/>
    </row>
    <row r="32" spans="7:65" x14ac:dyDescent="0.2">
      <c r="G32" t="s">
        <v>1238</v>
      </c>
      <c r="M32" t="s">
        <v>1238</v>
      </c>
      <c r="BM32"/>
    </row>
    <row r="33" spans="7:65" x14ac:dyDescent="0.2">
      <c r="G33" t="s">
        <v>1238</v>
      </c>
      <c r="M33" t="s">
        <v>1238</v>
      </c>
      <c r="BM33"/>
    </row>
    <row r="34" spans="7:65" x14ac:dyDescent="0.2">
      <c r="G34" t="s">
        <v>1238</v>
      </c>
      <c r="M34" t="s">
        <v>1238</v>
      </c>
      <c r="BM34"/>
    </row>
    <row r="35" spans="7:65" x14ac:dyDescent="0.2">
      <c r="G35" t="s">
        <v>1238</v>
      </c>
      <c r="M35" t="s">
        <v>1238</v>
      </c>
      <c r="BM35"/>
    </row>
    <row r="36" spans="7:65" x14ac:dyDescent="0.2">
      <c r="G36" t="s">
        <v>1238</v>
      </c>
      <c r="M36" t="s">
        <v>1238</v>
      </c>
      <c r="BM36"/>
    </row>
    <row r="37" spans="7:65" x14ac:dyDescent="0.2">
      <c r="G37" t="s">
        <v>1238</v>
      </c>
      <c r="M37" t="s">
        <v>1238</v>
      </c>
      <c r="BM37"/>
    </row>
    <row r="38" spans="7:65" x14ac:dyDescent="0.2">
      <c r="G38" t="s">
        <v>1238</v>
      </c>
      <c r="M38" t="s">
        <v>1238</v>
      </c>
      <c r="BM38"/>
    </row>
    <row r="39" spans="7:65" x14ac:dyDescent="0.2">
      <c r="G39" t="s">
        <v>1238</v>
      </c>
      <c r="M39" t="s">
        <v>1238</v>
      </c>
      <c r="BM39"/>
    </row>
    <row r="40" spans="7:65" x14ac:dyDescent="0.2">
      <c r="G40" t="s">
        <v>1238</v>
      </c>
      <c r="M40" t="s">
        <v>1238</v>
      </c>
      <c r="BM40"/>
    </row>
    <row r="41" spans="7:65" x14ac:dyDescent="0.2">
      <c r="G41" t="s">
        <v>1238</v>
      </c>
      <c r="M41" t="s">
        <v>1238</v>
      </c>
      <c r="BM41"/>
    </row>
    <row r="42" spans="7:65" x14ac:dyDescent="0.2">
      <c r="G42" t="s">
        <v>1238</v>
      </c>
      <c r="M42" t="s">
        <v>1238</v>
      </c>
      <c r="BM42"/>
    </row>
    <row r="43" spans="7:65" x14ac:dyDescent="0.2">
      <c r="G43" t="s">
        <v>1238</v>
      </c>
      <c r="M43" t="s">
        <v>1238</v>
      </c>
      <c r="BM43"/>
    </row>
    <row r="44" spans="7:65" x14ac:dyDescent="0.2">
      <c r="G44" t="s">
        <v>1238</v>
      </c>
      <c r="M44" t="s">
        <v>1238</v>
      </c>
      <c r="BM44"/>
    </row>
    <row r="45" spans="7:65" x14ac:dyDescent="0.2">
      <c r="G45" t="s">
        <v>1238</v>
      </c>
      <c r="M45" t="s">
        <v>1238</v>
      </c>
      <c r="BM45"/>
    </row>
    <row r="46" spans="7:65" x14ac:dyDescent="0.2">
      <c r="G46" t="s">
        <v>1238</v>
      </c>
      <c r="M46" t="s">
        <v>1238</v>
      </c>
      <c r="BM46"/>
    </row>
    <row r="47" spans="7:65" x14ac:dyDescent="0.2">
      <c r="G47" t="s">
        <v>1238</v>
      </c>
      <c r="M47" t="s">
        <v>1238</v>
      </c>
      <c r="BM47"/>
    </row>
    <row r="48" spans="7:65" x14ac:dyDescent="0.2">
      <c r="G48" t="s">
        <v>1238</v>
      </c>
      <c r="M48" t="s">
        <v>1238</v>
      </c>
      <c r="BM48"/>
    </row>
    <row r="49" spans="7:65" x14ac:dyDescent="0.2">
      <c r="G49" t="s">
        <v>1238</v>
      </c>
      <c r="M49" t="s">
        <v>1238</v>
      </c>
      <c r="BM49"/>
    </row>
    <row r="50" spans="7:65" x14ac:dyDescent="0.2">
      <c r="G50" t="s">
        <v>1238</v>
      </c>
      <c r="M50" t="s">
        <v>1238</v>
      </c>
      <c r="BM50"/>
    </row>
    <row r="51" spans="7:65" x14ac:dyDescent="0.2">
      <c r="G51" t="s">
        <v>1238</v>
      </c>
      <c r="M51" t="s">
        <v>1238</v>
      </c>
      <c r="BM51"/>
    </row>
    <row r="52" spans="7:65" x14ac:dyDescent="0.2">
      <c r="G52" t="s">
        <v>1238</v>
      </c>
      <c r="M52" t="s">
        <v>1238</v>
      </c>
      <c r="BM52"/>
    </row>
    <row r="53" spans="7:65" x14ac:dyDescent="0.2">
      <c r="G53" t="s">
        <v>1238</v>
      </c>
      <c r="M53" t="s">
        <v>1238</v>
      </c>
      <c r="BM53"/>
    </row>
    <row r="54" spans="7:65" x14ac:dyDescent="0.2">
      <c r="G54" t="s">
        <v>1238</v>
      </c>
      <c r="M54" t="s">
        <v>1238</v>
      </c>
      <c r="BM54"/>
    </row>
    <row r="55" spans="7:65" x14ac:dyDescent="0.2">
      <c r="G55" t="s">
        <v>1238</v>
      </c>
      <c r="M55" t="s">
        <v>1238</v>
      </c>
      <c r="BM55"/>
    </row>
    <row r="56" spans="7:65" x14ac:dyDescent="0.2">
      <c r="G56" t="s">
        <v>1238</v>
      </c>
      <c r="M56" t="s">
        <v>1238</v>
      </c>
      <c r="BM56"/>
    </row>
    <row r="57" spans="7:65" x14ac:dyDescent="0.2">
      <c r="G57" t="s">
        <v>1238</v>
      </c>
      <c r="M57" t="s">
        <v>1238</v>
      </c>
      <c r="BM57"/>
    </row>
    <row r="58" spans="7:65" x14ac:dyDescent="0.2">
      <c r="G58" t="s">
        <v>1238</v>
      </c>
      <c r="M58" t="s">
        <v>1238</v>
      </c>
      <c r="BM58"/>
    </row>
    <row r="59" spans="7:65" x14ac:dyDescent="0.2">
      <c r="G59" t="s">
        <v>1238</v>
      </c>
      <c r="M59" t="s">
        <v>1238</v>
      </c>
      <c r="BM59"/>
    </row>
    <row r="60" spans="7:65" x14ac:dyDescent="0.2">
      <c r="G60" t="s">
        <v>1238</v>
      </c>
      <c r="M60" t="s">
        <v>1238</v>
      </c>
      <c r="BM60"/>
    </row>
    <row r="61" spans="7:65" x14ac:dyDescent="0.2">
      <c r="G61" t="s">
        <v>1238</v>
      </c>
      <c r="M61" t="s">
        <v>1238</v>
      </c>
      <c r="BM61"/>
    </row>
    <row r="62" spans="7:65" x14ac:dyDescent="0.2">
      <c r="G62" t="s">
        <v>1238</v>
      </c>
      <c r="M62" t="s">
        <v>1238</v>
      </c>
      <c r="BM62"/>
    </row>
    <row r="63" spans="7:65" x14ac:dyDescent="0.2">
      <c r="G63" t="s">
        <v>1238</v>
      </c>
      <c r="M63" t="s">
        <v>1238</v>
      </c>
      <c r="BM63"/>
    </row>
    <row r="64" spans="7:65" x14ac:dyDescent="0.2">
      <c r="G64" t="s">
        <v>1238</v>
      </c>
      <c r="M64" t="s">
        <v>1238</v>
      </c>
      <c r="BM64"/>
    </row>
    <row r="65" spans="7:65" x14ac:dyDescent="0.2">
      <c r="G65" t="s">
        <v>1238</v>
      </c>
      <c r="M65" t="s">
        <v>1238</v>
      </c>
      <c r="BM65"/>
    </row>
    <row r="66" spans="7:65" x14ac:dyDescent="0.2">
      <c r="G66" t="s">
        <v>1238</v>
      </c>
      <c r="M66" t="s">
        <v>1238</v>
      </c>
      <c r="BM66"/>
    </row>
    <row r="67" spans="7:65" x14ac:dyDescent="0.2">
      <c r="G67" t="s">
        <v>1238</v>
      </c>
      <c r="M67" t="s">
        <v>1238</v>
      </c>
      <c r="BM67"/>
    </row>
    <row r="68" spans="7:65" x14ac:dyDescent="0.2">
      <c r="G68" t="s">
        <v>1238</v>
      </c>
      <c r="M68" t="s">
        <v>1238</v>
      </c>
      <c r="BM68"/>
    </row>
    <row r="69" spans="7:65" x14ac:dyDescent="0.2">
      <c r="G69" t="s">
        <v>1238</v>
      </c>
      <c r="M69" t="s">
        <v>1238</v>
      </c>
      <c r="BM69"/>
    </row>
    <row r="70" spans="7:65" x14ac:dyDescent="0.2">
      <c r="G70" t="s">
        <v>1238</v>
      </c>
      <c r="M70" t="s">
        <v>1238</v>
      </c>
      <c r="BM70"/>
    </row>
    <row r="71" spans="7:65" x14ac:dyDescent="0.2">
      <c r="G71" t="s">
        <v>1238</v>
      </c>
      <c r="M71" t="s">
        <v>1238</v>
      </c>
      <c r="BM71"/>
    </row>
    <row r="72" spans="7:65" x14ac:dyDescent="0.2">
      <c r="G72" t="s">
        <v>1238</v>
      </c>
      <c r="M72" t="s">
        <v>1238</v>
      </c>
      <c r="BM72"/>
    </row>
    <row r="73" spans="7:65" x14ac:dyDescent="0.2">
      <c r="G73" t="s">
        <v>1238</v>
      </c>
      <c r="M73" t="s">
        <v>1238</v>
      </c>
      <c r="BM73"/>
    </row>
    <row r="74" spans="7:65" x14ac:dyDescent="0.2">
      <c r="G74" t="s">
        <v>1238</v>
      </c>
      <c r="M74" t="s">
        <v>1238</v>
      </c>
      <c r="BM74"/>
    </row>
    <row r="75" spans="7:65" x14ac:dyDescent="0.2">
      <c r="G75" t="s">
        <v>1238</v>
      </c>
      <c r="M75" t="s">
        <v>1238</v>
      </c>
      <c r="BM75"/>
    </row>
    <row r="76" spans="7:65" x14ac:dyDescent="0.2">
      <c r="G76" t="s">
        <v>1238</v>
      </c>
      <c r="M76" t="s">
        <v>1238</v>
      </c>
      <c r="BM76"/>
    </row>
    <row r="77" spans="7:65" x14ac:dyDescent="0.2">
      <c r="G77" t="s">
        <v>1238</v>
      </c>
      <c r="M77" t="s">
        <v>1238</v>
      </c>
      <c r="BM77"/>
    </row>
    <row r="78" spans="7:65" x14ac:dyDescent="0.2">
      <c r="G78" t="s">
        <v>1238</v>
      </c>
      <c r="M78" t="s">
        <v>1238</v>
      </c>
      <c r="BM78"/>
    </row>
    <row r="79" spans="7:65" x14ac:dyDescent="0.2">
      <c r="G79" t="s">
        <v>1238</v>
      </c>
      <c r="M79" t="s">
        <v>1238</v>
      </c>
      <c r="BM79"/>
    </row>
    <row r="80" spans="7:65" x14ac:dyDescent="0.2">
      <c r="G80" t="s">
        <v>1238</v>
      </c>
      <c r="M80" t="s">
        <v>1238</v>
      </c>
      <c r="BM80"/>
    </row>
    <row r="81" spans="7:65" x14ac:dyDescent="0.2">
      <c r="G81" t="s">
        <v>1238</v>
      </c>
      <c r="M81" t="s">
        <v>1238</v>
      </c>
      <c r="BM81"/>
    </row>
    <row r="82" spans="7:65" x14ac:dyDescent="0.2">
      <c r="G82" t="s">
        <v>1238</v>
      </c>
      <c r="M82" t="s">
        <v>1238</v>
      </c>
      <c r="BM82"/>
    </row>
    <row r="83" spans="7:65" x14ac:dyDescent="0.2">
      <c r="G83" t="s">
        <v>1238</v>
      </c>
      <c r="M83" t="s">
        <v>1238</v>
      </c>
      <c r="BM83"/>
    </row>
    <row r="84" spans="7:65" x14ac:dyDescent="0.2">
      <c r="G84" t="s">
        <v>1238</v>
      </c>
      <c r="M84" t="s">
        <v>1238</v>
      </c>
      <c r="BM84"/>
    </row>
    <row r="85" spans="7:65" x14ac:dyDescent="0.2">
      <c r="G85" t="s">
        <v>1238</v>
      </c>
      <c r="M85" t="s">
        <v>1238</v>
      </c>
      <c r="BM85"/>
    </row>
    <row r="86" spans="7:65" x14ac:dyDescent="0.2">
      <c r="G86" t="s">
        <v>1238</v>
      </c>
      <c r="M86" t="s">
        <v>1238</v>
      </c>
      <c r="BM86"/>
    </row>
    <row r="87" spans="7:65" x14ac:dyDescent="0.2">
      <c r="G87" t="s">
        <v>1238</v>
      </c>
      <c r="M87" t="s">
        <v>1238</v>
      </c>
      <c r="BM87"/>
    </row>
    <row r="88" spans="7:65" x14ac:dyDescent="0.2">
      <c r="G88" t="s">
        <v>1238</v>
      </c>
      <c r="M88" t="s">
        <v>1238</v>
      </c>
      <c r="BM88"/>
    </row>
    <row r="89" spans="7:65" x14ac:dyDescent="0.2">
      <c r="G89" t="s">
        <v>1238</v>
      </c>
      <c r="M89" t="s">
        <v>1238</v>
      </c>
      <c r="BM89"/>
    </row>
    <row r="90" spans="7:65" x14ac:dyDescent="0.2">
      <c r="G90" t="s">
        <v>1238</v>
      </c>
      <c r="M90" t="s">
        <v>1238</v>
      </c>
      <c r="BM90"/>
    </row>
    <row r="91" spans="7:65" x14ac:dyDescent="0.2">
      <c r="G91" t="s">
        <v>1238</v>
      </c>
      <c r="M91" t="s">
        <v>1238</v>
      </c>
      <c r="BM91"/>
    </row>
    <row r="92" spans="7:65" x14ac:dyDescent="0.2">
      <c r="G92" t="s">
        <v>1238</v>
      </c>
      <c r="M92" t="s">
        <v>1238</v>
      </c>
      <c r="BM92"/>
    </row>
    <row r="93" spans="7:65" x14ac:dyDescent="0.2">
      <c r="G93" t="s">
        <v>1238</v>
      </c>
      <c r="M93" t="s">
        <v>1238</v>
      </c>
      <c r="BM93"/>
    </row>
    <row r="94" spans="7:65" x14ac:dyDescent="0.2">
      <c r="G94" t="s">
        <v>1238</v>
      </c>
      <c r="M94" t="s">
        <v>1238</v>
      </c>
      <c r="BM94"/>
    </row>
    <row r="95" spans="7:65" x14ac:dyDescent="0.2">
      <c r="G95" t="s">
        <v>1238</v>
      </c>
      <c r="M95" t="s">
        <v>1238</v>
      </c>
      <c r="BM95"/>
    </row>
    <row r="96" spans="7:65" x14ac:dyDescent="0.2">
      <c r="G96" t="s">
        <v>1238</v>
      </c>
      <c r="M96" t="s">
        <v>1238</v>
      </c>
      <c r="BM96"/>
    </row>
    <row r="97" spans="7:65" x14ac:dyDescent="0.2">
      <c r="G97" t="s">
        <v>1238</v>
      </c>
      <c r="M97" t="s">
        <v>1238</v>
      </c>
      <c r="BM97"/>
    </row>
    <row r="98" spans="7:65" x14ac:dyDescent="0.2">
      <c r="G98" t="s">
        <v>1238</v>
      </c>
      <c r="M98" t="s">
        <v>1238</v>
      </c>
      <c r="BM98"/>
    </row>
    <row r="99" spans="7:65" x14ac:dyDescent="0.2">
      <c r="G99" t="s">
        <v>1238</v>
      </c>
      <c r="M99" t="s">
        <v>1238</v>
      </c>
      <c r="BM99"/>
    </row>
    <row r="100" spans="7:65" x14ac:dyDescent="0.2">
      <c r="G100" t="s">
        <v>1238</v>
      </c>
      <c r="M100" t="s">
        <v>1238</v>
      </c>
      <c r="BM100"/>
    </row>
    <row r="101" spans="7:65" x14ac:dyDescent="0.2">
      <c r="G101" t="s">
        <v>1238</v>
      </c>
      <c r="M101" t="s">
        <v>1238</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spans="7:65" x14ac:dyDescent="0.2">
      <c r="G113"/>
      <c r="M113"/>
      <c r="BM113"/>
    </row>
    <row r="114" spans="7:65" x14ac:dyDescent="0.2">
      <c r="G114"/>
      <c r="M114"/>
      <c r="BM114"/>
    </row>
    <row r="115" spans="7:65" x14ac:dyDescent="0.2">
      <c r="G115"/>
      <c r="M115"/>
      <c r="BM115"/>
    </row>
    <row r="116" spans="7:65" x14ac:dyDescent="0.2">
      <c r="G116"/>
      <c r="M116"/>
      <c r="BM116"/>
    </row>
    <row r="117" spans="7:65" x14ac:dyDescent="0.2">
      <c r="G117"/>
      <c r="M117"/>
      <c r="BM117"/>
    </row>
    <row r="118" spans="7:65" x14ac:dyDescent="0.2">
      <c r="G118"/>
      <c r="M118"/>
      <c r="BM118"/>
    </row>
    <row r="119" spans="7:65" x14ac:dyDescent="0.2">
      <c r="G119"/>
      <c r="M119"/>
      <c r="BM119"/>
    </row>
    <row r="120" spans="7:65" x14ac:dyDescent="0.2">
      <c r="G120"/>
      <c r="M120"/>
      <c r="BM120"/>
    </row>
    <row r="121" spans="7:65" x14ac:dyDescent="0.2">
      <c r="G121"/>
      <c r="M121"/>
      <c r="BM121"/>
    </row>
    <row r="122" spans="7:65" x14ac:dyDescent="0.2">
      <c r="G122"/>
      <c r="M122"/>
      <c r="BM122"/>
    </row>
    <row r="123" spans="7:65" x14ac:dyDescent="0.2">
      <c r="G123"/>
      <c r="M123"/>
      <c r="BM123"/>
    </row>
    <row r="124" spans="7:65" x14ac:dyDescent="0.2">
      <c r="G124"/>
      <c r="M124"/>
      <c r="BM124"/>
    </row>
    <row r="125" spans="7:65" x14ac:dyDescent="0.2">
      <c r="G125"/>
      <c r="M125"/>
      <c r="BM125"/>
    </row>
    <row r="126" spans="7:65" x14ac:dyDescent="0.2">
      <c r="G126"/>
      <c r="M126"/>
      <c r="BM126"/>
    </row>
    <row r="127" spans="7:65" x14ac:dyDescent="0.2">
      <c r="G127"/>
      <c r="M127"/>
      <c r="BM127"/>
    </row>
    <row r="128" spans="7:65" x14ac:dyDescent="0.2">
      <c r="G128"/>
      <c r="M128"/>
      <c r="BM128"/>
    </row>
    <row r="129" spans="7:65" x14ac:dyDescent="0.2">
      <c r="G129"/>
      <c r="M129"/>
      <c r="BM129"/>
    </row>
    <row r="130" spans="7:65" x14ac:dyDescent="0.2">
      <c r="G130"/>
      <c r="M130"/>
      <c r="BM130"/>
    </row>
    <row r="131" spans="7:65" x14ac:dyDescent="0.2">
      <c r="G131"/>
      <c r="M131"/>
      <c r="BM131"/>
    </row>
    <row r="132" spans="7:65" x14ac:dyDescent="0.2">
      <c r="G132"/>
      <c r="M132"/>
      <c r="BM132"/>
    </row>
    <row r="133" spans="7:65" x14ac:dyDescent="0.2">
      <c r="G133"/>
      <c r="M133"/>
      <c r="BM133"/>
    </row>
    <row r="134" spans="7:65" x14ac:dyDescent="0.2">
      <c r="G134"/>
      <c r="M134"/>
      <c r="BM134"/>
    </row>
    <row r="135" spans="7:65" x14ac:dyDescent="0.2">
      <c r="G135"/>
      <c r="M135"/>
      <c r="BM135"/>
    </row>
    <row r="136" spans="7:65" x14ac:dyDescent="0.2">
      <c r="G136"/>
      <c r="M136"/>
      <c r="BM136"/>
    </row>
    <row r="137" spans="7:65" x14ac:dyDescent="0.2">
      <c r="G137"/>
      <c r="M137"/>
      <c r="BM137"/>
    </row>
    <row r="138" spans="7:65" x14ac:dyDescent="0.2">
      <c r="G138"/>
      <c r="M138"/>
      <c r="BM138"/>
    </row>
    <row r="139" spans="7:65" x14ac:dyDescent="0.2">
      <c r="G139"/>
      <c r="M139"/>
      <c r="BM139"/>
    </row>
    <row r="140" spans="7:65" x14ac:dyDescent="0.2">
      <c r="G140"/>
      <c r="M140"/>
      <c r="BM140"/>
    </row>
    <row r="141" spans="7:65" x14ac:dyDescent="0.2">
      <c r="G141"/>
      <c r="M141"/>
      <c r="BM141"/>
    </row>
    <row r="142" spans="7:65" x14ac:dyDescent="0.2">
      <c r="G142"/>
      <c r="M142"/>
      <c r="BM142"/>
    </row>
    <row r="143" spans="7:65" x14ac:dyDescent="0.2">
      <c r="G143"/>
      <c r="M143"/>
      <c r="BM143"/>
    </row>
    <row r="144" spans="7:65" x14ac:dyDescent="0.2">
      <c r="G144"/>
      <c r="M144"/>
      <c r="BM144"/>
    </row>
    <row r="145" spans="7:65" x14ac:dyDescent="0.2">
      <c r="G145"/>
      <c r="M145"/>
      <c r="BM145"/>
    </row>
    <row r="146" spans="7:65" x14ac:dyDescent="0.2">
      <c r="G146"/>
      <c r="M146"/>
      <c r="BM146"/>
    </row>
    <row r="147" spans="7:65" x14ac:dyDescent="0.2">
      <c r="G147"/>
      <c r="M147"/>
      <c r="BM147"/>
    </row>
    <row r="148" spans="7:65" x14ac:dyDescent="0.2">
      <c r="G148"/>
      <c r="M148"/>
      <c r="BM148"/>
    </row>
    <row r="149" spans="7:65" x14ac:dyDescent="0.2">
      <c r="G149"/>
      <c r="M149"/>
      <c r="BM149"/>
    </row>
    <row r="150" spans="7:65" x14ac:dyDescent="0.2">
      <c r="G150"/>
      <c r="M150"/>
      <c r="BM150"/>
    </row>
    <row r="151" spans="7:65" x14ac:dyDescent="0.2">
      <c r="G151"/>
      <c r="M151"/>
      <c r="BM151"/>
    </row>
    <row r="152" spans="7:65" x14ac:dyDescent="0.2">
      <c r="G152"/>
      <c r="M152"/>
      <c r="BM152"/>
    </row>
    <row r="153" spans="7:65" x14ac:dyDescent="0.2">
      <c r="G153"/>
      <c r="M153"/>
      <c r="BM153"/>
    </row>
    <row r="154" spans="7:65" x14ac:dyDescent="0.2">
      <c r="G154"/>
      <c r="M154"/>
      <c r="BM154"/>
    </row>
    <row r="155" spans="7:65" x14ac:dyDescent="0.2">
      <c r="G155"/>
      <c r="M155"/>
      <c r="BM155"/>
    </row>
    <row r="156" spans="7:65" x14ac:dyDescent="0.2">
      <c r="G156"/>
      <c r="M156"/>
      <c r="BM156"/>
    </row>
    <row r="157" spans="7:65" x14ac:dyDescent="0.2">
      <c r="G157"/>
      <c r="M157"/>
      <c r="BM157"/>
    </row>
    <row r="158" spans="7:65" x14ac:dyDescent="0.2">
      <c r="G158"/>
      <c r="M158"/>
      <c r="BM158"/>
    </row>
    <row r="159" spans="7:65" x14ac:dyDescent="0.2">
      <c r="G159"/>
      <c r="M159"/>
      <c r="BM159"/>
    </row>
    <row r="160" spans="7:65" x14ac:dyDescent="0.2">
      <c r="G160"/>
      <c r="M160"/>
      <c r="BM160"/>
    </row>
    <row r="161" spans="7:65" x14ac:dyDescent="0.2">
      <c r="G161"/>
      <c r="M161"/>
      <c r="BM161"/>
    </row>
    <row r="162" spans="7:65" x14ac:dyDescent="0.2">
      <c r="G162"/>
      <c r="M162"/>
      <c r="BM162"/>
    </row>
    <row r="163" spans="7:65" x14ac:dyDescent="0.2">
      <c r="G163"/>
      <c r="M163"/>
      <c r="BM163"/>
    </row>
    <row r="164" spans="7:65" x14ac:dyDescent="0.2">
      <c r="G164"/>
      <c r="M164"/>
      <c r="BM164"/>
    </row>
    <row r="165" spans="7:65" x14ac:dyDescent="0.2">
      <c r="G165"/>
      <c r="M165"/>
      <c r="BM165"/>
    </row>
    <row r="166" spans="7:65" x14ac:dyDescent="0.2">
      <c r="G166"/>
      <c r="M166"/>
      <c r="BM166"/>
    </row>
    <row r="167" spans="7:65" x14ac:dyDescent="0.2">
      <c r="G167"/>
      <c r="M167"/>
      <c r="BM167"/>
    </row>
    <row r="168" spans="7:65" x14ac:dyDescent="0.2">
      <c r="G168"/>
      <c r="M168"/>
      <c r="BM168"/>
    </row>
    <row r="169" spans="7:65" x14ac:dyDescent="0.2">
      <c r="G169"/>
      <c r="M169"/>
      <c r="BM169"/>
    </row>
    <row r="170" spans="7:65" x14ac:dyDescent="0.2">
      <c r="G170"/>
      <c r="M170"/>
      <c r="BM170"/>
    </row>
    <row r="171" spans="7:65" x14ac:dyDescent="0.2">
      <c r="G171"/>
      <c r="M171"/>
      <c r="BM171"/>
    </row>
    <row r="172" spans="7:65" x14ac:dyDescent="0.2">
      <c r="G172"/>
      <c r="M172"/>
      <c r="BM172"/>
    </row>
    <row r="173" spans="7:65" x14ac:dyDescent="0.2">
      <c r="G173"/>
      <c r="M173"/>
      <c r="BM173"/>
    </row>
    <row r="174" spans="7:65" x14ac:dyDescent="0.2">
      <c r="G174"/>
      <c r="M174"/>
      <c r="BM174"/>
    </row>
    <row r="175" spans="7:65" x14ac:dyDescent="0.2">
      <c r="G175"/>
      <c r="M175"/>
      <c r="BM175"/>
    </row>
    <row r="176" spans="7:65" x14ac:dyDescent="0.2">
      <c r="G176"/>
      <c r="M176"/>
      <c r="BM176"/>
    </row>
    <row r="177" spans="7:65" x14ac:dyDescent="0.2">
      <c r="G177"/>
      <c r="M177"/>
      <c r="BM177"/>
    </row>
    <row r="178" spans="7:65" x14ac:dyDescent="0.2">
      <c r="G178"/>
      <c r="M178"/>
      <c r="BM178"/>
    </row>
    <row r="179" spans="7:65" x14ac:dyDescent="0.2">
      <c r="G179"/>
      <c r="M179"/>
      <c r="BM179"/>
    </row>
    <row r="180" spans="7:65" x14ac:dyDescent="0.2">
      <c r="G180"/>
      <c r="M180"/>
      <c r="BM180"/>
    </row>
    <row r="181" spans="7:65" x14ac:dyDescent="0.2">
      <c r="G181"/>
      <c r="M181"/>
      <c r="BM181"/>
    </row>
    <row r="182" spans="7:65" x14ac:dyDescent="0.2">
      <c r="G182"/>
      <c r="M182"/>
      <c r="BM182"/>
    </row>
    <row r="183" spans="7:65" x14ac:dyDescent="0.2">
      <c r="G183"/>
      <c r="M183"/>
      <c r="BM183"/>
    </row>
    <row r="184" spans="7:65" x14ac:dyDescent="0.2">
      <c r="G184"/>
      <c r="M184"/>
      <c r="BM184"/>
    </row>
    <row r="185" spans="7:65" x14ac:dyDescent="0.2">
      <c r="G185"/>
      <c r="M185"/>
      <c r="BM185"/>
    </row>
    <row r="186" spans="7:65" x14ac:dyDescent="0.2">
      <c r="G186"/>
      <c r="M186"/>
      <c r="BM186"/>
    </row>
    <row r="187" spans="7:65" x14ac:dyDescent="0.2">
      <c r="G187"/>
      <c r="M187"/>
      <c r="BM187"/>
    </row>
    <row r="188" spans="7:65" x14ac:dyDescent="0.2">
      <c r="G188"/>
      <c r="M188"/>
      <c r="BM188"/>
    </row>
    <row r="189" spans="7:65" x14ac:dyDescent="0.2">
      <c r="G189"/>
      <c r="M189"/>
      <c r="BM189"/>
    </row>
    <row r="190" spans="7:65" x14ac:dyDescent="0.2">
      <c r="G190"/>
      <c r="M190"/>
      <c r="BM190"/>
    </row>
    <row r="191" spans="7:65" x14ac:dyDescent="0.2">
      <c r="G191"/>
      <c r="M191"/>
      <c r="BM191"/>
    </row>
    <row r="192" spans="7:65" x14ac:dyDescent="0.2">
      <c r="G192"/>
      <c r="M192"/>
      <c r="BM192"/>
    </row>
    <row r="193" spans="7:65" x14ac:dyDescent="0.2">
      <c r="G193"/>
      <c r="M193"/>
      <c r="BM193"/>
    </row>
    <row r="194" spans="7:65" x14ac:dyDescent="0.2">
      <c r="G194"/>
      <c r="M194"/>
      <c r="BM194"/>
    </row>
    <row r="195" spans="7:65" x14ac:dyDescent="0.2">
      <c r="G195"/>
      <c r="M195"/>
      <c r="BM195"/>
    </row>
    <row r="196" spans="7:65" x14ac:dyDescent="0.2">
      <c r="G196"/>
      <c r="M196"/>
      <c r="BM196"/>
    </row>
    <row r="197" spans="7:65" x14ac:dyDescent="0.2">
      <c r="G197"/>
      <c r="M197"/>
      <c r="BM197"/>
    </row>
    <row r="198" spans="7:65" x14ac:dyDescent="0.2">
      <c r="G198"/>
      <c r="M198"/>
      <c r="BM198"/>
    </row>
    <row r="199" spans="7:65" x14ac:dyDescent="0.2">
      <c r="G199"/>
      <c r="M199"/>
      <c r="BM199"/>
    </row>
    <row r="200" spans="7:65" x14ac:dyDescent="0.2">
      <c r="G200"/>
      <c r="M200"/>
      <c r="BM200"/>
    </row>
    <row r="201" spans="7:65" x14ac:dyDescent="0.2">
      <c r="G201"/>
      <c r="M201"/>
      <c r="BM201"/>
    </row>
    <row r="202" spans="7:65" x14ac:dyDescent="0.2">
      <c r="G202"/>
      <c r="M202"/>
      <c r="BM202"/>
    </row>
    <row r="203" spans="7:65" x14ac:dyDescent="0.2">
      <c r="G203"/>
      <c r="M203"/>
      <c r="BM203"/>
    </row>
    <row r="204" spans="7:65" x14ac:dyDescent="0.2">
      <c r="G204"/>
      <c r="M204"/>
      <c r="BM204"/>
    </row>
    <row r="205" spans="7:65" x14ac:dyDescent="0.2">
      <c r="G205"/>
      <c r="M205"/>
      <c r="BM205"/>
    </row>
    <row r="206" spans="7:65" x14ac:dyDescent="0.2">
      <c r="G206"/>
      <c r="M206"/>
      <c r="BM206"/>
    </row>
    <row r="207" spans="7:65" x14ac:dyDescent="0.2">
      <c r="G207"/>
      <c r="M207"/>
      <c r="BM207"/>
    </row>
    <row r="208" spans="7:65" x14ac:dyDescent="0.2">
      <c r="G208"/>
      <c r="M208"/>
      <c r="BM208"/>
    </row>
    <row r="209" spans="7:65" x14ac:dyDescent="0.2">
      <c r="G209"/>
      <c r="M209"/>
      <c r="BM209"/>
    </row>
    <row r="210" spans="7:65" x14ac:dyDescent="0.2">
      <c r="G210"/>
      <c r="M210"/>
      <c r="BM210"/>
    </row>
    <row r="211" spans="7:65" x14ac:dyDescent="0.2">
      <c r="G211"/>
      <c r="M211"/>
      <c r="BM211"/>
    </row>
    <row r="212" spans="7:65" x14ac:dyDescent="0.2">
      <c r="G212"/>
      <c r="M212"/>
      <c r="BM212"/>
    </row>
    <row r="213" spans="7:65" x14ac:dyDescent="0.2">
      <c r="G213"/>
      <c r="M213"/>
      <c r="BM213"/>
    </row>
    <row r="214" spans="7:65" x14ac:dyDescent="0.2">
      <c r="G214"/>
      <c r="M214"/>
      <c r="BM214"/>
    </row>
    <row r="215" spans="7:65" x14ac:dyDescent="0.2">
      <c r="G215"/>
      <c r="M215"/>
      <c r="BM215"/>
    </row>
    <row r="216" spans="7:65" x14ac:dyDescent="0.2">
      <c r="G216"/>
      <c r="M216"/>
      <c r="BM216"/>
    </row>
    <row r="217" spans="7:65" x14ac:dyDescent="0.2">
      <c r="G217"/>
      <c r="M217"/>
      <c r="BM217"/>
    </row>
    <row r="218" spans="7:65" x14ac:dyDescent="0.2">
      <c r="G218"/>
      <c r="M218"/>
      <c r="BM218"/>
    </row>
    <row r="219" spans="7:65" x14ac:dyDescent="0.2">
      <c r="G219"/>
      <c r="M219"/>
      <c r="BM219"/>
    </row>
    <row r="220" spans="7:65" x14ac:dyDescent="0.2">
      <c r="G220"/>
      <c r="M220"/>
      <c r="BM220"/>
    </row>
    <row r="221" spans="7:65" x14ac:dyDescent="0.2">
      <c r="G221"/>
      <c r="M221"/>
      <c r="BM221"/>
    </row>
    <row r="222" spans="7:65" x14ac:dyDescent="0.2">
      <c r="G222"/>
      <c r="M222"/>
      <c r="BM222"/>
    </row>
    <row r="223" spans="7:65" x14ac:dyDescent="0.2">
      <c r="G223"/>
      <c r="M223"/>
      <c r="BM223"/>
    </row>
    <row r="224" spans="7:65" x14ac:dyDescent="0.2">
      <c r="G224"/>
      <c r="M224"/>
      <c r="BM224"/>
    </row>
    <row r="225" spans="7:65" x14ac:dyDescent="0.2">
      <c r="G225"/>
      <c r="M225"/>
      <c r="BM225"/>
    </row>
    <row r="226" spans="7:65" x14ac:dyDescent="0.2">
      <c r="G226"/>
      <c r="M226"/>
      <c r="BM226"/>
    </row>
    <row r="227" spans="7:65" x14ac:dyDescent="0.2">
      <c r="G227"/>
      <c r="M227"/>
      <c r="BM227"/>
    </row>
    <row r="228" spans="7:65" x14ac:dyDescent="0.2">
      <c r="G228"/>
      <c r="M228"/>
      <c r="BM228"/>
    </row>
    <row r="229" spans="7:65" x14ac:dyDescent="0.2">
      <c r="G229"/>
      <c r="M229"/>
      <c r="BM229"/>
    </row>
    <row r="230" spans="7:65" x14ac:dyDescent="0.2">
      <c r="G230"/>
      <c r="M230"/>
      <c r="BM230"/>
    </row>
    <row r="231" spans="7:65" x14ac:dyDescent="0.2">
      <c r="G231"/>
      <c r="M231"/>
      <c r="BM231"/>
    </row>
    <row r="232" spans="7:65" x14ac:dyDescent="0.2">
      <c r="G232"/>
      <c r="M232"/>
      <c r="BM232"/>
    </row>
    <row r="233" spans="7:65" x14ac:dyDescent="0.2">
      <c r="G233"/>
      <c r="M233"/>
      <c r="BM233"/>
    </row>
    <row r="234" spans="7:65" x14ac:dyDescent="0.2">
      <c r="G234"/>
      <c r="M234"/>
      <c r="BM234"/>
    </row>
    <row r="235" spans="7:65" x14ac:dyDescent="0.2">
      <c r="G235"/>
      <c r="M235"/>
      <c r="BM235"/>
    </row>
    <row r="236" spans="7:65" x14ac:dyDescent="0.2">
      <c r="G236"/>
      <c r="M236"/>
      <c r="BM236"/>
    </row>
    <row r="237" spans="7:65" x14ac:dyDescent="0.2">
      <c r="G237"/>
      <c r="M237"/>
      <c r="BM237"/>
    </row>
    <row r="238" spans="7:65" x14ac:dyDescent="0.2">
      <c r="G238"/>
      <c r="M238"/>
      <c r="BM238"/>
    </row>
    <row r="239" spans="7:65" x14ac:dyDescent="0.2">
      <c r="G239"/>
      <c r="M239"/>
      <c r="BM239"/>
    </row>
    <row r="240" spans="7:65" x14ac:dyDescent="0.2">
      <c r="G240"/>
      <c r="M240"/>
      <c r="BM240"/>
    </row>
    <row r="241" spans="7:65" x14ac:dyDescent="0.2">
      <c r="G241"/>
      <c r="M241"/>
      <c r="BM241"/>
    </row>
    <row r="242" spans="7:65" x14ac:dyDescent="0.2">
      <c r="G242"/>
      <c r="M242"/>
      <c r="BM242"/>
    </row>
    <row r="243" spans="7:65" x14ac:dyDescent="0.2">
      <c r="G243"/>
      <c r="M243"/>
      <c r="BM243"/>
    </row>
    <row r="244" spans="7:65" x14ac:dyDescent="0.2">
      <c r="G244"/>
      <c r="M244"/>
      <c r="BM244"/>
    </row>
    <row r="245" spans="7:65" x14ac:dyDescent="0.2">
      <c r="G245"/>
      <c r="M245"/>
      <c r="BM245"/>
    </row>
    <row r="246" spans="7:65" x14ac:dyDescent="0.2">
      <c r="G246"/>
      <c r="M246"/>
      <c r="BM246"/>
    </row>
    <row r="247" spans="7:65" x14ac:dyDescent="0.2">
      <c r="G247"/>
      <c r="M247"/>
      <c r="BM247"/>
    </row>
    <row r="248" spans="7:65" x14ac:dyDescent="0.2">
      <c r="G248"/>
      <c r="M248"/>
      <c r="BM248"/>
    </row>
    <row r="249" spans="7:65" x14ac:dyDescent="0.2">
      <c r="G249"/>
      <c r="M249"/>
      <c r="BM249"/>
    </row>
    <row r="250" spans="7:65" x14ac:dyDescent="0.2">
      <c r="G250"/>
      <c r="M250"/>
      <c r="BM250"/>
    </row>
    <row r="251" spans="7:65" x14ac:dyDescent="0.2">
      <c r="G251"/>
      <c r="M251"/>
      <c r="BM251"/>
    </row>
    <row r="252" spans="7:65" x14ac:dyDescent="0.2">
      <c r="G252"/>
      <c r="M252"/>
      <c r="BM252"/>
    </row>
    <row r="253" spans="7:65" x14ac:dyDescent="0.2">
      <c r="G253"/>
      <c r="M253"/>
      <c r="BM253"/>
    </row>
    <row r="254" spans="7:65" x14ac:dyDescent="0.2">
      <c r="G254"/>
      <c r="M254"/>
      <c r="BM254"/>
    </row>
    <row r="255" spans="7:65" x14ac:dyDescent="0.2">
      <c r="G255"/>
      <c r="M255"/>
      <c r="BM255"/>
    </row>
    <row r="256" spans="7:65" x14ac:dyDescent="0.2">
      <c r="G256"/>
      <c r="M256"/>
      <c r="BM256"/>
    </row>
    <row r="257" spans="7:65" x14ac:dyDescent="0.2">
      <c r="G257"/>
      <c r="M257"/>
      <c r="BM257"/>
    </row>
    <row r="258" spans="7:65" x14ac:dyDescent="0.2">
      <c r="G258"/>
      <c r="M258"/>
      <c r="BM258"/>
    </row>
    <row r="259" spans="7:65" x14ac:dyDescent="0.2">
      <c r="G259"/>
      <c r="M259"/>
      <c r="BM259"/>
    </row>
    <row r="260" spans="7:65" x14ac:dyDescent="0.2">
      <c r="G260"/>
      <c r="M260"/>
      <c r="BM260"/>
    </row>
    <row r="261" spans="7:65" x14ac:dyDescent="0.2">
      <c r="G261"/>
      <c r="M261"/>
      <c r="BM261"/>
    </row>
    <row r="262" spans="7:65" x14ac:dyDescent="0.2">
      <c r="G262"/>
      <c r="M262"/>
      <c r="BM262"/>
    </row>
    <row r="263" spans="7:65" x14ac:dyDescent="0.2">
      <c r="G263"/>
      <c r="M263"/>
      <c r="BM263"/>
    </row>
    <row r="264" spans="7:65" x14ac:dyDescent="0.2">
      <c r="G264"/>
      <c r="M264"/>
      <c r="BM264"/>
    </row>
    <row r="265" spans="7:65" x14ac:dyDescent="0.2">
      <c r="G265"/>
      <c r="M265"/>
      <c r="BM265"/>
    </row>
    <row r="266" spans="7:65" x14ac:dyDescent="0.2">
      <c r="G266"/>
      <c r="M266"/>
      <c r="BM266"/>
    </row>
    <row r="267" spans="7:65" x14ac:dyDescent="0.2">
      <c r="G267"/>
      <c r="M267"/>
      <c r="BM267"/>
    </row>
    <row r="268" spans="7:65" x14ac:dyDescent="0.2">
      <c r="G268"/>
      <c r="M268"/>
      <c r="BM268"/>
    </row>
    <row r="269" spans="7:65" x14ac:dyDescent="0.2">
      <c r="G269"/>
      <c r="M269"/>
      <c r="BM269"/>
    </row>
    <row r="270" spans="7:65" x14ac:dyDescent="0.2">
      <c r="G270"/>
      <c r="M270"/>
      <c r="BM270"/>
    </row>
    <row r="271" spans="7:65" x14ac:dyDescent="0.2">
      <c r="G271"/>
      <c r="M271"/>
      <c r="BM271"/>
    </row>
    <row r="272" spans="7:65" x14ac:dyDescent="0.2">
      <c r="G272"/>
      <c r="M272"/>
      <c r="BM272"/>
    </row>
    <row r="273" spans="7:65" x14ac:dyDescent="0.2">
      <c r="G273"/>
      <c r="M273"/>
      <c r="BM273"/>
    </row>
    <row r="274" spans="7:65" x14ac:dyDescent="0.2">
      <c r="G274"/>
      <c r="M274"/>
      <c r="BM274"/>
    </row>
    <row r="275" spans="7:65" x14ac:dyDescent="0.2">
      <c r="G275"/>
      <c r="M275"/>
      <c r="BM275"/>
    </row>
    <row r="276" spans="7:65" x14ac:dyDescent="0.2">
      <c r="G276"/>
      <c r="M276"/>
      <c r="BM276"/>
    </row>
    <row r="277" spans="7:65" x14ac:dyDescent="0.2">
      <c r="G277"/>
      <c r="M277"/>
      <c r="BM277"/>
    </row>
    <row r="278" spans="7:65" x14ac:dyDescent="0.2">
      <c r="G278"/>
      <c r="M278"/>
      <c r="BM278"/>
    </row>
    <row r="279" spans="7:65" x14ac:dyDescent="0.2">
      <c r="G279"/>
      <c r="M279"/>
      <c r="BM279"/>
    </row>
    <row r="280" spans="7:65" x14ac:dyDescent="0.2">
      <c r="G280"/>
      <c r="M280"/>
      <c r="BM280"/>
    </row>
    <row r="281" spans="7:65" x14ac:dyDescent="0.2">
      <c r="G281"/>
      <c r="M281"/>
      <c r="BM281"/>
    </row>
    <row r="282" spans="7:65" x14ac:dyDescent="0.2">
      <c r="G282"/>
      <c r="M282"/>
      <c r="BM282"/>
    </row>
    <row r="283" spans="7:65" x14ac:dyDescent="0.2">
      <c r="G283"/>
      <c r="M283"/>
      <c r="BM283"/>
    </row>
    <row r="284" spans="7:65" x14ac:dyDescent="0.2">
      <c r="G284"/>
      <c r="M284"/>
      <c r="BM284"/>
    </row>
    <row r="285" spans="7:65" x14ac:dyDescent="0.2">
      <c r="G285"/>
      <c r="M285"/>
      <c r="BM285"/>
    </row>
    <row r="286" spans="7:65" x14ac:dyDescent="0.2">
      <c r="G286"/>
      <c r="M286"/>
      <c r="BM286"/>
    </row>
    <row r="287" spans="7:65" x14ac:dyDescent="0.2">
      <c r="G287"/>
      <c r="M287"/>
      <c r="BM287"/>
    </row>
    <row r="288" spans="7:65" x14ac:dyDescent="0.2">
      <c r="G288"/>
      <c r="M288"/>
      <c r="BM288"/>
    </row>
    <row r="289" spans="7:65" x14ac:dyDescent="0.2">
      <c r="G289"/>
      <c r="M289"/>
      <c r="BM289"/>
    </row>
    <row r="290" spans="7:65" x14ac:dyDescent="0.2">
      <c r="G290"/>
      <c r="M290"/>
      <c r="BM290"/>
    </row>
    <row r="291" spans="7:65" x14ac:dyDescent="0.2">
      <c r="G291"/>
      <c r="M291"/>
      <c r="BM291"/>
    </row>
    <row r="292" spans="7:65" x14ac:dyDescent="0.2">
      <c r="G292"/>
      <c r="M292"/>
      <c r="BM292"/>
    </row>
    <row r="293" spans="7:65" x14ac:dyDescent="0.2">
      <c r="G293"/>
      <c r="M293"/>
      <c r="BM293"/>
    </row>
    <row r="294" spans="7:65" x14ac:dyDescent="0.2">
      <c r="G294"/>
      <c r="M294"/>
      <c r="BM294"/>
    </row>
    <row r="295" spans="7:65" x14ac:dyDescent="0.2">
      <c r="G295"/>
      <c r="M295"/>
      <c r="BM295"/>
    </row>
    <row r="296" spans="7:65" x14ac:dyDescent="0.2">
      <c r="G296"/>
      <c r="M296"/>
      <c r="BM296"/>
    </row>
    <row r="297" spans="7:65" x14ac:dyDescent="0.2">
      <c r="G297"/>
      <c r="M297"/>
      <c r="BM297"/>
    </row>
    <row r="298" spans="7:65" x14ac:dyDescent="0.2">
      <c r="G298"/>
      <c r="M298"/>
      <c r="BM298"/>
    </row>
    <row r="299" spans="7:65" x14ac:dyDescent="0.2">
      <c r="G299"/>
      <c r="M299"/>
      <c r="BM299"/>
    </row>
    <row r="300" spans="7:65" x14ac:dyDescent="0.2">
      <c r="G300"/>
      <c r="M300"/>
      <c r="BM300"/>
    </row>
    <row r="301" spans="7:65" x14ac:dyDescent="0.2">
      <c r="G301"/>
      <c r="M301"/>
      <c r="BM301"/>
    </row>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f ca="1">IFERROR('Demand background (hide)'!BJ20,"")</f>
        <v>0</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f ca="1">IFERROR('Demand background (hide)'!BK20,"")</f>
        <v>0.21756021756021757</v>
      </c>
      <c r="H7" s="230"/>
      <c r="J7" s="67"/>
    </row>
    <row r="8" spans="1:13" x14ac:dyDescent="0.2">
      <c r="A8" s="234" t="str">
        <f>Setup!B24</f>
        <v>Routine</v>
      </c>
      <c r="B8" s="154">
        <v>2</v>
      </c>
      <c r="C8" s="154">
        <v>6</v>
      </c>
      <c r="D8" s="277"/>
      <c r="E8" s="160" t="s">
        <v>402</v>
      </c>
      <c r="G8" s="227">
        <f ca="1">IFERROR('Demand background (hide)'!BL20,"")</f>
        <v>0.78243978243978252</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abSelected="1" zoomScale="102" zoomScaleNormal="100" workbookViewId="0">
      <selection activeCell="B27" sqref="B27:C27"/>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5" t="s">
        <v>1296</v>
      </c>
      <c r="G2" s="374" t="s">
        <v>1297</v>
      </c>
    </row>
    <row r="3" spans="2:21" ht="15" x14ac:dyDescent="0.25">
      <c r="E3" s="385" t="s">
        <v>1263</v>
      </c>
      <c r="G3" s="374" t="s">
        <v>1263</v>
      </c>
      <c r="H3" s="374" t="s">
        <v>1264</v>
      </c>
      <c r="I3" s="374"/>
      <c r="J3" s="374" t="s">
        <v>1265</v>
      </c>
      <c r="K3" s="374"/>
      <c r="L3" s="374" t="s">
        <v>1269</v>
      </c>
      <c r="M3" s="374"/>
      <c r="N3" s="374" t="s">
        <v>1268</v>
      </c>
      <c r="O3" s="374"/>
      <c r="P3" s="374" t="s">
        <v>1270</v>
      </c>
      <c r="R3" s="385"/>
    </row>
    <row r="4" spans="2:21" ht="15" x14ac:dyDescent="0.2">
      <c r="B4" s="480" t="s">
        <v>884</v>
      </c>
      <c r="C4" s="480"/>
      <c r="D4" s="480"/>
      <c r="E4" s="388"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91">
        <v>44197</v>
      </c>
    </row>
    <row r="14" spans="2:21" ht="15" x14ac:dyDescent="0.25">
      <c r="B14" s="369" t="s">
        <v>1253</v>
      </c>
    </row>
    <row r="15" spans="2:21" s="67" customFormat="1" ht="40.9" customHeight="1" x14ac:dyDescent="0.2">
      <c r="B15" s="373">
        <v>0</v>
      </c>
      <c r="C15" s="373" t="s">
        <v>1293</v>
      </c>
    </row>
    <row r="16" spans="2:21" s="67" customFormat="1" ht="51" customHeight="1" x14ac:dyDescent="0.2">
      <c r="B16" s="372" t="s">
        <v>1262</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81" t="str">
        <f ca="1">"On aggregate, 1 patient = "&amp;TEXT('Demand background (hide)'!$BN$16,"#.#")&amp;" "&amp;Setup!$I$17</f>
        <v>On aggregate, 1 patient = 37. Minutes</v>
      </c>
      <c r="E24" s="481"/>
      <c r="F24" s="481"/>
      <c r="G24" s="481"/>
      <c r="H24" s="481"/>
      <c r="I24" s="481"/>
      <c r="J24" s="481"/>
      <c r="K24" s="481"/>
      <c r="P24" s="170" t="s">
        <v>500</v>
      </c>
    </row>
    <row r="26" spans="2:16" s="67" customFormat="1" x14ac:dyDescent="0.2"/>
    <row r="27" spans="2:16" s="67" customFormat="1" ht="15" x14ac:dyDescent="0.25">
      <c r="B27" s="477" t="s">
        <v>302</v>
      </c>
      <c r="C27" s="477"/>
      <c r="D27" s="280" t="s">
        <v>497</v>
      </c>
      <c r="E27" s="280" t="s">
        <v>128</v>
      </c>
    </row>
    <row r="28" spans="2:16" s="67" customFormat="1" x14ac:dyDescent="0.2">
      <c r="B28" s="483" t="s">
        <v>1300</v>
      </c>
      <c r="C28" s="484"/>
      <c r="D28" s="387">
        <f ca="1">IFERROR('Summary Calculations (hide)'!N70,"")</f>
        <v>16.158881118881101</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You need an additional 4 slots to meet the 85th percentile of demand. It may be advisable to review your capacity if you have an urgent, or very variable service.</v>
      </c>
    </row>
    <row r="29" spans="2:16" s="67" customFormat="1" x14ac:dyDescent="0.2">
      <c r="B29" s="483" t="s">
        <v>1301</v>
      </c>
      <c r="C29" s="484"/>
      <c r="D29" s="275">
        <f ca="1">IFERROR('Summary Calculations (hide)'!M70,"")</f>
        <v>13.42111888111887</v>
      </c>
      <c r="E29" s="276" t="s">
        <v>499</v>
      </c>
      <c r="G29" s="274" t="str">
        <f ca="1">IF(D29&lt;&gt;"",IF(SUM(D32:D33)&lt;D29,"You need an additional "&amp;CEILING((D29-SUM(D32:D33)),1)&amp;IF($C$8="Patients"," slots",IF($C$8="Minutes"," minutes"," points"))&amp;" to meet the "&amp;Setup!$I$19&amp;"th percentile of demand. Your waiting list size is likely to increase over time.",""),"")</f>
        <v>You need an additional 1 slots to meet the 65th percentile of demand. Your waiting list size is likely to increase over time.</v>
      </c>
    </row>
    <row r="30" spans="2:16" s="67" customFormat="1" x14ac:dyDescent="0.2">
      <c r="B30" s="485" t="s">
        <v>503</v>
      </c>
      <c r="C30" s="486"/>
      <c r="D30" s="392">
        <f ca="1">IFERROR('Summary Calculations (hide)'!X70,"")</f>
        <v>12.046153846153853</v>
      </c>
      <c r="E30" s="393">
        <f ca="1">IFERROR('Summary Calculations (hide)'!X71,"")</f>
        <v>638.44615384615417</v>
      </c>
    </row>
    <row r="31" spans="2:16" s="67" customFormat="1" ht="15" x14ac:dyDescent="0.25">
      <c r="B31" s="144" t="s">
        <v>303</v>
      </c>
      <c r="C31" s="142"/>
    </row>
    <row r="32" spans="2:16" s="67" customFormat="1" x14ac:dyDescent="0.2">
      <c r="B32" s="483" t="s">
        <v>495</v>
      </c>
      <c r="C32" s="484"/>
      <c r="D32" s="275">
        <f ca="1">IFERROR('Summary Calculations (hide)'!R70,"")</f>
        <v>13.038461538461545</v>
      </c>
      <c r="E32" s="275">
        <f ca="1">IFERROR('Summary Calculations (hide)'!R71,"")</f>
        <v>691.03846153846189</v>
      </c>
      <c r="H32" s="5"/>
    </row>
    <row r="33" spans="2:21" s="67" customFormat="1" x14ac:dyDescent="0.2">
      <c r="B33" s="483" t="s">
        <v>496</v>
      </c>
      <c r="C33" s="484"/>
      <c r="D33" s="275" t="str">
        <f ca="1">IFERROR('Summary Calculations (hide)'!S70,"")</f>
        <v/>
      </c>
      <c r="E33" s="275" t="str">
        <f ca="1">IFERROR('Summary Calculations (hide)'!S71,"")</f>
        <v/>
      </c>
    </row>
    <row r="34" spans="2:21" s="67" customFormat="1" ht="15" x14ac:dyDescent="0.25">
      <c r="B34" s="144" t="s">
        <v>928</v>
      </c>
    </row>
    <row r="35" spans="2:21" s="67" customFormat="1" x14ac:dyDescent="0.2">
      <c r="B35" s="483" t="s">
        <v>927</v>
      </c>
      <c r="C35" s="484"/>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79" t="str">
        <f>"Current waiting list vs Estimated sustainable waiting list ("&amp;C8&amp;")"</f>
        <v>Current waiting list vs Estimated sustainable waiting list (Patients)</v>
      </c>
      <c r="C38" s="479"/>
      <c r="D38" s="479"/>
      <c r="E38" s="479"/>
      <c r="F38" s="479"/>
      <c r="G38" s="479"/>
      <c r="H38" s="479"/>
    </row>
    <row r="40" spans="2:21" ht="15" x14ac:dyDescent="0.25">
      <c r="B40" s="477" t="s">
        <v>489</v>
      </c>
      <c r="C40" s="478"/>
      <c r="D40" s="401" t="s">
        <v>249</v>
      </c>
      <c r="E40" s="403"/>
    </row>
    <row r="41" spans="2:21" x14ac:dyDescent="0.2">
      <c r="B41" s="345" t="str">
        <f>IF(AND(LEFT(Demand!C8,1)="H",'Demand adjustments for Covid'!F9="No"),"","WL predictions are disabled when forecast demand or Covid adjustments are enabled.")</f>
        <v/>
      </c>
    </row>
    <row r="42" spans="2:21" x14ac:dyDescent="0.2">
      <c r="B42" s="475" t="s">
        <v>1139</v>
      </c>
      <c r="C42" s="476"/>
      <c r="D42" s="330">
        <v>0</v>
      </c>
    </row>
    <row r="43" spans="2:21" x14ac:dyDescent="0.2">
      <c r="B43" s="475" t="s">
        <v>1140</v>
      </c>
      <c r="C43" s="476"/>
      <c r="D43" s="330">
        <v>0</v>
      </c>
    </row>
    <row r="49" spans="2:4" x14ac:dyDescent="0.2">
      <c r="B49" s="137" t="s">
        <v>305</v>
      </c>
      <c r="C49" s="482">
        <f ca="1">'Parameters calculator (hide)'!H67</f>
        <v>60</v>
      </c>
      <c r="D49" s="482"/>
    </row>
    <row r="50" spans="2:4" x14ac:dyDescent="0.2">
      <c r="B50" s="138" t="s">
        <v>306</v>
      </c>
      <c r="C50" s="474" t="str">
        <f ca="1">IFERROR(TEXT('Parameters calculator (hide)'!H66,"#,#")&amp;" - "&amp;TEXT('Parameters calculator (hide)'!I66,"#,#"),"")</f>
        <v>43 - 47</v>
      </c>
      <c r="D50" s="474"/>
    </row>
    <row r="53" spans="2:4" x14ac:dyDescent="0.2">
      <c r="B53" s="20" t="s">
        <v>307</v>
      </c>
      <c r="C53" s="474" t="str">
        <f ca="1">IFERROR('Parameters calculator (hide)'!H69,"")</f>
        <v>13 - 17</v>
      </c>
      <c r="D53" s="474"/>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1 - 2</v>
      </c>
      <c r="C61" t="str">
        <f>LOWER(C8)&amp;" per week to clear in the time specified"</f>
        <v>patients per week to clear in the time specified</v>
      </c>
    </row>
  </sheetData>
  <sheetProtection algorithmName="SHA-512" hashValue="JK6z+xJ+zbPZrLq/e/WC1WfG0FC46p3aHDlqppdHex6ZGionxjFG43B45arkQsDQdz7GoHu5S9kwjif0h+D5uA==" saltValue="gvgYXoib5s6gFyReWvia6w==" spinCount="100000" sheet="1" objects="1" scenarios="1"/>
  <mergeCells count="17">
    <mergeCell ref="B4:D4"/>
    <mergeCell ref="D40:E40"/>
    <mergeCell ref="D24:K24"/>
    <mergeCell ref="C49:D49"/>
    <mergeCell ref="C50:D50"/>
    <mergeCell ref="B27:C27"/>
    <mergeCell ref="B28:C28"/>
    <mergeCell ref="B29:C29"/>
    <mergeCell ref="B30:C30"/>
    <mergeCell ref="B32:C32"/>
    <mergeCell ref="B33:C33"/>
    <mergeCell ref="B35:C35"/>
    <mergeCell ref="C53:D53"/>
    <mergeCell ref="B42:C42"/>
    <mergeCell ref="B43:C43"/>
    <mergeCell ref="B40:C40"/>
    <mergeCell ref="B38:H38"/>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1237</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16" workbookViewId="0">
      <selection activeCell="I15" sqref="I15:I67"/>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150</v>
      </c>
      <c r="H4" t="s">
        <v>75</v>
      </c>
      <c r="I4" s="100">
        <f ca="1">'Parameters calculator (hide)'!B43</f>
        <v>0.1</v>
      </c>
      <c r="J4">
        <f ca="1">IF(Planning!C15="",'Summary Calculations (hide)'!I4,Planning!C15)</f>
        <v>0.1</v>
      </c>
      <c r="L4" s="67">
        <f ca="1">(1-J4)*(1-J5+(J6*J7))</f>
        <v>0.9</v>
      </c>
    </row>
    <row r="5" spans="1:24" x14ac:dyDescent="0.2">
      <c r="D5" t="s">
        <v>240</v>
      </c>
      <c r="E5" t="str">
        <f ca="1">IFERROR('SPC background (hide)'!D6,"")</f>
        <v/>
      </c>
      <c r="F5" t="e">
        <f ca="1">'SPC background (hide)'!H7+'Summary Calculations (hide)'!E5-1</f>
        <v>#VALUE!</v>
      </c>
      <c r="H5" t="s">
        <v>251</v>
      </c>
      <c r="I5" s="100">
        <f ca="1">'Parameters calculator (hide)'!B44</f>
        <v>0</v>
      </c>
      <c r="J5" s="67">
        <f ca="1">IF(Planning!C16="",'Summary Calculations (hide)'!I5,Planning!C16)</f>
        <v>0</v>
      </c>
    </row>
    <row r="6" spans="1:24" x14ac:dyDescent="0.2">
      <c r="D6" t="s">
        <v>241</v>
      </c>
      <c r="E6" t="str">
        <f ca="1">IFERROR('SPC background (hide)'!D8,"")</f>
        <v/>
      </c>
      <c r="F6" t="str">
        <f ca="1">IFERROR('SPC background (hide)'!H9-'Summary Calculations (hide)'!E6-1,"")</f>
        <v/>
      </c>
      <c r="H6" t="s">
        <v>99</v>
      </c>
      <c r="I6" s="100">
        <f ca="1">'Parameters calculator (hide)'!B45</f>
        <v>0.1</v>
      </c>
      <c r="J6" s="67">
        <f ca="1">IF(Planning!C17="",'Summary Calculations (hide)'!I6,Planning!C17)</f>
        <v>0.1</v>
      </c>
    </row>
    <row r="7" spans="1:24" x14ac:dyDescent="0.2">
      <c r="D7" t="s">
        <v>242</v>
      </c>
      <c r="E7" t="str">
        <f ca="1">IFERROR('SPC background (hide)'!D10,"")</f>
        <v/>
      </c>
      <c r="F7" t="str">
        <f ca="1">IFERROR('SPC background (hide)'!H11-'Summary Calculations (hide)'!E7-1,"")</f>
        <v/>
      </c>
      <c r="H7" t="s">
        <v>418</v>
      </c>
      <c r="I7" s="100">
        <f ca="1">'Parameters calculator (hide)'!B47</f>
        <v>0</v>
      </c>
      <c r="J7" s="67">
        <f ca="1">IF(Planning!C18="",'Summary Calculations (hide)'!I7,1-Planning!C18)</f>
        <v>0</v>
      </c>
    </row>
    <row r="9" spans="1:24" x14ac:dyDescent="0.2">
      <c r="H9" t="s">
        <v>422</v>
      </c>
      <c r="I9" s="5">
        <f ca="1">'Demand background (hide)'!BN16</f>
        <v>36.982758620689658</v>
      </c>
    </row>
    <row r="11" spans="1:24" x14ac:dyDescent="0.2">
      <c r="D11" t="s">
        <v>243</v>
      </c>
      <c r="E11" s="87">
        <f>IF(Summary!$B$13="",'Critical resources (hide)'!B6,Summary!$B$13)</f>
        <v>44197</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E11-WEEKDAY(E11,3)</f>
        <v>44193</v>
      </c>
      <c r="B15">
        <f>YEAR(A15)</f>
        <v>2020</v>
      </c>
      <c r="C15" s="67" t="str">
        <f>TEXT(A15,"MMM")</f>
        <v>Dec</v>
      </c>
      <c r="D15">
        <f t="shared" ref="D15:D46" si="0">WEEKNUM(A15,21)</f>
        <v>53</v>
      </c>
      <c r="E15" s="5">
        <f ca="1">IF(LEFT(Demand!$C$8,1)="H",VLOOKUP($D15,'SPC background (hide)'!$AG$2:$AS$54,12,0),'Demand background (hide)'!X4)</f>
        <v>551.5</v>
      </c>
      <c r="F15" s="5">
        <f ca="1">IF(LEFT(Demand!$C$8,1)="H",VLOOKUP($D15,'SPC background (hide)'!$AG$2:$AS$54,13,0),E15*1.1)</f>
        <v>664</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13.038461538461538</v>
      </c>
      <c r="J15" s="5" t="e">
        <f ca="1">HLOOKUP(D15,'Capacity calculation (hide)'!$BK$110:$DK$111,2,0)</f>
        <v>#N/A</v>
      </c>
      <c r="K15" s="5">
        <f ca="1">IF(I15-IF(AND(Setup!$I$15="Yes",OR('Demand adjustments for Covid'!$F$9="No",'Demand adjustments for Covid'!$F$20="No")),$G15,0)-IF(Setup!$I$13="Yes",$H15,0)&lt;0,0,I15-IF(AND(Setup!$I$15="Yes",OR('Demand adjustments for Covid'!$F$9="No",'Demand adjustments for Covid'!$F$20="No")),$G15,0)-IF(Setup!$I$13="Yes",$H15,0))</f>
        <v>13.038461538461538</v>
      </c>
      <c r="L15" s="5" t="e">
        <f ca="1">J15</f>
        <v>#N/A</v>
      </c>
      <c r="M15" s="5">
        <f ca="1">(IF('Demand adjustments for Covid'!$F$9="No",E15,SUM('Demand background (hide)'!DS4,'Demand background (hide)'!DV4:DW4))*(1-'Parameters calculator (hide)'!$B$43))*(1-'Parameters calculator (hide)'!$B$44+('Parameters calculator (hide)'!$B$45*'Parameters calculator (hide)'!$B$47))</f>
        <v>496.35</v>
      </c>
      <c r="N15" s="5">
        <f ca="1">(IF('Demand adjustments for Covid'!$F$9="No",F15,SUM('Demand background (hide)'!DT4,'Demand background (hide)'!DV4:DW4))*(1-'Parameters calculator (hide)'!$B$43))*(1-'Parameters calculator (hide)'!$B$44+('Parameters calculator (hide)'!$B$45*'Parameters calculator (hide)'!$B$47))</f>
        <v>597.6</v>
      </c>
      <c r="P15" s="5">
        <f ca="1">I15</f>
        <v>13.038461538461538</v>
      </c>
      <c r="Q15" s="5" t="e">
        <f ca="1">J15</f>
        <v>#N/A</v>
      </c>
      <c r="R15" s="5">
        <f ca="1">IF(P15-V15&lt;0,0,P15-V15)</f>
        <v>13.038461538461538</v>
      </c>
      <c r="S15" s="5" t="e">
        <f ca="1">IF(R15=0,IF(P15+Q15-V15&lt;0,0,P15+Q15-V15),Q15)</f>
        <v>#N/A</v>
      </c>
      <c r="T15" s="5">
        <f ca="1">M15/IF(Summary!$C$8&lt;&gt;"Patients",1,$I$9)</f>
        <v>13.421118881118881</v>
      </c>
      <c r="U15" s="5">
        <f ca="1">((N15-M15)/IF(Summary!$C$8&lt;&gt;"Patients",1,$I$9))</f>
        <v>2.7377622377622375</v>
      </c>
      <c r="V15" s="5">
        <f>SUM(G15:H15)</f>
        <v>0</v>
      </c>
      <c r="X15" s="5">
        <f ca="1">(VLOOKUP(D15,'SPC background (hide)'!$AG$2:$AN$54,8,0)/IF(Summary!$C$8&lt;&gt;"Patients",1,$I$9))*(1-$I$4)*(1-$I$5+($I$6*$I$7))</f>
        <v>12.046153846153846</v>
      </c>
    </row>
    <row r="16" spans="1:24" x14ac:dyDescent="0.2">
      <c r="A16" s="87">
        <f>A15+7</f>
        <v>44200</v>
      </c>
      <c r="B16" s="67">
        <f t="shared" ref="B16:B47" si="1">IF(YEAR(A16)&lt;&gt;YEAR(A15),YEAR(A16),"")</f>
        <v>2021</v>
      </c>
      <c r="C16" s="67" t="str">
        <f t="shared" ref="C16:C47" si="2">IF(TEXT(A16,"MMM")&lt;&gt;TEXT(A15,"MMM"),TEXT(A16,"MMM"),"")</f>
        <v>Jan</v>
      </c>
      <c r="D16" s="67">
        <f t="shared" si="0"/>
        <v>1</v>
      </c>
      <c r="E16" s="5">
        <f ca="1">IF(LEFT(Demand!$C$8,1)="H",VLOOKUP($D16,'SPC background (hide)'!$AG$2:$AS$54,12,0),'Demand background (hide)'!X5)</f>
        <v>551.5</v>
      </c>
      <c r="F16" s="5">
        <f ca="1">IF(LEFT(Demand!$C$8,1)="H",VLOOKUP($D16,'SPC background (hide)'!$AG$2:$AS$54,13,0),E16*1.1)</f>
        <v>664</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13.038461538461538</v>
      </c>
      <c r="J16" s="5">
        <f ca="1">HLOOKUP(D16,'Capacity calculation (hide)'!$BK$110:$DK$111,2,0)</f>
        <v>2.1153846153846154</v>
      </c>
      <c r="K16" s="5">
        <f ca="1">IF(I16-IF(Setup!$I$15="Yes",$G16,0)-IF(Setup!$I$13="Yes",$H16,0)&lt;0,0,I16-IF(Setup!$I$15="Yes",$G16,0)-IF(Setup!$I$13="Yes",$H16,0))</f>
        <v>13.038461538461538</v>
      </c>
      <c r="L16" s="5">
        <f t="shared" ref="L16:L66" ca="1" si="3">J16</f>
        <v>2.1153846153846154</v>
      </c>
      <c r="M16" s="5">
        <f ca="1">(IF('Demand adjustments for Covid'!$F$9="No",E16,SUM('Demand background (hide)'!DS5,'Demand background (hide)'!DV5:DW5))*(1-'Parameters calculator (hide)'!$B$43))*(1-'Parameters calculator (hide)'!$B$44+('Parameters calculator (hide)'!$B$45*'Parameters calculator (hide)'!$B$47))</f>
        <v>496.35</v>
      </c>
      <c r="N16" s="5">
        <f ca="1">(IF('Demand adjustments for Covid'!$F$9="No",F16,SUM('Demand background (hide)'!DT5,'Demand background (hide)'!DV5:DW5))*(1-'Parameters calculator (hide)'!$B$43))*(1-'Parameters calculator (hide)'!$B$44+('Parameters calculator (hide)'!$B$45*'Parameters calculator (hide)'!$B$47))</f>
        <v>597.6</v>
      </c>
      <c r="P16" s="5">
        <f t="shared" ref="P16:P66" ca="1" si="4">I16</f>
        <v>13.038461538461538</v>
      </c>
      <c r="Q16" s="5">
        <f t="shared" ref="Q16:Q66" ca="1" si="5">J16</f>
        <v>2.1153846153846154</v>
      </c>
      <c r="R16" s="5">
        <f t="shared" ref="R16:R66" ca="1" si="6">IF(P16-V16&lt;0,0,P16-V16)</f>
        <v>13.038461538461538</v>
      </c>
      <c r="S16" s="5">
        <f t="shared" ref="S16:S66" ca="1" si="7">IF(R16=0,IF(P16+Q16-V16&lt;0,0,P16+Q16-V16),Q16)</f>
        <v>2.1153846153846154</v>
      </c>
      <c r="T16" s="5">
        <f ca="1">M16/IF(Summary!$C$8&lt;&gt;"Patients",1,$I$9)</f>
        <v>13.421118881118881</v>
      </c>
      <c r="U16" s="5">
        <f ca="1">((N16-M16)/IF(Summary!$C$8&lt;&gt;"Patients",1,$I$9))</f>
        <v>2.7377622377622375</v>
      </c>
      <c r="V16" s="5">
        <f t="shared" ref="V16:V66" si="8">SUM(G16:H16)</f>
        <v>0</v>
      </c>
      <c r="X16" s="5">
        <f ca="1">(VLOOKUP(D16,'SPC background (hide)'!$AG$2:$AN$54,8,0)/IF(Summary!$C$8&lt;&gt;"Patients",1,$I$9))*(1-$I$4)*(1-$I$5+($I$6*$I$7))</f>
        <v>12.046153846153846</v>
      </c>
    </row>
    <row r="17" spans="1:24" x14ac:dyDescent="0.2">
      <c r="A17" s="87">
        <f t="shared" ref="A17:A67" si="9">A16+7</f>
        <v>44207</v>
      </c>
      <c r="B17" s="67" t="str">
        <f t="shared" si="1"/>
        <v/>
      </c>
      <c r="C17" s="67" t="str">
        <f t="shared" si="2"/>
        <v/>
      </c>
      <c r="D17" s="67">
        <f t="shared" si="0"/>
        <v>2</v>
      </c>
      <c r="E17" s="5">
        <f ca="1">IF(LEFT(Demand!$C$8,1)="H",VLOOKUP($D17,'SPC background (hide)'!$AG$2:$AS$54,12,0),'Demand background (hide)'!X6)</f>
        <v>551.5</v>
      </c>
      <c r="F17" s="5">
        <f ca="1">IF(LEFT(Demand!$C$8,1)="H",VLOOKUP($D17,'SPC background (hide)'!$AG$2:$AS$54,13,0),E17*1.1)</f>
        <v>664</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13.038461538461538</v>
      </c>
      <c r="J17" s="5">
        <f ca="1">HLOOKUP(D17,'Capacity calculation (hide)'!$BK$110:$DK$111,2,0)</f>
        <v>2.1153846153846154</v>
      </c>
      <c r="K17" s="5">
        <f ca="1">IF(I17-IF(Setup!$I$15="Yes",$G17,0)-IF(Setup!$I$13="Yes",$H17,0)&lt;0,0,I17-IF(Setup!$I$15="Yes",$G17,0)-IF(Setup!$I$13="Yes",$H17,0))</f>
        <v>13.038461538461538</v>
      </c>
      <c r="L17" s="5">
        <f t="shared" ca="1" si="3"/>
        <v>2.1153846153846154</v>
      </c>
      <c r="M17" s="5">
        <f ca="1">(IF('Demand adjustments for Covid'!$F$9="No",E17,SUM('Demand background (hide)'!DS6,'Demand background (hide)'!DV6:DW6))*(1-'Parameters calculator (hide)'!$B$43))*(1-'Parameters calculator (hide)'!$B$44+('Parameters calculator (hide)'!$B$45*'Parameters calculator (hide)'!$B$47))</f>
        <v>496.35</v>
      </c>
      <c r="N17" s="5">
        <f ca="1">(IF('Demand adjustments for Covid'!$F$9="No",F17,SUM('Demand background (hide)'!DT6,'Demand background (hide)'!DV6:DW6))*(1-'Parameters calculator (hide)'!$B$43))*(1-'Parameters calculator (hide)'!$B$44+('Parameters calculator (hide)'!$B$45*'Parameters calculator (hide)'!$B$47))</f>
        <v>597.6</v>
      </c>
      <c r="P17" s="5">
        <f t="shared" ca="1" si="4"/>
        <v>13.038461538461538</v>
      </c>
      <c r="Q17" s="5">
        <f t="shared" ca="1" si="5"/>
        <v>2.1153846153846154</v>
      </c>
      <c r="R17" s="5">
        <f t="shared" ca="1" si="6"/>
        <v>13.038461538461538</v>
      </c>
      <c r="S17" s="5">
        <f t="shared" ca="1" si="7"/>
        <v>2.1153846153846154</v>
      </c>
      <c r="T17" s="5">
        <f ca="1">M17/IF(Summary!$C$8&lt;&gt;"Patients",1,$I$9)</f>
        <v>13.421118881118881</v>
      </c>
      <c r="U17" s="5">
        <f ca="1">((N17-M17)/IF(Summary!$C$8&lt;&gt;"Patients",1,$I$9))</f>
        <v>2.7377622377622375</v>
      </c>
      <c r="V17" s="5">
        <f t="shared" si="8"/>
        <v>0</v>
      </c>
      <c r="X17" s="5">
        <f ca="1">(VLOOKUP(D17,'SPC background (hide)'!$AG$2:$AN$54,8,0)/IF(Summary!$C$8&lt;&gt;"Patients",1,$I$9))*(1-$I$4)*(1-$I$5+($I$6*$I$7))</f>
        <v>12.046153846153846</v>
      </c>
    </row>
    <row r="18" spans="1:24" x14ac:dyDescent="0.2">
      <c r="A18" s="87">
        <f t="shared" si="9"/>
        <v>44214</v>
      </c>
      <c r="B18" s="67" t="str">
        <f t="shared" si="1"/>
        <v/>
      </c>
      <c r="C18" s="67" t="str">
        <f t="shared" si="2"/>
        <v/>
      </c>
      <c r="D18" s="67">
        <f t="shared" si="0"/>
        <v>3</v>
      </c>
      <c r="E18" s="5">
        <f ca="1">IF(LEFT(Demand!$C$8,1)="H",VLOOKUP($D18,'SPC background (hide)'!$AG$2:$AS$54,12,0),'Demand background (hide)'!X7)</f>
        <v>551.5</v>
      </c>
      <c r="F18" s="5">
        <f ca="1">IF(LEFT(Demand!$C$8,1)="H",VLOOKUP($D18,'SPC background (hide)'!$AG$2:$AS$54,13,0),E18*1.1)</f>
        <v>664</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13.038461538461538</v>
      </c>
      <c r="J18" s="5">
        <f ca="1">HLOOKUP(D18,'Capacity calculation (hide)'!$BK$110:$DK$111,2,0)</f>
        <v>2.1153846153846154</v>
      </c>
      <c r="K18" s="5">
        <f ca="1">IF(I18-IF(Setup!$I$15="Yes",$G18,0)-IF(Setup!$I$13="Yes",$H18,0)&lt;0,0,I18-IF(Setup!$I$15="Yes",$G18,0)-IF(Setup!$I$13="Yes",$H18,0))</f>
        <v>13.038461538461538</v>
      </c>
      <c r="L18" s="5">
        <f t="shared" ca="1" si="3"/>
        <v>2.1153846153846154</v>
      </c>
      <c r="M18" s="5">
        <f ca="1">(IF('Demand adjustments for Covid'!$F$9="No",E18,SUM('Demand background (hide)'!DS7,'Demand background (hide)'!DV7:DW7))*(1-'Parameters calculator (hide)'!$B$43))*(1-'Parameters calculator (hide)'!$B$44+('Parameters calculator (hide)'!$B$45*'Parameters calculator (hide)'!$B$47))</f>
        <v>496.35</v>
      </c>
      <c r="N18" s="5">
        <f ca="1">(IF('Demand adjustments for Covid'!$F$9="No",F18,SUM('Demand background (hide)'!DT7,'Demand background (hide)'!DV7:DW7))*(1-'Parameters calculator (hide)'!$B$43))*(1-'Parameters calculator (hide)'!$B$44+('Parameters calculator (hide)'!$B$45*'Parameters calculator (hide)'!$B$47))</f>
        <v>597.6</v>
      </c>
      <c r="P18" s="5">
        <f t="shared" ca="1" si="4"/>
        <v>13.038461538461538</v>
      </c>
      <c r="Q18" s="5">
        <f t="shared" ca="1" si="5"/>
        <v>2.1153846153846154</v>
      </c>
      <c r="R18" s="5">
        <f t="shared" ca="1" si="6"/>
        <v>13.038461538461538</v>
      </c>
      <c r="S18" s="5">
        <f t="shared" ca="1" si="7"/>
        <v>2.1153846153846154</v>
      </c>
      <c r="T18" s="5">
        <f ca="1">M18/IF(Summary!$C$8&lt;&gt;"Patients",1,$I$9)</f>
        <v>13.421118881118881</v>
      </c>
      <c r="U18" s="5">
        <f ca="1">((N18-M18)/IF(Summary!$C$8&lt;&gt;"Patients",1,$I$9))</f>
        <v>2.7377622377622375</v>
      </c>
      <c r="V18" s="5">
        <f t="shared" si="8"/>
        <v>0</v>
      </c>
      <c r="X18" s="5">
        <f ca="1">(VLOOKUP(D18,'SPC background (hide)'!$AG$2:$AN$54,8,0)/IF(Summary!$C$8&lt;&gt;"Patients",1,$I$9))*(1-$I$4)*(1-$I$5+($I$6*$I$7))</f>
        <v>12.046153846153846</v>
      </c>
    </row>
    <row r="19" spans="1:24" x14ac:dyDescent="0.2">
      <c r="A19" s="87">
        <f t="shared" si="9"/>
        <v>44221</v>
      </c>
      <c r="B19" s="67" t="str">
        <f t="shared" si="1"/>
        <v/>
      </c>
      <c r="C19" s="67" t="str">
        <f t="shared" si="2"/>
        <v/>
      </c>
      <c r="D19" s="67">
        <f t="shared" si="0"/>
        <v>4</v>
      </c>
      <c r="E19" s="5">
        <f ca="1">IF(LEFT(Demand!$C$8,1)="H",VLOOKUP($D19,'SPC background (hide)'!$AG$2:$AS$54,12,0),'Demand background (hide)'!X8)</f>
        <v>551.5</v>
      </c>
      <c r="F19" s="5">
        <f ca="1">IF(LEFT(Demand!$C$8,1)="H",VLOOKUP($D19,'SPC background (hide)'!$AG$2:$AS$54,13,0),E19*1.1)</f>
        <v>664</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13.038461538461538</v>
      </c>
      <c r="J19" s="5">
        <f ca="1">HLOOKUP(D19,'Capacity calculation (hide)'!$BK$110:$DK$111,2,0)</f>
        <v>2.1153846153846154</v>
      </c>
      <c r="K19" s="5">
        <f ca="1">IF(I19-IF(Setup!$I$15="Yes",$G19,0)-IF(Setup!$I$13="Yes",$H19,0)&lt;0,0,I19-IF(Setup!$I$15="Yes",$G19,0)-IF(Setup!$I$13="Yes",$H19,0))</f>
        <v>13.038461538461538</v>
      </c>
      <c r="L19" s="5">
        <f t="shared" ca="1" si="3"/>
        <v>2.1153846153846154</v>
      </c>
      <c r="M19" s="5">
        <f ca="1">(IF('Demand adjustments for Covid'!$F$9="No",E19,SUM('Demand background (hide)'!DS8,'Demand background (hide)'!DV8:DW8))*(1-'Parameters calculator (hide)'!$B$43))*(1-'Parameters calculator (hide)'!$B$44+('Parameters calculator (hide)'!$B$45*'Parameters calculator (hide)'!$B$47))</f>
        <v>496.35</v>
      </c>
      <c r="N19" s="5">
        <f ca="1">(IF('Demand adjustments for Covid'!$F$9="No",F19,SUM('Demand background (hide)'!DT8,'Demand background (hide)'!DV8:DW8))*(1-'Parameters calculator (hide)'!$B$43))*(1-'Parameters calculator (hide)'!$B$44+('Parameters calculator (hide)'!$B$45*'Parameters calculator (hide)'!$B$47))</f>
        <v>597.6</v>
      </c>
      <c r="P19" s="5">
        <f t="shared" ca="1" si="4"/>
        <v>13.038461538461538</v>
      </c>
      <c r="Q19" s="5">
        <f t="shared" ca="1" si="5"/>
        <v>2.1153846153846154</v>
      </c>
      <c r="R19" s="5">
        <f t="shared" ca="1" si="6"/>
        <v>13.038461538461538</v>
      </c>
      <c r="S19" s="5">
        <f t="shared" ca="1" si="7"/>
        <v>2.1153846153846154</v>
      </c>
      <c r="T19" s="5">
        <f ca="1">M19/IF(Summary!$C$8&lt;&gt;"Patients",1,$I$9)</f>
        <v>13.421118881118881</v>
      </c>
      <c r="U19" s="5">
        <f ca="1">((N19-M19)/IF(Summary!$C$8&lt;&gt;"Patients",1,$I$9))</f>
        <v>2.7377622377622375</v>
      </c>
      <c r="V19" s="5">
        <f t="shared" si="8"/>
        <v>0</v>
      </c>
      <c r="X19" s="5">
        <f ca="1">(VLOOKUP(D19,'SPC background (hide)'!$AG$2:$AN$54,8,0)/IF(Summary!$C$8&lt;&gt;"Patients",1,$I$9))*(1-$I$4)*(1-$I$5+($I$6*$I$7))</f>
        <v>12.046153846153846</v>
      </c>
    </row>
    <row r="20" spans="1:24" x14ac:dyDescent="0.2">
      <c r="A20" s="87">
        <f t="shared" si="9"/>
        <v>44228</v>
      </c>
      <c r="B20" s="67" t="str">
        <f t="shared" si="1"/>
        <v/>
      </c>
      <c r="C20" s="67" t="str">
        <f t="shared" si="2"/>
        <v>Feb</v>
      </c>
      <c r="D20" s="67">
        <f t="shared" si="0"/>
        <v>5</v>
      </c>
      <c r="E20" s="5">
        <f ca="1">IF(LEFT(Demand!$C$8,1)="H",VLOOKUP($D20,'SPC background (hide)'!$AG$2:$AS$54,12,0),'Demand background (hide)'!X9)</f>
        <v>551.5</v>
      </c>
      <c r="F20" s="5">
        <f ca="1">IF(LEFT(Demand!$C$8,1)="H",VLOOKUP($D20,'SPC background (hide)'!$AG$2:$AS$54,13,0),E20*1.1)</f>
        <v>664</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13.038461538461538</v>
      </c>
      <c r="J20" s="5">
        <f ca="1">HLOOKUP(D20,'Capacity calculation (hide)'!$BK$110:$DK$111,2,0)</f>
        <v>2.1153846153846154</v>
      </c>
      <c r="K20" s="5">
        <f ca="1">IF(I20-IF(Setup!$I$15="Yes",$G20,0)-IF(Setup!$I$13="Yes",$H20,0)&lt;0,0,I20-IF(Setup!$I$15="Yes",$G20,0)-IF(Setup!$I$13="Yes",$H20,0))</f>
        <v>13.038461538461538</v>
      </c>
      <c r="L20" s="5">
        <f t="shared" ca="1" si="3"/>
        <v>2.1153846153846154</v>
      </c>
      <c r="M20" s="5">
        <f ca="1">(IF('Demand adjustments for Covid'!$F$9="No",E20,SUM('Demand background (hide)'!DS9,'Demand background (hide)'!DV9:DW9))*(1-'Parameters calculator (hide)'!$B$43))*(1-'Parameters calculator (hide)'!$B$44+('Parameters calculator (hide)'!$B$45*'Parameters calculator (hide)'!$B$47))</f>
        <v>496.35</v>
      </c>
      <c r="N20" s="5">
        <f ca="1">(IF('Demand adjustments for Covid'!$F$9="No",F20,SUM('Demand background (hide)'!DT9,'Demand background (hide)'!DV9:DW9))*(1-'Parameters calculator (hide)'!$B$43))*(1-'Parameters calculator (hide)'!$B$44+('Parameters calculator (hide)'!$B$45*'Parameters calculator (hide)'!$B$47))</f>
        <v>597.6</v>
      </c>
      <c r="P20" s="5">
        <f t="shared" ca="1" si="4"/>
        <v>13.038461538461538</v>
      </c>
      <c r="Q20" s="5">
        <f t="shared" ca="1" si="5"/>
        <v>2.1153846153846154</v>
      </c>
      <c r="R20" s="5">
        <f t="shared" ca="1" si="6"/>
        <v>13.038461538461538</v>
      </c>
      <c r="S20" s="5">
        <f t="shared" ca="1" si="7"/>
        <v>2.1153846153846154</v>
      </c>
      <c r="T20" s="5">
        <f ca="1">M20/IF(Summary!$C$8&lt;&gt;"Patients",1,$I$9)</f>
        <v>13.421118881118881</v>
      </c>
      <c r="U20" s="5">
        <f ca="1">((N20-M20)/IF(Summary!$C$8&lt;&gt;"Patients",1,$I$9))</f>
        <v>2.7377622377622375</v>
      </c>
      <c r="V20" s="5">
        <f t="shared" si="8"/>
        <v>0</v>
      </c>
      <c r="X20" s="5">
        <f ca="1">(VLOOKUP(D20,'SPC background (hide)'!$AG$2:$AN$54,8,0)/IF(Summary!$C$8&lt;&gt;"Patients",1,$I$9))*(1-$I$4)*(1-$I$5+($I$6*$I$7))</f>
        <v>12.046153846153846</v>
      </c>
    </row>
    <row r="21" spans="1:24" x14ac:dyDescent="0.2">
      <c r="A21" s="87">
        <f t="shared" si="9"/>
        <v>44235</v>
      </c>
      <c r="B21" s="67" t="str">
        <f t="shared" si="1"/>
        <v/>
      </c>
      <c r="C21" s="67" t="str">
        <f t="shared" si="2"/>
        <v/>
      </c>
      <c r="D21" s="67">
        <f t="shared" si="0"/>
        <v>6</v>
      </c>
      <c r="E21" s="5">
        <f ca="1">IF(LEFT(Demand!$C$8,1)="H",VLOOKUP($D21,'SPC background (hide)'!$AG$2:$AS$54,12,0),'Demand background (hide)'!X10)</f>
        <v>551.5</v>
      </c>
      <c r="F21" s="5">
        <f ca="1">IF(LEFT(Demand!$C$8,1)="H",VLOOKUP($D21,'SPC background (hide)'!$AG$2:$AS$54,13,0),E21*1.1)</f>
        <v>664</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13.038461538461538</v>
      </c>
      <c r="J21" s="5">
        <f ca="1">HLOOKUP(D21,'Capacity calculation (hide)'!$BK$110:$DK$111,2,0)</f>
        <v>2.1153846153846154</v>
      </c>
      <c r="K21" s="5">
        <f ca="1">IF(I21-IF(Setup!$I$15="Yes",$G21,0)-IF(Setup!$I$13="Yes",$H21,0)&lt;0,0,I21-IF(Setup!$I$15="Yes",$G21,0)-IF(Setup!$I$13="Yes",$H21,0))</f>
        <v>13.038461538461538</v>
      </c>
      <c r="L21" s="5">
        <f t="shared" ca="1" si="3"/>
        <v>2.1153846153846154</v>
      </c>
      <c r="M21" s="5">
        <f ca="1">(IF('Demand adjustments for Covid'!$F$9="No",E21,SUM('Demand background (hide)'!DS10,'Demand background (hide)'!DV10:DW10))*(1-'Parameters calculator (hide)'!$B$43))*(1-'Parameters calculator (hide)'!$B$44+('Parameters calculator (hide)'!$B$45*'Parameters calculator (hide)'!$B$47))</f>
        <v>496.35</v>
      </c>
      <c r="N21" s="5">
        <f ca="1">(IF('Demand adjustments for Covid'!$F$9="No",F21,SUM('Demand background (hide)'!DT10,'Demand background (hide)'!DV10:DW10))*(1-'Parameters calculator (hide)'!$B$43))*(1-'Parameters calculator (hide)'!$B$44+('Parameters calculator (hide)'!$B$45*'Parameters calculator (hide)'!$B$47))</f>
        <v>597.6</v>
      </c>
      <c r="P21" s="5">
        <f t="shared" ca="1" si="4"/>
        <v>13.038461538461538</v>
      </c>
      <c r="Q21" s="5">
        <f t="shared" ca="1" si="5"/>
        <v>2.1153846153846154</v>
      </c>
      <c r="R21" s="5">
        <f t="shared" ca="1" si="6"/>
        <v>13.038461538461538</v>
      </c>
      <c r="S21" s="5">
        <f t="shared" ca="1" si="7"/>
        <v>2.1153846153846154</v>
      </c>
      <c r="T21" s="5">
        <f ca="1">M21/IF(Summary!$C$8&lt;&gt;"Patients",1,$I$9)</f>
        <v>13.421118881118881</v>
      </c>
      <c r="U21" s="5">
        <f ca="1">((N21-M21)/IF(Summary!$C$8&lt;&gt;"Patients",1,$I$9))</f>
        <v>2.7377622377622375</v>
      </c>
      <c r="V21" s="5">
        <f t="shared" si="8"/>
        <v>0</v>
      </c>
      <c r="X21" s="5">
        <f ca="1">(VLOOKUP(D21,'SPC background (hide)'!$AG$2:$AN$54,8,0)/IF(Summary!$C$8&lt;&gt;"Patients",1,$I$9))*(1-$I$4)*(1-$I$5+($I$6*$I$7))</f>
        <v>12.046153846153846</v>
      </c>
    </row>
    <row r="22" spans="1:24" x14ac:dyDescent="0.2">
      <c r="A22" s="87">
        <f t="shared" si="9"/>
        <v>44242</v>
      </c>
      <c r="B22" s="67" t="str">
        <f t="shared" si="1"/>
        <v/>
      </c>
      <c r="C22" s="67" t="str">
        <f t="shared" si="2"/>
        <v/>
      </c>
      <c r="D22" s="67">
        <f t="shared" si="0"/>
        <v>7</v>
      </c>
      <c r="E22" s="5">
        <f ca="1">IF(LEFT(Demand!$C$8,1)="H",VLOOKUP($D22,'SPC background (hide)'!$AG$2:$AS$54,12,0),'Demand background (hide)'!X11)</f>
        <v>551.5</v>
      </c>
      <c r="F22" s="5">
        <f ca="1">IF(LEFT(Demand!$C$8,1)="H",VLOOKUP($D22,'SPC background (hide)'!$AG$2:$AS$54,13,0),E22*1.1)</f>
        <v>664</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13.038461538461538</v>
      </c>
      <c r="J22" s="5">
        <f ca="1">HLOOKUP(D22,'Capacity calculation (hide)'!$BK$110:$DK$111,2,0)</f>
        <v>2.1153846153846154</v>
      </c>
      <c r="K22" s="5">
        <f ca="1">IF(I22-IF(Setup!$I$15="Yes",$G22,0)-IF(Setup!$I$13="Yes",$H22,0)&lt;0,0,I22-IF(Setup!$I$15="Yes",$G22,0)-IF(Setup!$I$13="Yes",$H22,0))</f>
        <v>13.038461538461538</v>
      </c>
      <c r="L22" s="5">
        <f t="shared" ca="1" si="3"/>
        <v>2.1153846153846154</v>
      </c>
      <c r="M22" s="5">
        <f ca="1">(IF('Demand adjustments for Covid'!$F$9="No",E22,SUM('Demand background (hide)'!DS11,'Demand background (hide)'!DV11:DW11))*(1-'Parameters calculator (hide)'!$B$43))*(1-'Parameters calculator (hide)'!$B$44+('Parameters calculator (hide)'!$B$45*'Parameters calculator (hide)'!$B$47))</f>
        <v>496.35</v>
      </c>
      <c r="N22" s="5">
        <f ca="1">(IF('Demand adjustments for Covid'!$F$9="No",F22,SUM('Demand background (hide)'!DT11,'Demand background (hide)'!DV11:DW11))*(1-'Parameters calculator (hide)'!$B$43))*(1-'Parameters calculator (hide)'!$B$44+('Parameters calculator (hide)'!$B$45*'Parameters calculator (hide)'!$B$47))</f>
        <v>597.6</v>
      </c>
      <c r="P22" s="5">
        <f t="shared" ca="1" si="4"/>
        <v>13.038461538461538</v>
      </c>
      <c r="Q22" s="5">
        <f t="shared" ca="1" si="5"/>
        <v>2.1153846153846154</v>
      </c>
      <c r="R22" s="5">
        <f t="shared" ca="1" si="6"/>
        <v>13.038461538461538</v>
      </c>
      <c r="S22" s="5">
        <f t="shared" ca="1" si="7"/>
        <v>2.1153846153846154</v>
      </c>
      <c r="T22" s="5">
        <f ca="1">M22/IF(Summary!$C$8&lt;&gt;"Patients",1,$I$9)</f>
        <v>13.421118881118881</v>
      </c>
      <c r="U22" s="5">
        <f ca="1">((N22-M22)/IF(Summary!$C$8&lt;&gt;"Patients",1,$I$9))</f>
        <v>2.7377622377622375</v>
      </c>
      <c r="V22" s="5">
        <f t="shared" si="8"/>
        <v>0</v>
      </c>
      <c r="X22" s="5">
        <f ca="1">(VLOOKUP(D22,'SPC background (hide)'!$AG$2:$AN$54,8,0)/IF(Summary!$C$8&lt;&gt;"Patients",1,$I$9))*(1-$I$4)*(1-$I$5+($I$6*$I$7))</f>
        <v>12.046153846153846</v>
      </c>
    </row>
    <row r="23" spans="1:24" x14ac:dyDescent="0.2">
      <c r="A23" s="87">
        <f t="shared" si="9"/>
        <v>44249</v>
      </c>
      <c r="B23" s="67" t="str">
        <f t="shared" si="1"/>
        <v/>
      </c>
      <c r="C23" s="67" t="str">
        <f t="shared" si="2"/>
        <v/>
      </c>
      <c r="D23" s="67">
        <f t="shared" si="0"/>
        <v>8</v>
      </c>
      <c r="E23" s="5">
        <f ca="1">IF(LEFT(Demand!$C$8,1)="H",VLOOKUP($D23,'SPC background (hide)'!$AG$2:$AS$54,12,0),'Demand background (hide)'!X12)</f>
        <v>551.5</v>
      </c>
      <c r="F23" s="5">
        <f ca="1">IF(LEFT(Demand!$C$8,1)="H",VLOOKUP($D23,'SPC background (hide)'!$AG$2:$AS$54,13,0),E23*1.1)</f>
        <v>664</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13.038461538461538</v>
      </c>
      <c r="J23" s="5">
        <f ca="1">HLOOKUP(D23,'Capacity calculation (hide)'!$BK$110:$DK$111,2,0)</f>
        <v>2.1153846153846154</v>
      </c>
      <c r="K23" s="5">
        <f ca="1">IF(I23-IF(Setup!$I$15="Yes",$G23,0)-IF(Setup!$I$13="Yes",$H23,0)&lt;0,0,I23-IF(Setup!$I$15="Yes",$G23,0)-IF(Setup!$I$13="Yes",$H23,0))</f>
        <v>13.038461538461538</v>
      </c>
      <c r="L23" s="5">
        <f t="shared" ca="1" si="3"/>
        <v>2.1153846153846154</v>
      </c>
      <c r="M23" s="5">
        <f ca="1">(IF('Demand adjustments for Covid'!$F$9="No",E23,SUM('Demand background (hide)'!DS12,'Demand background (hide)'!DV12:DW12))*(1-'Parameters calculator (hide)'!$B$43))*(1-'Parameters calculator (hide)'!$B$44+('Parameters calculator (hide)'!$B$45*'Parameters calculator (hide)'!$B$47))</f>
        <v>496.35</v>
      </c>
      <c r="N23" s="5">
        <f ca="1">(IF('Demand adjustments for Covid'!$F$9="No",F23,SUM('Demand background (hide)'!DT12,'Demand background (hide)'!DV12:DW12))*(1-'Parameters calculator (hide)'!$B$43))*(1-'Parameters calculator (hide)'!$B$44+('Parameters calculator (hide)'!$B$45*'Parameters calculator (hide)'!$B$47))</f>
        <v>597.6</v>
      </c>
      <c r="P23" s="5">
        <f t="shared" ca="1" si="4"/>
        <v>13.038461538461538</v>
      </c>
      <c r="Q23" s="5">
        <f t="shared" ca="1" si="5"/>
        <v>2.1153846153846154</v>
      </c>
      <c r="R23" s="5">
        <f t="shared" ca="1" si="6"/>
        <v>13.038461538461538</v>
      </c>
      <c r="S23" s="5">
        <f t="shared" ca="1" si="7"/>
        <v>2.1153846153846154</v>
      </c>
      <c r="T23" s="5">
        <f ca="1">M23/IF(Summary!$C$8&lt;&gt;"Patients",1,$I$9)</f>
        <v>13.421118881118881</v>
      </c>
      <c r="U23" s="5">
        <f ca="1">((N23-M23)/IF(Summary!$C$8&lt;&gt;"Patients",1,$I$9))</f>
        <v>2.7377622377622375</v>
      </c>
      <c r="V23" s="5">
        <f t="shared" si="8"/>
        <v>0</v>
      </c>
      <c r="X23" s="5">
        <f ca="1">(VLOOKUP(D23,'SPC background (hide)'!$AG$2:$AN$54,8,0)/IF(Summary!$C$8&lt;&gt;"Patients",1,$I$9))*(1-$I$4)*(1-$I$5+($I$6*$I$7))</f>
        <v>12.046153846153846</v>
      </c>
    </row>
    <row r="24" spans="1:24" x14ac:dyDescent="0.2">
      <c r="A24" s="87">
        <f t="shared" si="9"/>
        <v>44256</v>
      </c>
      <c r="B24" s="67" t="str">
        <f t="shared" si="1"/>
        <v/>
      </c>
      <c r="C24" s="67" t="str">
        <f t="shared" si="2"/>
        <v>Mar</v>
      </c>
      <c r="D24" s="67">
        <f t="shared" si="0"/>
        <v>9</v>
      </c>
      <c r="E24" s="5">
        <f ca="1">IF(LEFT(Demand!$C$8,1)="H",VLOOKUP($D24,'SPC background (hide)'!$AG$2:$AS$54,12,0),'Demand background (hide)'!X13)</f>
        <v>551.5</v>
      </c>
      <c r="F24" s="5">
        <f ca="1">IF(LEFT(Demand!$C$8,1)="H",VLOOKUP($D24,'SPC background (hide)'!$AG$2:$AS$54,13,0),E24*1.1)</f>
        <v>664</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13.038461538461538</v>
      </c>
      <c r="J24" s="5">
        <f ca="1">HLOOKUP(D24,'Capacity calculation (hide)'!$BK$110:$DK$111,2,0)</f>
        <v>2.1153846153846154</v>
      </c>
      <c r="K24" s="5">
        <f ca="1">IF(I24-IF(Setup!$I$15="Yes",$G24,0)-IF(Setup!$I$13="Yes",$H24,0)&lt;0,0,I24-IF(Setup!$I$15="Yes",$G24,0)-IF(Setup!$I$13="Yes",$H24,0))</f>
        <v>13.038461538461538</v>
      </c>
      <c r="L24" s="5">
        <f t="shared" ca="1" si="3"/>
        <v>2.1153846153846154</v>
      </c>
      <c r="M24" s="5">
        <f ca="1">(IF('Demand adjustments for Covid'!$F$9="No",E24,SUM('Demand background (hide)'!DS13,'Demand background (hide)'!DV13:DW13))*(1-'Parameters calculator (hide)'!$B$43))*(1-'Parameters calculator (hide)'!$B$44+('Parameters calculator (hide)'!$B$45*'Parameters calculator (hide)'!$B$47))</f>
        <v>496.35</v>
      </c>
      <c r="N24" s="5">
        <f ca="1">(IF('Demand adjustments for Covid'!$F$9="No",F24,SUM('Demand background (hide)'!DT13,'Demand background (hide)'!DV13:DW13))*(1-'Parameters calculator (hide)'!$B$43))*(1-'Parameters calculator (hide)'!$B$44+('Parameters calculator (hide)'!$B$45*'Parameters calculator (hide)'!$B$47))</f>
        <v>597.6</v>
      </c>
      <c r="P24" s="5">
        <f t="shared" ca="1" si="4"/>
        <v>13.038461538461538</v>
      </c>
      <c r="Q24" s="5">
        <f t="shared" ca="1" si="5"/>
        <v>2.1153846153846154</v>
      </c>
      <c r="R24" s="5">
        <f t="shared" ca="1" si="6"/>
        <v>13.038461538461538</v>
      </c>
      <c r="S24" s="5">
        <f t="shared" ca="1" si="7"/>
        <v>2.1153846153846154</v>
      </c>
      <c r="T24" s="5">
        <f ca="1">M24/IF(Summary!$C$8&lt;&gt;"Patients",1,$I$9)</f>
        <v>13.421118881118881</v>
      </c>
      <c r="U24" s="5">
        <f ca="1">((N24-M24)/IF(Summary!$C$8&lt;&gt;"Patients",1,$I$9))</f>
        <v>2.7377622377622375</v>
      </c>
      <c r="V24" s="5">
        <f t="shared" si="8"/>
        <v>0</v>
      </c>
      <c r="X24" s="5">
        <f ca="1">(VLOOKUP(D24,'SPC background (hide)'!$AG$2:$AN$54,8,0)/IF(Summary!$C$8&lt;&gt;"Patients",1,$I$9))*(1-$I$4)*(1-$I$5+($I$6*$I$7))</f>
        <v>12.046153846153846</v>
      </c>
    </row>
    <row r="25" spans="1:24" x14ac:dyDescent="0.2">
      <c r="A25" s="87">
        <f t="shared" si="9"/>
        <v>44263</v>
      </c>
      <c r="B25" s="67" t="str">
        <f t="shared" si="1"/>
        <v/>
      </c>
      <c r="C25" s="67" t="str">
        <f t="shared" si="2"/>
        <v/>
      </c>
      <c r="D25" s="67">
        <f t="shared" si="0"/>
        <v>10</v>
      </c>
      <c r="E25" s="5">
        <f ca="1">IF(LEFT(Demand!$C$8,1)="H",VLOOKUP($D25,'SPC background (hide)'!$AG$2:$AS$54,12,0),'Demand background (hide)'!X14)</f>
        <v>551.5</v>
      </c>
      <c r="F25" s="5">
        <f ca="1">IF(LEFT(Demand!$C$8,1)="H",VLOOKUP($D25,'SPC background (hide)'!$AG$2:$AS$54,13,0),E25*1.1)</f>
        <v>664</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13.038461538461538</v>
      </c>
      <c r="J25" s="5">
        <f ca="1">HLOOKUP(D25,'Capacity calculation (hide)'!$BK$110:$DK$111,2,0)</f>
        <v>2.1153846153846154</v>
      </c>
      <c r="K25" s="5">
        <f ca="1">IF(I25-IF(Setup!$I$15="Yes",$G25,0)-IF(Setup!$I$13="Yes",$H25,0)&lt;0,0,I25-IF(Setup!$I$15="Yes",$G25,0)-IF(Setup!$I$13="Yes",$H25,0))</f>
        <v>13.038461538461538</v>
      </c>
      <c r="L25" s="5">
        <f t="shared" ca="1" si="3"/>
        <v>2.1153846153846154</v>
      </c>
      <c r="M25" s="5">
        <f ca="1">(IF('Demand adjustments for Covid'!$F$9="No",E25,SUM('Demand background (hide)'!DS14,'Demand background (hide)'!DV14:DW14))*(1-'Parameters calculator (hide)'!$B$43))*(1-'Parameters calculator (hide)'!$B$44+('Parameters calculator (hide)'!$B$45*'Parameters calculator (hide)'!$B$47))</f>
        <v>496.35</v>
      </c>
      <c r="N25" s="5">
        <f ca="1">(IF('Demand adjustments for Covid'!$F$9="No",F25,SUM('Demand background (hide)'!DT14,'Demand background (hide)'!DV14:DW14))*(1-'Parameters calculator (hide)'!$B$43))*(1-'Parameters calculator (hide)'!$B$44+('Parameters calculator (hide)'!$B$45*'Parameters calculator (hide)'!$B$47))</f>
        <v>597.6</v>
      </c>
      <c r="P25" s="5">
        <f t="shared" ca="1" si="4"/>
        <v>13.038461538461538</v>
      </c>
      <c r="Q25" s="5">
        <f t="shared" ca="1" si="5"/>
        <v>2.1153846153846154</v>
      </c>
      <c r="R25" s="5">
        <f t="shared" ca="1" si="6"/>
        <v>13.038461538461538</v>
      </c>
      <c r="S25" s="5">
        <f t="shared" ca="1" si="7"/>
        <v>2.1153846153846154</v>
      </c>
      <c r="T25" s="5">
        <f ca="1">M25/IF(Summary!$C$8&lt;&gt;"Patients",1,$I$9)</f>
        <v>13.421118881118881</v>
      </c>
      <c r="U25" s="5">
        <f ca="1">((N25-M25)/IF(Summary!$C$8&lt;&gt;"Patients",1,$I$9))</f>
        <v>2.7377622377622375</v>
      </c>
      <c r="V25" s="5">
        <f t="shared" si="8"/>
        <v>0</v>
      </c>
      <c r="X25" s="5">
        <f ca="1">(VLOOKUP(D25,'SPC background (hide)'!$AG$2:$AN$54,8,0)/IF(Summary!$C$8&lt;&gt;"Patients",1,$I$9))*(1-$I$4)*(1-$I$5+($I$6*$I$7))</f>
        <v>12.046153846153846</v>
      </c>
    </row>
    <row r="26" spans="1:24" x14ac:dyDescent="0.2">
      <c r="A26" s="87">
        <f t="shared" si="9"/>
        <v>44270</v>
      </c>
      <c r="B26" s="67" t="str">
        <f t="shared" si="1"/>
        <v/>
      </c>
      <c r="C26" s="67" t="str">
        <f t="shared" si="2"/>
        <v/>
      </c>
      <c r="D26" s="67">
        <f t="shared" si="0"/>
        <v>11</v>
      </c>
      <c r="E26" s="5">
        <f ca="1">IF(LEFT(Demand!$C$8,1)="H",VLOOKUP($D26,'SPC background (hide)'!$AG$2:$AS$54,12,0),'Demand background (hide)'!X15)</f>
        <v>551.5</v>
      </c>
      <c r="F26" s="5">
        <f ca="1">IF(LEFT(Demand!$C$8,1)="H",VLOOKUP($D26,'SPC background (hide)'!$AG$2:$AS$54,13,0),E26*1.1)</f>
        <v>664</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13.038461538461538</v>
      </c>
      <c r="J26" s="5">
        <f ca="1">HLOOKUP(D26,'Capacity calculation (hide)'!$BK$110:$DK$111,2,0)</f>
        <v>2.1153846153846154</v>
      </c>
      <c r="K26" s="5">
        <f ca="1">IF(I26-IF(Setup!$I$15="Yes",$G26,0)-IF(Setup!$I$13="Yes",$H26,0)&lt;0,0,I26-IF(Setup!$I$15="Yes",$G26,0)-IF(Setup!$I$13="Yes",$H26,0))</f>
        <v>13.038461538461538</v>
      </c>
      <c r="L26" s="5">
        <f t="shared" ca="1" si="3"/>
        <v>2.1153846153846154</v>
      </c>
      <c r="M26" s="5">
        <f ca="1">(IF('Demand adjustments for Covid'!$F$9="No",E26,SUM('Demand background (hide)'!DS15,'Demand background (hide)'!DV15:DW15))*(1-'Parameters calculator (hide)'!$B$43))*(1-'Parameters calculator (hide)'!$B$44+('Parameters calculator (hide)'!$B$45*'Parameters calculator (hide)'!$B$47))</f>
        <v>496.35</v>
      </c>
      <c r="N26" s="5">
        <f ca="1">(IF('Demand adjustments for Covid'!$F$9="No",F26,SUM('Demand background (hide)'!DT15,'Demand background (hide)'!DV15:DW15))*(1-'Parameters calculator (hide)'!$B$43))*(1-'Parameters calculator (hide)'!$B$44+('Parameters calculator (hide)'!$B$45*'Parameters calculator (hide)'!$B$47))</f>
        <v>597.6</v>
      </c>
      <c r="P26" s="5">
        <f t="shared" ca="1" si="4"/>
        <v>13.038461538461538</v>
      </c>
      <c r="Q26" s="5">
        <f t="shared" ca="1" si="5"/>
        <v>2.1153846153846154</v>
      </c>
      <c r="R26" s="5">
        <f t="shared" ca="1" si="6"/>
        <v>13.038461538461538</v>
      </c>
      <c r="S26" s="5">
        <f t="shared" ca="1" si="7"/>
        <v>2.1153846153846154</v>
      </c>
      <c r="T26" s="5">
        <f ca="1">M26/IF(Summary!$C$8&lt;&gt;"Patients",1,$I$9)</f>
        <v>13.421118881118881</v>
      </c>
      <c r="U26" s="5">
        <f ca="1">((N26-M26)/IF(Summary!$C$8&lt;&gt;"Patients",1,$I$9))</f>
        <v>2.7377622377622375</v>
      </c>
      <c r="V26" s="5">
        <f t="shared" si="8"/>
        <v>0</v>
      </c>
      <c r="X26" s="5">
        <f ca="1">(VLOOKUP(D26,'SPC background (hide)'!$AG$2:$AN$54,8,0)/IF(Summary!$C$8&lt;&gt;"Patients",1,$I$9))*(1-$I$4)*(1-$I$5+($I$6*$I$7))</f>
        <v>12.046153846153846</v>
      </c>
    </row>
    <row r="27" spans="1:24" x14ac:dyDescent="0.2">
      <c r="A27" s="87">
        <f t="shared" si="9"/>
        <v>44277</v>
      </c>
      <c r="B27" s="67" t="str">
        <f t="shared" si="1"/>
        <v/>
      </c>
      <c r="C27" s="67" t="str">
        <f t="shared" si="2"/>
        <v/>
      </c>
      <c r="D27" s="67">
        <f t="shared" si="0"/>
        <v>12</v>
      </c>
      <c r="E27" s="5">
        <f ca="1">IF(LEFT(Demand!$C$8,1)="H",VLOOKUP($D27,'SPC background (hide)'!$AG$2:$AS$54,12,0),'Demand background (hide)'!X16)</f>
        <v>551.5</v>
      </c>
      <c r="F27" s="5">
        <f ca="1">IF(LEFT(Demand!$C$8,1)="H",VLOOKUP($D27,'SPC background (hide)'!$AG$2:$AS$54,13,0),E27*1.1)</f>
        <v>664</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13.038461538461538</v>
      </c>
      <c r="J27" s="5">
        <f ca="1">HLOOKUP(D27,'Capacity calculation (hide)'!$BK$110:$DK$111,2,0)</f>
        <v>2.1153846153846154</v>
      </c>
      <c r="K27" s="5">
        <f ca="1">IF(I27-IF(Setup!$I$15="Yes",$G27,0)-IF(Setup!$I$13="Yes",$H27,0)&lt;0,0,I27-IF(Setup!$I$15="Yes",$G27,0)-IF(Setup!$I$13="Yes",$H27,0))</f>
        <v>13.038461538461538</v>
      </c>
      <c r="L27" s="5">
        <f t="shared" ca="1" si="3"/>
        <v>2.1153846153846154</v>
      </c>
      <c r="M27" s="5">
        <f ca="1">(IF('Demand adjustments for Covid'!$F$9="No",E27,SUM('Demand background (hide)'!DS16,'Demand background (hide)'!DV16:DW16))*(1-'Parameters calculator (hide)'!$B$43))*(1-'Parameters calculator (hide)'!$B$44+('Parameters calculator (hide)'!$B$45*'Parameters calculator (hide)'!$B$47))</f>
        <v>496.35</v>
      </c>
      <c r="N27" s="5">
        <f ca="1">(IF('Demand adjustments for Covid'!$F$9="No",F27,SUM('Demand background (hide)'!DT16,'Demand background (hide)'!DV16:DW16))*(1-'Parameters calculator (hide)'!$B$43))*(1-'Parameters calculator (hide)'!$B$44+('Parameters calculator (hide)'!$B$45*'Parameters calculator (hide)'!$B$47))</f>
        <v>597.6</v>
      </c>
      <c r="P27" s="5">
        <f t="shared" ca="1" si="4"/>
        <v>13.038461538461538</v>
      </c>
      <c r="Q27" s="5">
        <f t="shared" ca="1" si="5"/>
        <v>2.1153846153846154</v>
      </c>
      <c r="R27" s="5">
        <f t="shared" ca="1" si="6"/>
        <v>13.038461538461538</v>
      </c>
      <c r="S27" s="5">
        <f t="shared" ca="1" si="7"/>
        <v>2.1153846153846154</v>
      </c>
      <c r="T27" s="5">
        <f ca="1">M27/IF(Summary!$C$8&lt;&gt;"Patients",1,$I$9)</f>
        <v>13.421118881118881</v>
      </c>
      <c r="U27" s="5">
        <f ca="1">((N27-M27)/IF(Summary!$C$8&lt;&gt;"Patients",1,$I$9))</f>
        <v>2.7377622377622375</v>
      </c>
      <c r="V27" s="5">
        <f t="shared" si="8"/>
        <v>0</v>
      </c>
      <c r="X27" s="5">
        <f ca="1">(VLOOKUP(D27,'SPC background (hide)'!$AG$2:$AN$54,8,0)/IF(Summary!$C$8&lt;&gt;"Patients",1,$I$9))*(1-$I$4)*(1-$I$5+($I$6*$I$7))</f>
        <v>12.046153846153846</v>
      </c>
    </row>
    <row r="28" spans="1:24" x14ac:dyDescent="0.2">
      <c r="A28" s="87">
        <f t="shared" si="9"/>
        <v>44284</v>
      </c>
      <c r="B28" s="67" t="str">
        <f t="shared" si="1"/>
        <v/>
      </c>
      <c r="C28" s="67" t="str">
        <f t="shared" si="2"/>
        <v/>
      </c>
      <c r="D28" s="67">
        <f t="shared" si="0"/>
        <v>13</v>
      </c>
      <c r="E28" s="5">
        <f ca="1">IF(LEFT(Demand!$C$8,1)="H",VLOOKUP($D28,'SPC background (hide)'!$AG$2:$AS$54,12,0),'Demand background (hide)'!X17)</f>
        <v>551.5</v>
      </c>
      <c r="F28" s="5">
        <f ca="1">IF(LEFT(Demand!$C$8,1)="H",VLOOKUP($D28,'SPC background (hide)'!$AG$2:$AS$54,13,0),E28*1.1)</f>
        <v>664</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13.038461538461538</v>
      </c>
      <c r="J28" s="5">
        <f ca="1">HLOOKUP(D28,'Capacity calculation (hide)'!$BK$110:$DK$111,2,0)</f>
        <v>2.1153846153846154</v>
      </c>
      <c r="K28" s="5">
        <f ca="1">IF(I28-IF(Setup!$I$15="Yes",$G28,0)-IF(Setup!$I$13="Yes",$H28,0)&lt;0,0,I28-IF(Setup!$I$15="Yes",$G28,0)-IF(Setup!$I$13="Yes",$H28,0))</f>
        <v>13.038461538461538</v>
      </c>
      <c r="L28" s="5">
        <f t="shared" ca="1" si="3"/>
        <v>2.1153846153846154</v>
      </c>
      <c r="M28" s="5">
        <f ca="1">(IF('Demand adjustments for Covid'!$F$9="No",E28,SUM('Demand background (hide)'!DS17,'Demand background (hide)'!DV17:DW17))*(1-'Parameters calculator (hide)'!$B$43))*(1-'Parameters calculator (hide)'!$B$44+('Parameters calculator (hide)'!$B$45*'Parameters calculator (hide)'!$B$47))</f>
        <v>496.35</v>
      </c>
      <c r="N28" s="5">
        <f ca="1">(IF('Demand adjustments for Covid'!$F$9="No",F28,SUM('Demand background (hide)'!DT17,'Demand background (hide)'!DV17:DW17))*(1-'Parameters calculator (hide)'!$B$43))*(1-'Parameters calculator (hide)'!$B$44+('Parameters calculator (hide)'!$B$45*'Parameters calculator (hide)'!$B$47))</f>
        <v>597.6</v>
      </c>
      <c r="P28" s="5">
        <f t="shared" ca="1" si="4"/>
        <v>13.038461538461538</v>
      </c>
      <c r="Q28" s="5">
        <f t="shared" ca="1" si="5"/>
        <v>2.1153846153846154</v>
      </c>
      <c r="R28" s="5">
        <f t="shared" ca="1" si="6"/>
        <v>13.038461538461538</v>
      </c>
      <c r="S28" s="5">
        <f t="shared" ca="1" si="7"/>
        <v>2.1153846153846154</v>
      </c>
      <c r="T28" s="5">
        <f ca="1">M28/IF(Summary!$C$8&lt;&gt;"Patients",1,$I$9)</f>
        <v>13.421118881118881</v>
      </c>
      <c r="U28" s="5">
        <f ca="1">((N28-M28)/IF(Summary!$C$8&lt;&gt;"Patients",1,$I$9))</f>
        <v>2.7377622377622375</v>
      </c>
      <c r="V28" s="5">
        <f t="shared" si="8"/>
        <v>0</v>
      </c>
      <c r="X28" s="5">
        <f ca="1">(VLOOKUP(D28,'SPC background (hide)'!$AG$2:$AN$54,8,0)/IF(Summary!$C$8&lt;&gt;"Patients",1,$I$9))*(1-$I$4)*(1-$I$5+($I$6*$I$7))</f>
        <v>12.046153846153846</v>
      </c>
    </row>
    <row r="29" spans="1:24" x14ac:dyDescent="0.2">
      <c r="A29" s="87">
        <f t="shared" si="9"/>
        <v>44291</v>
      </c>
      <c r="B29" s="67" t="str">
        <f t="shared" si="1"/>
        <v/>
      </c>
      <c r="C29" s="67" t="str">
        <f t="shared" si="2"/>
        <v>Apr</v>
      </c>
      <c r="D29" s="67">
        <f t="shared" si="0"/>
        <v>14</v>
      </c>
      <c r="E29" s="5">
        <f ca="1">IF(LEFT(Demand!$C$8,1)="H",VLOOKUP($D29,'SPC background (hide)'!$AG$2:$AS$54,12,0),'Demand background (hide)'!X18)</f>
        <v>551.5</v>
      </c>
      <c r="F29" s="5">
        <f ca="1">IF(LEFT(Demand!$C$8,1)="H",VLOOKUP($D29,'SPC background (hide)'!$AG$2:$AS$54,13,0),E29*1.1)</f>
        <v>664</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13.038461538461538</v>
      </c>
      <c r="J29" s="5">
        <f ca="1">HLOOKUP(D29,'Capacity calculation (hide)'!$BK$110:$DK$111,2,0)</f>
        <v>2.1153846153846154</v>
      </c>
      <c r="K29" s="5">
        <f ca="1">IF(I29-IF(Setup!$I$15="Yes",$G29,0)-IF(Setup!$I$13="Yes",$H29,0)&lt;0,0,I29-IF(Setup!$I$15="Yes",$G29,0)-IF(Setup!$I$13="Yes",$H29,0))</f>
        <v>13.038461538461538</v>
      </c>
      <c r="L29" s="5">
        <f t="shared" ca="1" si="3"/>
        <v>2.1153846153846154</v>
      </c>
      <c r="M29" s="5">
        <f ca="1">(IF('Demand adjustments for Covid'!$F$9="No",E29,SUM('Demand background (hide)'!DS18,'Demand background (hide)'!DV18:DW18))*(1-'Parameters calculator (hide)'!$B$43))*(1-'Parameters calculator (hide)'!$B$44+('Parameters calculator (hide)'!$B$45*'Parameters calculator (hide)'!$B$47))</f>
        <v>496.35</v>
      </c>
      <c r="N29" s="5">
        <f ca="1">(IF('Demand adjustments for Covid'!$F$9="No",F29,SUM('Demand background (hide)'!DT18,'Demand background (hide)'!DV18:DW18))*(1-'Parameters calculator (hide)'!$B$43))*(1-'Parameters calculator (hide)'!$B$44+('Parameters calculator (hide)'!$B$45*'Parameters calculator (hide)'!$B$47))</f>
        <v>597.6</v>
      </c>
      <c r="P29" s="5">
        <f t="shared" ca="1" si="4"/>
        <v>13.038461538461538</v>
      </c>
      <c r="Q29" s="5">
        <f t="shared" ca="1" si="5"/>
        <v>2.1153846153846154</v>
      </c>
      <c r="R29" s="5">
        <f t="shared" ca="1" si="6"/>
        <v>13.038461538461538</v>
      </c>
      <c r="S29" s="5">
        <f t="shared" ca="1" si="7"/>
        <v>2.1153846153846154</v>
      </c>
      <c r="T29" s="5">
        <f ca="1">M29/IF(Summary!$C$8&lt;&gt;"Patients",1,$I$9)</f>
        <v>13.421118881118881</v>
      </c>
      <c r="U29" s="5">
        <f ca="1">((N29-M29)/IF(Summary!$C$8&lt;&gt;"Patients",1,$I$9))</f>
        <v>2.7377622377622375</v>
      </c>
      <c r="V29" s="5">
        <f t="shared" si="8"/>
        <v>0</v>
      </c>
      <c r="X29" s="5">
        <f ca="1">(VLOOKUP(D29,'SPC background (hide)'!$AG$2:$AN$54,8,0)/IF(Summary!$C$8&lt;&gt;"Patients",1,$I$9))*(1-$I$4)*(1-$I$5+($I$6*$I$7))</f>
        <v>12.046153846153846</v>
      </c>
    </row>
    <row r="30" spans="1:24" x14ac:dyDescent="0.2">
      <c r="A30" s="87">
        <f t="shared" si="9"/>
        <v>44298</v>
      </c>
      <c r="B30" s="67" t="str">
        <f t="shared" si="1"/>
        <v/>
      </c>
      <c r="C30" s="67" t="str">
        <f t="shared" si="2"/>
        <v/>
      </c>
      <c r="D30" s="67">
        <f t="shared" si="0"/>
        <v>15</v>
      </c>
      <c r="E30" s="5">
        <f ca="1">IF(LEFT(Demand!$C$8,1)="H",VLOOKUP($D30,'SPC background (hide)'!$AG$2:$AS$54,12,0),'Demand background (hide)'!X19)</f>
        <v>551.5</v>
      </c>
      <c r="F30" s="5">
        <f ca="1">IF(LEFT(Demand!$C$8,1)="H",VLOOKUP($D30,'SPC background (hide)'!$AG$2:$AS$54,13,0),E30*1.1)</f>
        <v>664</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13.038461538461538</v>
      </c>
      <c r="J30" s="5">
        <f ca="1">HLOOKUP(D30,'Capacity calculation (hide)'!$BK$110:$DK$111,2,0)</f>
        <v>2.1153846153846154</v>
      </c>
      <c r="K30" s="5">
        <f ca="1">IF(I30-IF(Setup!$I$15="Yes",$G30,0)-IF(Setup!$I$13="Yes",$H30,0)&lt;0,0,I30-IF(Setup!$I$15="Yes",$G30,0)-IF(Setup!$I$13="Yes",$H30,0))</f>
        <v>13.038461538461538</v>
      </c>
      <c r="L30" s="5">
        <f t="shared" ca="1" si="3"/>
        <v>2.1153846153846154</v>
      </c>
      <c r="M30" s="5">
        <f ca="1">(IF('Demand adjustments for Covid'!$F$9="No",E30,SUM('Demand background (hide)'!DS19,'Demand background (hide)'!DV19:DW19))*(1-'Parameters calculator (hide)'!$B$43))*(1-'Parameters calculator (hide)'!$B$44+('Parameters calculator (hide)'!$B$45*'Parameters calculator (hide)'!$B$47))</f>
        <v>496.35</v>
      </c>
      <c r="N30" s="5">
        <f ca="1">(IF('Demand adjustments for Covid'!$F$9="No",F30,SUM('Demand background (hide)'!DT19,'Demand background (hide)'!DV19:DW19))*(1-'Parameters calculator (hide)'!$B$43))*(1-'Parameters calculator (hide)'!$B$44+('Parameters calculator (hide)'!$B$45*'Parameters calculator (hide)'!$B$47))</f>
        <v>597.6</v>
      </c>
      <c r="P30" s="5">
        <f t="shared" ca="1" si="4"/>
        <v>13.038461538461538</v>
      </c>
      <c r="Q30" s="5">
        <f t="shared" ca="1" si="5"/>
        <v>2.1153846153846154</v>
      </c>
      <c r="R30" s="5">
        <f t="shared" ca="1" si="6"/>
        <v>13.038461538461538</v>
      </c>
      <c r="S30" s="5">
        <f t="shared" ca="1" si="7"/>
        <v>2.1153846153846154</v>
      </c>
      <c r="T30" s="5">
        <f ca="1">M30/IF(Summary!$C$8&lt;&gt;"Patients",1,$I$9)</f>
        <v>13.421118881118881</v>
      </c>
      <c r="U30" s="5">
        <f ca="1">((N30-M30)/IF(Summary!$C$8&lt;&gt;"Patients",1,$I$9))</f>
        <v>2.7377622377622375</v>
      </c>
      <c r="V30" s="5">
        <f t="shared" si="8"/>
        <v>0</v>
      </c>
      <c r="X30" s="5">
        <f ca="1">(VLOOKUP(D30,'SPC background (hide)'!$AG$2:$AN$54,8,0)/IF(Summary!$C$8&lt;&gt;"Patients",1,$I$9))*(1-$I$4)*(1-$I$5+($I$6*$I$7))</f>
        <v>12.046153846153846</v>
      </c>
    </row>
    <row r="31" spans="1:24" x14ac:dyDescent="0.2">
      <c r="A31" s="87">
        <f t="shared" si="9"/>
        <v>44305</v>
      </c>
      <c r="B31" s="67" t="str">
        <f t="shared" si="1"/>
        <v/>
      </c>
      <c r="C31" s="67" t="str">
        <f t="shared" si="2"/>
        <v/>
      </c>
      <c r="D31" s="67">
        <f t="shared" si="0"/>
        <v>16</v>
      </c>
      <c r="E31" s="5">
        <f ca="1">IF(LEFT(Demand!$C$8,1)="H",VLOOKUP($D31,'SPC background (hide)'!$AG$2:$AS$54,12,0),'Demand background (hide)'!X20)</f>
        <v>551.5</v>
      </c>
      <c r="F31" s="5">
        <f ca="1">IF(LEFT(Demand!$C$8,1)="H",VLOOKUP($D31,'SPC background (hide)'!$AG$2:$AS$54,13,0),E31*1.1)</f>
        <v>664</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13.038461538461538</v>
      </c>
      <c r="J31" s="5">
        <f ca="1">HLOOKUP(D31,'Capacity calculation (hide)'!$BK$110:$DK$111,2,0)</f>
        <v>2.1153846153846154</v>
      </c>
      <c r="K31" s="5">
        <f ca="1">IF(I31-IF(Setup!$I$15="Yes",$G31,0)-IF(Setup!$I$13="Yes",$H31,0)&lt;0,0,I31-IF(Setup!$I$15="Yes",$G31,0)-IF(Setup!$I$13="Yes",$H31,0))</f>
        <v>13.038461538461538</v>
      </c>
      <c r="L31" s="5">
        <f t="shared" ca="1" si="3"/>
        <v>2.1153846153846154</v>
      </c>
      <c r="M31" s="5">
        <f ca="1">(IF('Demand adjustments for Covid'!$F$9="No",E31,SUM('Demand background (hide)'!DS20,'Demand background (hide)'!DV20:DW20))*(1-'Parameters calculator (hide)'!$B$43))*(1-'Parameters calculator (hide)'!$B$44+('Parameters calculator (hide)'!$B$45*'Parameters calculator (hide)'!$B$47))</f>
        <v>496.35</v>
      </c>
      <c r="N31" s="5">
        <f ca="1">(IF('Demand adjustments for Covid'!$F$9="No",F31,SUM('Demand background (hide)'!DT20,'Demand background (hide)'!DV20:DW20))*(1-'Parameters calculator (hide)'!$B$43))*(1-'Parameters calculator (hide)'!$B$44+('Parameters calculator (hide)'!$B$45*'Parameters calculator (hide)'!$B$47))</f>
        <v>597.6</v>
      </c>
      <c r="P31" s="5">
        <f t="shared" ca="1" si="4"/>
        <v>13.038461538461538</v>
      </c>
      <c r="Q31" s="5">
        <f t="shared" ca="1" si="5"/>
        <v>2.1153846153846154</v>
      </c>
      <c r="R31" s="5">
        <f t="shared" ca="1" si="6"/>
        <v>13.038461538461538</v>
      </c>
      <c r="S31" s="5">
        <f t="shared" ca="1" si="7"/>
        <v>2.1153846153846154</v>
      </c>
      <c r="T31" s="5">
        <f ca="1">M31/IF(Summary!$C$8&lt;&gt;"Patients",1,$I$9)</f>
        <v>13.421118881118881</v>
      </c>
      <c r="U31" s="5">
        <f ca="1">((N31-M31)/IF(Summary!$C$8&lt;&gt;"Patients",1,$I$9))</f>
        <v>2.7377622377622375</v>
      </c>
      <c r="V31" s="5">
        <f t="shared" si="8"/>
        <v>0</v>
      </c>
      <c r="X31" s="5">
        <f ca="1">(VLOOKUP(D31,'SPC background (hide)'!$AG$2:$AN$54,8,0)/IF(Summary!$C$8&lt;&gt;"Patients",1,$I$9))*(1-$I$4)*(1-$I$5+($I$6*$I$7))</f>
        <v>12.046153846153846</v>
      </c>
    </row>
    <row r="32" spans="1:24" x14ac:dyDescent="0.2">
      <c r="A32" s="87">
        <f t="shared" si="9"/>
        <v>44312</v>
      </c>
      <c r="B32" s="67" t="str">
        <f t="shared" si="1"/>
        <v/>
      </c>
      <c r="C32" s="67" t="str">
        <f t="shared" si="2"/>
        <v/>
      </c>
      <c r="D32" s="67">
        <f t="shared" si="0"/>
        <v>17</v>
      </c>
      <c r="E32" s="5">
        <f ca="1">IF(LEFT(Demand!$C$8,1)="H",VLOOKUP($D32,'SPC background (hide)'!$AG$2:$AS$54,12,0),'Demand background (hide)'!X21)</f>
        <v>551.5</v>
      </c>
      <c r="F32" s="5">
        <f ca="1">IF(LEFT(Demand!$C$8,1)="H",VLOOKUP($D32,'SPC background (hide)'!$AG$2:$AS$54,13,0),E32*1.1)</f>
        <v>664</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13.038461538461538</v>
      </c>
      <c r="J32" s="5">
        <f ca="1">HLOOKUP(D32,'Capacity calculation (hide)'!$BK$110:$DK$111,2,0)</f>
        <v>2.1153846153846154</v>
      </c>
      <c r="K32" s="5">
        <f ca="1">IF(I32-IF(Setup!$I$15="Yes",$G32,0)-IF(Setup!$I$13="Yes",$H32,0)&lt;0,0,I32-IF(Setup!$I$15="Yes",$G32,0)-IF(Setup!$I$13="Yes",$H32,0))</f>
        <v>13.038461538461538</v>
      </c>
      <c r="L32" s="5">
        <f t="shared" ca="1" si="3"/>
        <v>2.1153846153846154</v>
      </c>
      <c r="M32" s="5">
        <f ca="1">(IF('Demand adjustments for Covid'!$F$9="No",E32,SUM('Demand background (hide)'!DS21,'Demand background (hide)'!DV21:DW21))*(1-'Parameters calculator (hide)'!$B$43))*(1-'Parameters calculator (hide)'!$B$44+('Parameters calculator (hide)'!$B$45*'Parameters calculator (hide)'!$B$47))</f>
        <v>496.35</v>
      </c>
      <c r="N32" s="5">
        <f ca="1">(IF('Demand adjustments for Covid'!$F$9="No",F32,SUM('Demand background (hide)'!DT21,'Demand background (hide)'!DV21:DW21))*(1-'Parameters calculator (hide)'!$B$43))*(1-'Parameters calculator (hide)'!$B$44+('Parameters calculator (hide)'!$B$45*'Parameters calculator (hide)'!$B$47))</f>
        <v>597.6</v>
      </c>
      <c r="P32" s="5">
        <f t="shared" ca="1" si="4"/>
        <v>13.038461538461538</v>
      </c>
      <c r="Q32" s="5">
        <f t="shared" ca="1" si="5"/>
        <v>2.1153846153846154</v>
      </c>
      <c r="R32" s="5">
        <f t="shared" ca="1" si="6"/>
        <v>13.038461538461538</v>
      </c>
      <c r="S32" s="5">
        <f t="shared" ca="1" si="7"/>
        <v>2.1153846153846154</v>
      </c>
      <c r="T32" s="5">
        <f ca="1">M32/IF(Summary!$C$8&lt;&gt;"Patients",1,$I$9)</f>
        <v>13.421118881118881</v>
      </c>
      <c r="U32" s="5">
        <f ca="1">((N32-M32)/IF(Summary!$C$8&lt;&gt;"Patients",1,$I$9))</f>
        <v>2.7377622377622375</v>
      </c>
      <c r="V32" s="5">
        <f t="shared" si="8"/>
        <v>0</v>
      </c>
      <c r="X32" s="5">
        <f ca="1">(VLOOKUP(D32,'SPC background (hide)'!$AG$2:$AN$54,8,0)/IF(Summary!$C$8&lt;&gt;"Patients",1,$I$9))*(1-$I$4)*(1-$I$5+($I$6*$I$7))</f>
        <v>12.046153846153846</v>
      </c>
    </row>
    <row r="33" spans="1:24" x14ac:dyDescent="0.2">
      <c r="A33" s="87">
        <f t="shared" si="9"/>
        <v>44319</v>
      </c>
      <c r="B33" s="67" t="str">
        <f t="shared" si="1"/>
        <v/>
      </c>
      <c r="C33" s="67" t="str">
        <f t="shared" si="2"/>
        <v>May</v>
      </c>
      <c r="D33" s="67">
        <f t="shared" si="0"/>
        <v>18</v>
      </c>
      <c r="E33" s="5">
        <f ca="1">IF(LEFT(Demand!$C$8,1)="H",VLOOKUP($D33,'SPC background (hide)'!$AG$2:$AS$54,12,0),'Demand background (hide)'!X22)</f>
        <v>551.5</v>
      </c>
      <c r="F33" s="5">
        <f ca="1">IF(LEFT(Demand!$C$8,1)="H",VLOOKUP($D33,'SPC background (hide)'!$AG$2:$AS$54,13,0),E33*1.1)</f>
        <v>664</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13.038461538461538</v>
      </c>
      <c r="J33" s="5">
        <f ca="1">HLOOKUP(D33,'Capacity calculation (hide)'!$BK$110:$DK$111,2,0)</f>
        <v>2.1153846153846154</v>
      </c>
      <c r="K33" s="5">
        <f ca="1">IF(I33-IF(Setup!$I$15="Yes",$G33,0)-IF(Setup!$I$13="Yes",$H33,0)&lt;0,0,I33-IF(Setup!$I$15="Yes",$G33,0)-IF(Setup!$I$13="Yes",$H33,0))</f>
        <v>13.038461538461538</v>
      </c>
      <c r="L33" s="5">
        <f t="shared" ca="1" si="3"/>
        <v>2.1153846153846154</v>
      </c>
      <c r="M33" s="5">
        <f ca="1">(IF('Demand adjustments for Covid'!$F$9="No",E33,SUM('Demand background (hide)'!DS22,'Demand background (hide)'!DV22:DW22))*(1-'Parameters calculator (hide)'!$B$43))*(1-'Parameters calculator (hide)'!$B$44+('Parameters calculator (hide)'!$B$45*'Parameters calculator (hide)'!$B$47))</f>
        <v>496.35</v>
      </c>
      <c r="N33" s="5">
        <f ca="1">(IF('Demand adjustments for Covid'!$F$9="No",F33,SUM('Demand background (hide)'!DT22,'Demand background (hide)'!DV22:DW22))*(1-'Parameters calculator (hide)'!$B$43))*(1-'Parameters calculator (hide)'!$B$44+('Parameters calculator (hide)'!$B$45*'Parameters calculator (hide)'!$B$47))</f>
        <v>597.6</v>
      </c>
      <c r="P33" s="5">
        <f t="shared" ca="1" si="4"/>
        <v>13.038461538461538</v>
      </c>
      <c r="Q33" s="5">
        <f t="shared" ca="1" si="5"/>
        <v>2.1153846153846154</v>
      </c>
      <c r="R33" s="5">
        <f t="shared" ca="1" si="6"/>
        <v>13.038461538461538</v>
      </c>
      <c r="S33" s="5">
        <f t="shared" ca="1" si="7"/>
        <v>2.1153846153846154</v>
      </c>
      <c r="T33" s="5">
        <f ca="1">M33/IF(Summary!$C$8&lt;&gt;"Patients",1,$I$9)</f>
        <v>13.421118881118881</v>
      </c>
      <c r="U33" s="5">
        <f ca="1">((N33-M33)/IF(Summary!$C$8&lt;&gt;"Patients",1,$I$9))</f>
        <v>2.7377622377622375</v>
      </c>
      <c r="V33" s="5">
        <f t="shared" si="8"/>
        <v>0</v>
      </c>
      <c r="X33" s="5">
        <f ca="1">(VLOOKUP(D33,'SPC background (hide)'!$AG$2:$AN$54,8,0)/IF(Summary!$C$8&lt;&gt;"Patients",1,$I$9))*(1-$I$4)*(1-$I$5+($I$6*$I$7))</f>
        <v>12.046153846153846</v>
      </c>
    </row>
    <row r="34" spans="1:24" x14ac:dyDescent="0.2">
      <c r="A34" s="87">
        <f t="shared" si="9"/>
        <v>44326</v>
      </c>
      <c r="B34" s="67" t="str">
        <f t="shared" si="1"/>
        <v/>
      </c>
      <c r="C34" s="67" t="str">
        <f t="shared" si="2"/>
        <v/>
      </c>
      <c r="D34" s="67">
        <f t="shared" si="0"/>
        <v>19</v>
      </c>
      <c r="E34" s="5">
        <f ca="1">IF(LEFT(Demand!$C$8,1)="H",VLOOKUP($D34,'SPC background (hide)'!$AG$2:$AS$54,12,0),'Demand background (hide)'!X23)</f>
        <v>551.5</v>
      </c>
      <c r="F34" s="5">
        <f ca="1">IF(LEFT(Demand!$C$8,1)="H",VLOOKUP($D34,'SPC background (hide)'!$AG$2:$AS$54,13,0),E34*1.1)</f>
        <v>664</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13.038461538461538</v>
      </c>
      <c r="J34" s="5">
        <f ca="1">HLOOKUP(D34,'Capacity calculation (hide)'!$BK$110:$DK$111,2,0)</f>
        <v>2.1153846153846154</v>
      </c>
      <c r="K34" s="5">
        <f ca="1">IF(I34-IF(Setup!$I$15="Yes",$G34,0)-IF(Setup!$I$13="Yes",$H34,0)&lt;0,0,I34-IF(Setup!$I$15="Yes",$G34,0)-IF(Setup!$I$13="Yes",$H34,0))</f>
        <v>13.038461538461538</v>
      </c>
      <c r="L34" s="5">
        <f t="shared" ca="1" si="3"/>
        <v>2.1153846153846154</v>
      </c>
      <c r="M34" s="5">
        <f ca="1">(IF('Demand adjustments for Covid'!$F$9="No",E34,SUM('Demand background (hide)'!DS23,'Demand background (hide)'!DV23:DW23))*(1-'Parameters calculator (hide)'!$B$43))*(1-'Parameters calculator (hide)'!$B$44+('Parameters calculator (hide)'!$B$45*'Parameters calculator (hide)'!$B$47))</f>
        <v>496.35</v>
      </c>
      <c r="N34" s="5">
        <f ca="1">(IF('Demand adjustments for Covid'!$F$9="No",F34,SUM('Demand background (hide)'!DT23,'Demand background (hide)'!DV23:DW23))*(1-'Parameters calculator (hide)'!$B$43))*(1-'Parameters calculator (hide)'!$B$44+('Parameters calculator (hide)'!$B$45*'Parameters calculator (hide)'!$B$47))</f>
        <v>597.6</v>
      </c>
      <c r="P34" s="5">
        <f t="shared" ca="1" si="4"/>
        <v>13.038461538461538</v>
      </c>
      <c r="Q34" s="5">
        <f t="shared" ca="1" si="5"/>
        <v>2.1153846153846154</v>
      </c>
      <c r="R34" s="5">
        <f t="shared" ca="1" si="6"/>
        <v>13.038461538461538</v>
      </c>
      <c r="S34" s="5">
        <f t="shared" ca="1" si="7"/>
        <v>2.1153846153846154</v>
      </c>
      <c r="T34" s="5">
        <f ca="1">M34/IF(Summary!$C$8&lt;&gt;"Patients",1,$I$9)</f>
        <v>13.421118881118881</v>
      </c>
      <c r="U34" s="5">
        <f ca="1">((N34-M34)/IF(Summary!$C$8&lt;&gt;"Patients",1,$I$9))</f>
        <v>2.7377622377622375</v>
      </c>
      <c r="V34" s="5">
        <f t="shared" si="8"/>
        <v>0</v>
      </c>
      <c r="X34" s="5">
        <f ca="1">(VLOOKUP(D34,'SPC background (hide)'!$AG$2:$AN$54,8,0)/IF(Summary!$C$8&lt;&gt;"Patients",1,$I$9))*(1-$I$4)*(1-$I$5+($I$6*$I$7))</f>
        <v>12.046153846153846</v>
      </c>
    </row>
    <row r="35" spans="1:24" x14ac:dyDescent="0.2">
      <c r="A35" s="87">
        <f t="shared" si="9"/>
        <v>44333</v>
      </c>
      <c r="B35" s="67" t="str">
        <f t="shared" si="1"/>
        <v/>
      </c>
      <c r="C35" s="67" t="str">
        <f t="shared" si="2"/>
        <v/>
      </c>
      <c r="D35" s="67">
        <f t="shared" si="0"/>
        <v>20</v>
      </c>
      <c r="E35" s="5">
        <f ca="1">IF(LEFT(Demand!$C$8,1)="H",VLOOKUP($D35,'SPC background (hide)'!$AG$2:$AS$54,12,0),'Demand background (hide)'!X24)</f>
        <v>551.5</v>
      </c>
      <c r="F35" s="5">
        <f ca="1">IF(LEFT(Demand!$C$8,1)="H",VLOOKUP($D35,'SPC background (hide)'!$AG$2:$AS$54,13,0),E35*1.1)</f>
        <v>664</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13.038461538461538</v>
      </c>
      <c r="J35" s="5">
        <f ca="1">HLOOKUP(D35,'Capacity calculation (hide)'!$BK$110:$DK$111,2,0)</f>
        <v>2.1153846153846154</v>
      </c>
      <c r="K35" s="5">
        <f ca="1">IF(I35-IF(Setup!$I$15="Yes",$G35,0)-IF(Setup!$I$13="Yes",$H35,0)&lt;0,0,I35-IF(Setup!$I$15="Yes",$G35,0)-IF(Setup!$I$13="Yes",$H35,0))</f>
        <v>13.038461538461538</v>
      </c>
      <c r="L35" s="5">
        <f t="shared" ca="1" si="3"/>
        <v>2.1153846153846154</v>
      </c>
      <c r="M35" s="5">
        <f ca="1">(IF('Demand adjustments for Covid'!$F$9="No",E35,SUM('Demand background (hide)'!DS24,'Demand background (hide)'!DV24:DW24))*(1-'Parameters calculator (hide)'!$B$43))*(1-'Parameters calculator (hide)'!$B$44+('Parameters calculator (hide)'!$B$45*'Parameters calculator (hide)'!$B$47))</f>
        <v>496.35</v>
      </c>
      <c r="N35" s="5">
        <f ca="1">(IF('Demand adjustments for Covid'!$F$9="No",F35,SUM('Demand background (hide)'!DT24,'Demand background (hide)'!DV24:DW24))*(1-'Parameters calculator (hide)'!$B$43))*(1-'Parameters calculator (hide)'!$B$44+('Parameters calculator (hide)'!$B$45*'Parameters calculator (hide)'!$B$47))</f>
        <v>597.6</v>
      </c>
      <c r="P35" s="5">
        <f t="shared" ca="1" si="4"/>
        <v>13.038461538461538</v>
      </c>
      <c r="Q35" s="5">
        <f t="shared" ca="1" si="5"/>
        <v>2.1153846153846154</v>
      </c>
      <c r="R35" s="5">
        <f t="shared" ca="1" si="6"/>
        <v>13.038461538461538</v>
      </c>
      <c r="S35" s="5">
        <f t="shared" ca="1" si="7"/>
        <v>2.1153846153846154</v>
      </c>
      <c r="T35" s="5">
        <f ca="1">M35/IF(Summary!$C$8&lt;&gt;"Patients",1,$I$9)</f>
        <v>13.421118881118881</v>
      </c>
      <c r="U35" s="5">
        <f ca="1">((N35-M35)/IF(Summary!$C$8&lt;&gt;"Patients",1,$I$9))</f>
        <v>2.7377622377622375</v>
      </c>
      <c r="V35" s="5">
        <f t="shared" si="8"/>
        <v>0</v>
      </c>
      <c r="X35" s="5">
        <f ca="1">(VLOOKUP(D35,'SPC background (hide)'!$AG$2:$AN$54,8,0)/IF(Summary!$C$8&lt;&gt;"Patients",1,$I$9))*(1-$I$4)*(1-$I$5+($I$6*$I$7))</f>
        <v>12.046153846153846</v>
      </c>
    </row>
    <row r="36" spans="1:24" x14ac:dyDescent="0.2">
      <c r="A36" s="87">
        <f t="shared" si="9"/>
        <v>44340</v>
      </c>
      <c r="B36" s="67" t="str">
        <f t="shared" si="1"/>
        <v/>
      </c>
      <c r="C36" s="67" t="str">
        <f t="shared" si="2"/>
        <v/>
      </c>
      <c r="D36" s="67">
        <f t="shared" si="0"/>
        <v>21</v>
      </c>
      <c r="E36" s="5">
        <f ca="1">IF(LEFT(Demand!$C$8,1)="H",VLOOKUP($D36,'SPC background (hide)'!$AG$2:$AS$54,12,0),'Demand background (hide)'!X25)</f>
        <v>551.5</v>
      </c>
      <c r="F36" s="5">
        <f ca="1">IF(LEFT(Demand!$C$8,1)="H",VLOOKUP($D36,'SPC background (hide)'!$AG$2:$AS$54,13,0),E36*1.1)</f>
        <v>664</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13.038461538461538</v>
      </c>
      <c r="J36" s="5">
        <f ca="1">HLOOKUP(D36,'Capacity calculation (hide)'!$BK$110:$DK$111,2,0)</f>
        <v>2.1153846153846154</v>
      </c>
      <c r="K36" s="5">
        <f ca="1">IF(I36-IF(Setup!$I$15="Yes",$G36,0)-IF(Setup!$I$13="Yes",$H36,0)&lt;0,0,I36-IF(Setup!$I$15="Yes",$G36,0)-IF(Setup!$I$13="Yes",$H36,0))</f>
        <v>13.038461538461538</v>
      </c>
      <c r="L36" s="5">
        <f t="shared" ca="1" si="3"/>
        <v>2.1153846153846154</v>
      </c>
      <c r="M36" s="5">
        <f ca="1">(IF('Demand adjustments for Covid'!$F$9="No",E36,SUM('Demand background (hide)'!DS25,'Demand background (hide)'!DV25:DW25))*(1-'Parameters calculator (hide)'!$B$43))*(1-'Parameters calculator (hide)'!$B$44+('Parameters calculator (hide)'!$B$45*'Parameters calculator (hide)'!$B$47))</f>
        <v>496.35</v>
      </c>
      <c r="N36" s="5">
        <f ca="1">(IF('Demand adjustments for Covid'!$F$9="No",F36,SUM('Demand background (hide)'!DT25,'Demand background (hide)'!DV25:DW25))*(1-'Parameters calculator (hide)'!$B$43))*(1-'Parameters calculator (hide)'!$B$44+('Parameters calculator (hide)'!$B$45*'Parameters calculator (hide)'!$B$47))</f>
        <v>597.6</v>
      </c>
      <c r="P36" s="5">
        <f t="shared" ca="1" si="4"/>
        <v>13.038461538461538</v>
      </c>
      <c r="Q36" s="5">
        <f t="shared" ca="1" si="5"/>
        <v>2.1153846153846154</v>
      </c>
      <c r="R36" s="5">
        <f t="shared" ca="1" si="6"/>
        <v>13.038461538461538</v>
      </c>
      <c r="S36" s="5">
        <f t="shared" ca="1" si="7"/>
        <v>2.1153846153846154</v>
      </c>
      <c r="T36" s="5">
        <f ca="1">M36/IF(Summary!$C$8&lt;&gt;"Patients",1,$I$9)</f>
        <v>13.421118881118881</v>
      </c>
      <c r="U36" s="5">
        <f ca="1">((N36-M36)/IF(Summary!$C$8&lt;&gt;"Patients",1,$I$9))</f>
        <v>2.7377622377622375</v>
      </c>
      <c r="V36" s="5">
        <f t="shared" si="8"/>
        <v>0</v>
      </c>
      <c r="X36" s="5">
        <f ca="1">(VLOOKUP(D36,'SPC background (hide)'!$AG$2:$AN$54,8,0)/IF(Summary!$C$8&lt;&gt;"Patients",1,$I$9))*(1-$I$4)*(1-$I$5+($I$6*$I$7))</f>
        <v>12.046153846153846</v>
      </c>
    </row>
    <row r="37" spans="1:24" x14ac:dyDescent="0.2">
      <c r="A37" s="87">
        <f t="shared" si="9"/>
        <v>44347</v>
      </c>
      <c r="B37" s="67" t="str">
        <f t="shared" si="1"/>
        <v/>
      </c>
      <c r="C37" s="67" t="str">
        <f t="shared" si="2"/>
        <v/>
      </c>
      <c r="D37" s="67">
        <f t="shared" si="0"/>
        <v>22</v>
      </c>
      <c r="E37" s="5">
        <f ca="1">IF(LEFT(Demand!$C$8,1)="H",VLOOKUP($D37,'SPC background (hide)'!$AG$2:$AS$54,12,0),'Demand background (hide)'!X26)</f>
        <v>551.5</v>
      </c>
      <c r="F37" s="5">
        <f ca="1">IF(LEFT(Demand!$C$8,1)="H",VLOOKUP($D37,'SPC background (hide)'!$AG$2:$AS$54,13,0),E37*1.1)</f>
        <v>664</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13.038461538461538</v>
      </c>
      <c r="J37" s="5">
        <f ca="1">HLOOKUP(D37,'Capacity calculation (hide)'!$BK$110:$DK$111,2,0)</f>
        <v>2.1153846153846154</v>
      </c>
      <c r="K37" s="5">
        <f ca="1">IF(I37-IF(Setup!$I$15="Yes",$G37,0)-IF(Setup!$I$13="Yes",$H37,0)&lt;0,0,I37-IF(Setup!$I$15="Yes",$G37,0)-IF(Setup!$I$13="Yes",$H37,0))</f>
        <v>13.038461538461538</v>
      </c>
      <c r="L37" s="5">
        <f t="shared" ca="1" si="3"/>
        <v>2.1153846153846154</v>
      </c>
      <c r="M37" s="5">
        <f ca="1">(IF('Demand adjustments for Covid'!$F$9="No",E37,SUM('Demand background (hide)'!DS26,'Demand background (hide)'!DV26:DW26))*(1-'Parameters calculator (hide)'!$B$43))*(1-'Parameters calculator (hide)'!$B$44+('Parameters calculator (hide)'!$B$45*'Parameters calculator (hide)'!$B$47))</f>
        <v>496.35</v>
      </c>
      <c r="N37" s="5">
        <f ca="1">(IF('Demand adjustments for Covid'!$F$9="No",F37,SUM('Demand background (hide)'!DT26,'Demand background (hide)'!DV26:DW26))*(1-'Parameters calculator (hide)'!$B$43))*(1-'Parameters calculator (hide)'!$B$44+('Parameters calculator (hide)'!$B$45*'Parameters calculator (hide)'!$B$47))</f>
        <v>597.6</v>
      </c>
      <c r="P37" s="5">
        <f t="shared" ca="1" si="4"/>
        <v>13.038461538461538</v>
      </c>
      <c r="Q37" s="5">
        <f t="shared" ca="1" si="5"/>
        <v>2.1153846153846154</v>
      </c>
      <c r="R37" s="5">
        <f t="shared" ca="1" si="6"/>
        <v>13.038461538461538</v>
      </c>
      <c r="S37" s="5">
        <f t="shared" ca="1" si="7"/>
        <v>2.1153846153846154</v>
      </c>
      <c r="T37" s="5">
        <f ca="1">M37/IF(Summary!$C$8&lt;&gt;"Patients",1,$I$9)</f>
        <v>13.421118881118881</v>
      </c>
      <c r="U37" s="5">
        <f ca="1">((N37-M37)/IF(Summary!$C$8&lt;&gt;"Patients",1,$I$9))</f>
        <v>2.7377622377622375</v>
      </c>
      <c r="V37" s="5">
        <f t="shared" si="8"/>
        <v>0</v>
      </c>
      <c r="X37" s="5">
        <f ca="1">(VLOOKUP(D37,'SPC background (hide)'!$AG$2:$AN$54,8,0)/IF(Summary!$C$8&lt;&gt;"Patients",1,$I$9))*(1-$I$4)*(1-$I$5+($I$6*$I$7))</f>
        <v>12.046153846153846</v>
      </c>
    </row>
    <row r="38" spans="1:24" x14ac:dyDescent="0.2">
      <c r="A38" s="87">
        <f t="shared" si="9"/>
        <v>44354</v>
      </c>
      <c r="B38" s="67" t="str">
        <f t="shared" si="1"/>
        <v/>
      </c>
      <c r="C38" s="67" t="str">
        <f t="shared" si="2"/>
        <v>Jun</v>
      </c>
      <c r="D38" s="67">
        <f t="shared" si="0"/>
        <v>23</v>
      </c>
      <c r="E38" s="5">
        <f ca="1">IF(LEFT(Demand!$C$8,1)="H",VLOOKUP($D38,'SPC background (hide)'!$AG$2:$AS$54,12,0),'Demand background (hide)'!X27)</f>
        <v>551.5</v>
      </c>
      <c r="F38" s="5">
        <f ca="1">IF(LEFT(Demand!$C$8,1)="H",VLOOKUP($D38,'SPC background (hide)'!$AG$2:$AS$54,13,0),E38*1.1)</f>
        <v>664</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13.038461538461538</v>
      </c>
      <c r="J38" s="5">
        <f ca="1">HLOOKUP(D38,'Capacity calculation (hide)'!$BK$110:$DK$111,2,0)</f>
        <v>2.1153846153846154</v>
      </c>
      <c r="K38" s="5">
        <f ca="1">IF(I38-IF(Setup!$I$15="Yes",$G38,0)-IF(Setup!$I$13="Yes",$H38,0)&lt;0,0,I38-IF(Setup!$I$15="Yes",$G38,0)-IF(Setup!$I$13="Yes",$H38,0))</f>
        <v>13.038461538461538</v>
      </c>
      <c r="L38" s="5">
        <f t="shared" ca="1" si="3"/>
        <v>2.1153846153846154</v>
      </c>
      <c r="M38" s="5">
        <f ca="1">(IF('Demand adjustments for Covid'!$F$9="No",E38,SUM('Demand background (hide)'!DS27,'Demand background (hide)'!DV27:DW27))*(1-'Parameters calculator (hide)'!$B$43))*(1-'Parameters calculator (hide)'!$B$44+('Parameters calculator (hide)'!$B$45*'Parameters calculator (hide)'!$B$47))</f>
        <v>496.35</v>
      </c>
      <c r="N38" s="5">
        <f ca="1">(IF('Demand adjustments for Covid'!$F$9="No",F38,SUM('Demand background (hide)'!DT27,'Demand background (hide)'!DV27:DW27))*(1-'Parameters calculator (hide)'!$B$43))*(1-'Parameters calculator (hide)'!$B$44+('Parameters calculator (hide)'!$B$45*'Parameters calculator (hide)'!$B$47))</f>
        <v>597.6</v>
      </c>
      <c r="P38" s="5">
        <f t="shared" ca="1" si="4"/>
        <v>13.038461538461538</v>
      </c>
      <c r="Q38" s="5">
        <f t="shared" ca="1" si="5"/>
        <v>2.1153846153846154</v>
      </c>
      <c r="R38" s="5">
        <f t="shared" ca="1" si="6"/>
        <v>13.038461538461538</v>
      </c>
      <c r="S38" s="5">
        <f t="shared" ca="1" si="7"/>
        <v>2.1153846153846154</v>
      </c>
      <c r="T38" s="5">
        <f ca="1">M38/IF(Summary!$C$8&lt;&gt;"Patients",1,$I$9)</f>
        <v>13.421118881118881</v>
      </c>
      <c r="U38" s="5">
        <f ca="1">((N38-M38)/IF(Summary!$C$8&lt;&gt;"Patients",1,$I$9))</f>
        <v>2.7377622377622375</v>
      </c>
      <c r="V38" s="5">
        <f t="shared" si="8"/>
        <v>0</v>
      </c>
      <c r="X38" s="5">
        <f ca="1">(VLOOKUP(D38,'SPC background (hide)'!$AG$2:$AN$54,8,0)/IF(Summary!$C$8&lt;&gt;"Patients",1,$I$9))*(1-$I$4)*(1-$I$5+($I$6*$I$7))</f>
        <v>12.046153846153846</v>
      </c>
    </row>
    <row r="39" spans="1:24" x14ac:dyDescent="0.2">
      <c r="A39" s="87">
        <f t="shared" si="9"/>
        <v>44361</v>
      </c>
      <c r="B39" s="67" t="str">
        <f t="shared" si="1"/>
        <v/>
      </c>
      <c r="C39" s="67" t="str">
        <f t="shared" si="2"/>
        <v/>
      </c>
      <c r="D39" s="67">
        <f t="shared" si="0"/>
        <v>24</v>
      </c>
      <c r="E39" s="5">
        <f ca="1">IF(LEFT(Demand!$C$8,1)="H",VLOOKUP($D39,'SPC background (hide)'!$AG$2:$AS$54,12,0),'Demand background (hide)'!X28)</f>
        <v>551.5</v>
      </c>
      <c r="F39" s="5">
        <f ca="1">IF(LEFT(Demand!$C$8,1)="H",VLOOKUP($D39,'SPC background (hide)'!$AG$2:$AS$54,13,0),E39*1.1)</f>
        <v>664</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13.038461538461538</v>
      </c>
      <c r="J39" s="5">
        <f ca="1">HLOOKUP(D39,'Capacity calculation (hide)'!$BK$110:$DK$111,2,0)</f>
        <v>2.1153846153846154</v>
      </c>
      <c r="K39" s="5">
        <f ca="1">IF(I39-IF(Setup!$I$15="Yes",$G39,0)-IF(Setup!$I$13="Yes",$H39,0)&lt;0,0,I39-IF(Setup!$I$15="Yes",$G39,0)-IF(Setup!$I$13="Yes",$H39,0))</f>
        <v>13.038461538461538</v>
      </c>
      <c r="L39" s="5">
        <f t="shared" ca="1" si="3"/>
        <v>2.1153846153846154</v>
      </c>
      <c r="M39" s="5">
        <f ca="1">(IF('Demand adjustments for Covid'!$F$9="No",E39,SUM('Demand background (hide)'!DS28,'Demand background (hide)'!DV28:DW28))*(1-'Parameters calculator (hide)'!$B$43))*(1-'Parameters calculator (hide)'!$B$44+('Parameters calculator (hide)'!$B$45*'Parameters calculator (hide)'!$B$47))</f>
        <v>496.35</v>
      </c>
      <c r="N39" s="5">
        <f ca="1">(IF('Demand adjustments for Covid'!$F$9="No",F39,SUM('Demand background (hide)'!DT28,'Demand background (hide)'!DV28:DW28))*(1-'Parameters calculator (hide)'!$B$43))*(1-'Parameters calculator (hide)'!$B$44+('Parameters calculator (hide)'!$B$45*'Parameters calculator (hide)'!$B$47))</f>
        <v>597.6</v>
      </c>
      <c r="P39" s="5">
        <f t="shared" ca="1" si="4"/>
        <v>13.038461538461538</v>
      </c>
      <c r="Q39" s="5">
        <f t="shared" ca="1" si="5"/>
        <v>2.1153846153846154</v>
      </c>
      <c r="R39" s="5">
        <f t="shared" ca="1" si="6"/>
        <v>13.038461538461538</v>
      </c>
      <c r="S39" s="5">
        <f t="shared" ca="1" si="7"/>
        <v>2.1153846153846154</v>
      </c>
      <c r="T39" s="5">
        <f ca="1">M39/IF(Summary!$C$8&lt;&gt;"Patients",1,$I$9)</f>
        <v>13.421118881118881</v>
      </c>
      <c r="U39" s="5">
        <f ca="1">((N39-M39)/IF(Summary!$C$8&lt;&gt;"Patients",1,$I$9))</f>
        <v>2.7377622377622375</v>
      </c>
      <c r="V39" s="5">
        <f t="shared" si="8"/>
        <v>0</v>
      </c>
      <c r="X39" s="5">
        <f ca="1">(VLOOKUP(D39,'SPC background (hide)'!$AG$2:$AN$54,8,0)/IF(Summary!$C$8&lt;&gt;"Patients",1,$I$9))*(1-$I$4)*(1-$I$5+($I$6*$I$7))</f>
        <v>12.046153846153846</v>
      </c>
    </row>
    <row r="40" spans="1:24" x14ac:dyDescent="0.2">
      <c r="A40" s="87">
        <f t="shared" si="9"/>
        <v>44368</v>
      </c>
      <c r="B40" s="67" t="str">
        <f t="shared" si="1"/>
        <v/>
      </c>
      <c r="C40" s="67" t="str">
        <f t="shared" si="2"/>
        <v/>
      </c>
      <c r="D40" s="67">
        <f t="shared" si="0"/>
        <v>25</v>
      </c>
      <c r="E40" s="5">
        <f ca="1">IF(LEFT(Demand!$C$8,1)="H",VLOOKUP($D40,'SPC background (hide)'!$AG$2:$AS$54,12,0),'Demand background (hide)'!X29)</f>
        <v>551.5</v>
      </c>
      <c r="F40" s="5">
        <f ca="1">IF(LEFT(Demand!$C$8,1)="H",VLOOKUP($D40,'SPC background (hide)'!$AG$2:$AS$54,13,0),E40*1.1)</f>
        <v>664</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13.038461538461538</v>
      </c>
      <c r="J40" s="5">
        <f ca="1">HLOOKUP(D40,'Capacity calculation (hide)'!$BK$110:$DK$111,2,0)</f>
        <v>2.1153846153846154</v>
      </c>
      <c r="K40" s="5">
        <f ca="1">IF(I40-IF(Setup!$I$15="Yes",$G40,0)-IF(Setup!$I$13="Yes",$H40,0)&lt;0,0,I40-IF(Setup!$I$15="Yes",$G40,0)-IF(Setup!$I$13="Yes",$H40,0))</f>
        <v>13.038461538461538</v>
      </c>
      <c r="L40" s="5">
        <f t="shared" ca="1" si="3"/>
        <v>2.1153846153846154</v>
      </c>
      <c r="M40" s="5">
        <f ca="1">(IF('Demand adjustments for Covid'!$F$9="No",E40,SUM('Demand background (hide)'!DS29,'Demand background (hide)'!DV29:DW29))*(1-'Parameters calculator (hide)'!$B$43))*(1-'Parameters calculator (hide)'!$B$44+('Parameters calculator (hide)'!$B$45*'Parameters calculator (hide)'!$B$47))</f>
        <v>496.35</v>
      </c>
      <c r="N40" s="5">
        <f ca="1">(IF('Demand adjustments for Covid'!$F$9="No",F40,SUM('Demand background (hide)'!DT29,'Demand background (hide)'!DV29:DW29))*(1-'Parameters calculator (hide)'!$B$43))*(1-'Parameters calculator (hide)'!$B$44+('Parameters calculator (hide)'!$B$45*'Parameters calculator (hide)'!$B$47))</f>
        <v>597.6</v>
      </c>
      <c r="P40" s="5">
        <f t="shared" ca="1" si="4"/>
        <v>13.038461538461538</v>
      </c>
      <c r="Q40" s="5">
        <f t="shared" ca="1" si="5"/>
        <v>2.1153846153846154</v>
      </c>
      <c r="R40" s="5">
        <f t="shared" ca="1" si="6"/>
        <v>13.038461538461538</v>
      </c>
      <c r="S40" s="5">
        <f t="shared" ca="1" si="7"/>
        <v>2.1153846153846154</v>
      </c>
      <c r="T40" s="5">
        <f ca="1">M40/IF(Summary!$C$8&lt;&gt;"Patients",1,$I$9)</f>
        <v>13.421118881118881</v>
      </c>
      <c r="U40" s="5">
        <f ca="1">((N40-M40)/IF(Summary!$C$8&lt;&gt;"Patients",1,$I$9))</f>
        <v>2.7377622377622375</v>
      </c>
      <c r="V40" s="5">
        <f t="shared" si="8"/>
        <v>0</v>
      </c>
      <c r="X40" s="5">
        <f ca="1">(VLOOKUP(D40,'SPC background (hide)'!$AG$2:$AN$54,8,0)/IF(Summary!$C$8&lt;&gt;"Patients",1,$I$9))*(1-$I$4)*(1-$I$5+($I$6*$I$7))</f>
        <v>12.046153846153846</v>
      </c>
    </row>
    <row r="41" spans="1:24" x14ac:dyDescent="0.2">
      <c r="A41" s="87">
        <f t="shared" si="9"/>
        <v>44375</v>
      </c>
      <c r="B41" s="67" t="str">
        <f t="shared" si="1"/>
        <v/>
      </c>
      <c r="C41" s="67" t="str">
        <f t="shared" si="2"/>
        <v/>
      </c>
      <c r="D41" s="67">
        <f t="shared" si="0"/>
        <v>26</v>
      </c>
      <c r="E41" s="5">
        <f ca="1">IF(LEFT(Demand!$C$8,1)="H",VLOOKUP($D41,'SPC background (hide)'!$AG$2:$AS$54,12,0),'Demand background (hide)'!X30)</f>
        <v>551.5</v>
      </c>
      <c r="F41" s="5">
        <f ca="1">IF(LEFT(Demand!$C$8,1)="H",VLOOKUP($D41,'SPC background (hide)'!$AG$2:$AS$54,13,0),E41*1.1)</f>
        <v>664</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13.038461538461538</v>
      </c>
      <c r="J41" s="5">
        <f ca="1">HLOOKUP(D41,'Capacity calculation (hide)'!$BK$110:$DK$111,2,0)</f>
        <v>2.1153846153846154</v>
      </c>
      <c r="K41" s="5">
        <f ca="1">IF(I41-IF(Setup!$I$15="Yes",$G41,0)-IF(Setup!$I$13="Yes",$H41,0)&lt;0,0,I41-IF(Setup!$I$15="Yes",$G41,0)-IF(Setup!$I$13="Yes",$H41,0))</f>
        <v>13.038461538461538</v>
      </c>
      <c r="L41" s="5">
        <f t="shared" ca="1" si="3"/>
        <v>2.1153846153846154</v>
      </c>
      <c r="M41" s="5">
        <f ca="1">(IF('Demand adjustments for Covid'!$F$9="No",E41,SUM('Demand background (hide)'!DS30,'Demand background (hide)'!DV30:DW30))*(1-'Parameters calculator (hide)'!$B$43))*(1-'Parameters calculator (hide)'!$B$44+('Parameters calculator (hide)'!$B$45*'Parameters calculator (hide)'!$B$47))</f>
        <v>496.35</v>
      </c>
      <c r="N41" s="5">
        <f ca="1">(IF('Demand adjustments for Covid'!$F$9="No",F41,SUM('Demand background (hide)'!DT30,'Demand background (hide)'!DV30:DW30))*(1-'Parameters calculator (hide)'!$B$43))*(1-'Parameters calculator (hide)'!$B$44+('Parameters calculator (hide)'!$B$45*'Parameters calculator (hide)'!$B$47))</f>
        <v>597.6</v>
      </c>
      <c r="P41" s="5">
        <f t="shared" ca="1" si="4"/>
        <v>13.038461538461538</v>
      </c>
      <c r="Q41" s="5">
        <f t="shared" ca="1" si="5"/>
        <v>2.1153846153846154</v>
      </c>
      <c r="R41" s="5">
        <f t="shared" ca="1" si="6"/>
        <v>13.038461538461538</v>
      </c>
      <c r="S41" s="5">
        <f t="shared" ca="1" si="7"/>
        <v>2.1153846153846154</v>
      </c>
      <c r="T41" s="5">
        <f ca="1">M41/IF(Summary!$C$8&lt;&gt;"Patients",1,$I$9)</f>
        <v>13.421118881118881</v>
      </c>
      <c r="U41" s="5">
        <f ca="1">((N41-M41)/IF(Summary!$C$8&lt;&gt;"Patients",1,$I$9))</f>
        <v>2.7377622377622375</v>
      </c>
      <c r="V41" s="5">
        <f t="shared" si="8"/>
        <v>0</v>
      </c>
      <c r="X41" s="5">
        <f ca="1">(VLOOKUP(D41,'SPC background (hide)'!$AG$2:$AN$54,8,0)/IF(Summary!$C$8&lt;&gt;"Patients",1,$I$9))*(1-$I$4)*(1-$I$5+($I$6*$I$7))</f>
        <v>12.046153846153846</v>
      </c>
    </row>
    <row r="42" spans="1:24" x14ac:dyDescent="0.2">
      <c r="A42" s="87">
        <f t="shared" si="9"/>
        <v>44382</v>
      </c>
      <c r="B42" s="67" t="str">
        <f t="shared" si="1"/>
        <v/>
      </c>
      <c r="C42" s="67" t="str">
        <f t="shared" si="2"/>
        <v>Jul</v>
      </c>
      <c r="D42" s="67">
        <f t="shared" si="0"/>
        <v>27</v>
      </c>
      <c r="E42" s="5">
        <f ca="1">IF(LEFT(Demand!$C$8,1)="H",VLOOKUP($D42,'SPC background (hide)'!$AG$2:$AS$54,12,0),'Demand background (hide)'!X31)</f>
        <v>551.5</v>
      </c>
      <c r="F42" s="5">
        <f ca="1">IF(LEFT(Demand!$C$8,1)="H",VLOOKUP($D42,'SPC background (hide)'!$AG$2:$AS$54,13,0),E42*1.1)</f>
        <v>664</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13.038461538461538</v>
      </c>
      <c r="J42" s="5">
        <f ca="1">HLOOKUP(D42,'Capacity calculation (hide)'!$BK$110:$DK$111,2,0)</f>
        <v>2.1153846153846154</v>
      </c>
      <c r="K42" s="5">
        <f ca="1">IF(I42-IF(Setup!$I$15="Yes",$G42,0)-IF(Setup!$I$13="Yes",$H42,0)&lt;0,0,I42-IF(Setup!$I$15="Yes",$G42,0)-IF(Setup!$I$13="Yes",$H42,0))</f>
        <v>13.038461538461538</v>
      </c>
      <c r="L42" s="5">
        <f t="shared" ca="1" si="3"/>
        <v>2.1153846153846154</v>
      </c>
      <c r="M42" s="5">
        <f ca="1">(IF('Demand adjustments for Covid'!$F$9="No",E42,SUM('Demand background (hide)'!DS31,'Demand background (hide)'!DV31:DW31))*(1-'Parameters calculator (hide)'!$B$43))*(1-'Parameters calculator (hide)'!$B$44+('Parameters calculator (hide)'!$B$45*'Parameters calculator (hide)'!$B$47))</f>
        <v>496.35</v>
      </c>
      <c r="N42" s="5">
        <f ca="1">(IF('Demand adjustments for Covid'!$F$9="No",F42,SUM('Demand background (hide)'!DT31,'Demand background (hide)'!DV31:DW31))*(1-'Parameters calculator (hide)'!$B$43))*(1-'Parameters calculator (hide)'!$B$44+('Parameters calculator (hide)'!$B$45*'Parameters calculator (hide)'!$B$47))</f>
        <v>597.6</v>
      </c>
      <c r="P42" s="5">
        <f t="shared" ca="1" si="4"/>
        <v>13.038461538461538</v>
      </c>
      <c r="Q42" s="5">
        <f t="shared" ca="1" si="5"/>
        <v>2.1153846153846154</v>
      </c>
      <c r="R42" s="5">
        <f t="shared" ca="1" si="6"/>
        <v>13.038461538461538</v>
      </c>
      <c r="S42" s="5">
        <f t="shared" ca="1" si="7"/>
        <v>2.1153846153846154</v>
      </c>
      <c r="T42" s="5">
        <f ca="1">M42/IF(Summary!$C$8&lt;&gt;"Patients",1,$I$9)</f>
        <v>13.421118881118881</v>
      </c>
      <c r="U42" s="5">
        <f ca="1">((N42-M42)/IF(Summary!$C$8&lt;&gt;"Patients",1,$I$9))</f>
        <v>2.7377622377622375</v>
      </c>
      <c r="V42" s="5">
        <f t="shared" si="8"/>
        <v>0</v>
      </c>
      <c r="X42" s="5">
        <f ca="1">(VLOOKUP(D42,'SPC background (hide)'!$AG$2:$AN$54,8,0)/IF(Summary!$C$8&lt;&gt;"Patients",1,$I$9))*(1-$I$4)*(1-$I$5+($I$6*$I$7))</f>
        <v>12.046153846153846</v>
      </c>
    </row>
    <row r="43" spans="1:24" x14ac:dyDescent="0.2">
      <c r="A43" s="87">
        <f t="shared" si="9"/>
        <v>44389</v>
      </c>
      <c r="B43" s="67" t="str">
        <f t="shared" si="1"/>
        <v/>
      </c>
      <c r="C43" s="67" t="str">
        <f t="shared" si="2"/>
        <v/>
      </c>
      <c r="D43" s="67">
        <f t="shared" si="0"/>
        <v>28</v>
      </c>
      <c r="E43" s="5">
        <f ca="1">IF(LEFT(Demand!$C$8,1)="H",VLOOKUP($D43,'SPC background (hide)'!$AG$2:$AS$54,12,0),'Demand background (hide)'!X32)</f>
        <v>551.5</v>
      </c>
      <c r="F43" s="5">
        <f ca="1">IF(LEFT(Demand!$C$8,1)="H",VLOOKUP($D43,'SPC background (hide)'!$AG$2:$AS$54,13,0),E43*1.1)</f>
        <v>664</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13.038461538461538</v>
      </c>
      <c r="J43" s="5">
        <f ca="1">HLOOKUP(D43,'Capacity calculation (hide)'!$BK$110:$DK$111,2,0)</f>
        <v>2.1153846153846154</v>
      </c>
      <c r="K43" s="5">
        <f ca="1">IF(I43-IF(Setup!$I$15="Yes",$G43,0)-IF(Setup!$I$13="Yes",$H43,0)&lt;0,0,I43-IF(Setup!$I$15="Yes",$G43,0)-IF(Setup!$I$13="Yes",$H43,0))</f>
        <v>13.038461538461538</v>
      </c>
      <c r="L43" s="5">
        <f t="shared" ca="1" si="3"/>
        <v>2.1153846153846154</v>
      </c>
      <c r="M43" s="5">
        <f ca="1">(IF('Demand adjustments for Covid'!$F$9="No",E43,SUM('Demand background (hide)'!DS32,'Demand background (hide)'!DV32:DW32))*(1-'Parameters calculator (hide)'!$B$43))*(1-'Parameters calculator (hide)'!$B$44+('Parameters calculator (hide)'!$B$45*'Parameters calculator (hide)'!$B$47))</f>
        <v>496.35</v>
      </c>
      <c r="N43" s="5">
        <f ca="1">(IF('Demand adjustments for Covid'!$F$9="No",F43,SUM('Demand background (hide)'!DT32,'Demand background (hide)'!DV32:DW32))*(1-'Parameters calculator (hide)'!$B$43))*(1-'Parameters calculator (hide)'!$B$44+('Parameters calculator (hide)'!$B$45*'Parameters calculator (hide)'!$B$47))</f>
        <v>597.6</v>
      </c>
      <c r="P43" s="5">
        <f t="shared" ca="1" si="4"/>
        <v>13.038461538461538</v>
      </c>
      <c r="Q43" s="5">
        <f t="shared" ca="1" si="5"/>
        <v>2.1153846153846154</v>
      </c>
      <c r="R43" s="5">
        <f t="shared" ca="1" si="6"/>
        <v>13.038461538461538</v>
      </c>
      <c r="S43" s="5">
        <f t="shared" ca="1" si="7"/>
        <v>2.1153846153846154</v>
      </c>
      <c r="T43" s="5">
        <f ca="1">M43/IF(Summary!$C$8&lt;&gt;"Patients",1,$I$9)</f>
        <v>13.421118881118881</v>
      </c>
      <c r="U43" s="5">
        <f ca="1">((N43-M43)/IF(Summary!$C$8&lt;&gt;"Patients",1,$I$9))</f>
        <v>2.7377622377622375</v>
      </c>
      <c r="V43" s="5">
        <f t="shared" si="8"/>
        <v>0</v>
      </c>
      <c r="X43" s="5">
        <f ca="1">(VLOOKUP(D43,'SPC background (hide)'!$AG$2:$AN$54,8,0)/IF(Summary!$C$8&lt;&gt;"Patients",1,$I$9))*(1-$I$4)*(1-$I$5+($I$6*$I$7))</f>
        <v>12.046153846153846</v>
      </c>
    </row>
    <row r="44" spans="1:24" x14ac:dyDescent="0.2">
      <c r="A44" s="87">
        <f t="shared" si="9"/>
        <v>44396</v>
      </c>
      <c r="B44" s="67" t="str">
        <f t="shared" si="1"/>
        <v/>
      </c>
      <c r="C44" s="67" t="str">
        <f t="shared" si="2"/>
        <v/>
      </c>
      <c r="D44" s="67">
        <f t="shared" si="0"/>
        <v>29</v>
      </c>
      <c r="E44" s="5">
        <f ca="1">IF(LEFT(Demand!$C$8,1)="H",VLOOKUP($D44,'SPC background (hide)'!$AG$2:$AS$54,12,0),'Demand background (hide)'!X33)</f>
        <v>551.5</v>
      </c>
      <c r="F44" s="5">
        <f ca="1">IF(LEFT(Demand!$C$8,1)="H",VLOOKUP($D44,'SPC background (hide)'!$AG$2:$AS$54,13,0),E44*1.1)</f>
        <v>664</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13.038461538461538</v>
      </c>
      <c r="J44" s="5">
        <f ca="1">HLOOKUP(D44,'Capacity calculation (hide)'!$BK$110:$DK$111,2,0)</f>
        <v>2.1153846153846154</v>
      </c>
      <c r="K44" s="5">
        <f ca="1">IF(I44-IF(Setup!$I$15="Yes",$G44,0)-IF(Setup!$I$13="Yes",$H44,0)&lt;0,0,I44-IF(Setup!$I$15="Yes",$G44,0)-IF(Setup!$I$13="Yes",$H44,0))</f>
        <v>13.038461538461538</v>
      </c>
      <c r="L44" s="5">
        <f t="shared" ca="1" si="3"/>
        <v>2.1153846153846154</v>
      </c>
      <c r="M44" s="5">
        <f ca="1">(IF('Demand adjustments for Covid'!$F$9="No",E44,SUM('Demand background (hide)'!DS33,'Demand background (hide)'!DV33:DW33))*(1-'Parameters calculator (hide)'!$B$43))*(1-'Parameters calculator (hide)'!$B$44+('Parameters calculator (hide)'!$B$45*'Parameters calculator (hide)'!$B$47))</f>
        <v>496.35</v>
      </c>
      <c r="N44" s="5">
        <f ca="1">(IF('Demand adjustments for Covid'!$F$9="No",F44,SUM('Demand background (hide)'!DT33,'Demand background (hide)'!DV33:DW33))*(1-'Parameters calculator (hide)'!$B$43))*(1-'Parameters calculator (hide)'!$B$44+('Parameters calculator (hide)'!$B$45*'Parameters calculator (hide)'!$B$47))</f>
        <v>597.6</v>
      </c>
      <c r="P44" s="5">
        <f t="shared" ca="1" si="4"/>
        <v>13.038461538461538</v>
      </c>
      <c r="Q44" s="5">
        <f t="shared" ca="1" si="5"/>
        <v>2.1153846153846154</v>
      </c>
      <c r="R44" s="5">
        <f t="shared" ca="1" si="6"/>
        <v>13.038461538461538</v>
      </c>
      <c r="S44" s="5">
        <f t="shared" ca="1" si="7"/>
        <v>2.1153846153846154</v>
      </c>
      <c r="T44" s="5">
        <f ca="1">M44/IF(Summary!$C$8&lt;&gt;"Patients",1,$I$9)</f>
        <v>13.421118881118881</v>
      </c>
      <c r="U44" s="5">
        <f ca="1">((N44-M44)/IF(Summary!$C$8&lt;&gt;"Patients",1,$I$9))</f>
        <v>2.7377622377622375</v>
      </c>
      <c r="V44" s="5">
        <f t="shared" si="8"/>
        <v>0</v>
      </c>
      <c r="X44" s="5">
        <f ca="1">(VLOOKUP(D44,'SPC background (hide)'!$AG$2:$AN$54,8,0)/IF(Summary!$C$8&lt;&gt;"Patients",1,$I$9))*(1-$I$4)*(1-$I$5+($I$6*$I$7))</f>
        <v>12.046153846153846</v>
      </c>
    </row>
    <row r="45" spans="1:24" x14ac:dyDescent="0.2">
      <c r="A45" s="87">
        <f t="shared" si="9"/>
        <v>44403</v>
      </c>
      <c r="B45" s="67" t="str">
        <f t="shared" si="1"/>
        <v/>
      </c>
      <c r="C45" s="67" t="str">
        <f t="shared" si="2"/>
        <v/>
      </c>
      <c r="D45" s="67">
        <f t="shared" si="0"/>
        <v>30</v>
      </c>
      <c r="E45" s="5">
        <f ca="1">IF(LEFT(Demand!$C$8,1)="H",VLOOKUP($D45,'SPC background (hide)'!$AG$2:$AS$54,12,0),'Demand background (hide)'!X34)</f>
        <v>551.5</v>
      </c>
      <c r="F45" s="5">
        <f ca="1">IF(LEFT(Demand!$C$8,1)="H",VLOOKUP($D45,'SPC background (hide)'!$AG$2:$AS$54,13,0),E45*1.1)</f>
        <v>664</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13.038461538461538</v>
      </c>
      <c r="J45" s="5">
        <f ca="1">HLOOKUP(D45,'Capacity calculation (hide)'!$BK$110:$DK$111,2,0)</f>
        <v>2.1153846153846154</v>
      </c>
      <c r="K45" s="5">
        <f ca="1">IF(I45-IF(Setup!$I$15="Yes",$G45,0)-IF(Setup!$I$13="Yes",$H45,0)&lt;0,0,I45-IF(Setup!$I$15="Yes",$G45,0)-IF(Setup!$I$13="Yes",$H45,0))</f>
        <v>13.038461538461538</v>
      </c>
      <c r="L45" s="5">
        <f t="shared" ca="1" si="3"/>
        <v>2.1153846153846154</v>
      </c>
      <c r="M45" s="5">
        <f ca="1">(IF('Demand adjustments for Covid'!$F$9="No",E45,SUM('Demand background (hide)'!DS34,'Demand background (hide)'!DV34:DW34))*(1-'Parameters calculator (hide)'!$B$43))*(1-'Parameters calculator (hide)'!$B$44+('Parameters calculator (hide)'!$B$45*'Parameters calculator (hide)'!$B$47))</f>
        <v>496.35</v>
      </c>
      <c r="N45" s="5">
        <f ca="1">(IF('Demand adjustments for Covid'!$F$9="No",F45,SUM('Demand background (hide)'!DT34,'Demand background (hide)'!DV34:DW34))*(1-'Parameters calculator (hide)'!$B$43))*(1-'Parameters calculator (hide)'!$B$44+('Parameters calculator (hide)'!$B$45*'Parameters calculator (hide)'!$B$47))</f>
        <v>597.6</v>
      </c>
      <c r="P45" s="5">
        <f t="shared" ca="1" si="4"/>
        <v>13.038461538461538</v>
      </c>
      <c r="Q45" s="5">
        <f t="shared" ca="1" si="5"/>
        <v>2.1153846153846154</v>
      </c>
      <c r="R45" s="5">
        <f t="shared" ca="1" si="6"/>
        <v>13.038461538461538</v>
      </c>
      <c r="S45" s="5">
        <f t="shared" ca="1" si="7"/>
        <v>2.1153846153846154</v>
      </c>
      <c r="T45" s="5">
        <f ca="1">M45/IF(Summary!$C$8&lt;&gt;"Patients",1,$I$9)</f>
        <v>13.421118881118881</v>
      </c>
      <c r="U45" s="5">
        <f ca="1">((N45-M45)/IF(Summary!$C$8&lt;&gt;"Patients",1,$I$9))</f>
        <v>2.7377622377622375</v>
      </c>
      <c r="V45" s="5">
        <f t="shared" si="8"/>
        <v>0</v>
      </c>
      <c r="X45" s="5">
        <f ca="1">(VLOOKUP(D45,'SPC background (hide)'!$AG$2:$AN$54,8,0)/IF(Summary!$C$8&lt;&gt;"Patients",1,$I$9))*(1-$I$4)*(1-$I$5+($I$6*$I$7))</f>
        <v>12.046153846153846</v>
      </c>
    </row>
    <row r="46" spans="1:24" x14ac:dyDescent="0.2">
      <c r="A46" s="87">
        <f t="shared" si="9"/>
        <v>44410</v>
      </c>
      <c r="B46" s="67" t="str">
        <f t="shared" si="1"/>
        <v/>
      </c>
      <c r="C46" s="67" t="str">
        <f t="shared" si="2"/>
        <v>Aug</v>
      </c>
      <c r="D46" s="67">
        <f t="shared" si="0"/>
        <v>31</v>
      </c>
      <c r="E46" s="5">
        <f ca="1">IF(LEFT(Demand!$C$8,1)="H",VLOOKUP($D46,'SPC background (hide)'!$AG$2:$AS$54,12,0),'Demand background (hide)'!X35)</f>
        <v>551.5</v>
      </c>
      <c r="F46" s="5">
        <f ca="1">IF(LEFT(Demand!$C$8,1)="H",VLOOKUP($D46,'SPC background (hide)'!$AG$2:$AS$54,13,0),E46*1.1)</f>
        <v>664</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13.038461538461538</v>
      </c>
      <c r="J46" s="5">
        <f ca="1">HLOOKUP(D46,'Capacity calculation (hide)'!$BK$110:$DK$111,2,0)</f>
        <v>2.1153846153846154</v>
      </c>
      <c r="K46" s="5">
        <f ca="1">IF(I46-IF(Setup!$I$15="Yes",$G46,0)-IF(Setup!$I$13="Yes",$H46,0)&lt;0,0,I46-IF(Setup!$I$15="Yes",$G46,0)-IF(Setup!$I$13="Yes",$H46,0))</f>
        <v>13.038461538461538</v>
      </c>
      <c r="L46" s="5">
        <f t="shared" ca="1" si="3"/>
        <v>2.1153846153846154</v>
      </c>
      <c r="M46" s="5">
        <f ca="1">(IF('Demand adjustments for Covid'!$F$9="No",E46,SUM('Demand background (hide)'!DS35,'Demand background (hide)'!DV35:DW35))*(1-'Parameters calculator (hide)'!$B$43))*(1-'Parameters calculator (hide)'!$B$44+('Parameters calculator (hide)'!$B$45*'Parameters calculator (hide)'!$B$47))</f>
        <v>496.35</v>
      </c>
      <c r="N46" s="5">
        <f ca="1">(IF('Demand adjustments for Covid'!$F$9="No",F46,SUM('Demand background (hide)'!DT35,'Demand background (hide)'!DV35:DW35))*(1-'Parameters calculator (hide)'!$B$43))*(1-'Parameters calculator (hide)'!$B$44+('Parameters calculator (hide)'!$B$45*'Parameters calculator (hide)'!$B$47))</f>
        <v>597.6</v>
      </c>
      <c r="P46" s="5">
        <f t="shared" ca="1" si="4"/>
        <v>13.038461538461538</v>
      </c>
      <c r="Q46" s="5">
        <f t="shared" ca="1" si="5"/>
        <v>2.1153846153846154</v>
      </c>
      <c r="R46" s="5">
        <f t="shared" ca="1" si="6"/>
        <v>13.038461538461538</v>
      </c>
      <c r="S46" s="5">
        <f t="shared" ca="1" si="7"/>
        <v>2.1153846153846154</v>
      </c>
      <c r="T46" s="5">
        <f ca="1">M46/IF(Summary!$C$8&lt;&gt;"Patients",1,$I$9)</f>
        <v>13.421118881118881</v>
      </c>
      <c r="U46" s="5">
        <f ca="1">((N46-M46)/IF(Summary!$C$8&lt;&gt;"Patients",1,$I$9))</f>
        <v>2.7377622377622375</v>
      </c>
      <c r="V46" s="5">
        <f t="shared" si="8"/>
        <v>0</v>
      </c>
      <c r="X46" s="5">
        <f ca="1">(VLOOKUP(D46,'SPC background (hide)'!$AG$2:$AN$54,8,0)/IF(Summary!$C$8&lt;&gt;"Patients",1,$I$9))*(1-$I$4)*(1-$I$5+($I$6*$I$7))</f>
        <v>12.046153846153846</v>
      </c>
    </row>
    <row r="47" spans="1:24" x14ac:dyDescent="0.2">
      <c r="A47" s="87">
        <f t="shared" si="9"/>
        <v>44417</v>
      </c>
      <c r="B47" s="67" t="str">
        <f t="shared" si="1"/>
        <v/>
      </c>
      <c r="C47" s="67" t="str">
        <f t="shared" si="2"/>
        <v/>
      </c>
      <c r="D47" s="67">
        <f t="shared" ref="D47:D66" si="10">WEEKNUM(A47,21)</f>
        <v>32</v>
      </c>
      <c r="E47" s="5">
        <f ca="1">IF(LEFT(Demand!$C$8,1)="H",VLOOKUP($D47,'SPC background (hide)'!$AG$2:$AS$54,12,0),'Demand background (hide)'!X36)</f>
        <v>551.5</v>
      </c>
      <c r="F47" s="5">
        <f ca="1">IF(LEFT(Demand!$C$8,1)="H",VLOOKUP($D47,'SPC background (hide)'!$AG$2:$AS$54,13,0),E47*1.1)</f>
        <v>664</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13.038461538461538</v>
      </c>
      <c r="J47" s="5">
        <f ca="1">HLOOKUP(D47,'Capacity calculation (hide)'!$BK$110:$DK$111,2,0)</f>
        <v>2.1153846153846154</v>
      </c>
      <c r="K47" s="5">
        <f ca="1">IF(I47-IF(Setup!$I$15="Yes",$G47,0)-IF(Setup!$I$13="Yes",$H47,0)&lt;0,0,I47-IF(Setup!$I$15="Yes",$G47,0)-IF(Setup!$I$13="Yes",$H47,0))</f>
        <v>13.038461538461538</v>
      </c>
      <c r="L47" s="5">
        <f t="shared" ca="1" si="3"/>
        <v>2.1153846153846154</v>
      </c>
      <c r="M47" s="5">
        <f ca="1">(IF('Demand adjustments for Covid'!$F$9="No",E47,SUM('Demand background (hide)'!DS36,'Demand background (hide)'!DV36:DW36))*(1-'Parameters calculator (hide)'!$B$43))*(1-'Parameters calculator (hide)'!$B$44+('Parameters calculator (hide)'!$B$45*'Parameters calculator (hide)'!$B$47))</f>
        <v>496.35</v>
      </c>
      <c r="N47" s="5">
        <f ca="1">(IF('Demand adjustments for Covid'!$F$9="No",F47,SUM('Demand background (hide)'!DT36,'Demand background (hide)'!DV36:DW36))*(1-'Parameters calculator (hide)'!$B$43))*(1-'Parameters calculator (hide)'!$B$44+('Parameters calculator (hide)'!$B$45*'Parameters calculator (hide)'!$B$47))</f>
        <v>597.6</v>
      </c>
      <c r="P47" s="5">
        <f t="shared" ca="1" si="4"/>
        <v>13.038461538461538</v>
      </c>
      <c r="Q47" s="5">
        <f t="shared" ca="1" si="5"/>
        <v>2.1153846153846154</v>
      </c>
      <c r="R47" s="5">
        <f t="shared" ca="1" si="6"/>
        <v>13.038461538461538</v>
      </c>
      <c r="S47" s="5">
        <f t="shared" ca="1" si="7"/>
        <v>2.1153846153846154</v>
      </c>
      <c r="T47" s="5">
        <f ca="1">M47/IF(Summary!$C$8&lt;&gt;"Patients",1,$I$9)</f>
        <v>13.421118881118881</v>
      </c>
      <c r="U47" s="5">
        <f ca="1">((N47-M47)/IF(Summary!$C$8&lt;&gt;"Patients",1,$I$9))</f>
        <v>2.7377622377622375</v>
      </c>
      <c r="V47" s="5">
        <f t="shared" si="8"/>
        <v>0</v>
      </c>
      <c r="X47" s="5">
        <f ca="1">(VLOOKUP(D47,'SPC background (hide)'!$AG$2:$AN$54,8,0)/IF(Summary!$C$8&lt;&gt;"Patients",1,$I$9))*(1-$I$4)*(1-$I$5+($I$6*$I$7))</f>
        <v>12.046153846153846</v>
      </c>
    </row>
    <row r="48" spans="1:24" x14ac:dyDescent="0.2">
      <c r="A48" s="87">
        <f t="shared" si="9"/>
        <v>44424</v>
      </c>
      <c r="B48" s="67" t="str">
        <f t="shared" ref="B48:B67" si="11">IF(YEAR(A48)&lt;&gt;YEAR(A47),YEAR(A48),"")</f>
        <v/>
      </c>
      <c r="C48" s="67" t="str">
        <f t="shared" ref="C48:C67" si="12">IF(TEXT(A48,"MMM")&lt;&gt;TEXT(A47,"MMM"),TEXT(A48,"MMM"),"")</f>
        <v/>
      </c>
      <c r="D48" s="67">
        <f t="shared" si="10"/>
        <v>33</v>
      </c>
      <c r="E48" s="5">
        <f ca="1">IF(LEFT(Demand!$C$8,1)="H",VLOOKUP($D48,'SPC background (hide)'!$AG$2:$AS$54,12,0),'Demand background (hide)'!X37)</f>
        <v>551.5</v>
      </c>
      <c r="F48" s="5">
        <f ca="1">IF(LEFT(Demand!$C$8,1)="H",VLOOKUP($D48,'SPC background (hide)'!$AG$2:$AS$54,13,0),E48*1.1)</f>
        <v>664</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13.038461538461538</v>
      </c>
      <c r="J48" s="5">
        <f ca="1">HLOOKUP(D48,'Capacity calculation (hide)'!$BK$110:$DK$111,2,0)</f>
        <v>2.1153846153846154</v>
      </c>
      <c r="K48" s="5">
        <f ca="1">IF(I48-IF(Setup!$I$15="Yes",$G48,0)-IF(Setup!$I$13="Yes",$H48,0)&lt;0,0,I48-IF(Setup!$I$15="Yes",$G48,0)-IF(Setup!$I$13="Yes",$H48,0))</f>
        <v>13.038461538461538</v>
      </c>
      <c r="L48" s="5">
        <f t="shared" ca="1" si="3"/>
        <v>2.1153846153846154</v>
      </c>
      <c r="M48" s="5">
        <f ca="1">(IF('Demand adjustments for Covid'!$F$9="No",E48,SUM('Demand background (hide)'!DS37,'Demand background (hide)'!DV37:DW37))*(1-'Parameters calculator (hide)'!$B$43))*(1-'Parameters calculator (hide)'!$B$44+('Parameters calculator (hide)'!$B$45*'Parameters calculator (hide)'!$B$47))</f>
        <v>496.35</v>
      </c>
      <c r="N48" s="5">
        <f ca="1">(IF('Demand adjustments for Covid'!$F$9="No",F48,SUM('Demand background (hide)'!DT37,'Demand background (hide)'!DV37:DW37))*(1-'Parameters calculator (hide)'!$B$43))*(1-'Parameters calculator (hide)'!$B$44+('Parameters calculator (hide)'!$B$45*'Parameters calculator (hide)'!$B$47))</f>
        <v>597.6</v>
      </c>
      <c r="P48" s="5">
        <f t="shared" ca="1" si="4"/>
        <v>13.038461538461538</v>
      </c>
      <c r="Q48" s="5">
        <f t="shared" ca="1" si="5"/>
        <v>2.1153846153846154</v>
      </c>
      <c r="R48" s="5">
        <f t="shared" ca="1" si="6"/>
        <v>13.038461538461538</v>
      </c>
      <c r="S48" s="5">
        <f t="shared" ca="1" si="7"/>
        <v>2.1153846153846154</v>
      </c>
      <c r="T48" s="5">
        <f ca="1">M48/IF(Summary!$C$8&lt;&gt;"Patients",1,$I$9)</f>
        <v>13.421118881118881</v>
      </c>
      <c r="U48" s="5">
        <f ca="1">((N48-M48)/IF(Summary!$C$8&lt;&gt;"Patients",1,$I$9))</f>
        <v>2.7377622377622375</v>
      </c>
      <c r="V48" s="5">
        <f t="shared" si="8"/>
        <v>0</v>
      </c>
      <c r="X48" s="5">
        <f ca="1">(VLOOKUP(D48,'SPC background (hide)'!$AG$2:$AN$54,8,0)/IF(Summary!$C$8&lt;&gt;"Patients",1,$I$9))*(1-$I$4)*(1-$I$5+($I$6*$I$7))</f>
        <v>12.046153846153846</v>
      </c>
    </row>
    <row r="49" spans="1:24" x14ac:dyDescent="0.2">
      <c r="A49" s="87">
        <f t="shared" si="9"/>
        <v>44431</v>
      </c>
      <c r="B49" s="67" t="str">
        <f t="shared" si="11"/>
        <v/>
      </c>
      <c r="C49" s="67" t="str">
        <f t="shared" si="12"/>
        <v/>
      </c>
      <c r="D49" s="67">
        <f t="shared" si="10"/>
        <v>34</v>
      </c>
      <c r="E49" s="5">
        <f ca="1">IF(LEFT(Demand!$C$8,1)="H",VLOOKUP($D49,'SPC background (hide)'!$AG$2:$AS$54,12,0),'Demand background (hide)'!X38)</f>
        <v>551.5</v>
      </c>
      <c r="F49" s="5">
        <f ca="1">IF(LEFT(Demand!$C$8,1)="H",VLOOKUP($D49,'SPC background (hide)'!$AG$2:$AS$54,13,0),E49*1.1)</f>
        <v>664</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13.038461538461538</v>
      </c>
      <c r="J49" s="5">
        <f ca="1">HLOOKUP(D49,'Capacity calculation (hide)'!$BK$110:$DK$111,2,0)</f>
        <v>2.1153846153846154</v>
      </c>
      <c r="K49" s="5">
        <f ca="1">IF(I49-IF(Setup!$I$15="Yes",$G49,0)-IF(Setup!$I$13="Yes",$H49,0)&lt;0,0,I49-IF(Setup!$I$15="Yes",$G49,0)-IF(Setup!$I$13="Yes",$H49,0))</f>
        <v>13.038461538461538</v>
      </c>
      <c r="L49" s="5">
        <f t="shared" ca="1" si="3"/>
        <v>2.1153846153846154</v>
      </c>
      <c r="M49" s="5">
        <f ca="1">(IF('Demand adjustments for Covid'!$F$9="No",E49,SUM('Demand background (hide)'!DS38,'Demand background (hide)'!DV38:DW38))*(1-'Parameters calculator (hide)'!$B$43))*(1-'Parameters calculator (hide)'!$B$44+('Parameters calculator (hide)'!$B$45*'Parameters calculator (hide)'!$B$47))</f>
        <v>496.35</v>
      </c>
      <c r="N49" s="5">
        <f ca="1">(IF('Demand adjustments for Covid'!$F$9="No",F49,SUM('Demand background (hide)'!DT38,'Demand background (hide)'!DV38:DW38))*(1-'Parameters calculator (hide)'!$B$43))*(1-'Parameters calculator (hide)'!$B$44+('Parameters calculator (hide)'!$B$45*'Parameters calculator (hide)'!$B$47))</f>
        <v>597.6</v>
      </c>
      <c r="P49" s="5">
        <f t="shared" ca="1" si="4"/>
        <v>13.038461538461538</v>
      </c>
      <c r="Q49" s="5">
        <f t="shared" ca="1" si="5"/>
        <v>2.1153846153846154</v>
      </c>
      <c r="R49" s="5">
        <f t="shared" ca="1" si="6"/>
        <v>13.038461538461538</v>
      </c>
      <c r="S49" s="5">
        <f t="shared" ca="1" si="7"/>
        <v>2.1153846153846154</v>
      </c>
      <c r="T49" s="5">
        <f ca="1">M49/IF(Summary!$C$8&lt;&gt;"Patients",1,$I$9)</f>
        <v>13.421118881118881</v>
      </c>
      <c r="U49" s="5">
        <f ca="1">((N49-M49)/IF(Summary!$C$8&lt;&gt;"Patients",1,$I$9))</f>
        <v>2.7377622377622375</v>
      </c>
      <c r="V49" s="5">
        <f t="shared" si="8"/>
        <v>0</v>
      </c>
      <c r="X49" s="5">
        <f ca="1">(VLOOKUP(D49,'SPC background (hide)'!$AG$2:$AN$54,8,0)/IF(Summary!$C$8&lt;&gt;"Patients",1,$I$9))*(1-$I$4)*(1-$I$5+($I$6*$I$7))</f>
        <v>12.046153846153846</v>
      </c>
    </row>
    <row r="50" spans="1:24" x14ac:dyDescent="0.2">
      <c r="A50" s="87">
        <f t="shared" si="9"/>
        <v>44438</v>
      </c>
      <c r="B50" s="67" t="str">
        <f t="shared" si="11"/>
        <v/>
      </c>
      <c r="C50" s="67" t="str">
        <f t="shared" si="12"/>
        <v/>
      </c>
      <c r="D50" s="67">
        <f t="shared" si="10"/>
        <v>35</v>
      </c>
      <c r="E50" s="5">
        <f ca="1">IF(LEFT(Demand!$C$8,1)="H",VLOOKUP($D50,'SPC background (hide)'!$AG$2:$AS$54,12,0),'Demand background (hide)'!X39)</f>
        <v>551.5</v>
      </c>
      <c r="F50" s="5">
        <f ca="1">IF(LEFT(Demand!$C$8,1)="H",VLOOKUP($D50,'SPC background (hide)'!$AG$2:$AS$54,13,0),E50*1.1)</f>
        <v>664</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13.038461538461538</v>
      </c>
      <c r="J50" s="5">
        <f ca="1">HLOOKUP(D50,'Capacity calculation (hide)'!$BK$110:$DK$111,2,0)</f>
        <v>2.1153846153846154</v>
      </c>
      <c r="K50" s="5">
        <f ca="1">IF(I50-IF(Setup!$I$15="Yes",$G50,0)-IF(Setup!$I$13="Yes",$H50,0)&lt;0,0,I50-IF(Setup!$I$15="Yes",$G50,0)-IF(Setup!$I$13="Yes",$H50,0))</f>
        <v>13.038461538461538</v>
      </c>
      <c r="L50" s="5">
        <f t="shared" ca="1" si="3"/>
        <v>2.1153846153846154</v>
      </c>
      <c r="M50" s="5">
        <f ca="1">(IF('Demand adjustments for Covid'!$F$9="No",E50,SUM('Demand background (hide)'!DS39,'Demand background (hide)'!DV39:DW39))*(1-'Parameters calculator (hide)'!$B$43))*(1-'Parameters calculator (hide)'!$B$44+('Parameters calculator (hide)'!$B$45*'Parameters calculator (hide)'!$B$47))</f>
        <v>496.35</v>
      </c>
      <c r="N50" s="5">
        <f ca="1">(IF('Demand adjustments for Covid'!$F$9="No",F50,SUM('Demand background (hide)'!DT39,'Demand background (hide)'!DV39:DW39))*(1-'Parameters calculator (hide)'!$B$43))*(1-'Parameters calculator (hide)'!$B$44+('Parameters calculator (hide)'!$B$45*'Parameters calculator (hide)'!$B$47))</f>
        <v>597.6</v>
      </c>
      <c r="P50" s="5">
        <f t="shared" ca="1" si="4"/>
        <v>13.038461538461538</v>
      </c>
      <c r="Q50" s="5">
        <f t="shared" ca="1" si="5"/>
        <v>2.1153846153846154</v>
      </c>
      <c r="R50" s="5">
        <f t="shared" ca="1" si="6"/>
        <v>13.038461538461538</v>
      </c>
      <c r="S50" s="5">
        <f t="shared" ca="1" si="7"/>
        <v>2.1153846153846154</v>
      </c>
      <c r="T50" s="5">
        <f ca="1">M50/IF(Summary!$C$8&lt;&gt;"Patients",1,$I$9)</f>
        <v>13.421118881118881</v>
      </c>
      <c r="U50" s="5">
        <f ca="1">((N50-M50)/IF(Summary!$C$8&lt;&gt;"Patients",1,$I$9))</f>
        <v>2.7377622377622375</v>
      </c>
      <c r="V50" s="5">
        <f t="shared" si="8"/>
        <v>0</v>
      </c>
      <c r="X50" s="5">
        <f ca="1">(VLOOKUP(D50,'SPC background (hide)'!$AG$2:$AN$54,8,0)/IF(Summary!$C$8&lt;&gt;"Patients",1,$I$9))*(1-$I$4)*(1-$I$5+($I$6*$I$7))</f>
        <v>12.046153846153846</v>
      </c>
    </row>
    <row r="51" spans="1:24" x14ac:dyDescent="0.2">
      <c r="A51" s="87">
        <f t="shared" si="9"/>
        <v>44445</v>
      </c>
      <c r="B51" s="67" t="str">
        <f t="shared" si="11"/>
        <v/>
      </c>
      <c r="C51" s="67" t="str">
        <f t="shared" si="12"/>
        <v>Sep</v>
      </c>
      <c r="D51" s="67">
        <f t="shared" si="10"/>
        <v>36</v>
      </c>
      <c r="E51" s="5">
        <f ca="1">IF(LEFT(Demand!$C$8,1)="H",VLOOKUP($D51,'SPC background (hide)'!$AG$2:$AS$54,12,0),'Demand background (hide)'!X40)</f>
        <v>551.5</v>
      </c>
      <c r="F51" s="5">
        <f ca="1">IF(LEFT(Demand!$C$8,1)="H",VLOOKUP($D51,'SPC background (hide)'!$AG$2:$AS$54,13,0),E51*1.1)</f>
        <v>664</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13.038461538461538</v>
      </c>
      <c r="J51" s="5">
        <f ca="1">HLOOKUP(D51,'Capacity calculation (hide)'!$BK$110:$DK$111,2,0)</f>
        <v>2.1153846153846154</v>
      </c>
      <c r="K51" s="5">
        <f ca="1">IF(I51-IF(Setup!$I$15="Yes",$G51,0)-IF(Setup!$I$13="Yes",$H51,0)&lt;0,0,I51-IF(Setup!$I$15="Yes",$G51,0)-IF(Setup!$I$13="Yes",$H51,0))</f>
        <v>13.038461538461538</v>
      </c>
      <c r="L51" s="5">
        <f t="shared" ca="1" si="3"/>
        <v>2.1153846153846154</v>
      </c>
      <c r="M51" s="5">
        <f ca="1">(IF('Demand adjustments for Covid'!$F$9="No",E51,SUM('Demand background (hide)'!DS40,'Demand background (hide)'!DV40:DW40))*(1-'Parameters calculator (hide)'!$B$43))*(1-'Parameters calculator (hide)'!$B$44+('Parameters calculator (hide)'!$B$45*'Parameters calculator (hide)'!$B$47))</f>
        <v>496.35</v>
      </c>
      <c r="N51" s="5">
        <f ca="1">(IF('Demand adjustments for Covid'!$F$9="No",F51,SUM('Demand background (hide)'!DT40,'Demand background (hide)'!DV40:DW40))*(1-'Parameters calculator (hide)'!$B$43))*(1-'Parameters calculator (hide)'!$B$44+('Parameters calculator (hide)'!$B$45*'Parameters calculator (hide)'!$B$47))</f>
        <v>597.6</v>
      </c>
      <c r="P51" s="5">
        <f t="shared" ca="1" si="4"/>
        <v>13.038461538461538</v>
      </c>
      <c r="Q51" s="5">
        <f t="shared" ca="1" si="5"/>
        <v>2.1153846153846154</v>
      </c>
      <c r="R51" s="5">
        <f t="shared" ca="1" si="6"/>
        <v>13.038461538461538</v>
      </c>
      <c r="S51" s="5">
        <f t="shared" ca="1" si="7"/>
        <v>2.1153846153846154</v>
      </c>
      <c r="T51" s="5">
        <f ca="1">M51/IF(Summary!$C$8&lt;&gt;"Patients",1,$I$9)</f>
        <v>13.421118881118881</v>
      </c>
      <c r="U51" s="5">
        <f ca="1">((N51-M51)/IF(Summary!$C$8&lt;&gt;"Patients",1,$I$9))</f>
        <v>2.7377622377622375</v>
      </c>
      <c r="V51" s="5">
        <f t="shared" si="8"/>
        <v>0</v>
      </c>
      <c r="X51" s="5">
        <f ca="1">(VLOOKUP(D51,'SPC background (hide)'!$AG$2:$AN$54,8,0)/IF(Summary!$C$8&lt;&gt;"Patients",1,$I$9))*(1-$I$4)*(1-$I$5+($I$6*$I$7))</f>
        <v>12.046153846153846</v>
      </c>
    </row>
    <row r="52" spans="1:24" x14ac:dyDescent="0.2">
      <c r="A52" s="87">
        <f t="shared" si="9"/>
        <v>44452</v>
      </c>
      <c r="B52" s="67" t="str">
        <f t="shared" si="11"/>
        <v/>
      </c>
      <c r="C52" s="67" t="str">
        <f t="shared" si="12"/>
        <v/>
      </c>
      <c r="D52" s="67">
        <f t="shared" si="10"/>
        <v>37</v>
      </c>
      <c r="E52" s="5">
        <f ca="1">IF(LEFT(Demand!$C$8,1)="H",VLOOKUP($D52,'SPC background (hide)'!$AG$2:$AS$54,12,0),'Demand background (hide)'!X41)</f>
        <v>551.5</v>
      </c>
      <c r="F52" s="5">
        <f ca="1">IF(LEFT(Demand!$C$8,1)="H",VLOOKUP($D52,'SPC background (hide)'!$AG$2:$AS$54,13,0),E52*1.1)</f>
        <v>664</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13.038461538461538</v>
      </c>
      <c r="J52" s="5">
        <f ca="1">HLOOKUP(D52,'Capacity calculation (hide)'!$BK$110:$DK$111,2,0)</f>
        <v>2.1153846153846154</v>
      </c>
      <c r="K52" s="5">
        <f ca="1">IF(I52-IF(Setup!$I$15="Yes",$G52,0)-IF(Setup!$I$13="Yes",$H52,0)&lt;0,0,I52-IF(Setup!$I$15="Yes",$G52,0)-IF(Setup!$I$13="Yes",$H52,0))</f>
        <v>13.038461538461538</v>
      </c>
      <c r="L52" s="5">
        <f t="shared" ca="1" si="3"/>
        <v>2.1153846153846154</v>
      </c>
      <c r="M52" s="5">
        <f ca="1">(IF('Demand adjustments for Covid'!$F$9="No",E52,SUM('Demand background (hide)'!DS41,'Demand background (hide)'!DV41:DW41))*(1-'Parameters calculator (hide)'!$B$43))*(1-'Parameters calculator (hide)'!$B$44+('Parameters calculator (hide)'!$B$45*'Parameters calculator (hide)'!$B$47))</f>
        <v>496.35</v>
      </c>
      <c r="N52" s="5">
        <f ca="1">(IF('Demand adjustments for Covid'!$F$9="No",F52,SUM('Demand background (hide)'!DT41,'Demand background (hide)'!DV41:DW41))*(1-'Parameters calculator (hide)'!$B$43))*(1-'Parameters calculator (hide)'!$B$44+('Parameters calculator (hide)'!$B$45*'Parameters calculator (hide)'!$B$47))</f>
        <v>597.6</v>
      </c>
      <c r="P52" s="5">
        <f t="shared" ca="1" si="4"/>
        <v>13.038461538461538</v>
      </c>
      <c r="Q52" s="5">
        <f t="shared" ca="1" si="5"/>
        <v>2.1153846153846154</v>
      </c>
      <c r="R52" s="5">
        <f t="shared" ca="1" si="6"/>
        <v>13.038461538461538</v>
      </c>
      <c r="S52" s="5">
        <f t="shared" ca="1" si="7"/>
        <v>2.1153846153846154</v>
      </c>
      <c r="T52" s="5">
        <f ca="1">M52/IF(Summary!$C$8&lt;&gt;"Patients",1,$I$9)</f>
        <v>13.421118881118881</v>
      </c>
      <c r="U52" s="5">
        <f ca="1">((N52-M52)/IF(Summary!$C$8&lt;&gt;"Patients",1,$I$9))</f>
        <v>2.7377622377622375</v>
      </c>
      <c r="V52" s="5">
        <f t="shared" si="8"/>
        <v>0</v>
      </c>
      <c r="X52" s="5">
        <f ca="1">(VLOOKUP(D52,'SPC background (hide)'!$AG$2:$AN$54,8,0)/IF(Summary!$C$8&lt;&gt;"Patients",1,$I$9))*(1-$I$4)*(1-$I$5+($I$6*$I$7))</f>
        <v>12.046153846153846</v>
      </c>
    </row>
    <row r="53" spans="1:24" x14ac:dyDescent="0.2">
      <c r="A53" s="87">
        <f t="shared" si="9"/>
        <v>44459</v>
      </c>
      <c r="B53" s="67" t="str">
        <f t="shared" si="11"/>
        <v/>
      </c>
      <c r="C53" s="67" t="str">
        <f t="shared" si="12"/>
        <v/>
      </c>
      <c r="D53" s="67">
        <f t="shared" si="10"/>
        <v>38</v>
      </c>
      <c r="E53" s="5">
        <f ca="1">IF(LEFT(Demand!$C$8,1)="H",VLOOKUP($D53,'SPC background (hide)'!$AG$2:$AS$54,12,0),'Demand background (hide)'!X42)</f>
        <v>551.5</v>
      </c>
      <c r="F53" s="5">
        <f ca="1">IF(LEFT(Demand!$C$8,1)="H",VLOOKUP($D53,'SPC background (hide)'!$AG$2:$AS$54,13,0),E53*1.1)</f>
        <v>664</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13.038461538461538</v>
      </c>
      <c r="J53" s="5">
        <f ca="1">HLOOKUP(D53,'Capacity calculation (hide)'!$BK$110:$DK$111,2,0)</f>
        <v>2.1153846153846154</v>
      </c>
      <c r="K53" s="5">
        <f ca="1">IF(I53-IF(Setup!$I$15="Yes",$G53,0)-IF(Setup!$I$13="Yes",$H53,0)&lt;0,0,I53-IF(Setup!$I$15="Yes",$G53,0)-IF(Setup!$I$13="Yes",$H53,0))</f>
        <v>13.038461538461538</v>
      </c>
      <c r="L53" s="5">
        <f t="shared" ca="1" si="3"/>
        <v>2.1153846153846154</v>
      </c>
      <c r="M53" s="5">
        <f ca="1">(IF('Demand adjustments for Covid'!$F$9="No",E53,SUM('Demand background (hide)'!DS42,'Demand background (hide)'!DV42:DW42))*(1-'Parameters calculator (hide)'!$B$43))*(1-'Parameters calculator (hide)'!$B$44+('Parameters calculator (hide)'!$B$45*'Parameters calculator (hide)'!$B$47))</f>
        <v>496.35</v>
      </c>
      <c r="N53" s="5">
        <f ca="1">(IF('Demand adjustments for Covid'!$F$9="No",F53,SUM('Demand background (hide)'!DT42,'Demand background (hide)'!DV42:DW42))*(1-'Parameters calculator (hide)'!$B$43))*(1-'Parameters calculator (hide)'!$B$44+('Parameters calculator (hide)'!$B$45*'Parameters calculator (hide)'!$B$47))</f>
        <v>597.6</v>
      </c>
      <c r="P53" s="5">
        <f t="shared" ca="1" si="4"/>
        <v>13.038461538461538</v>
      </c>
      <c r="Q53" s="5">
        <f t="shared" ca="1" si="5"/>
        <v>2.1153846153846154</v>
      </c>
      <c r="R53" s="5">
        <f t="shared" ca="1" si="6"/>
        <v>13.038461538461538</v>
      </c>
      <c r="S53" s="5">
        <f t="shared" ca="1" si="7"/>
        <v>2.1153846153846154</v>
      </c>
      <c r="T53" s="5">
        <f ca="1">M53/IF(Summary!$C$8&lt;&gt;"Patients",1,$I$9)</f>
        <v>13.421118881118881</v>
      </c>
      <c r="U53" s="5">
        <f ca="1">((N53-M53)/IF(Summary!$C$8&lt;&gt;"Patients",1,$I$9))</f>
        <v>2.7377622377622375</v>
      </c>
      <c r="V53" s="5">
        <f t="shared" si="8"/>
        <v>0</v>
      </c>
      <c r="X53" s="5">
        <f ca="1">(VLOOKUP(D53,'SPC background (hide)'!$AG$2:$AN$54,8,0)/IF(Summary!$C$8&lt;&gt;"Patients",1,$I$9))*(1-$I$4)*(1-$I$5+($I$6*$I$7))</f>
        <v>12.046153846153846</v>
      </c>
    </row>
    <row r="54" spans="1:24" x14ac:dyDescent="0.2">
      <c r="A54" s="87">
        <f t="shared" si="9"/>
        <v>44466</v>
      </c>
      <c r="B54" s="67" t="str">
        <f t="shared" si="11"/>
        <v/>
      </c>
      <c r="C54" s="67" t="str">
        <f t="shared" si="12"/>
        <v/>
      </c>
      <c r="D54" s="67">
        <f t="shared" si="10"/>
        <v>39</v>
      </c>
      <c r="E54" s="5">
        <f ca="1">IF(LEFT(Demand!$C$8,1)="H",VLOOKUP($D54,'SPC background (hide)'!$AG$2:$AS$54,12,0),'Demand background (hide)'!X43)</f>
        <v>551.5</v>
      </c>
      <c r="F54" s="5">
        <f ca="1">IF(LEFT(Demand!$C$8,1)="H",VLOOKUP($D54,'SPC background (hide)'!$AG$2:$AS$54,13,0),E54*1.1)</f>
        <v>664</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13.038461538461538</v>
      </c>
      <c r="J54" s="5">
        <f ca="1">HLOOKUP(D54,'Capacity calculation (hide)'!$BK$110:$DK$111,2,0)</f>
        <v>2.1153846153846154</v>
      </c>
      <c r="K54" s="5">
        <f ca="1">IF(I54-IF(Setup!$I$15="Yes",$G54,0)-IF(Setup!$I$13="Yes",$H54,0)&lt;0,0,I54-IF(Setup!$I$15="Yes",$G54,0)-IF(Setup!$I$13="Yes",$H54,0))</f>
        <v>13.038461538461538</v>
      </c>
      <c r="L54" s="5">
        <f t="shared" ca="1" si="3"/>
        <v>2.1153846153846154</v>
      </c>
      <c r="M54" s="5">
        <f ca="1">(IF('Demand adjustments for Covid'!$F$9="No",E54,SUM('Demand background (hide)'!DS43,'Demand background (hide)'!DV43:DW43))*(1-'Parameters calculator (hide)'!$B$43))*(1-'Parameters calculator (hide)'!$B$44+('Parameters calculator (hide)'!$B$45*'Parameters calculator (hide)'!$B$47))</f>
        <v>496.35</v>
      </c>
      <c r="N54" s="5">
        <f ca="1">(IF('Demand adjustments for Covid'!$F$9="No",F54,SUM('Demand background (hide)'!DT43,'Demand background (hide)'!DV43:DW43))*(1-'Parameters calculator (hide)'!$B$43))*(1-'Parameters calculator (hide)'!$B$44+('Parameters calculator (hide)'!$B$45*'Parameters calculator (hide)'!$B$47))</f>
        <v>597.6</v>
      </c>
      <c r="P54" s="5">
        <f t="shared" ca="1" si="4"/>
        <v>13.038461538461538</v>
      </c>
      <c r="Q54" s="5">
        <f t="shared" ca="1" si="5"/>
        <v>2.1153846153846154</v>
      </c>
      <c r="R54" s="5">
        <f t="shared" ca="1" si="6"/>
        <v>13.038461538461538</v>
      </c>
      <c r="S54" s="5">
        <f t="shared" ca="1" si="7"/>
        <v>2.1153846153846154</v>
      </c>
      <c r="T54" s="5">
        <f ca="1">M54/IF(Summary!$C$8&lt;&gt;"Patients",1,$I$9)</f>
        <v>13.421118881118881</v>
      </c>
      <c r="U54" s="5">
        <f ca="1">((N54-M54)/IF(Summary!$C$8&lt;&gt;"Patients",1,$I$9))</f>
        <v>2.7377622377622375</v>
      </c>
      <c r="V54" s="5">
        <f t="shared" si="8"/>
        <v>0</v>
      </c>
      <c r="X54" s="5">
        <f ca="1">(VLOOKUP(D54,'SPC background (hide)'!$AG$2:$AN$54,8,0)/IF(Summary!$C$8&lt;&gt;"Patients",1,$I$9))*(1-$I$4)*(1-$I$5+($I$6*$I$7))</f>
        <v>12.046153846153846</v>
      </c>
    </row>
    <row r="55" spans="1:24" x14ac:dyDescent="0.2">
      <c r="A55" s="87">
        <f t="shared" si="9"/>
        <v>44473</v>
      </c>
      <c r="B55" s="67" t="str">
        <f t="shared" si="11"/>
        <v/>
      </c>
      <c r="C55" s="67" t="str">
        <f t="shared" si="12"/>
        <v>Oct</v>
      </c>
      <c r="D55" s="67">
        <f t="shared" si="10"/>
        <v>40</v>
      </c>
      <c r="E55" s="5">
        <f ca="1">IF(LEFT(Demand!$C$8,1)="H",VLOOKUP($D55,'SPC background (hide)'!$AG$2:$AS$54,12,0),'Demand background (hide)'!X44)</f>
        <v>551.5</v>
      </c>
      <c r="F55" s="5">
        <f ca="1">IF(LEFT(Demand!$C$8,1)="H",VLOOKUP($D55,'SPC background (hide)'!$AG$2:$AS$54,13,0),E55*1.1)</f>
        <v>664</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13.038461538461538</v>
      </c>
      <c r="J55" s="5">
        <f ca="1">HLOOKUP(D55,'Capacity calculation (hide)'!$BK$110:$DK$111,2,0)</f>
        <v>2.1153846153846154</v>
      </c>
      <c r="K55" s="5">
        <f ca="1">IF(I55-IF(Setup!$I$15="Yes",$G55,0)-IF(Setup!$I$13="Yes",$H55,0)&lt;0,0,I55-IF(Setup!$I$15="Yes",$G55,0)-IF(Setup!$I$13="Yes",$H55,0))</f>
        <v>13.038461538461538</v>
      </c>
      <c r="L55" s="5">
        <f t="shared" ca="1" si="3"/>
        <v>2.1153846153846154</v>
      </c>
      <c r="M55" s="5">
        <f ca="1">(IF('Demand adjustments for Covid'!$F$9="No",E55,SUM('Demand background (hide)'!DS44,'Demand background (hide)'!DV44:DW44))*(1-'Parameters calculator (hide)'!$B$43))*(1-'Parameters calculator (hide)'!$B$44+('Parameters calculator (hide)'!$B$45*'Parameters calculator (hide)'!$B$47))</f>
        <v>496.35</v>
      </c>
      <c r="N55" s="5">
        <f ca="1">(IF('Demand adjustments for Covid'!$F$9="No",F55,SUM('Demand background (hide)'!DT44,'Demand background (hide)'!DV44:DW44))*(1-'Parameters calculator (hide)'!$B$43))*(1-'Parameters calculator (hide)'!$B$44+('Parameters calculator (hide)'!$B$45*'Parameters calculator (hide)'!$B$47))</f>
        <v>597.6</v>
      </c>
      <c r="P55" s="5">
        <f t="shared" ca="1" si="4"/>
        <v>13.038461538461538</v>
      </c>
      <c r="Q55" s="5">
        <f t="shared" ca="1" si="5"/>
        <v>2.1153846153846154</v>
      </c>
      <c r="R55" s="5">
        <f t="shared" ca="1" si="6"/>
        <v>13.038461538461538</v>
      </c>
      <c r="S55" s="5">
        <f t="shared" ca="1" si="7"/>
        <v>2.1153846153846154</v>
      </c>
      <c r="T55" s="5">
        <f ca="1">M55/IF(Summary!$C$8&lt;&gt;"Patients",1,$I$9)</f>
        <v>13.421118881118881</v>
      </c>
      <c r="U55" s="5">
        <f ca="1">((N55-M55)/IF(Summary!$C$8&lt;&gt;"Patients",1,$I$9))</f>
        <v>2.7377622377622375</v>
      </c>
      <c r="V55" s="5">
        <f t="shared" si="8"/>
        <v>0</v>
      </c>
      <c r="X55" s="5">
        <f ca="1">(VLOOKUP(D55,'SPC background (hide)'!$AG$2:$AN$54,8,0)/IF(Summary!$C$8&lt;&gt;"Patients",1,$I$9))*(1-$I$4)*(1-$I$5+($I$6*$I$7))</f>
        <v>12.046153846153846</v>
      </c>
    </row>
    <row r="56" spans="1:24" x14ac:dyDescent="0.2">
      <c r="A56" s="87">
        <f t="shared" si="9"/>
        <v>44480</v>
      </c>
      <c r="B56" s="67" t="str">
        <f t="shared" si="11"/>
        <v/>
      </c>
      <c r="C56" s="67" t="str">
        <f t="shared" si="12"/>
        <v/>
      </c>
      <c r="D56" s="67">
        <f t="shared" si="10"/>
        <v>41</v>
      </c>
      <c r="E56" s="5">
        <f ca="1">IF(LEFT(Demand!$C$8,1)="H",VLOOKUP($D56,'SPC background (hide)'!$AG$2:$AS$54,12,0),'Demand background (hide)'!X45)</f>
        <v>551.5</v>
      </c>
      <c r="F56" s="5">
        <f ca="1">IF(LEFT(Demand!$C$8,1)="H",VLOOKUP($D56,'SPC background (hide)'!$AG$2:$AS$54,13,0),E56*1.1)</f>
        <v>664</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13.038461538461538</v>
      </c>
      <c r="J56" s="5">
        <f ca="1">HLOOKUP(D56,'Capacity calculation (hide)'!$BK$110:$DK$111,2,0)</f>
        <v>2.1153846153846154</v>
      </c>
      <c r="K56" s="5">
        <f ca="1">IF(I56-IF(Setup!$I$15="Yes",$G56,0)-IF(Setup!$I$13="Yes",$H56,0)&lt;0,0,I56-IF(Setup!$I$15="Yes",$G56,0)-IF(Setup!$I$13="Yes",$H56,0))</f>
        <v>13.038461538461538</v>
      </c>
      <c r="L56" s="5">
        <f t="shared" ca="1" si="3"/>
        <v>2.1153846153846154</v>
      </c>
      <c r="M56" s="5">
        <f ca="1">(IF('Demand adjustments for Covid'!$F$9="No",E56,SUM('Demand background (hide)'!DS45,'Demand background (hide)'!DV45:DW45))*(1-'Parameters calculator (hide)'!$B$43))*(1-'Parameters calculator (hide)'!$B$44+('Parameters calculator (hide)'!$B$45*'Parameters calculator (hide)'!$B$47))</f>
        <v>496.35</v>
      </c>
      <c r="N56" s="5">
        <f ca="1">(IF('Demand adjustments for Covid'!$F$9="No",F56,SUM('Demand background (hide)'!DT45,'Demand background (hide)'!DV45:DW45))*(1-'Parameters calculator (hide)'!$B$43))*(1-'Parameters calculator (hide)'!$B$44+('Parameters calculator (hide)'!$B$45*'Parameters calculator (hide)'!$B$47))</f>
        <v>597.6</v>
      </c>
      <c r="P56" s="5">
        <f t="shared" ca="1" si="4"/>
        <v>13.038461538461538</v>
      </c>
      <c r="Q56" s="5">
        <f t="shared" ca="1" si="5"/>
        <v>2.1153846153846154</v>
      </c>
      <c r="R56" s="5">
        <f t="shared" ca="1" si="6"/>
        <v>13.038461538461538</v>
      </c>
      <c r="S56" s="5">
        <f t="shared" ca="1" si="7"/>
        <v>2.1153846153846154</v>
      </c>
      <c r="T56" s="5">
        <f ca="1">M56/IF(Summary!$C$8&lt;&gt;"Patients",1,$I$9)</f>
        <v>13.421118881118881</v>
      </c>
      <c r="U56" s="5">
        <f ca="1">((N56-M56)/IF(Summary!$C$8&lt;&gt;"Patients",1,$I$9))</f>
        <v>2.7377622377622375</v>
      </c>
      <c r="V56" s="5">
        <f t="shared" si="8"/>
        <v>0</v>
      </c>
      <c r="X56" s="5">
        <f ca="1">(VLOOKUP(D56,'SPC background (hide)'!$AG$2:$AN$54,8,0)/IF(Summary!$C$8&lt;&gt;"Patients",1,$I$9))*(1-$I$4)*(1-$I$5+($I$6*$I$7))</f>
        <v>12.046153846153846</v>
      </c>
    </row>
    <row r="57" spans="1:24" x14ac:dyDescent="0.2">
      <c r="A57" s="87">
        <f t="shared" si="9"/>
        <v>44487</v>
      </c>
      <c r="B57" s="67" t="str">
        <f t="shared" si="11"/>
        <v/>
      </c>
      <c r="C57" s="67" t="str">
        <f t="shared" si="12"/>
        <v/>
      </c>
      <c r="D57" s="67">
        <f t="shared" si="10"/>
        <v>42</v>
      </c>
      <c r="E57" s="5">
        <f ca="1">IF(LEFT(Demand!$C$8,1)="H",VLOOKUP($D57,'SPC background (hide)'!$AG$2:$AS$54,12,0),'Demand background (hide)'!X46)</f>
        <v>551.5</v>
      </c>
      <c r="F57" s="5">
        <f ca="1">IF(LEFT(Demand!$C$8,1)="H",VLOOKUP($D57,'SPC background (hide)'!$AG$2:$AS$54,13,0),E57*1.1)</f>
        <v>664</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13.038461538461538</v>
      </c>
      <c r="J57" s="5">
        <f ca="1">HLOOKUP(D57,'Capacity calculation (hide)'!$BK$110:$DK$111,2,0)</f>
        <v>2.1153846153846154</v>
      </c>
      <c r="K57" s="5">
        <f ca="1">IF(I57-IF(Setup!$I$15="Yes",$G57,0)-IF(Setup!$I$13="Yes",$H57,0)&lt;0,0,I57-IF(Setup!$I$15="Yes",$G57,0)-IF(Setup!$I$13="Yes",$H57,0))</f>
        <v>13.038461538461538</v>
      </c>
      <c r="L57" s="5">
        <f t="shared" ca="1" si="3"/>
        <v>2.1153846153846154</v>
      </c>
      <c r="M57" s="5">
        <f ca="1">(IF('Demand adjustments for Covid'!$F$9="No",E57,SUM('Demand background (hide)'!DS46,'Demand background (hide)'!DV46:DW46))*(1-'Parameters calculator (hide)'!$B$43))*(1-'Parameters calculator (hide)'!$B$44+('Parameters calculator (hide)'!$B$45*'Parameters calculator (hide)'!$B$47))</f>
        <v>496.35</v>
      </c>
      <c r="N57" s="5">
        <f ca="1">(IF('Demand adjustments for Covid'!$F$9="No",F57,SUM('Demand background (hide)'!DT46,'Demand background (hide)'!DV46:DW46))*(1-'Parameters calculator (hide)'!$B$43))*(1-'Parameters calculator (hide)'!$B$44+('Parameters calculator (hide)'!$B$45*'Parameters calculator (hide)'!$B$47))</f>
        <v>597.6</v>
      </c>
      <c r="P57" s="5">
        <f t="shared" ca="1" si="4"/>
        <v>13.038461538461538</v>
      </c>
      <c r="Q57" s="5">
        <f t="shared" ca="1" si="5"/>
        <v>2.1153846153846154</v>
      </c>
      <c r="R57" s="5">
        <f t="shared" ca="1" si="6"/>
        <v>13.038461538461538</v>
      </c>
      <c r="S57" s="5">
        <f t="shared" ca="1" si="7"/>
        <v>2.1153846153846154</v>
      </c>
      <c r="T57" s="5">
        <f ca="1">M57/IF(Summary!$C$8&lt;&gt;"Patients",1,$I$9)</f>
        <v>13.421118881118881</v>
      </c>
      <c r="U57" s="5">
        <f ca="1">((N57-M57)/IF(Summary!$C$8&lt;&gt;"Patients",1,$I$9))</f>
        <v>2.7377622377622375</v>
      </c>
      <c r="V57" s="5">
        <f t="shared" si="8"/>
        <v>0</v>
      </c>
      <c r="X57" s="5">
        <f ca="1">(VLOOKUP(D57,'SPC background (hide)'!$AG$2:$AN$54,8,0)/IF(Summary!$C$8&lt;&gt;"Patients",1,$I$9))*(1-$I$4)*(1-$I$5+($I$6*$I$7))</f>
        <v>12.046153846153846</v>
      </c>
    </row>
    <row r="58" spans="1:24" x14ac:dyDescent="0.2">
      <c r="A58" s="87">
        <f t="shared" si="9"/>
        <v>44494</v>
      </c>
      <c r="B58" s="67" t="str">
        <f t="shared" si="11"/>
        <v/>
      </c>
      <c r="C58" s="67" t="str">
        <f t="shared" si="12"/>
        <v/>
      </c>
      <c r="D58" s="67">
        <f t="shared" si="10"/>
        <v>43</v>
      </c>
      <c r="E58" s="5">
        <f ca="1">IF(LEFT(Demand!$C$8,1)="H",VLOOKUP($D58,'SPC background (hide)'!$AG$2:$AS$54,12,0),'Demand background (hide)'!X47)</f>
        <v>551.5</v>
      </c>
      <c r="F58" s="5">
        <f ca="1">IF(LEFT(Demand!$C$8,1)="H",VLOOKUP($D58,'SPC background (hide)'!$AG$2:$AS$54,13,0),E58*1.1)</f>
        <v>664</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13.038461538461538</v>
      </c>
      <c r="J58" s="5">
        <f ca="1">HLOOKUP(D58,'Capacity calculation (hide)'!$BK$110:$DK$111,2,0)</f>
        <v>2.1153846153846154</v>
      </c>
      <c r="K58" s="5">
        <f ca="1">IF(I58-IF(Setup!$I$15="Yes",$G58,0)-IF(Setup!$I$13="Yes",$H58,0)&lt;0,0,I58-IF(Setup!$I$15="Yes",$G58,0)-IF(Setup!$I$13="Yes",$H58,0))</f>
        <v>13.038461538461538</v>
      </c>
      <c r="L58" s="5">
        <f t="shared" ca="1" si="3"/>
        <v>2.1153846153846154</v>
      </c>
      <c r="M58" s="5">
        <f ca="1">(IF('Demand adjustments for Covid'!$F$9="No",E58,SUM('Demand background (hide)'!DS47,'Demand background (hide)'!DV47:DW47))*(1-'Parameters calculator (hide)'!$B$43))*(1-'Parameters calculator (hide)'!$B$44+('Parameters calculator (hide)'!$B$45*'Parameters calculator (hide)'!$B$47))</f>
        <v>496.35</v>
      </c>
      <c r="N58" s="5">
        <f ca="1">(IF('Demand adjustments for Covid'!$F$9="No",F58,SUM('Demand background (hide)'!DT47,'Demand background (hide)'!DV47:DW47))*(1-'Parameters calculator (hide)'!$B$43))*(1-'Parameters calculator (hide)'!$B$44+('Parameters calculator (hide)'!$B$45*'Parameters calculator (hide)'!$B$47))</f>
        <v>597.6</v>
      </c>
      <c r="P58" s="5">
        <f t="shared" ca="1" si="4"/>
        <v>13.038461538461538</v>
      </c>
      <c r="Q58" s="5">
        <f t="shared" ca="1" si="5"/>
        <v>2.1153846153846154</v>
      </c>
      <c r="R58" s="5">
        <f t="shared" ca="1" si="6"/>
        <v>13.038461538461538</v>
      </c>
      <c r="S58" s="5">
        <f t="shared" ca="1" si="7"/>
        <v>2.1153846153846154</v>
      </c>
      <c r="T58" s="5">
        <f ca="1">M58/IF(Summary!$C$8&lt;&gt;"Patients",1,$I$9)</f>
        <v>13.421118881118881</v>
      </c>
      <c r="U58" s="5">
        <f ca="1">((N58-M58)/IF(Summary!$C$8&lt;&gt;"Patients",1,$I$9))</f>
        <v>2.7377622377622375</v>
      </c>
      <c r="V58" s="5">
        <f t="shared" si="8"/>
        <v>0</v>
      </c>
      <c r="X58" s="5">
        <f ca="1">(VLOOKUP(D58,'SPC background (hide)'!$AG$2:$AN$54,8,0)/IF(Summary!$C$8&lt;&gt;"Patients",1,$I$9))*(1-$I$4)*(1-$I$5+($I$6*$I$7))</f>
        <v>12.046153846153846</v>
      </c>
    </row>
    <row r="59" spans="1:24" x14ac:dyDescent="0.2">
      <c r="A59" s="87">
        <f t="shared" si="9"/>
        <v>44501</v>
      </c>
      <c r="B59" s="67" t="str">
        <f t="shared" si="11"/>
        <v/>
      </c>
      <c r="C59" s="67" t="str">
        <f t="shared" si="12"/>
        <v>Nov</v>
      </c>
      <c r="D59" s="67">
        <f t="shared" si="10"/>
        <v>44</v>
      </c>
      <c r="E59" s="5">
        <f ca="1">IF(LEFT(Demand!$C$8,1)="H",VLOOKUP($D59,'SPC background (hide)'!$AG$2:$AS$54,12,0),'Demand background (hide)'!X48)</f>
        <v>551.5</v>
      </c>
      <c r="F59" s="5">
        <f ca="1">IF(LEFT(Demand!$C$8,1)="H",VLOOKUP($D59,'SPC background (hide)'!$AG$2:$AS$54,13,0),E59*1.1)</f>
        <v>664</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13.038461538461538</v>
      </c>
      <c r="J59" s="5">
        <f ca="1">HLOOKUP(D59,'Capacity calculation (hide)'!$BK$110:$DK$111,2,0)</f>
        <v>2.1153846153846154</v>
      </c>
      <c r="K59" s="5">
        <f ca="1">IF(I59-IF(Setup!$I$15="Yes",$G59,0)-IF(Setup!$I$13="Yes",$H59,0)&lt;0,0,I59-IF(Setup!$I$15="Yes",$G59,0)-IF(Setup!$I$13="Yes",$H59,0))</f>
        <v>13.038461538461538</v>
      </c>
      <c r="L59" s="5">
        <f t="shared" ca="1" si="3"/>
        <v>2.1153846153846154</v>
      </c>
      <c r="M59" s="5">
        <f ca="1">(IF('Demand adjustments for Covid'!$F$9="No",E59,SUM('Demand background (hide)'!DS48,'Demand background (hide)'!DV48:DW48))*(1-'Parameters calculator (hide)'!$B$43))*(1-'Parameters calculator (hide)'!$B$44+('Parameters calculator (hide)'!$B$45*'Parameters calculator (hide)'!$B$47))</f>
        <v>496.35</v>
      </c>
      <c r="N59" s="5">
        <f ca="1">(IF('Demand adjustments for Covid'!$F$9="No",F59,SUM('Demand background (hide)'!DT48,'Demand background (hide)'!DV48:DW48))*(1-'Parameters calculator (hide)'!$B$43))*(1-'Parameters calculator (hide)'!$B$44+('Parameters calculator (hide)'!$B$45*'Parameters calculator (hide)'!$B$47))</f>
        <v>597.6</v>
      </c>
      <c r="P59" s="5">
        <f t="shared" ca="1" si="4"/>
        <v>13.038461538461538</v>
      </c>
      <c r="Q59" s="5">
        <f t="shared" ca="1" si="5"/>
        <v>2.1153846153846154</v>
      </c>
      <c r="R59" s="5">
        <f t="shared" ca="1" si="6"/>
        <v>13.038461538461538</v>
      </c>
      <c r="S59" s="5">
        <f t="shared" ca="1" si="7"/>
        <v>2.1153846153846154</v>
      </c>
      <c r="T59" s="5">
        <f ca="1">M59/IF(Summary!$C$8&lt;&gt;"Patients",1,$I$9)</f>
        <v>13.421118881118881</v>
      </c>
      <c r="U59" s="5">
        <f ca="1">((N59-M59)/IF(Summary!$C$8&lt;&gt;"Patients",1,$I$9))</f>
        <v>2.7377622377622375</v>
      </c>
      <c r="V59" s="5">
        <f t="shared" si="8"/>
        <v>0</v>
      </c>
      <c r="X59" s="5">
        <f ca="1">(VLOOKUP(D59,'SPC background (hide)'!$AG$2:$AN$54,8,0)/IF(Summary!$C$8&lt;&gt;"Patients",1,$I$9))*(1-$I$4)*(1-$I$5+($I$6*$I$7))</f>
        <v>12.046153846153846</v>
      </c>
    </row>
    <row r="60" spans="1:24" x14ac:dyDescent="0.2">
      <c r="A60" s="87">
        <f t="shared" si="9"/>
        <v>44508</v>
      </c>
      <c r="B60" s="67" t="str">
        <f t="shared" si="11"/>
        <v/>
      </c>
      <c r="C60" s="67" t="str">
        <f t="shared" si="12"/>
        <v/>
      </c>
      <c r="D60" s="67">
        <f t="shared" si="10"/>
        <v>45</v>
      </c>
      <c r="E60" s="5">
        <f ca="1">IF(LEFT(Demand!$C$8,1)="H",VLOOKUP($D60,'SPC background (hide)'!$AG$2:$AS$54,12,0),'Demand background (hide)'!X49)</f>
        <v>551.5</v>
      </c>
      <c r="F60" s="5">
        <f ca="1">IF(LEFT(Demand!$C$8,1)="H",VLOOKUP($D60,'SPC background (hide)'!$AG$2:$AS$54,13,0),E60*1.1)</f>
        <v>664</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13.038461538461538</v>
      </c>
      <c r="J60" s="5">
        <f ca="1">HLOOKUP(D60,'Capacity calculation (hide)'!$BK$110:$DK$111,2,0)</f>
        <v>2.1153846153846154</v>
      </c>
      <c r="K60" s="5">
        <f ca="1">IF(I60-IF(Setup!$I$15="Yes",$G60,0)-IF(Setup!$I$13="Yes",$H60,0)&lt;0,0,I60-IF(Setup!$I$15="Yes",$G60,0)-IF(Setup!$I$13="Yes",$H60,0))</f>
        <v>13.038461538461538</v>
      </c>
      <c r="L60" s="5">
        <f t="shared" ca="1" si="3"/>
        <v>2.1153846153846154</v>
      </c>
      <c r="M60" s="5">
        <f ca="1">(IF('Demand adjustments for Covid'!$F$9="No",E60,SUM('Demand background (hide)'!DS49,'Demand background (hide)'!DV49:DW49))*(1-'Parameters calculator (hide)'!$B$43))*(1-'Parameters calculator (hide)'!$B$44+('Parameters calculator (hide)'!$B$45*'Parameters calculator (hide)'!$B$47))</f>
        <v>496.35</v>
      </c>
      <c r="N60" s="5">
        <f ca="1">(IF('Demand adjustments for Covid'!$F$9="No",F60,SUM('Demand background (hide)'!DT49,'Demand background (hide)'!DV49:DW49))*(1-'Parameters calculator (hide)'!$B$43))*(1-'Parameters calculator (hide)'!$B$44+('Parameters calculator (hide)'!$B$45*'Parameters calculator (hide)'!$B$47))</f>
        <v>597.6</v>
      </c>
      <c r="P60" s="5">
        <f t="shared" ca="1" si="4"/>
        <v>13.038461538461538</v>
      </c>
      <c r="Q60" s="5">
        <f t="shared" ca="1" si="5"/>
        <v>2.1153846153846154</v>
      </c>
      <c r="R60" s="5">
        <f t="shared" ca="1" si="6"/>
        <v>13.038461538461538</v>
      </c>
      <c r="S60" s="5">
        <f t="shared" ca="1" si="7"/>
        <v>2.1153846153846154</v>
      </c>
      <c r="T60" s="5">
        <f ca="1">M60/IF(Summary!$C$8&lt;&gt;"Patients",1,$I$9)</f>
        <v>13.421118881118881</v>
      </c>
      <c r="U60" s="5">
        <f ca="1">((N60-M60)/IF(Summary!$C$8&lt;&gt;"Patients",1,$I$9))</f>
        <v>2.7377622377622375</v>
      </c>
      <c r="V60" s="5">
        <f t="shared" si="8"/>
        <v>0</v>
      </c>
      <c r="X60" s="5">
        <f ca="1">(VLOOKUP(D60,'SPC background (hide)'!$AG$2:$AN$54,8,0)/IF(Summary!$C$8&lt;&gt;"Patients",1,$I$9))*(1-$I$4)*(1-$I$5+($I$6*$I$7))</f>
        <v>12.046153846153846</v>
      </c>
    </row>
    <row r="61" spans="1:24" x14ac:dyDescent="0.2">
      <c r="A61" s="87">
        <f t="shared" si="9"/>
        <v>44515</v>
      </c>
      <c r="B61" s="67" t="str">
        <f t="shared" si="11"/>
        <v/>
      </c>
      <c r="C61" s="67" t="str">
        <f t="shared" si="12"/>
        <v/>
      </c>
      <c r="D61" s="67">
        <f t="shared" si="10"/>
        <v>46</v>
      </c>
      <c r="E61" s="5">
        <f ca="1">IF(LEFT(Demand!$C$8,1)="H",VLOOKUP($D61,'SPC background (hide)'!$AG$2:$AS$54,12,0),'Demand background (hide)'!X50)</f>
        <v>551.5</v>
      </c>
      <c r="F61" s="5">
        <f ca="1">IF(LEFT(Demand!$C$8,1)="H",VLOOKUP($D61,'SPC background (hide)'!$AG$2:$AS$54,13,0),E61*1.1)</f>
        <v>664</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13.038461538461538</v>
      </c>
      <c r="J61" s="5">
        <f ca="1">HLOOKUP(D61,'Capacity calculation (hide)'!$BK$110:$DK$111,2,0)</f>
        <v>2.1153846153846154</v>
      </c>
      <c r="K61" s="5">
        <f ca="1">IF(I61-IF(Setup!$I$15="Yes",$G61,0)-IF(Setup!$I$13="Yes",$H61,0)&lt;0,0,I61-IF(Setup!$I$15="Yes",$G61,0)-IF(Setup!$I$13="Yes",$H61,0))</f>
        <v>13.038461538461538</v>
      </c>
      <c r="L61" s="5">
        <f t="shared" ca="1" si="3"/>
        <v>2.1153846153846154</v>
      </c>
      <c r="M61" s="5">
        <f ca="1">(IF('Demand adjustments for Covid'!$F$9="No",E61,SUM('Demand background (hide)'!DS50,'Demand background (hide)'!DV50:DW50))*(1-'Parameters calculator (hide)'!$B$43))*(1-'Parameters calculator (hide)'!$B$44+('Parameters calculator (hide)'!$B$45*'Parameters calculator (hide)'!$B$47))</f>
        <v>496.35</v>
      </c>
      <c r="N61" s="5">
        <f ca="1">(IF('Demand adjustments for Covid'!$F$9="No",F61,SUM('Demand background (hide)'!DT50,'Demand background (hide)'!DV50:DW50))*(1-'Parameters calculator (hide)'!$B$43))*(1-'Parameters calculator (hide)'!$B$44+('Parameters calculator (hide)'!$B$45*'Parameters calculator (hide)'!$B$47))</f>
        <v>597.6</v>
      </c>
      <c r="P61" s="5">
        <f t="shared" ca="1" si="4"/>
        <v>13.038461538461538</v>
      </c>
      <c r="Q61" s="5">
        <f t="shared" ca="1" si="5"/>
        <v>2.1153846153846154</v>
      </c>
      <c r="R61" s="5">
        <f t="shared" ca="1" si="6"/>
        <v>13.038461538461538</v>
      </c>
      <c r="S61" s="5">
        <f t="shared" ca="1" si="7"/>
        <v>2.1153846153846154</v>
      </c>
      <c r="T61" s="5">
        <f ca="1">M61/IF(Summary!$C$8&lt;&gt;"Patients",1,$I$9)</f>
        <v>13.421118881118881</v>
      </c>
      <c r="U61" s="5">
        <f ca="1">((N61-M61)/IF(Summary!$C$8&lt;&gt;"Patients",1,$I$9))</f>
        <v>2.7377622377622375</v>
      </c>
      <c r="V61" s="5">
        <f t="shared" si="8"/>
        <v>0</v>
      </c>
      <c r="X61" s="5">
        <f ca="1">(VLOOKUP(D61,'SPC background (hide)'!$AG$2:$AN$54,8,0)/IF(Summary!$C$8&lt;&gt;"Patients",1,$I$9))*(1-$I$4)*(1-$I$5+($I$6*$I$7))</f>
        <v>12.046153846153846</v>
      </c>
    </row>
    <row r="62" spans="1:24" x14ac:dyDescent="0.2">
      <c r="A62" s="87">
        <f t="shared" si="9"/>
        <v>44522</v>
      </c>
      <c r="B62" s="67" t="str">
        <f t="shared" si="11"/>
        <v/>
      </c>
      <c r="C62" s="67" t="str">
        <f t="shared" si="12"/>
        <v/>
      </c>
      <c r="D62" s="67">
        <f t="shared" si="10"/>
        <v>47</v>
      </c>
      <c r="E62" s="5">
        <f ca="1">IF(LEFT(Demand!$C$8,1)="H",VLOOKUP($D62,'SPC background (hide)'!$AG$2:$AS$54,12,0),'Demand background (hide)'!X51)</f>
        <v>551.5</v>
      </c>
      <c r="F62" s="5">
        <f ca="1">IF(LEFT(Demand!$C$8,1)="H",VLOOKUP($D62,'SPC background (hide)'!$AG$2:$AS$54,13,0),E62*1.1)</f>
        <v>664</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13.038461538461538</v>
      </c>
      <c r="J62" s="5">
        <f ca="1">HLOOKUP(D62,'Capacity calculation (hide)'!$BK$110:$DK$111,2,0)</f>
        <v>2.1153846153846154</v>
      </c>
      <c r="K62" s="5">
        <f ca="1">IF(I62-IF(Setup!$I$15="Yes",$G62,0)-IF(Setup!$I$13="Yes",$H62,0)&lt;0,0,I62-IF(Setup!$I$15="Yes",$G62,0)-IF(Setup!$I$13="Yes",$H62,0))</f>
        <v>13.038461538461538</v>
      </c>
      <c r="L62" s="5">
        <f t="shared" ca="1" si="3"/>
        <v>2.1153846153846154</v>
      </c>
      <c r="M62" s="5">
        <f ca="1">(IF('Demand adjustments for Covid'!$F$9="No",E62,SUM('Demand background (hide)'!DS51,'Demand background (hide)'!DV51:DW51))*(1-'Parameters calculator (hide)'!$B$43))*(1-'Parameters calculator (hide)'!$B$44+('Parameters calculator (hide)'!$B$45*'Parameters calculator (hide)'!$B$47))</f>
        <v>496.35</v>
      </c>
      <c r="N62" s="5">
        <f ca="1">(IF('Demand adjustments for Covid'!$F$9="No",F62,SUM('Demand background (hide)'!DT51,'Demand background (hide)'!DV51:DW51))*(1-'Parameters calculator (hide)'!$B$43))*(1-'Parameters calculator (hide)'!$B$44+('Parameters calculator (hide)'!$B$45*'Parameters calculator (hide)'!$B$47))</f>
        <v>597.6</v>
      </c>
      <c r="P62" s="5">
        <f t="shared" ca="1" si="4"/>
        <v>13.038461538461538</v>
      </c>
      <c r="Q62" s="5">
        <f t="shared" ca="1" si="5"/>
        <v>2.1153846153846154</v>
      </c>
      <c r="R62" s="5">
        <f t="shared" ca="1" si="6"/>
        <v>13.038461538461538</v>
      </c>
      <c r="S62" s="5">
        <f t="shared" ca="1" si="7"/>
        <v>2.1153846153846154</v>
      </c>
      <c r="T62" s="5">
        <f ca="1">M62/IF(Summary!$C$8&lt;&gt;"Patients",1,$I$9)</f>
        <v>13.421118881118881</v>
      </c>
      <c r="U62" s="5">
        <f ca="1">((N62-M62)/IF(Summary!$C$8&lt;&gt;"Patients",1,$I$9))</f>
        <v>2.7377622377622375</v>
      </c>
      <c r="V62" s="5">
        <f t="shared" si="8"/>
        <v>0</v>
      </c>
      <c r="X62" s="5">
        <f ca="1">(VLOOKUP(D62,'SPC background (hide)'!$AG$2:$AN$54,8,0)/IF(Summary!$C$8&lt;&gt;"Patients",1,$I$9))*(1-$I$4)*(1-$I$5+($I$6*$I$7))</f>
        <v>12.046153846153846</v>
      </c>
    </row>
    <row r="63" spans="1:24" x14ac:dyDescent="0.2">
      <c r="A63" s="87">
        <f t="shared" si="9"/>
        <v>44529</v>
      </c>
      <c r="B63" s="67" t="str">
        <f t="shared" si="11"/>
        <v/>
      </c>
      <c r="C63" s="67" t="str">
        <f t="shared" si="12"/>
        <v/>
      </c>
      <c r="D63" s="67">
        <f t="shared" si="10"/>
        <v>48</v>
      </c>
      <c r="E63" s="5">
        <f ca="1">IF(LEFT(Demand!$C$8,1)="H",VLOOKUP($D63,'SPC background (hide)'!$AG$2:$AS$54,12,0),'Demand background (hide)'!X52)</f>
        <v>551.5</v>
      </c>
      <c r="F63" s="5">
        <f ca="1">IF(LEFT(Demand!$C$8,1)="H",VLOOKUP($D63,'SPC background (hide)'!$AG$2:$AS$54,13,0),E63*1.1)</f>
        <v>664</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13.038461538461538</v>
      </c>
      <c r="J63" s="5">
        <f ca="1">HLOOKUP(D63,'Capacity calculation (hide)'!$BK$110:$DK$111,2,0)</f>
        <v>2.1153846153846154</v>
      </c>
      <c r="K63" s="5">
        <f ca="1">IF(I63-IF(Setup!$I$15="Yes",$G63,0)-IF(Setup!$I$13="Yes",$H63,0)&lt;0,0,I63-IF(Setup!$I$15="Yes",$G63,0)-IF(Setup!$I$13="Yes",$H63,0))</f>
        <v>13.038461538461538</v>
      </c>
      <c r="L63" s="5">
        <f t="shared" ca="1" si="3"/>
        <v>2.1153846153846154</v>
      </c>
      <c r="M63" s="5">
        <f ca="1">(IF('Demand adjustments for Covid'!$F$9="No",E63,SUM('Demand background (hide)'!DS52,'Demand background (hide)'!DV52:DW52))*(1-'Parameters calculator (hide)'!$B$43))*(1-'Parameters calculator (hide)'!$B$44+('Parameters calculator (hide)'!$B$45*'Parameters calculator (hide)'!$B$47))</f>
        <v>496.35</v>
      </c>
      <c r="N63" s="5">
        <f ca="1">(IF('Demand adjustments for Covid'!$F$9="No",F63,SUM('Demand background (hide)'!DT52,'Demand background (hide)'!DV52:DW52))*(1-'Parameters calculator (hide)'!$B$43))*(1-'Parameters calculator (hide)'!$B$44+('Parameters calculator (hide)'!$B$45*'Parameters calculator (hide)'!$B$47))</f>
        <v>597.6</v>
      </c>
      <c r="P63" s="5">
        <f t="shared" ca="1" si="4"/>
        <v>13.038461538461538</v>
      </c>
      <c r="Q63" s="5">
        <f t="shared" ca="1" si="5"/>
        <v>2.1153846153846154</v>
      </c>
      <c r="R63" s="5">
        <f t="shared" ca="1" si="6"/>
        <v>13.038461538461538</v>
      </c>
      <c r="S63" s="5">
        <f t="shared" ca="1" si="7"/>
        <v>2.1153846153846154</v>
      </c>
      <c r="T63" s="5">
        <f ca="1">M63/IF(Summary!$C$8&lt;&gt;"Patients",1,$I$9)</f>
        <v>13.421118881118881</v>
      </c>
      <c r="U63" s="5">
        <f ca="1">((N63-M63)/IF(Summary!$C$8&lt;&gt;"Patients",1,$I$9))</f>
        <v>2.7377622377622375</v>
      </c>
      <c r="V63" s="5">
        <f t="shared" si="8"/>
        <v>0</v>
      </c>
      <c r="X63" s="5">
        <f ca="1">(VLOOKUP(D63,'SPC background (hide)'!$AG$2:$AN$54,8,0)/IF(Summary!$C$8&lt;&gt;"Patients",1,$I$9))*(1-$I$4)*(1-$I$5+($I$6*$I$7))</f>
        <v>12.046153846153846</v>
      </c>
    </row>
    <row r="64" spans="1:24" x14ac:dyDescent="0.2">
      <c r="A64" s="87">
        <f t="shared" si="9"/>
        <v>44536</v>
      </c>
      <c r="B64" s="67" t="str">
        <f t="shared" si="11"/>
        <v/>
      </c>
      <c r="C64" s="67" t="str">
        <f t="shared" si="12"/>
        <v>Dec</v>
      </c>
      <c r="D64" s="67">
        <f t="shared" si="10"/>
        <v>49</v>
      </c>
      <c r="E64" s="5">
        <f ca="1">IF(LEFT(Demand!$C$8,1)="H",VLOOKUP($D64,'SPC background (hide)'!$AG$2:$AS$54,12,0),'Demand background (hide)'!X53)</f>
        <v>551.5</v>
      </c>
      <c r="F64" s="5">
        <f ca="1">IF(LEFT(Demand!$C$8,1)="H",VLOOKUP($D64,'SPC background (hide)'!$AG$2:$AS$54,13,0),E64*1.1)</f>
        <v>664</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13.038461538461538</v>
      </c>
      <c r="J64" s="5">
        <f ca="1">HLOOKUP(D64,'Capacity calculation (hide)'!$BK$110:$DK$111,2,0)</f>
        <v>2.1153846153846154</v>
      </c>
      <c r="K64" s="5">
        <f ca="1">IF(I64-IF(Setup!$I$15="Yes",$G64,0)-IF(Setup!$I$13="Yes",$H64,0)&lt;0,0,I64-IF(Setup!$I$15="Yes",$G64,0)-IF(Setup!$I$13="Yes",$H64,0))</f>
        <v>13.038461538461538</v>
      </c>
      <c r="L64" s="5">
        <f t="shared" ca="1" si="3"/>
        <v>2.1153846153846154</v>
      </c>
      <c r="M64" s="5">
        <f ca="1">(IF('Demand adjustments for Covid'!$F$9="No",E64,SUM('Demand background (hide)'!DS53,'Demand background (hide)'!DV53:DW53))*(1-'Parameters calculator (hide)'!$B$43))*(1-'Parameters calculator (hide)'!$B$44+('Parameters calculator (hide)'!$B$45*'Parameters calculator (hide)'!$B$47))</f>
        <v>496.35</v>
      </c>
      <c r="N64" s="5">
        <f ca="1">(IF('Demand adjustments for Covid'!$F$9="No",F64,SUM('Demand background (hide)'!DT53,'Demand background (hide)'!DV53:DW53))*(1-'Parameters calculator (hide)'!$B$43))*(1-'Parameters calculator (hide)'!$B$44+('Parameters calculator (hide)'!$B$45*'Parameters calculator (hide)'!$B$47))</f>
        <v>597.6</v>
      </c>
      <c r="P64" s="5">
        <f t="shared" ca="1" si="4"/>
        <v>13.038461538461538</v>
      </c>
      <c r="Q64" s="5">
        <f t="shared" ca="1" si="5"/>
        <v>2.1153846153846154</v>
      </c>
      <c r="R64" s="5">
        <f t="shared" ca="1" si="6"/>
        <v>13.038461538461538</v>
      </c>
      <c r="S64" s="5">
        <f t="shared" ca="1" si="7"/>
        <v>2.1153846153846154</v>
      </c>
      <c r="T64" s="5">
        <f ca="1">M64/IF(Summary!$C$8&lt;&gt;"Patients",1,$I$9)</f>
        <v>13.421118881118881</v>
      </c>
      <c r="U64" s="5">
        <f ca="1">((N64-M64)/IF(Summary!$C$8&lt;&gt;"Patients",1,$I$9))</f>
        <v>2.7377622377622375</v>
      </c>
      <c r="V64" s="5">
        <f t="shared" si="8"/>
        <v>0</v>
      </c>
      <c r="X64" s="5">
        <f ca="1">(VLOOKUP(D64,'SPC background (hide)'!$AG$2:$AN$54,8,0)/IF(Summary!$C$8&lt;&gt;"Patients",1,$I$9))*(1-$I$4)*(1-$I$5+($I$6*$I$7))</f>
        <v>12.046153846153846</v>
      </c>
    </row>
    <row r="65" spans="1:24" x14ac:dyDescent="0.2">
      <c r="A65" s="87">
        <f t="shared" si="9"/>
        <v>44543</v>
      </c>
      <c r="B65" s="67" t="str">
        <f t="shared" si="11"/>
        <v/>
      </c>
      <c r="C65" s="67" t="str">
        <f t="shared" si="12"/>
        <v/>
      </c>
      <c r="D65" s="67">
        <f t="shared" si="10"/>
        <v>50</v>
      </c>
      <c r="E65" s="5">
        <f ca="1">IF(LEFT(Demand!$C$8,1)="H",VLOOKUP($D65,'SPC background (hide)'!$AG$2:$AS$54,12,0),'Demand background (hide)'!X54)</f>
        <v>551.5</v>
      </c>
      <c r="F65" s="5">
        <f ca="1">IF(LEFT(Demand!$C$8,1)="H",VLOOKUP($D65,'SPC background (hide)'!$AG$2:$AS$54,13,0),E65*1.1)</f>
        <v>664</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13.038461538461538</v>
      </c>
      <c r="J65" s="5">
        <f ca="1">HLOOKUP(D65,'Capacity calculation (hide)'!$BK$110:$DK$111,2,0)</f>
        <v>2.1153846153846154</v>
      </c>
      <c r="K65" s="5">
        <f ca="1">IF(I65-IF(Setup!$I$15="Yes",$G65,0)-IF(Setup!$I$13="Yes",$H65,0)&lt;0,0,I65-IF(Setup!$I$15="Yes",$G65,0)-IF(Setup!$I$13="Yes",$H65,0))</f>
        <v>13.038461538461538</v>
      </c>
      <c r="L65" s="5">
        <f t="shared" ca="1" si="3"/>
        <v>2.1153846153846154</v>
      </c>
      <c r="M65" s="5">
        <f ca="1">(IF('Demand adjustments for Covid'!$F$9="No",E65,SUM('Demand background (hide)'!DS54,'Demand background (hide)'!DV54:DW54))*(1-'Parameters calculator (hide)'!$B$43))*(1-'Parameters calculator (hide)'!$B$44+('Parameters calculator (hide)'!$B$45*'Parameters calculator (hide)'!$B$47))</f>
        <v>496.35</v>
      </c>
      <c r="N65" s="5">
        <f ca="1">(IF('Demand adjustments for Covid'!$F$9="No",F65,SUM('Demand background (hide)'!DT54,'Demand background (hide)'!DV54:DW54))*(1-'Parameters calculator (hide)'!$B$43))*(1-'Parameters calculator (hide)'!$B$44+('Parameters calculator (hide)'!$B$45*'Parameters calculator (hide)'!$B$47))</f>
        <v>597.6</v>
      </c>
      <c r="P65" s="5">
        <f t="shared" ca="1" si="4"/>
        <v>13.038461538461538</v>
      </c>
      <c r="Q65" s="5">
        <f t="shared" ca="1" si="5"/>
        <v>2.1153846153846154</v>
      </c>
      <c r="R65" s="5">
        <f t="shared" ca="1" si="6"/>
        <v>13.038461538461538</v>
      </c>
      <c r="S65" s="5">
        <f t="shared" ca="1" si="7"/>
        <v>2.1153846153846154</v>
      </c>
      <c r="T65" s="5">
        <f ca="1">M65/IF(Summary!$C$8&lt;&gt;"Patients",1,$I$9)</f>
        <v>13.421118881118881</v>
      </c>
      <c r="U65" s="5">
        <f ca="1">((N65-M65)/IF(Summary!$C$8&lt;&gt;"Patients",1,$I$9))</f>
        <v>2.7377622377622375</v>
      </c>
      <c r="V65" s="5">
        <f t="shared" si="8"/>
        <v>0</v>
      </c>
      <c r="X65" s="5">
        <f ca="1">(VLOOKUP(D65,'SPC background (hide)'!$AG$2:$AN$54,8,0)/IF(Summary!$C$8&lt;&gt;"Patients",1,$I$9))*(1-$I$4)*(1-$I$5+($I$6*$I$7))</f>
        <v>12.046153846153846</v>
      </c>
    </row>
    <row r="66" spans="1:24" x14ac:dyDescent="0.2">
      <c r="A66" s="87">
        <f t="shared" si="9"/>
        <v>44550</v>
      </c>
      <c r="B66" s="67" t="str">
        <f t="shared" si="11"/>
        <v/>
      </c>
      <c r="C66" s="67" t="str">
        <f t="shared" si="12"/>
        <v/>
      </c>
      <c r="D66" s="67">
        <f t="shared" si="10"/>
        <v>51</v>
      </c>
      <c r="E66" s="5">
        <f ca="1">IF(LEFT(Demand!$C$8,1)="H",VLOOKUP($D66,'SPC background (hide)'!$AG$2:$AS$54,12,0),'Demand background (hide)'!X55)</f>
        <v>551.5</v>
      </c>
      <c r="F66" s="5">
        <f ca="1">IF(LEFT(Demand!$C$8,1)="H",VLOOKUP($D66,'SPC background (hide)'!$AG$2:$AS$54,13,0),E66*1.1)</f>
        <v>664</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13.038461538461538</v>
      </c>
      <c r="J66" s="5">
        <f ca="1">HLOOKUP(D66,'Capacity calculation (hide)'!$BK$110:$DK$111,2,0)</f>
        <v>2.1153846153846154</v>
      </c>
      <c r="K66" s="5">
        <f ca="1">IF(I66-IF(Setup!$I$15="Yes",$G66,0)-IF(Setup!$I$13="Yes",$H66,0)&lt;0,0,I66-IF(Setup!$I$15="Yes",$G66,0)-IF(Setup!$I$13="Yes",$H66,0))</f>
        <v>13.038461538461538</v>
      </c>
      <c r="L66" s="5">
        <f t="shared" ca="1" si="3"/>
        <v>2.1153846153846154</v>
      </c>
      <c r="M66" s="5">
        <f ca="1">(IF('Demand adjustments for Covid'!$F$9="No",E66,SUM('Demand background (hide)'!DS55,'Demand background (hide)'!DV55:DW55))*(1-'Parameters calculator (hide)'!$B$43))*(1-'Parameters calculator (hide)'!$B$44+('Parameters calculator (hide)'!$B$45*'Parameters calculator (hide)'!$B$47))</f>
        <v>496.35</v>
      </c>
      <c r="N66" s="5">
        <f ca="1">(IF('Demand adjustments for Covid'!$F$9="No",F66,SUM('Demand background (hide)'!DT55,'Demand background (hide)'!DV55:DW55))*(1-'Parameters calculator (hide)'!$B$43))*(1-'Parameters calculator (hide)'!$B$44+('Parameters calculator (hide)'!$B$45*'Parameters calculator (hide)'!$B$47))</f>
        <v>597.6</v>
      </c>
      <c r="P66" s="5">
        <f t="shared" ca="1" si="4"/>
        <v>13.038461538461538</v>
      </c>
      <c r="Q66" s="5">
        <f t="shared" ca="1" si="5"/>
        <v>2.1153846153846154</v>
      </c>
      <c r="R66" s="5">
        <f t="shared" ca="1" si="6"/>
        <v>13.038461538461538</v>
      </c>
      <c r="S66" s="5">
        <f t="shared" ca="1" si="7"/>
        <v>2.1153846153846154</v>
      </c>
      <c r="T66" s="5">
        <f ca="1">M66/IF(Summary!$C$8&lt;&gt;"Patients",1,$I$9)</f>
        <v>13.421118881118881</v>
      </c>
      <c r="U66" s="5">
        <f ca="1">((N66-M66)/IF(Summary!$C$8&lt;&gt;"Patients",1,$I$9))</f>
        <v>2.7377622377622375</v>
      </c>
      <c r="V66" s="5">
        <f t="shared" si="8"/>
        <v>0</v>
      </c>
      <c r="X66" s="5">
        <f ca="1">(VLOOKUP(D66,'SPC background (hide)'!$AG$2:$AN$54,8,0)/IF(Summary!$C$8&lt;&gt;"Patients",1,$I$9))*(1-$I$4)*(1-$I$5+($I$6*$I$7))</f>
        <v>12.046153846153846</v>
      </c>
    </row>
    <row r="67" spans="1:24" x14ac:dyDescent="0.2">
      <c r="A67" s="297">
        <f t="shared" si="9"/>
        <v>44557</v>
      </c>
      <c r="B67" s="67" t="str">
        <f t="shared" si="11"/>
        <v/>
      </c>
      <c r="C67" s="67" t="str">
        <f t="shared" si="12"/>
        <v/>
      </c>
      <c r="D67" s="59">
        <f>IF(MAX(D15:D66)=53,WEEKNUM(A67,21),53)</f>
        <v>52</v>
      </c>
      <c r="E67" s="5">
        <f ca="1">VLOOKUP($D67,'SPC background (hide)'!$AG$2:$AS$54,12,0)</f>
        <v>551.5</v>
      </c>
      <c r="F67" s="5">
        <f ca="1">VLOOKUP($D67,'SPC background (hide)'!$AG$2:$AS$54,13,0)</f>
        <v>664</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13.038461538461538</v>
      </c>
      <c r="J67" s="5">
        <f ca="1">HLOOKUP(D67,'Capacity calculation (hide)'!$BK$110:$DK$111,2,0)</f>
        <v>2.1153846153846154</v>
      </c>
      <c r="K67" s="5">
        <f ca="1">IF(I67-IF(Setup!$I$15="Yes",$G67,0)-IF(Setup!$I$13="Yes",$H67,0)&lt;0,0,I67-IF(Setup!$I$15="Yes",$G67,0)-IF(Setup!$I$13="Yes",$H67,0))</f>
        <v>13.038461538461538</v>
      </c>
      <c r="L67" s="5">
        <f t="shared" ref="L67" ca="1" si="13">J67</f>
        <v>2.1153846153846154</v>
      </c>
      <c r="M67" s="5">
        <f ca="1">(IF('Demand adjustments for Covid'!$F$9="No",E67,SUM('Demand background (hide)'!DS56,'Demand background (hide)'!DV56:DW56))*(1-'Parameters calculator (hide)'!$B$43))*(1-'Parameters calculator (hide)'!$B$44+('Parameters calculator (hide)'!$B$45*'Parameters calculator (hide)'!$B$47))</f>
        <v>496.35</v>
      </c>
      <c r="N67" s="5">
        <f ca="1">(IF('Demand adjustments for Covid'!$F$9="No",F67,SUM('Demand background (hide)'!DT56,'Demand background (hide)'!DV56:DW56))*(1-'Parameters calculator (hide)'!$B$43))*(1-'Parameters calculator (hide)'!$B$44+('Parameters calculator (hide)'!$B$45*'Parameters calculator (hide)'!$B$47))</f>
        <v>597.6</v>
      </c>
      <c r="O67" s="67"/>
      <c r="P67" s="5">
        <f t="shared" ref="P67" ca="1" si="14">I67</f>
        <v>13.038461538461538</v>
      </c>
      <c r="Q67" s="5">
        <f t="shared" ref="Q67" ca="1" si="15">J67</f>
        <v>2.1153846153846154</v>
      </c>
      <c r="R67" s="5">
        <f t="shared" ref="R67" ca="1" si="16">IF(P67-V67&lt;0,0,P67-V67)</f>
        <v>13.038461538461538</v>
      </c>
      <c r="S67" s="5">
        <f t="shared" ref="S67" ca="1" si="17">IF(R67=0,IF(P67+Q67-V67&lt;0,0,P67+Q67-V67),Q67)</f>
        <v>2.1153846153846154</v>
      </c>
      <c r="T67" s="5">
        <f ca="1">M67/IF(Summary!$C$8&lt;&gt;"Patients",1,$I$9)</f>
        <v>13.421118881118881</v>
      </c>
      <c r="U67" s="5">
        <f ca="1">((N67-M67)/IF(Summary!$C$8&lt;&gt;"Patients",1,$I$9))</f>
        <v>2.7377622377622375</v>
      </c>
      <c r="V67" s="5">
        <f t="shared" ref="V67" si="18">SUM(G67:H67)</f>
        <v>0</v>
      </c>
      <c r="W67" s="67"/>
      <c r="X67" s="5">
        <f ca="1">(VLOOKUP(D67,'SPC background (hide)'!$AG$2:$AN$54,8,0)/IF(Summary!$C$8&lt;&gt;"Patients",1,$I$9))*(1-$I$4)*(1-$I$5+($I$6*$I$7))</f>
        <v>12.046153846153846</v>
      </c>
    </row>
    <row r="68" spans="1:24" s="67" customFormat="1" x14ac:dyDescent="0.2">
      <c r="X68" s="5"/>
    </row>
    <row r="69" spans="1:24" x14ac:dyDescent="0.2">
      <c r="X69" s="5"/>
    </row>
    <row r="70" spans="1:24" x14ac:dyDescent="0.2">
      <c r="D70" t="s">
        <v>290</v>
      </c>
      <c r="E70" s="5">
        <f ca="1">AVERAGE(E15:E67)</f>
        <v>551.5</v>
      </c>
      <c r="F70" s="5">
        <f ca="1">AVERAGE(F15:F67)</f>
        <v>664</v>
      </c>
      <c r="G70" s="5" t="str">
        <f>IF(Setup!$I$15="Yes",AVERAGE(G15:G67),"")</f>
        <v/>
      </c>
      <c r="H70" s="5" t="str">
        <f>IF(Setup!$I$13="Yes",AVERAGE(H15:H67),"")</f>
        <v/>
      </c>
      <c r="I70" s="5">
        <f ca="1">AVERAGE(I15:I67)</f>
        <v>13.038461538461545</v>
      </c>
      <c r="J70" s="5" t="e">
        <f ca="1">AVERAGE(J15:J67)</f>
        <v>#N/A</v>
      </c>
      <c r="K70" s="5">
        <f ca="1">AVERAGE(K15:K67)</f>
        <v>13.038461538461545</v>
      </c>
      <c r="L70" s="5" t="e">
        <f ca="1">AVERAGE(L15:L67)</f>
        <v>#N/A</v>
      </c>
      <c r="M70" s="104">
        <f ca="1">IF(Summary!B15=0,AVERAGE(M15:M67)/IF(Summary!$C$8&lt;&gt;"Patients",1,$I$9),AVERAGE('Planning (hide)'!C4:C55))</f>
        <v>13.42111888111887</v>
      </c>
      <c r="N70" s="104" cm="1">
        <f t="array" aca="1" ref="N70" ca="1">IF(Summary!B15=0,AVERAGE(N15:N67)/IF(Summary!$C$8&lt;&gt;"Patients",1,$I$9),AVERAGE('Planning (hide)'!C4:C55+'Planning (hide)'!D4:D55))</f>
        <v>16.158881118881101</v>
      </c>
      <c r="R70" s="5">
        <f ca="1">AVERAGE(R15:R67)</f>
        <v>13.038461538461545</v>
      </c>
      <c r="S70" s="5" t="e">
        <f ca="1">AVERAGE(S15:S67)</f>
        <v>#N/A</v>
      </c>
      <c r="V70" s="104">
        <f>IF(AND(Setup!$I$13="No",Setup!$I$15="No"),0,IF(H70&lt;&gt;"",H70,0)+IF(G70&lt;&gt;"",G70,0))</f>
        <v>0</v>
      </c>
      <c r="X70" s="5">
        <f ca="1">AVERAGE(X15:X67)</f>
        <v>12.046153846153853</v>
      </c>
    </row>
    <row r="71" spans="1:24" x14ac:dyDescent="0.2">
      <c r="E71" s="60"/>
      <c r="I71" t="s">
        <v>308</v>
      </c>
      <c r="K71" s="104">
        <f ca="1">(K70)/IF(Summary!$C$8&lt;&gt;"Patients",1,$I$9)</f>
        <v>0.35255513717052195</v>
      </c>
      <c r="L71" s="104" t="e">
        <f ca="1">(L70)/IF(Summary!$C$8&lt;&gt;"Patients",1,$I$9)</f>
        <v>#N/A</v>
      </c>
      <c r="M71" s="5"/>
      <c r="N71" s="5">
        <f ca="1">N70-M70</f>
        <v>2.7377622377622313</v>
      </c>
      <c r="R71" s="5">
        <f ca="1">SUM(R15:R67)</f>
        <v>691.03846153846189</v>
      </c>
      <c r="S71" s="5" t="e">
        <f ca="1">SUM(S15:S67)</f>
        <v>#N/A</v>
      </c>
      <c r="V71" s="5">
        <f>SUM(V15:V67)</f>
        <v>0</v>
      </c>
      <c r="X71" s="5">
        <f ca="1">SUM(X15:X67)</f>
        <v>638.44615384615417</v>
      </c>
    </row>
    <row r="72" spans="1:24" x14ac:dyDescent="0.2">
      <c r="E72" s="5"/>
      <c r="F72" s="5"/>
      <c r="J72" s="5"/>
      <c r="K72" s="5"/>
      <c r="L72" s="5"/>
      <c r="M72" s="5"/>
      <c r="N72" s="5"/>
      <c r="X72" s="5">
        <f ca="1">AVERAGE(X15:X67)</f>
        <v>12.046153846153853</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150</v>
      </c>
      <c r="K4" s="5">
        <f ca="1">'SPC background (hide)'!O4</f>
        <v>495</v>
      </c>
      <c r="L4">
        <f ca="1">IFERROR(VLOOKUP(H4,'SPC background (hide)'!$AI$2:$AJ$54,2,FALSE),"")</f>
        <v>141.67348608837972</v>
      </c>
      <c r="M4" s="5">
        <f ca="1">'SPC background (hide)'!P4</f>
        <v>551.5</v>
      </c>
      <c r="N4" s="5">
        <f ca="1">'SPC background (hide)'!Q4</f>
        <v>664</v>
      </c>
    </row>
    <row r="5" spans="1:29" x14ac:dyDescent="0.2">
      <c r="A5" t="s">
        <v>75</v>
      </c>
      <c r="B5" s="3">
        <f ca="1">'Summary Calculations (hide)'!I4</f>
        <v>0.1</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f ca="1">'Summary Calculations (hide)'!I5</f>
        <v>0</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f ca="1">'Summary Calculations (hide)'!I6</f>
        <v>0.1</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0</v>
      </c>
      <c r="H8" s="67">
        <v>5</v>
      </c>
      <c r="I8" s="67">
        <f ca="1">'SPC background (hide)'!L8</f>
        <v>53</v>
      </c>
      <c r="J8" s="67">
        <f ca="1">'SPC background (hide)'!M8</f>
        <v>52</v>
      </c>
      <c r="K8" s="5">
        <f ca="1">'SPC background (hide)'!O8</f>
        <v>495</v>
      </c>
      <c r="L8" s="67">
        <f ca="1">IFERROR(VLOOKUP(H8,'SPC background (hide)'!$AI$2:$AJ$54,2,FALSE),"")</f>
        <v>141.67348608837972</v>
      </c>
      <c r="M8" s="5">
        <f ca="1">'SPC background (hide)'!P8</f>
        <v>551.5</v>
      </c>
      <c r="N8" s="5">
        <f ca="1">'SPC background (hide)'!Q8</f>
        <v>664</v>
      </c>
    </row>
    <row r="10" spans="1:29" x14ac:dyDescent="0.2">
      <c r="A10" t="s">
        <v>1148</v>
      </c>
      <c r="B10" s="3"/>
      <c r="H10" t="s">
        <v>1125</v>
      </c>
      <c r="T10" t="s">
        <v>1131</v>
      </c>
    </row>
    <row r="11" spans="1:29" x14ac:dyDescent="0.2">
      <c r="A11" t="s">
        <v>1117</v>
      </c>
      <c r="B11" s="3">
        <f ca="1">(1-B5)*(1-(B6+B7))</f>
        <v>0.81</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f ca="1">(1-B5) * (B7*B8)</f>
        <v>0</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f ca="1">B11+B12</f>
        <v>0.81</v>
      </c>
      <c r="C13" s="51" t="s">
        <v>1123</v>
      </c>
      <c r="H13" s="297">
        <f>'Summary Calculations (hide)'!A15</f>
        <v>44193</v>
      </c>
      <c r="I13">
        <f>'Summary Calculations (hide)'!B15</f>
        <v>2020</v>
      </c>
      <c r="J13" t="str">
        <f>'Summary Calculations (hide)'!C15</f>
        <v>Dec</v>
      </c>
      <c r="K13">
        <f>'Summary Calculations (hide)'!D15</f>
        <v>53</v>
      </c>
      <c r="L13">
        <f ca="1">VLOOKUP($K13,'SPC background (hide)'!$AG$2:$AS$54,3,0)</f>
        <v>1</v>
      </c>
      <c r="M13">
        <f ca="1">((VLOOKUP(L13,$H$4:$N$8,4,FALSE)*(1-$B$5)*(1-$B$6+($B$7*$B$8))))</f>
        <v>445.5</v>
      </c>
      <c r="N13" s="67">
        <f ca="1">((VLOOKUP(L13,$H$4:$N$8,5,FALSE)*(1-$B$5)*(1-$B$6+($B$7*$B$8))))</f>
        <v>127.50613747954175</v>
      </c>
      <c r="R13" s="5" t="e">
        <f ca="1">(VLOOKUP(K13,'Summary Calculations (hide)'!$D$15:$L$67,8,0)+VLOOKUP(K13,'Summary Calculations (hide)'!$D$15:$L$67,9,0))*IF(Summary!$C$8="Patients",'Summary Calculations (hide)'!$I$9,1)</f>
        <v>#N/A</v>
      </c>
      <c r="AA13">
        <f ca="1">IF(Summary!$C$8="Patients", 'Parameters calculator (hide)'!$H$63,'Parameters calculator (hide)'!$H$62)</f>
        <v>42.562452931683694</v>
      </c>
      <c r="AB13" s="67">
        <f ca="1">IF(Summary!$C$8="Patients", 'Parameters calculator (hide)'!$I$63,'Parameters calculator (hide)'!$I$62)</f>
        <v>47.04271113501882</v>
      </c>
      <c r="AC13">
        <f ca="1">AB13-AA13</f>
        <v>4.4802582033351257</v>
      </c>
    </row>
    <row r="14" spans="1:29" x14ac:dyDescent="0.2">
      <c r="A14" t="s">
        <v>1119</v>
      </c>
      <c r="B14" s="3">
        <f ca="1">1 - B7</f>
        <v>0.9</v>
      </c>
      <c r="C14" s="51" t="s">
        <v>1146</v>
      </c>
      <c r="H14" s="297">
        <f>'Summary Calculations (hide)'!A16</f>
        <v>44200</v>
      </c>
      <c r="I14">
        <f>'Summary Calculations (hide)'!B16</f>
        <v>2021</v>
      </c>
      <c r="J14" t="str">
        <f>'Summary Calculations (hide)'!C16</f>
        <v>Jan</v>
      </c>
      <c r="K14">
        <f>'Summary Calculations (hide)'!D16</f>
        <v>1</v>
      </c>
      <c r="L14" s="67">
        <f ca="1">VLOOKUP($K14,'SPC background (hide)'!$AG$2:$AS$54,3,0)</f>
        <v>1</v>
      </c>
      <c r="M14" s="67">
        <f t="shared" ref="M14:M64" ca="1" si="0">((VLOOKUP(L14,$H$4:$N$8,4,FALSE)*(1-$B$5)*(1-$B$6+($B$7*$B$8))))</f>
        <v>445.5</v>
      </c>
      <c r="N14" s="67">
        <f t="shared" ref="N14:N64" ca="1" si="1">((VLOOKUP(L14,$H$4:$N$8,5,FALSE)*(1-$B$5)*(1-$B$6+($B$7*$B$8))))</f>
        <v>127.50613747954175</v>
      </c>
      <c r="O14" s="67"/>
      <c r="P14" s="67"/>
      <c r="Q14" s="67"/>
      <c r="R14" s="5">
        <f ca="1">(VLOOKUP(K14,'Summary Calculations (hide)'!$D$15:$L$67,8,0)+VLOOKUP(K14,'Summary Calculations (hide)'!$D$15:$L$67,9,0))*IF(Summary!$C$8="Patients",'Summary Calculations (hide)'!$I$9,1)</f>
        <v>560.43103448275861</v>
      </c>
      <c r="AA14" s="67">
        <f ca="1">IF(Summary!$C$8="Patients", 'Parameters calculator (hide)'!$H$63,'Parameters calculator (hide)'!$H$62)</f>
        <v>42.562452931683694</v>
      </c>
      <c r="AB14" s="67">
        <f ca="1">IF(Summary!$C$8="Patients", 'Parameters calculator (hide)'!$I$63,'Parameters calculator (hide)'!$I$62)</f>
        <v>47.04271113501882</v>
      </c>
      <c r="AC14" s="67">
        <f t="shared" ref="AC14:AC64" ca="1" si="2">AB14-AA14</f>
        <v>4.4802582033351257</v>
      </c>
    </row>
    <row r="15" spans="1:29" x14ac:dyDescent="0.2">
      <c r="A15" t="s">
        <v>1120</v>
      </c>
      <c r="B15" s="3">
        <f ca="1">B7*B8</f>
        <v>0</v>
      </c>
      <c r="C15" s="51" t="s">
        <v>1147</v>
      </c>
      <c r="H15" s="297">
        <f>'Summary Calculations (hide)'!A17</f>
        <v>44207</v>
      </c>
      <c r="I15" t="str">
        <f>'Summary Calculations (hide)'!B17</f>
        <v/>
      </c>
      <c r="J15" t="str">
        <f>'Summary Calculations (hide)'!C17</f>
        <v/>
      </c>
      <c r="K15">
        <f>'Summary Calculations (hide)'!D17</f>
        <v>2</v>
      </c>
      <c r="L15" s="67">
        <f ca="1">VLOOKUP($K15,'SPC background (hide)'!$AG$2:$AS$54,3,0)</f>
        <v>1</v>
      </c>
      <c r="M15" s="67">
        <f t="shared" ca="1" si="0"/>
        <v>445.5</v>
      </c>
      <c r="N15" s="67">
        <f t="shared" ca="1" si="1"/>
        <v>127.50613747954175</v>
      </c>
      <c r="O15" s="67"/>
      <c r="P15" s="67"/>
      <c r="Q15" s="67"/>
      <c r="R15" s="5">
        <f ca="1">(VLOOKUP(K15,'Summary Calculations (hide)'!$D$15:$L$67,8,0)+VLOOKUP(K15,'Summary Calculations (hide)'!$D$15:$L$67,9,0))*IF(Summary!$C$8="Patients",'Summary Calculations (hide)'!$I$9,1)</f>
        <v>560.43103448275861</v>
      </c>
      <c r="AA15" s="67">
        <f ca="1">IF(Summary!$C$8="Patients", 'Parameters calculator (hide)'!$H$63,'Parameters calculator (hide)'!$H$62)</f>
        <v>42.562452931683694</v>
      </c>
      <c r="AB15" s="67">
        <f ca="1">IF(Summary!$C$8="Patients", 'Parameters calculator (hide)'!$I$63,'Parameters calculator (hide)'!$I$62)</f>
        <v>47.04271113501882</v>
      </c>
      <c r="AC15" s="67">
        <f t="shared" ca="1" si="2"/>
        <v>4.4802582033351257</v>
      </c>
    </row>
    <row r="16" spans="1:29" x14ac:dyDescent="0.2">
      <c r="A16" t="s">
        <v>1130</v>
      </c>
      <c r="B16" s="3">
        <f ca="1">B14+B15</f>
        <v>0.9</v>
      </c>
      <c r="C16" s="51" t="s">
        <v>1124</v>
      </c>
      <c r="H16" s="297">
        <f>'Summary Calculations (hide)'!A18</f>
        <v>44214</v>
      </c>
      <c r="I16" t="str">
        <f>'Summary Calculations (hide)'!B18</f>
        <v/>
      </c>
      <c r="J16" t="str">
        <f>'Summary Calculations (hide)'!C18</f>
        <v/>
      </c>
      <c r="K16">
        <f>'Summary Calculations (hide)'!D18</f>
        <v>3</v>
      </c>
      <c r="L16" s="67">
        <f ca="1">VLOOKUP($K16,'SPC background (hide)'!$AG$2:$AS$54,3,0)</f>
        <v>1</v>
      </c>
      <c r="M16" s="67">
        <f t="shared" ca="1" si="0"/>
        <v>445.5</v>
      </c>
      <c r="N16" s="67">
        <f t="shared" ca="1" si="1"/>
        <v>127.50613747954175</v>
      </c>
      <c r="O16" s="67"/>
      <c r="P16" s="67"/>
      <c r="Q16" s="67"/>
      <c r="R16" s="5">
        <f ca="1">(VLOOKUP(K16,'Summary Calculations (hide)'!$D$15:$L$67,8,0)+VLOOKUP(K16,'Summary Calculations (hide)'!$D$15:$L$67,9,0))*IF(Summary!$C$8="Patients",'Summary Calculations (hide)'!$I$9,1)</f>
        <v>560.43103448275861</v>
      </c>
      <c r="AA16" s="67">
        <f ca="1">IF(Summary!$C$8="Patients", 'Parameters calculator (hide)'!$H$63,'Parameters calculator (hide)'!$H$62)</f>
        <v>42.562452931683694</v>
      </c>
      <c r="AB16" s="67">
        <f ca="1">IF(Summary!$C$8="Patients", 'Parameters calculator (hide)'!$I$63,'Parameters calculator (hide)'!$I$62)</f>
        <v>47.04271113501882</v>
      </c>
      <c r="AC16" s="67">
        <f t="shared" ca="1" si="2"/>
        <v>4.4802582033351257</v>
      </c>
    </row>
    <row r="17" spans="1:29" x14ac:dyDescent="0.2">
      <c r="H17" s="297">
        <f>'Summary Calculations (hide)'!A19</f>
        <v>44221</v>
      </c>
      <c r="I17" t="str">
        <f>'Summary Calculations (hide)'!B19</f>
        <v/>
      </c>
      <c r="J17" t="str">
        <f>'Summary Calculations (hide)'!C19</f>
        <v/>
      </c>
      <c r="K17">
        <f>'Summary Calculations (hide)'!D19</f>
        <v>4</v>
      </c>
      <c r="L17" s="67">
        <f ca="1">VLOOKUP($K17,'SPC background (hide)'!$AG$2:$AS$54,3,0)</f>
        <v>1</v>
      </c>
      <c r="M17" s="67">
        <f t="shared" ca="1" si="0"/>
        <v>445.5</v>
      </c>
      <c r="N17" s="67">
        <f t="shared" ca="1" si="1"/>
        <v>127.50613747954175</v>
      </c>
      <c r="O17" s="67"/>
      <c r="P17" s="67"/>
      <c r="Q17" s="67"/>
      <c r="R17" s="5">
        <f ca="1">(VLOOKUP(K17,'Summary Calculations (hide)'!$D$15:$L$67,8,0)+VLOOKUP(K17,'Summary Calculations (hide)'!$D$15:$L$67,9,0))*IF(Summary!$C$8="Patients",'Summary Calculations (hide)'!$I$9,1)</f>
        <v>560.43103448275861</v>
      </c>
      <c r="AA17" s="67">
        <f ca="1">IF(Summary!$C$8="Patients", 'Parameters calculator (hide)'!$H$63,'Parameters calculator (hide)'!$H$62)</f>
        <v>42.562452931683694</v>
      </c>
      <c r="AB17" s="67">
        <f ca="1">IF(Summary!$C$8="Patients", 'Parameters calculator (hide)'!$I$63,'Parameters calculator (hide)'!$I$62)</f>
        <v>47.04271113501882</v>
      </c>
      <c r="AC17" s="67">
        <f t="shared" ca="1" si="2"/>
        <v>4.4802582033351257</v>
      </c>
    </row>
    <row r="18" spans="1:29" x14ac:dyDescent="0.2">
      <c r="A18" s="3"/>
      <c r="B18" s="3"/>
      <c r="C18" s="3"/>
      <c r="H18" s="297">
        <f>'Summary Calculations (hide)'!A20</f>
        <v>44228</v>
      </c>
      <c r="I18" t="str">
        <f>'Summary Calculations (hide)'!B20</f>
        <v/>
      </c>
      <c r="J18" t="str">
        <f>'Summary Calculations (hide)'!C20</f>
        <v>Feb</v>
      </c>
      <c r="K18">
        <f>'Summary Calculations (hide)'!D20</f>
        <v>5</v>
      </c>
      <c r="L18" s="67">
        <f ca="1">VLOOKUP($K18,'SPC background (hide)'!$AG$2:$AS$54,3,0)</f>
        <v>1</v>
      </c>
      <c r="M18" s="67">
        <f t="shared" ca="1" si="0"/>
        <v>445.5</v>
      </c>
      <c r="N18" s="67">
        <f t="shared" ca="1" si="1"/>
        <v>127.50613747954175</v>
      </c>
      <c r="O18" s="67"/>
      <c r="P18" s="67"/>
      <c r="Q18" s="67"/>
      <c r="R18" s="5">
        <f ca="1">(VLOOKUP(K18,'Summary Calculations (hide)'!$D$15:$L$67,8,0)+VLOOKUP(K18,'Summary Calculations (hide)'!$D$15:$L$67,9,0))*IF(Summary!$C$8="Patients",'Summary Calculations (hide)'!$I$9,1)</f>
        <v>560.43103448275861</v>
      </c>
      <c r="AA18" s="67">
        <f ca="1">IF(Summary!$C$8="Patients", 'Parameters calculator (hide)'!$H$63,'Parameters calculator (hide)'!$H$62)</f>
        <v>42.562452931683694</v>
      </c>
      <c r="AB18" s="67">
        <f ca="1">IF(Summary!$C$8="Patients", 'Parameters calculator (hide)'!$I$63,'Parameters calculator (hide)'!$I$62)</f>
        <v>47.04271113501882</v>
      </c>
      <c r="AC18" s="67">
        <f t="shared" ca="1" si="2"/>
        <v>4.4802582033351257</v>
      </c>
    </row>
    <row r="19" spans="1:29" x14ac:dyDescent="0.2">
      <c r="A19" s="3"/>
      <c r="B19" s="3"/>
      <c r="C19" s="3"/>
      <c r="H19" s="297">
        <f>'Summary Calculations (hide)'!A21</f>
        <v>44235</v>
      </c>
      <c r="I19" t="str">
        <f>'Summary Calculations (hide)'!B21</f>
        <v/>
      </c>
      <c r="J19" t="str">
        <f>'Summary Calculations (hide)'!C21</f>
        <v/>
      </c>
      <c r="K19">
        <f>'Summary Calculations (hide)'!D21</f>
        <v>6</v>
      </c>
      <c r="L19" s="67">
        <f ca="1">VLOOKUP($K19,'SPC background (hide)'!$AG$2:$AS$54,3,0)</f>
        <v>5</v>
      </c>
      <c r="M19" s="67">
        <f t="shared" ca="1" si="0"/>
        <v>445.5</v>
      </c>
      <c r="N19" s="67">
        <f t="shared" ca="1" si="1"/>
        <v>127.50613747954175</v>
      </c>
      <c r="O19" s="67"/>
      <c r="P19" s="67"/>
      <c r="Q19" s="67"/>
      <c r="R19" s="5">
        <f ca="1">(VLOOKUP(K19,'Summary Calculations (hide)'!$D$15:$L$67,8,0)+VLOOKUP(K19,'Summary Calculations (hide)'!$D$15:$L$67,9,0))*IF(Summary!$C$8="Patients",'Summary Calculations (hide)'!$I$9,1)</f>
        <v>560.43103448275861</v>
      </c>
      <c r="AA19" s="67">
        <f ca="1">IF(Summary!$C$8="Patients", 'Parameters calculator (hide)'!$H$63,'Parameters calculator (hide)'!$H$62)</f>
        <v>42.562452931683694</v>
      </c>
      <c r="AB19" s="67">
        <f ca="1">IF(Summary!$C$8="Patients", 'Parameters calculator (hide)'!$I$63,'Parameters calculator (hide)'!$I$62)</f>
        <v>47.04271113501882</v>
      </c>
      <c r="AC19" s="67">
        <f t="shared" ca="1" si="2"/>
        <v>4.4802582033351257</v>
      </c>
    </row>
    <row r="20" spans="1:29" x14ac:dyDescent="0.2">
      <c r="A20" s="3"/>
      <c r="B20" s="3"/>
      <c r="C20" s="3"/>
      <c r="H20" s="297">
        <f>'Summary Calculations (hide)'!A22</f>
        <v>44242</v>
      </c>
      <c r="I20" t="str">
        <f>'Summary Calculations (hide)'!B22</f>
        <v/>
      </c>
      <c r="J20" t="str">
        <f>'Summary Calculations (hide)'!C22</f>
        <v/>
      </c>
      <c r="K20">
        <f>'Summary Calculations (hide)'!D22</f>
        <v>7</v>
      </c>
      <c r="L20" s="67">
        <f ca="1">VLOOKUP($K20,'SPC background (hide)'!$AG$2:$AS$54,3,0)</f>
        <v>1</v>
      </c>
      <c r="M20" s="67">
        <f t="shared" ca="1" si="0"/>
        <v>445.5</v>
      </c>
      <c r="N20" s="67">
        <f t="shared" ca="1" si="1"/>
        <v>127.50613747954175</v>
      </c>
      <c r="O20" s="67"/>
      <c r="P20" s="67"/>
      <c r="Q20" s="67"/>
      <c r="R20" s="5">
        <f ca="1">(VLOOKUP(K20,'Summary Calculations (hide)'!$D$15:$L$67,8,0)+VLOOKUP(K20,'Summary Calculations (hide)'!$D$15:$L$67,9,0))*IF(Summary!$C$8="Patients",'Summary Calculations (hide)'!$I$9,1)</f>
        <v>560.43103448275861</v>
      </c>
      <c r="AA20" s="67">
        <f ca="1">IF(Summary!$C$8="Patients", 'Parameters calculator (hide)'!$H$63,'Parameters calculator (hide)'!$H$62)</f>
        <v>42.562452931683694</v>
      </c>
      <c r="AB20" s="67">
        <f ca="1">IF(Summary!$C$8="Patients", 'Parameters calculator (hide)'!$I$63,'Parameters calculator (hide)'!$I$62)</f>
        <v>47.04271113501882</v>
      </c>
      <c r="AC20" s="67">
        <f t="shared" ca="1" si="2"/>
        <v>4.4802582033351257</v>
      </c>
    </row>
    <row r="21" spans="1:29" x14ac:dyDescent="0.2">
      <c r="A21" s="3"/>
      <c r="B21" s="3"/>
      <c r="C21" s="3"/>
      <c r="H21" s="297">
        <f>'Summary Calculations (hide)'!A23</f>
        <v>44249</v>
      </c>
      <c r="I21" t="str">
        <f>'Summary Calculations (hide)'!B23</f>
        <v/>
      </c>
      <c r="J21" t="str">
        <f>'Summary Calculations (hide)'!C23</f>
        <v/>
      </c>
      <c r="K21">
        <f>'Summary Calculations (hide)'!D23</f>
        <v>8</v>
      </c>
      <c r="L21" s="67">
        <f ca="1">VLOOKUP($K21,'SPC background (hide)'!$AG$2:$AS$54,3,0)</f>
        <v>1</v>
      </c>
      <c r="M21" s="67">
        <f t="shared" ca="1" si="0"/>
        <v>445.5</v>
      </c>
      <c r="N21" s="67">
        <f t="shared" ca="1" si="1"/>
        <v>127.50613747954175</v>
      </c>
      <c r="O21" s="67"/>
      <c r="P21" s="67"/>
      <c r="Q21" s="67"/>
      <c r="R21" s="5">
        <f ca="1">(VLOOKUP(K21,'Summary Calculations (hide)'!$D$15:$L$67,8,0)+VLOOKUP(K21,'Summary Calculations (hide)'!$D$15:$L$67,9,0))*IF(Summary!$C$8="Patients",'Summary Calculations (hide)'!$I$9,1)</f>
        <v>560.43103448275861</v>
      </c>
      <c r="AA21" s="67">
        <f ca="1">IF(Summary!$C$8="Patients", 'Parameters calculator (hide)'!$H$63,'Parameters calculator (hide)'!$H$62)</f>
        <v>42.562452931683694</v>
      </c>
      <c r="AB21" s="67">
        <f ca="1">IF(Summary!$C$8="Patients", 'Parameters calculator (hide)'!$I$63,'Parameters calculator (hide)'!$I$62)</f>
        <v>47.04271113501882</v>
      </c>
      <c r="AC21" s="67">
        <f t="shared" ca="1" si="2"/>
        <v>4.4802582033351257</v>
      </c>
    </row>
    <row r="22" spans="1:29" x14ac:dyDescent="0.2">
      <c r="A22" s="3"/>
      <c r="B22" s="3"/>
      <c r="C22" s="3"/>
      <c r="H22" s="297">
        <f>'Summary Calculations (hide)'!A24</f>
        <v>44256</v>
      </c>
      <c r="I22" t="str">
        <f>'Summary Calculations (hide)'!B24</f>
        <v/>
      </c>
      <c r="J22" t="str">
        <f>'Summary Calculations (hide)'!C24</f>
        <v>Mar</v>
      </c>
      <c r="K22">
        <f>'Summary Calculations (hide)'!D24</f>
        <v>9</v>
      </c>
      <c r="L22" s="67">
        <f ca="1">VLOOKUP($K22,'SPC background (hide)'!$AG$2:$AS$54,3,0)</f>
        <v>1</v>
      </c>
      <c r="M22" s="67">
        <f t="shared" ca="1" si="0"/>
        <v>445.5</v>
      </c>
      <c r="N22" s="67">
        <f t="shared" ca="1" si="1"/>
        <v>127.50613747954175</v>
      </c>
      <c r="O22" s="67"/>
      <c r="P22" s="67"/>
      <c r="Q22" s="67"/>
      <c r="R22" s="5">
        <f ca="1">(VLOOKUP(K22,'Summary Calculations (hide)'!$D$15:$L$67,8,0)+VLOOKUP(K22,'Summary Calculations (hide)'!$D$15:$L$67,9,0))*IF(Summary!$C$8="Patients",'Summary Calculations (hide)'!$I$9,1)</f>
        <v>560.43103448275861</v>
      </c>
      <c r="AA22" s="67">
        <f ca="1">IF(Summary!$C$8="Patients", 'Parameters calculator (hide)'!$H$63,'Parameters calculator (hide)'!$H$62)</f>
        <v>42.562452931683694</v>
      </c>
      <c r="AB22" s="67">
        <f ca="1">IF(Summary!$C$8="Patients", 'Parameters calculator (hide)'!$I$63,'Parameters calculator (hide)'!$I$62)</f>
        <v>47.04271113501882</v>
      </c>
      <c r="AC22" s="67">
        <f t="shared" ca="1" si="2"/>
        <v>4.4802582033351257</v>
      </c>
    </row>
    <row r="23" spans="1:29" x14ac:dyDescent="0.2">
      <c r="A23" s="3"/>
      <c r="B23" s="3"/>
      <c r="C23" s="3"/>
      <c r="H23" s="297">
        <f>'Summary Calculations (hide)'!A25</f>
        <v>44263</v>
      </c>
      <c r="I23" t="str">
        <f>'Summary Calculations (hide)'!B25</f>
        <v/>
      </c>
      <c r="J23" t="str">
        <f>'Summary Calculations (hide)'!C25</f>
        <v/>
      </c>
      <c r="K23">
        <f>'Summary Calculations (hide)'!D25</f>
        <v>10</v>
      </c>
      <c r="L23" s="67">
        <f ca="1">VLOOKUP($K23,'SPC background (hide)'!$AG$2:$AS$54,3,0)</f>
        <v>1</v>
      </c>
      <c r="M23" s="67">
        <f t="shared" ca="1" si="0"/>
        <v>445.5</v>
      </c>
      <c r="N23" s="67">
        <f t="shared" ca="1" si="1"/>
        <v>127.50613747954175</v>
      </c>
      <c r="O23" s="67"/>
      <c r="P23" s="67"/>
      <c r="Q23" s="67"/>
      <c r="R23" s="5">
        <f ca="1">(VLOOKUP(K23,'Summary Calculations (hide)'!$D$15:$L$67,8,0)+VLOOKUP(K23,'Summary Calculations (hide)'!$D$15:$L$67,9,0))*IF(Summary!$C$8="Patients",'Summary Calculations (hide)'!$I$9,1)</f>
        <v>560.43103448275861</v>
      </c>
      <c r="AA23" s="67">
        <f ca="1">IF(Summary!$C$8="Patients", 'Parameters calculator (hide)'!$H$63,'Parameters calculator (hide)'!$H$62)</f>
        <v>42.562452931683694</v>
      </c>
      <c r="AB23" s="67">
        <f ca="1">IF(Summary!$C$8="Patients", 'Parameters calculator (hide)'!$I$63,'Parameters calculator (hide)'!$I$62)</f>
        <v>47.04271113501882</v>
      </c>
      <c r="AC23" s="67">
        <f t="shared" ca="1" si="2"/>
        <v>4.4802582033351257</v>
      </c>
    </row>
    <row r="24" spans="1:29" x14ac:dyDescent="0.2">
      <c r="A24" s="3"/>
      <c r="B24" s="3"/>
      <c r="C24" s="3"/>
      <c r="H24" s="297">
        <f>'Summary Calculations (hide)'!A26</f>
        <v>44270</v>
      </c>
      <c r="I24" t="str">
        <f>'Summary Calculations (hide)'!B26</f>
        <v/>
      </c>
      <c r="J24" t="str">
        <f>'Summary Calculations (hide)'!C26</f>
        <v/>
      </c>
      <c r="K24">
        <f>'Summary Calculations (hide)'!D26</f>
        <v>11</v>
      </c>
      <c r="L24" s="67">
        <f ca="1">VLOOKUP($K24,'SPC background (hide)'!$AG$2:$AS$54,3,0)</f>
        <v>1</v>
      </c>
      <c r="M24" s="67">
        <f t="shared" ca="1" si="0"/>
        <v>445.5</v>
      </c>
      <c r="N24" s="67">
        <f t="shared" ca="1" si="1"/>
        <v>127.50613747954175</v>
      </c>
      <c r="O24" s="67"/>
      <c r="P24" s="67"/>
      <c r="Q24" s="67"/>
      <c r="R24" s="5">
        <f ca="1">(VLOOKUP(K24,'Summary Calculations (hide)'!$D$15:$L$67,8,0)+VLOOKUP(K24,'Summary Calculations (hide)'!$D$15:$L$67,9,0))*IF(Summary!$C$8="Patients",'Summary Calculations (hide)'!$I$9,1)</f>
        <v>560.43103448275861</v>
      </c>
      <c r="AA24" s="67">
        <f ca="1">IF(Summary!$C$8="Patients", 'Parameters calculator (hide)'!$H$63,'Parameters calculator (hide)'!$H$62)</f>
        <v>42.562452931683694</v>
      </c>
      <c r="AB24" s="67">
        <f ca="1">IF(Summary!$C$8="Patients", 'Parameters calculator (hide)'!$I$63,'Parameters calculator (hide)'!$I$62)</f>
        <v>47.04271113501882</v>
      </c>
      <c r="AC24" s="67">
        <f t="shared" ca="1" si="2"/>
        <v>4.4802582033351257</v>
      </c>
    </row>
    <row r="25" spans="1:29" x14ac:dyDescent="0.2">
      <c r="A25" s="3"/>
      <c r="B25" s="3"/>
      <c r="C25" s="3"/>
      <c r="H25" s="297">
        <f>'Summary Calculations (hide)'!A27</f>
        <v>44277</v>
      </c>
      <c r="I25" t="str">
        <f>'Summary Calculations (hide)'!B27</f>
        <v/>
      </c>
      <c r="J25" t="str">
        <f>'Summary Calculations (hide)'!C27</f>
        <v/>
      </c>
      <c r="K25">
        <f>'Summary Calculations (hide)'!D27</f>
        <v>12</v>
      </c>
      <c r="L25" s="67">
        <f ca="1">VLOOKUP($K25,'SPC background (hide)'!$AG$2:$AS$54,3,0)</f>
        <v>1</v>
      </c>
      <c r="M25" s="67">
        <f t="shared" ca="1" si="0"/>
        <v>445.5</v>
      </c>
      <c r="N25" s="67">
        <f t="shared" ca="1" si="1"/>
        <v>127.50613747954175</v>
      </c>
      <c r="O25" s="67"/>
      <c r="P25" s="67"/>
      <c r="Q25" s="67"/>
      <c r="R25" s="5">
        <f ca="1">(VLOOKUP(K25,'Summary Calculations (hide)'!$D$15:$L$67,8,0)+VLOOKUP(K25,'Summary Calculations (hide)'!$D$15:$L$67,9,0))*IF(Summary!$C$8="Patients",'Summary Calculations (hide)'!$I$9,1)</f>
        <v>560.43103448275861</v>
      </c>
      <c r="AA25" s="67">
        <f ca="1">IF(Summary!$C$8="Patients", 'Parameters calculator (hide)'!$H$63,'Parameters calculator (hide)'!$H$62)</f>
        <v>42.562452931683694</v>
      </c>
      <c r="AB25" s="67">
        <f ca="1">IF(Summary!$C$8="Patients", 'Parameters calculator (hide)'!$I$63,'Parameters calculator (hide)'!$I$62)</f>
        <v>47.04271113501882</v>
      </c>
      <c r="AC25" s="67">
        <f t="shared" ca="1" si="2"/>
        <v>4.4802582033351257</v>
      </c>
    </row>
    <row r="26" spans="1:29" ht="15" x14ac:dyDescent="0.25">
      <c r="A26" s="3"/>
      <c r="B26" s="3"/>
      <c r="C26" s="302"/>
      <c r="H26" s="297">
        <f>'Summary Calculations (hide)'!A28</f>
        <v>44284</v>
      </c>
      <c r="I26" t="str">
        <f>'Summary Calculations (hide)'!B28</f>
        <v/>
      </c>
      <c r="J26" t="str">
        <f>'Summary Calculations (hide)'!C28</f>
        <v/>
      </c>
      <c r="K26">
        <f>'Summary Calculations (hide)'!D28</f>
        <v>13</v>
      </c>
      <c r="L26" s="67">
        <f ca="1">VLOOKUP($K26,'SPC background (hide)'!$AG$2:$AS$54,3,0)</f>
        <v>1</v>
      </c>
      <c r="M26" s="67">
        <f t="shared" ca="1" si="0"/>
        <v>445.5</v>
      </c>
      <c r="N26" s="67">
        <f t="shared" ca="1" si="1"/>
        <v>127.50613747954175</v>
      </c>
      <c r="O26" s="67"/>
      <c r="P26" s="67"/>
      <c r="Q26" s="67"/>
      <c r="R26" s="5">
        <f ca="1">(VLOOKUP(K26,'Summary Calculations (hide)'!$D$15:$L$67,8,0)+VLOOKUP(K26,'Summary Calculations (hide)'!$D$15:$L$67,9,0))*IF(Summary!$C$8="Patients",'Summary Calculations (hide)'!$I$9,1)</f>
        <v>560.43103448275861</v>
      </c>
      <c r="AA26" s="67">
        <f ca="1">IF(Summary!$C$8="Patients", 'Parameters calculator (hide)'!$H$63,'Parameters calculator (hide)'!$H$62)</f>
        <v>42.562452931683694</v>
      </c>
      <c r="AB26" s="67">
        <f ca="1">IF(Summary!$C$8="Patients", 'Parameters calculator (hide)'!$I$63,'Parameters calculator (hide)'!$I$62)</f>
        <v>47.04271113501882</v>
      </c>
      <c r="AC26" s="67">
        <f t="shared" ca="1" si="2"/>
        <v>4.4802582033351257</v>
      </c>
    </row>
    <row r="27" spans="1:29" x14ac:dyDescent="0.2">
      <c r="A27" s="3"/>
      <c r="B27" s="3"/>
      <c r="C27" s="3"/>
      <c r="H27" s="297">
        <f>'Summary Calculations (hide)'!A29</f>
        <v>44291</v>
      </c>
      <c r="I27" t="str">
        <f>'Summary Calculations (hide)'!B29</f>
        <v/>
      </c>
      <c r="J27" t="str">
        <f>'Summary Calculations (hide)'!C29</f>
        <v>Apr</v>
      </c>
      <c r="K27">
        <f>'Summary Calculations (hide)'!D29</f>
        <v>14</v>
      </c>
      <c r="L27" s="67">
        <f ca="1">VLOOKUP($K27,'SPC background (hide)'!$AG$2:$AS$54,3,0)</f>
        <v>1</v>
      </c>
      <c r="M27" s="67">
        <f t="shared" ca="1" si="0"/>
        <v>445.5</v>
      </c>
      <c r="N27" s="67">
        <f t="shared" ca="1" si="1"/>
        <v>127.50613747954175</v>
      </c>
      <c r="O27" s="67"/>
      <c r="P27" s="67"/>
      <c r="Q27" s="67"/>
      <c r="R27" s="5">
        <f ca="1">(VLOOKUP(K27,'Summary Calculations (hide)'!$D$15:$L$67,8,0)+VLOOKUP(K27,'Summary Calculations (hide)'!$D$15:$L$67,9,0))*IF(Summary!$C$8="Patients",'Summary Calculations (hide)'!$I$9,1)</f>
        <v>560.43103448275861</v>
      </c>
      <c r="AA27" s="67">
        <f ca="1">IF(Summary!$C$8="Patients", 'Parameters calculator (hide)'!$H$63,'Parameters calculator (hide)'!$H$62)</f>
        <v>42.562452931683694</v>
      </c>
      <c r="AB27" s="67">
        <f ca="1">IF(Summary!$C$8="Patients", 'Parameters calculator (hide)'!$I$63,'Parameters calculator (hide)'!$I$62)</f>
        <v>47.04271113501882</v>
      </c>
      <c r="AC27" s="67">
        <f t="shared" ca="1" si="2"/>
        <v>4.4802582033351257</v>
      </c>
    </row>
    <row r="28" spans="1:29" x14ac:dyDescent="0.2">
      <c r="A28" s="3"/>
      <c r="B28" s="3"/>
      <c r="C28" s="3"/>
      <c r="H28" s="297">
        <f>'Summary Calculations (hide)'!A30</f>
        <v>44298</v>
      </c>
      <c r="I28" t="str">
        <f>'Summary Calculations (hide)'!B30</f>
        <v/>
      </c>
      <c r="J28" t="str">
        <f>'Summary Calculations (hide)'!C30</f>
        <v/>
      </c>
      <c r="K28">
        <f>'Summary Calculations (hide)'!D30</f>
        <v>15</v>
      </c>
      <c r="L28" s="67">
        <f ca="1">VLOOKUP($K28,'SPC background (hide)'!$AG$2:$AS$54,3,0)</f>
        <v>1</v>
      </c>
      <c r="M28" s="67">
        <f t="shared" ca="1" si="0"/>
        <v>445.5</v>
      </c>
      <c r="N28" s="67">
        <f t="shared" ca="1" si="1"/>
        <v>127.50613747954175</v>
      </c>
      <c r="O28" s="67"/>
      <c r="P28" s="67"/>
      <c r="Q28" s="67"/>
      <c r="R28" s="5">
        <f ca="1">(VLOOKUP(K28,'Summary Calculations (hide)'!$D$15:$L$67,8,0)+VLOOKUP(K28,'Summary Calculations (hide)'!$D$15:$L$67,9,0))*IF(Summary!$C$8="Patients",'Summary Calculations (hide)'!$I$9,1)</f>
        <v>560.43103448275861</v>
      </c>
      <c r="AA28" s="67">
        <f ca="1">IF(Summary!$C$8="Patients", 'Parameters calculator (hide)'!$H$63,'Parameters calculator (hide)'!$H$62)</f>
        <v>42.562452931683694</v>
      </c>
      <c r="AB28" s="67">
        <f ca="1">IF(Summary!$C$8="Patients", 'Parameters calculator (hide)'!$I$63,'Parameters calculator (hide)'!$I$62)</f>
        <v>47.04271113501882</v>
      </c>
      <c r="AC28" s="67">
        <f t="shared" ca="1" si="2"/>
        <v>4.4802582033351257</v>
      </c>
    </row>
    <row r="29" spans="1:29" x14ac:dyDescent="0.2">
      <c r="A29" s="3"/>
      <c r="B29" s="3"/>
      <c r="C29" s="3"/>
      <c r="H29" s="297">
        <f>'Summary Calculations (hide)'!A31</f>
        <v>44305</v>
      </c>
      <c r="I29" t="str">
        <f>'Summary Calculations (hide)'!B31</f>
        <v/>
      </c>
      <c r="J29" t="str">
        <f>'Summary Calculations (hide)'!C31</f>
        <v/>
      </c>
      <c r="K29">
        <f>'Summary Calculations (hide)'!D31</f>
        <v>16</v>
      </c>
      <c r="L29" s="67">
        <f ca="1">VLOOKUP($K29,'SPC background (hide)'!$AG$2:$AS$54,3,0)</f>
        <v>1</v>
      </c>
      <c r="M29" s="67">
        <f t="shared" ca="1" si="0"/>
        <v>445.5</v>
      </c>
      <c r="N29" s="67">
        <f t="shared" ca="1" si="1"/>
        <v>127.50613747954175</v>
      </c>
      <c r="O29" s="67"/>
      <c r="P29" s="67"/>
      <c r="Q29" s="67"/>
      <c r="R29" s="5">
        <f ca="1">(VLOOKUP(K29,'Summary Calculations (hide)'!$D$15:$L$67,8,0)+VLOOKUP(K29,'Summary Calculations (hide)'!$D$15:$L$67,9,0))*IF(Summary!$C$8="Patients",'Summary Calculations (hide)'!$I$9,1)</f>
        <v>560.43103448275861</v>
      </c>
      <c r="AA29" s="67">
        <f ca="1">IF(Summary!$C$8="Patients", 'Parameters calculator (hide)'!$H$63,'Parameters calculator (hide)'!$H$62)</f>
        <v>42.562452931683694</v>
      </c>
      <c r="AB29" s="67">
        <f ca="1">IF(Summary!$C$8="Patients", 'Parameters calculator (hide)'!$I$63,'Parameters calculator (hide)'!$I$62)</f>
        <v>47.04271113501882</v>
      </c>
      <c r="AC29" s="67">
        <f t="shared" ca="1" si="2"/>
        <v>4.4802582033351257</v>
      </c>
    </row>
    <row r="30" spans="1:29" x14ac:dyDescent="0.2">
      <c r="A30" s="3"/>
      <c r="B30" s="3"/>
      <c r="C30" s="3"/>
      <c r="H30" s="297">
        <f>'Summary Calculations (hide)'!A32</f>
        <v>44312</v>
      </c>
      <c r="I30" t="str">
        <f>'Summary Calculations (hide)'!B32</f>
        <v/>
      </c>
      <c r="J30" t="str">
        <f>'Summary Calculations (hide)'!C32</f>
        <v/>
      </c>
      <c r="K30">
        <f>'Summary Calculations (hide)'!D32</f>
        <v>17</v>
      </c>
      <c r="L30" s="67">
        <f ca="1">VLOOKUP($K30,'SPC background (hide)'!$AG$2:$AS$54,3,0)</f>
        <v>1</v>
      </c>
      <c r="M30" s="67">
        <f t="shared" ca="1" si="0"/>
        <v>445.5</v>
      </c>
      <c r="N30" s="67">
        <f t="shared" ca="1" si="1"/>
        <v>127.50613747954175</v>
      </c>
      <c r="O30" s="67"/>
      <c r="P30" s="67"/>
      <c r="Q30" s="67"/>
      <c r="R30" s="5">
        <f ca="1">(VLOOKUP(K30,'Summary Calculations (hide)'!$D$15:$L$67,8,0)+VLOOKUP(K30,'Summary Calculations (hide)'!$D$15:$L$67,9,0))*IF(Summary!$C$8="Patients",'Summary Calculations (hide)'!$I$9,1)</f>
        <v>560.43103448275861</v>
      </c>
      <c r="AA30" s="67">
        <f ca="1">IF(Summary!$C$8="Patients", 'Parameters calculator (hide)'!$H$63,'Parameters calculator (hide)'!$H$62)</f>
        <v>42.562452931683694</v>
      </c>
      <c r="AB30" s="67">
        <f ca="1">IF(Summary!$C$8="Patients", 'Parameters calculator (hide)'!$I$63,'Parameters calculator (hide)'!$I$62)</f>
        <v>47.04271113501882</v>
      </c>
      <c r="AC30" s="67">
        <f t="shared" ca="1" si="2"/>
        <v>4.4802582033351257</v>
      </c>
    </row>
    <row r="31" spans="1:29" x14ac:dyDescent="0.2">
      <c r="A31" s="3"/>
      <c r="B31" s="3"/>
      <c r="C31" s="3"/>
      <c r="H31" s="297">
        <f>'Summary Calculations (hide)'!A33</f>
        <v>44319</v>
      </c>
      <c r="I31" t="str">
        <f>'Summary Calculations (hide)'!B33</f>
        <v/>
      </c>
      <c r="J31" t="str">
        <f>'Summary Calculations (hide)'!C33</f>
        <v>May</v>
      </c>
      <c r="K31">
        <f>'Summary Calculations (hide)'!D33</f>
        <v>18</v>
      </c>
      <c r="L31" s="67">
        <f ca="1">VLOOKUP($K31,'SPC background (hide)'!$AG$2:$AS$54,3,0)</f>
        <v>1</v>
      </c>
      <c r="M31" s="67">
        <f t="shared" ca="1" si="0"/>
        <v>445.5</v>
      </c>
      <c r="N31" s="67">
        <f t="shared" ca="1" si="1"/>
        <v>127.50613747954175</v>
      </c>
      <c r="O31" s="67"/>
      <c r="P31" s="67"/>
      <c r="Q31" s="67"/>
      <c r="R31" s="5">
        <f ca="1">(VLOOKUP(K31,'Summary Calculations (hide)'!$D$15:$L$67,8,0)+VLOOKUP(K31,'Summary Calculations (hide)'!$D$15:$L$67,9,0))*IF(Summary!$C$8="Patients",'Summary Calculations (hide)'!$I$9,1)</f>
        <v>560.43103448275861</v>
      </c>
      <c r="AA31" s="67">
        <f ca="1">IF(Summary!$C$8="Patients", 'Parameters calculator (hide)'!$H$63,'Parameters calculator (hide)'!$H$62)</f>
        <v>42.562452931683694</v>
      </c>
      <c r="AB31" s="67">
        <f ca="1">IF(Summary!$C$8="Patients", 'Parameters calculator (hide)'!$I$63,'Parameters calculator (hide)'!$I$62)</f>
        <v>47.04271113501882</v>
      </c>
      <c r="AC31" s="67">
        <f t="shared" ca="1" si="2"/>
        <v>4.4802582033351257</v>
      </c>
    </row>
    <row r="32" spans="1:29" x14ac:dyDescent="0.2">
      <c r="A32" s="3"/>
      <c r="B32" s="3"/>
      <c r="C32" s="3"/>
      <c r="H32" s="297">
        <f>'Summary Calculations (hide)'!A34</f>
        <v>44326</v>
      </c>
      <c r="I32" t="str">
        <f>'Summary Calculations (hide)'!B34</f>
        <v/>
      </c>
      <c r="J32" t="str">
        <f>'Summary Calculations (hide)'!C34</f>
        <v/>
      </c>
      <c r="K32">
        <f>'Summary Calculations (hide)'!D34</f>
        <v>19</v>
      </c>
      <c r="L32" s="67">
        <f ca="1">VLOOKUP($K32,'SPC background (hide)'!$AG$2:$AS$54,3,0)</f>
        <v>1</v>
      </c>
      <c r="M32" s="67">
        <f t="shared" ca="1" si="0"/>
        <v>445.5</v>
      </c>
      <c r="N32" s="67">
        <f t="shared" ca="1" si="1"/>
        <v>127.50613747954175</v>
      </c>
      <c r="O32" s="67"/>
      <c r="P32" s="67"/>
      <c r="Q32" s="67"/>
      <c r="R32" s="5">
        <f ca="1">(VLOOKUP(K32,'Summary Calculations (hide)'!$D$15:$L$67,8,0)+VLOOKUP(K32,'Summary Calculations (hide)'!$D$15:$L$67,9,0))*IF(Summary!$C$8="Patients",'Summary Calculations (hide)'!$I$9,1)</f>
        <v>560.43103448275861</v>
      </c>
      <c r="AA32" s="67">
        <f ca="1">IF(Summary!$C$8="Patients", 'Parameters calculator (hide)'!$H$63,'Parameters calculator (hide)'!$H$62)</f>
        <v>42.562452931683694</v>
      </c>
      <c r="AB32" s="67">
        <f ca="1">IF(Summary!$C$8="Patients", 'Parameters calculator (hide)'!$I$63,'Parameters calculator (hide)'!$I$62)</f>
        <v>47.04271113501882</v>
      </c>
      <c r="AC32" s="67">
        <f t="shared" ca="1" si="2"/>
        <v>4.4802582033351257</v>
      </c>
    </row>
    <row r="33" spans="1:29" x14ac:dyDescent="0.2">
      <c r="B33" t="s">
        <v>1149</v>
      </c>
      <c r="H33" s="297">
        <f>'Summary Calculations (hide)'!A35</f>
        <v>44333</v>
      </c>
      <c r="I33" t="str">
        <f>'Summary Calculations (hide)'!B35</f>
        <v/>
      </c>
      <c r="J33" t="str">
        <f>'Summary Calculations (hide)'!C35</f>
        <v/>
      </c>
      <c r="K33">
        <f>'Summary Calculations (hide)'!D35</f>
        <v>20</v>
      </c>
      <c r="L33" s="67">
        <f ca="1">VLOOKUP($K33,'SPC background (hide)'!$AG$2:$AS$54,3,0)</f>
        <v>1</v>
      </c>
      <c r="M33" s="67">
        <f t="shared" ca="1" si="0"/>
        <v>445.5</v>
      </c>
      <c r="N33" s="67">
        <f t="shared" ca="1" si="1"/>
        <v>127.50613747954175</v>
      </c>
      <c r="O33" s="67"/>
      <c r="P33" s="67"/>
      <c r="Q33" s="67"/>
      <c r="R33" s="5">
        <f ca="1">(VLOOKUP(K33,'Summary Calculations (hide)'!$D$15:$L$67,8,0)+VLOOKUP(K33,'Summary Calculations (hide)'!$D$15:$L$67,9,0))*IF(Summary!$C$8="Patients",'Summary Calculations (hide)'!$I$9,1)</f>
        <v>560.43103448275861</v>
      </c>
      <c r="AA33" s="67">
        <f ca="1">IF(Summary!$C$8="Patients", 'Parameters calculator (hide)'!$H$63,'Parameters calculator (hide)'!$H$62)</f>
        <v>42.562452931683694</v>
      </c>
      <c r="AB33" s="67">
        <f ca="1">IF(Summary!$C$8="Patients", 'Parameters calculator (hide)'!$I$63,'Parameters calculator (hide)'!$I$62)</f>
        <v>47.04271113501882</v>
      </c>
      <c r="AC33" s="67">
        <f t="shared" ca="1" si="2"/>
        <v>4.4802582033351257</v>
      </c>
    </row>
    <row r="34" spans="1:29" x14ac:dyDescent="0.2">
      <c r="A34" t="s">
        <v>1121</v>
      </c>
      <c r="B34" s="5">
        <f ca="1">'Parameters calculator (hide)'!C79</f>
        <v>2100</v>
      </c>
      <c r="H34" s="297">
        <f>'Summary Calculations (hide)'!A36</f>
        <v>44340</v>
      </c>
      <c r="I34" t="str">
        <f>'Summary Calculations (hide)'!B36</f>
        <v/>
      </c>
      <c r="J34" t="str">
        <f>'Summary Calculations (hide)'!C36</f>
        <v/>
      </c>
      <c r="K34">
        <f>'Summary Calculations (hide)'!D36</f>
        <v>21</v>
      </c>
      <c r="L34" s="67">
        <f ca="1">VLOOKUP($K34,'SPC background (hide)'!$AG$2:$AS$54,3,0)</f>
        <v>1</v>
      </c>
      <c r="M34" s="67">
        <f t="shared" ca="1" si="0"/>
        <v>445.5</v>
      </c>
      <c r="N34" s="67">
        <f t="shared" ca="1" si="1"/>
        <v>127.50613747954175</v>
      </c>
      <c r="O34" s="67"/>
      <c r="P34" s="67"/>
      <c r="Q34" s="67"/>
      <c r="R34" s="5">
        <f ca="1">(VLOOKUP(K34,'Summary Calculations (hide)'!$D$15:$L$67,8,0)+VLOOKUP(K34,'Summary Calculations (hide)'!$D$15:$L$67,9,0))*IF(Summary!$C$8="Patients",'Summary Calculations (hide)'!$I$9,1)</f>
        <v>560.43103448275861</v>
      </c>
      <c r="AA34" s="67">
        <f ca="1">IF(Summary!$C$8="Patients", 'Parameters calculator (hide)'!$H$63,'Parameters calculator (hide)'!$H$62)</f>
        <v>42.562452931683694</v>
      </c>
      <c r="AB34" s="67">
        <f ca="1">IF(Summary!$C$8="Patients", 'Parameters calculator (hide)'!$I$63,'Parameters calculator (hide)'!$I$62)</f>
        <v>47.04271113501882</v>
      </c>
      <c r="AC34" s="67">
        <f t="shared" ca="1" si="2"/>
        <v>4.4802582033351257</v>
      </c>
    </row>
    <row r="35" spans="1:29" x14ac:dyDescent="0.2">
      <c r="H35" s="297">
        <f>'Summary Calculations (hide)'!A37</f>
        <v>44347</v>
      </c>
      <c r="I35" t="str">
        <f>'Summary Calculations (hide)'!B37</f>
        <v/>
      </c>
      <c r="J35" t="str">
        <f>'Summary Calculations (hide)'!C37</f>
        <v/>
      </c>
      <c r="K35">
        <f>'Summary Calculations (hide)'!D37</f>
        <v>22</v>
      </c>
      <c r="L35" s="67">
        <f ca="1">VLOOKUP($K35,'SPC background (hide)'!$AG$2:$AS$54,3,0)</f>
        <v>1</v>
      </c>
      <c r="M35" s="67">
        <f t="shared" ca="1" si="0"/>
        <v>445.5</v>
      </c>
      <c r="N35" s="67">
        <f t="shared" ca="1" si="1"/>
        <v>127.50613747954175</v>
      </c>
      <c r="O35" s="67"/>
      <c r="P35" s="67"/>
      <c r="Q35" s="67"/>
      <c r="R35" s="5">
        <f ca="1">(VLOOKUP(K35,'Summary Calculations (hide)'!$D$15:$L$67,8,0)+VLOOKUP(K35,'Summary Calculations (hide)'!$D$15:$L$67,9,0))*IF(Summary!$C$8="Patients",'Summary Calculations (hide)'!$I$9,1)</f>
        <v>560.43103448275861</v>
      </c>
      <c r="AA35" s="67">
        <f ca="1">IF(Summary!$C$8="Patients", 'Parameters calculator (hide)'!$H$63,'Parameters calculator (hide)'!$H$62)</f>
        <v>42.562452931683694</v>
      </c>
      <c r="AB35" s="67">
        <f ca="1">IF(Summary!$C$8="Patients", 'Parameters calculator (hide)'!$I$63,'Parameters calculator (hide)'!$I$62)</f>
        <v>47.04271113501882</v>
      </c>
      <c r="AC35" s="67">
        <f t="shared" ca="1" si="2"/>
        <v>4.4802582033351257</v>
      </c>
    </row>
    <row r="36" spans="1:29" x14ac:dyDescent="0.2">
      <c r="H36" s="297">
        <f>'Summary Calculations (hide)'!A38</f>
        <v>44354</v>
      </c>
      <c r="I36" t="str">
        <f>'Summary Calculations (hide)'!B38</f>
        <v/>
      </c>
      <c r="J36" t="str">
        <f>'Summary Calculations (hide)'!C38</f>
        <v>Jun</v>
      </c>
      <c r="K36">
        <f>'Summary Calculations (hide)'!D38</f>
        <v>23</v>
      </c>
      <c r="L36" s="67">
        <f ca="1">VLOOKUP($K36,'SPC background (hide)'!$AG$2:$AS$54,3,0)</f>
        <v>1</v>
      </c>
      <c r="M36" s="67">
        <f t="shared" ca="1" si="0"/>
        <v>445.5</v>
      </c>
      <c r="N36" s="67">
        <f t="shared" ca="1" si="1"/>
        <v>127.50613747954175</v>
      </c>
      <c r="O36" s="67"/>
      <c r="P36" s="67"/>
      <c r="Q36" s="67"/>
      <c r="R36" s="5">
        <f ca="1">(VLOOKUP(K36,'Summary Calculations (hide)'!$D$15:$L$67,8,0)+VLOOKUP(K36,'Summary Calculations (hide)'!$D$15:$L$67,9,0))*IF(Summary!$C$8="Patients",'Summary Calculations (hide)'!$I$9,1)</f>
        <v>560.43103448275861</v>
      </c>
      <c r="AA36" s="67">
        <f ca="1">IF(Summary!$C$8="Patients", 'Parameters calculator (hide)'!$H$63,'Parameters calculator (hide)'!$H$62)</f>
        <v>42.562452931683694</v>
      </c>
      <c r="AB36" s="67">
        <f ca="1">IF(Summary!$C$8="Patients", 'Parameters calculator (hide)'!$I$63,'Parameters calculator (hide)'!$I$62)</f>
        <v>47.04271113501882</v>
      </c>
      <c r="AC36" s="67">
        <f t="shared" ca="1" si="2"/>
        <v>4.4802582033351257</v>
      </c>
    </row>
    <row r="37" spans="1:29" x14ac:dyDescent="0.2">
      <c r="H37" s="297">
        <f>'Summary Calculations (hide)'!A39</f>
        <v>44361</v>
      </c>
      <c r="I37" t="str">
        <f>'Summary Calculations (hide)'!B39</f>
        <v/>
      </c>
      <c r="J37" t="str">
        <f>'Summary Calculations (hide)'!C39</f>
        <v/>
      </c>
      <c r="K37">
        <f>'Summary Calculations (hide)'!D39</f>
        <v>24</v>
      </c>
      <c r="L37" s="67">
        <f ca="1">VLOOKUP($K37,'SPC background (hide)'!$AG$2:$AS$54,3,0)</f>
        <v>1</v>
      </c>
      <c r="M37" s="67">
        <f t="shared" ca="1" si="0"/>
        <v>445.5</v>
      </c>
      <c r="N37" s="67">
        <f t="shared" ca="1" si="1"/>
        <v>127.50613747954175</v>
      </c>
      <c r="O37" s="67"/>
      <c r="P37" s="67"/>
      <c r="Q37" s="67"/>
      <c r="R37" s="5">
        <f ca="1">(VLOOKUP(K37,'Summary Calculations (hide)'!$D$15:$L$67,8,0)+VLOOKUP(K37,'Summary Calculations (hide)'!$D$15:$L$67,9,0))*IF(Summary!$C$8="Patients",'Summary Calculations (hide)'!$I$9,1)</f>
        <v>560.43103448275861</v>
      </c>
      <c r="AA37" s="67">
        <f ca="1">IF(Summary!$C$8="Patients", 'Parameters calculator (hide)'!$H$63,'Parameters calculator (hide)'!$H$62)</f>
        <v>42.562452931683694</v>
      </c>
      <c r="AB37" s="67">
        <f ca="1">IF(Summary!$C$8="Patients", 'Parameters calculator (hide)'!$I$63,'Parameters calculator (hide)'!$I$62)</f>
        <v>47.04271113501882</v>
      </c>
      <c r="AC37" s="67">
        <f t="shared" ca="1" si="2"/>
        <v>4.4802582033351257</v>
      </c>
    </row>
    <row r="38" spans="1:29" x14ac:dyDescent="0.2">
      <c r="H38" s="297">
        <f>'Summary Calculations (hide)'!A40</f>
        <v>44368</v>
      </c>
      <c r="I38" t="str">
        <f>'Summary Calculations (hide)'!B40</f>
        <v/>
      </c>
      <c r="J38" t="str">
        <f>'Summary Calculations (hide)'!C40</f>
        <v/>
      </c>
      <c r="K38">
        <f>'Summary Calculations (hide)'!D40</f>
        <v>25</v>
      </c>
      <c r="L38" s="67">
        <f ca="1">VLOOKUP($K38,'SPC background (hide)'!$AG$2:$AS$54,3,0)</f>
        <v>1</v>
      </c>
      <c r="M38" s="67">
        <f t="shared" ca="1" si="0"/>
        <v>445.5</v>
      </c>
      <c r="N38" s="67">
        <f t="shared" ca="1" si="1"/>
        <v>127.50613747954175</v>
      </c>
      <c r="O38" s="67"/>
      <c r="P38" s="67"/>
      <c r="Q38" s="67"/>
      <c r="R38" s="5">
        <f ca="1">(VLOOKUP(K38,'Summary Calculations (hide)'!$D$15:$L$67,8,0)+VLOOKUP(K38,'Summary Calculations (hide)'!$D$15:$L$67,9,0))*IF(Summary!$C$8="Patients",'Summary Calculations (hide)'!$I$9,1)</f>
        <v>560.43103448275861</v>
      </c>
      <c r="AA38" s="67">
        <f ca="1">IF(Summary!$C$8="Patients", 'Parameters calculator (hide)'!$H$63,'Parameters calculator (hide)'!$H$62)</f>
        <v>42.562452931683694</v>
      </c>
      <c r="AB38" s="67">
        <f ca="1">IF(Summary!$C$8="Patients", 'Parameters calculator (hide)'!$I$63,'Parameters calculator (hide)'!$I$62)</f>
        <v>47.04271113501882</v>
      </c>
      <c r="AC38" s="67">
        <f t="shared" ca="1" si="2"/>
        <v>4.4802582033351257</v>
      </c>
    </row>
    <row r="39" spans="1:29" x14ac:dyDescent="0.2">
      <c r="H39" s="297">
        <f>'Summary Calculations (hide)'!A41</f>
        <v>44375</v>
      </c>
      <c r="I39" t="str">
        <f>'Summary Calculations (hide)'!B41</f>
        <v/>
      </c>
      <c r="J39" t="str">
        <f>'Summary Calculations (hide)'!C41</f>
        <v/>
      </c>
      <c r="K39">
        <f>'Summary Calculations (hide)'!D41</f>
        <v>26</v>
      </c>
      <c r="L39" s="67">
        <f ca="1">VLOOKUP($K39,'SPC background (hide)'!$AG$2:$AS$54,3,0)</f>
        <v>1</v>
      </c>
      <c r="M39" s="67">
        <f t="shared" ca="1" si="0"/>
        <v>445.5</v>
      </c>
      <c r="N39" s="67">
        <f t="shared" ca="1" si="1"/>
        <v>127.50613747954175</v>
      </c>
      <c r="O39" s="67"/>
      <c r="P39" s="67"/>
      <c r="Q39" s="67"/>
      <c r="R39" s="5">
        <f ca="1">(VLOOKUP(K39,'Summary Calculations (hide)'!$D$15:$L$67,8,0)+VLOOKUP(K39,'Summary Calculations (hide)'!$D$15:$L$67,9,0))*IF(Summary!$C$8="Patients",'Summary Calculations (hide)'!$I$9,1)</f>
        <v>560.43103448275861</v>
      </c>
      <c r="AA39" s="67">
        <f ca="1">IF(Summary!$C$8="Patients", 'Parameters calculator (hide)'!$H$63,'Parameters calculator (hide)'!$H$62)</f>
        <v>42.562452931683694</v>
      </c>
      <c r="AB39" s="67">
        <f ca="1">IF(Summary!$C$8="Patients", 'Parameters calculator (hide)'!$I$63,'Parameters calculator (hide)'!$I$62)</f>
        <v>47.04271113501882</v>
      </c>
      <c r="AC39" s="67">
        <f t="shared" ca="1" si="2"/>
        <v>4.4802582033351257</v>
      </c>
    </row>
    <row r="40" spans="1:29" x14ac:dyDescent="0.2">
      <c r="H40" s="297">
        <f>'Summary Calculations (hide)'!A42</f>
        <v>44382</v>
      </c>
      <c r="I40" t="str">
        <f>'Summary Calculations (hide)'!B42</f>
        <v/>
      </c>
      <c r="J40" t="str">
        <f>'Summary Calculations (hide)'!C42</f>
        <v>Jul</v>
      </c>
      <c r="K40">
        <f>'Summary Calculations (hide)'!D42</f>
        <v>27</v>
      </c>
      <c r="L40" s="67">
        <f ca="1">VLOOKUP($K40,'SPC background (hide)'!$AG$2:$AS$54,3,0)</f>
        <v>1</v>
      </c>
      <c r="M40" s="67">
        <f t="shared" ca="1" si="0"/>
        <v>445.5</v>
      </c>
      <c r="N40" s="67">
        <f t="shared" ca="1" si="1"/>
        <v>127.50613747954175</v>
      </c>
      <c r="O40" s="67"/>
      <c r="P40" s="67"/>
      <c r="Q40" s="67"/>
      <c r="R40" s="5">
        <f ca="1">(VLOOKUP(K40,'Summary Calculations (hide)'!$D$15:$L$67,8,0)+VLOOKUP(K40,'Summary Calculations (hide)'!$D$15:$L$67,9,0))*IF(Summary!$C$8="Patients",'Summary Calculations (hide)'!$I$9,1)</f>
        <v>560.43103448275861</v>
      </c>
      <c r="AA40" s="67">
        <f ca="1">IF(Summary!$C$8="Patients", 'Parameters calculator (hide)'!$H$63,'Parameters calculator (hide)'!$H$62)</f>
        <v>42.562452931683694</v>
      </c>
      <c r="AB40" s="67">
        <f ca="1">IF(Summary!$C$8="Patients", 'Parameters calculator (hide)'!$I$63,'Parameters calculator (hide)'!$I$62)</f>
        <v>47.04271113501882</v>
      </c>
      <c r="AC40" s="67">
        <f t="shared" ca="1" si="2"/>
        <v>4.4802582033351257</v>
      </c>
    </row>
    <row r="41" spans="1:29" x14ac:dyDescent="0.2">
      <c r="H41" s="297">
        <f>'Summary Calculations (hide)'!A43</f>
        <v>44389</v>
      </c>
      <c r="I41" t="str">
        <f>'Summary Calculations (hide)'!B43</f>
        <v/>
      </c>
      <c r="J41" t="str">
        <f>'Summary Calculations (hide)'!C43</f>
        <v/>
      </c>
      <c r="K41">
        <f>'Summary Calculations (hide)'!D43</f>
        <v>28</v>
      </c>
      <c r="L41" s="67">
        <f ca="1">VLOOKUP($K41,'SPC background (hide)'!$AG$2:$AS$54,3,0)</f>
        <v>1</v>
      </c>
      <c r="M41" s="67">
        <f t="shared" ca="1" si="0"/>
        <v>445.5</v>
      </c>
      <c r="N41" s="67">
        <f t="shared" ca="1" si="1"/>
        <v>127.50613747954175</v>
      </c>
      <c r="O41" s="67"/>
      <c r="P41" s="67"/>
      <c r="Q41" s="67"/>
      <c r="R41" s="5">
        <f ca="1">(VLOOKUP(K41,'Summary Calculations (hide)'!$D$15:$L$67,8,0)+VLOOKUP(K41,'Summary Calculations (hide)'!$D$15:$L$67,9,0))*IF(Summary!$C$8="Patients",'Summary Calculations (hide)'!$I$9,1)</f>
        <v>560.43103448275861</v>
      </c>
      <c r="AA41" s="67">
        <f ca="1">IF(Summary!$C$8="Patients", 'Parameters calculator (hide)'!$H$63,'Parameters calculator (hide)'!$H$62)</f>
        <v>42.562452931683694</v>
      </c>
      <c r="AB41" s="67">
        <f ca="1">IF(Summary!$C$8="Patients", 'Parameters calculator (hide)'!$I$63,'Parameters calculator (hide)'!$I$62)</f>
        <v>47.04271113501882</v>
      </c>
      <c r="AC41" s="67">
        <f t="shared" ca="1" si="2"/>
        <v>4.4802582033351257</v>
      </c>
    </row>
    <row r="42" spans="1:29" x14ac:dyDescent="0.2">
      <c r="H42" s="297">
        <f>'Summary Calculations (hide)'!A44</f>
        <v>44396</v>
      </c>
      <c r="I42" t="str">
        <f>'Summary Calculations (hide)'!B44</f>
        <v/>
      </c>
      <c r="J42" t="str">
        <f>'Summary Calculations (hide)'!C44</f>
        <v/>
      </c>
      <c r="K42">
        <f>'Summary Calculations (hide)'!D44</f>
        <v>29</v>
      </c>
      <c r="L42" s="67">
        <f ca="1">VLOOKUP($K42,'SPC background (hide)'!$AG$2:$AS$54,3,0)</f>
        <v>1</v>
      </c>
      <c r="M42" s="67">
        <f t="shared" ca="1" si="0"/>
        <v>445.5</v>
      </c>
      <c r="N42" s="67">
        <f t="shared" ca="1" si="1"/>
        <v>127.50613747954175</v>
      </c>
      <c r="O42" s="67"/>
      <c r="P42" s="67"/>
      <c r="Q42" s="67"/>
      <c r="R42" s="5">
        <f ca="1">(VLOOKUP(K42,'Summary Calculations (hide)'!$D$15:$L$67,8,0)+VLOOKUP(K42,'Summary Calculations (hide)'!$D$15:$L$67,9,0))*IF(Summary!$C$8="Patients",'Summary Calculations (hide)'!$I$9,1)</f>
        <v>560.43103448275861</v>
      </c>
      <c r="AA42" s="67">
        <f ca="1">IF(Summary!$C$8="Patients", 'Parameters calculator (hide)'!$H$63,'Parameters calculator (hide)'!$H$62)</f>
        <v>42.562452931683694</v>
      </c>
      <c r="AB42" s="67">
        <f ca="1">IF(Summary!$C$8="Patients", 'Parameters calculator (hide)'!$I$63,'Parameters calculator (hide)'!$I$62)</f>
        <v>47.04271113501882</v>
      </c>
      <c r="AC42" s="67">
        <f t="shared" ca="1" si="2"/>
        <v>4.4802582033351257</v>
      </c>
    </row>
    <row r="43" spans="1:29" x14ac:dyDescent="0.2">
      <c r="H43" s="297">
        <f>'Summary Calculations (hide)'!A45</f>
        <v>44403</v>
      </c>
      <c r="I43" t="str">
        <f>'Summary Calculations (hide)'!B45</f>
        <v/>
      </c>
      <c r="J43" t="str">
        <f>'Summary Calculations (hide)'!C45</f>
        <v/>
      </c>
      <c r="K43">
        <f>'Summary Calculations (hide)'!D45</f>
        <v>30</v>
      </c>
      <c r="L43" s="67">
        <f ca="1">VLOOKUP($K43,'SPC background (hide)'!$AG$2:$AS$54,3,0)</f>
        <v>1</v>
      </c>
      <c r="M43" s="67">
        <f t="shared" ca="1" si="0"/>
        <v>445.5</v>
      </c>
      <c r="N43" s="67">
        <f t="shared" ca="1" si="1"/>
        <v>127.50613747954175</v>
      </c>
      <c r="O43" s="67"/>
      <c r="P43" s="67"/>
      <c r="Q43" s="67"/>
      <c r="R43" s="5">
        <f ca="1">(VLOOKUP(K43,'Summary Calculations (hide)'!$D$15:$L$67,8,0)+VLOOKUP(K43,'Summary Calculations (hide)'!$D$15:$L$67,9,0))*IF(Summary!$C$8="Patients",'Summary Calculations (hide)'!$I$9,1)</f>
        <v>560.43103448275861</v>
      </c>
      <c r="AA43" s="67">
        <f ca="1">IF(Summary!$C$8="Patients", 'Parameters calculator (hide)'!$H$63,'Parameters calculator (hide)'!$H$62)</f>
        <v>42.562452931683694</v>
      </c>
      <c r="AB43" s="67">
        <f ca="1">IF(Summary!$C$8="Patients", 'Parameters calculator (hide)'!$I$63,'Parameters calculator (hide)'!$I$62)</f>
        <v>47.04271113501882</v>
      </c>
      <c r="AC43" s="67">
        <f t="shared" ca="1" si="2"/>
        <v>4.4802582033351257</v>
      </c>
    </row>
    <row r="44" spans="1:29" x14ac:dyDescent="0.2">
      <c r="H44" s="297">
        <f>'Summary Calculations (hide)'!A46</f>
        <v>44410</v>
      </c>
      <c r="I44" t="str">
        <f>'Summary Calculations (hide)'!B46</f>
        <v/>
      </c>
      <c r="J44" t="str">
        <f>'Summary Calculations (hide)'!C46</f>
        <v>Aug</v>
      </c>
      <c r="K44">
        <f>'Summary Calculations (hide)'!D46</f>
        <v>31</v>
      </c>
      <c r="L44" s="67">
        <f ca="1">VLOOKUP($K44,'SPC background (hide)'!$AG$2:$AS$54,3,0)</f>
        <v>1</v>
      </c>
      <c r="M44" s="67">
        <f t="shared" ca="1" si="0"/>
        <v>445.5</v>
      </c>
      <c r="N44" s="67">
        <f t="shared" ca="1" si="1"/>
        <v>127.50613747954175</v>
      </c>
      <c r="O44" s="67"/>
      <c r="P44" s="67"/>
      <c r="Q44" s="67"/>
      <c r="R44" s="5">
        <f ca="1">(VLOOKUP(K44,'Summary Calculations (hide)'!$D$15:$L$67,8,0)+VLOOKUP(K44,'Summary Calculations (hide)'!$D$15:$L$67,9,0))*IF(Summary!$C$8="Patients",'Summary Calculations (hide)'!$I$9,1)</f>
        <v>560.43103448275861</v>
      </c>
      <c r="AA44" s="67">
        <f ca="1">IF(Summary!$C$8="Patients", 'Parameters calculator (hide)'!$H$63,'Parameters calculator (hide)'!$H$62)</f>
        <v>42.562452931683694</v>
      </c>
      <c r="AB44" s="67">
        <f ca="1">IF(Summary!$C$8="Patients", 'Parameters calculator (hide)'!$I$63,'Parameters calculator (hide)'!$I$62)</f>
        <v>47.04271113501882</v>
      </c>
      <c r="AC44" s="67">
        <f t="shared" ca="1" si="2"/>
        <v>4.4802582033351257</v>
      </c>
    </row>
    <row r="45" spans="1:29" x14ac:dyDescent="0.2">
      <c r="H45" s="297">
        <f>'Summary Calculations (hide)'!A47</f>
        <v>44417</v>
      </c>
      <c r="I45" t="str">
        <f>'Summary Calculations (hide)'!B47</f>
        <v/>
      </c>
      <c r="J45" t="str">
        <f>'Summary Calculations (hide)'!C47</f>
        <v/>
      </c>
      <c r="K45">
        <f>'Summary Calculations (hide)'!D47</f>
        <v>32</v>
      </c>
      <c r="L45" s="67">
        <f ca="1">VLOOKUP($K45,'SPC background (hide)'!$AG$2:$AS$54,3,0)</f>
        <v>1</v>
      </c>
      <c r="M45" s="67">
        <f t="shared" ca="1" si="0"/>
        <v>445.5</v>
      </c>
      <c r="N45" s="67">
        <f t="shared" ca="1" si="1"/>
        <v>127.50613747954175</v>
      </c>
      <c r="O45" s="67"/>
      <c r="P45" s="67"/>
      <c r="Q45" s="67"/>
      <c r="R45" s="5">
        <f ca="1">(VLOOKUP(K45,'Summary Calculations (hide)'!$D$15:$L$67,8,0)+VLOOKUP(K45,'Summary Calculations (hide)'!$D$15:$L$67,9,0))*IF(Summary!$C$8="Patients",'Summary Calculations (hide)'!$I$9,1)</f>
        <v>560.43103448275861</v>
      </c>
      <c r="AA45" s="67">
        <f ca="1">IF(Summary!$C$8="Patients", 'Parameters calculator (hide)'!$H$63,'Parameters calculator (hide)'!$H$62)</f>
        <v>42.562452931683694</v>
      </c>
      <c r="AB45" s="67">
        <f ca="1">IF(Summary!$C$8="Patients", 'Parameters calculator (hide)'!$I$63,'Parameters calculator (hide)'!$I$62)</f>
        <v>47.04271113501882</v>
      </c>
      <c r="AC45" s="67">
        <f t="shared" ca="1" si="2"/>
        <v>4.4802582033351257</v>
      </c>
    </row>
    <row r="46" spans="1:29" x14ac:dyDescent="0.2">
      <c r="H46" s="297">
        <f>'Summary Calculations (hide)'!A48</f>
        <v>44424</v>
      </c>
      <c r="I46" t="str">
        <f>'Summary Calculations (hide)'!B48</f>
        <v/>
      </c>
      <c r="J46" t="str">
        <f>'Summary Calculations (hide)'!C48</f>
        <v/>
      </c>
      <c r="K46">
        <f>'Summary Calculations (hide)'!D48</f>
        <v>33</v>
      </c>
      <c r="L46" s="67">
        <f ca="1">VLOOKUP($K46,'SPC background (hide)'!$AG$2:$AS$54,3,0)</f>
        <v>1</v>
      </c>
      <c r="M46" s="67">
        <f t="shared" ca="1" si="0"/>
        <v>445.5</v>
      </c>
      <c r="N46" s="67">
        <f t="shared" ca="1" si="1"/>
        <v>127.50613747954175</v>
      </c>
      <c r="O46" s="67"/>
      <c r="P46" s="67"/>
      <c r="Q46" s="67"/>
      <c r="R46" s="5">
        <f ca="1">(VLOOKUP(K46,'Summary Calculations (hide)'!$D$15:$L$67,8,0)+VLOOKUP(K46,'Summary Calculations (hide)'!$D$15:$L$67,9,0))*IF(Summary!$C$8="Patients",'Summary Calculations (hide)'!$I$9,1)</f>
        <v>560.43103448275861</v>
      </c>
      <c r="AA46" s="67">
        <f ca="1">IF(Summary!$C$8="Patients", 'Parameters calculator (hide)'!$H$63,'Parameters calculator (hide)'!$H$62)</f>
        <v>42.562452931683694</v>
      </c>
      <c r="AB46" s="67">
        <f ca="1">IF(Summary!$C$8="Patients", 'Parameters calculator (hide)'!$I$63,'Parameters calculator (hide)'!$I$62)</f>
        <v>47.04271113501882</v>
      </c>
      <c r="AC46" s="67">
        <f t="shared" ca="1" si="2"/>
        <v>4.4802582033351257</v>
      </c>
    </row>
    <row r="47" spans="1:29" x14ac:dyDescent="0.2">
      <c r="H47" s="297">
        <f>'Summary Calculations (hide)'!A49</f>
        <v>44431</v>
      </c>
      <c r="I47" t="str">
        <f>'Summary Calculations (hide)'!B49</f>
        <v/>
      </c>
      <c r="J47" t="str">
        <f>'Summary Calculations (hide)'!C49</f>
        <v/>
      </c>
      <c r="K47">
        <f>'Summary Calculations (hide)'!D49</f>
        <v>34</v>
      </c>
      <c r="L47" s="67">
        <f ca="1">VLOOKUP($K47,'SPC background (hide)'!$AG$2:$AS$54,3,0)</f>
        <v>1</v>
      </c>
      <c r="M47" s="67">
        <f t="shared" ca="1" si="0"/>
        <v>445.5</v>
      </c>
      <c r="N47" s="67">
        <f t="shared" ca="1" si="1"/>
        <v>127.50613747954175</v>
      </c>
      <c r="O47" s="67"/>
      <c r="P47" s="67"/>
      <c r="Q47" s="67"/>
      <c r="R47" s="5">
        <f ca="1">(VLOOKUP(K47,'Summary Calculations (hide)'!$D$15:$L$67,8,0)+VLOOKUP(K47,'Summary Calculations (hide)'!$D$15:$L$67,9,0))*IF(Summary!$C$8="Patients",'Summary Calculations (hide)'!$I$9,1)</f>
        <v>560.43103448275861</v>
      </c>
      <c r="AA47" s="67">
        <f ca="1">IF(Summary!$C$8="Patients", 'Parameters calculator (hide)'!$H$63,'Parameters calculator (hide)'!$H$62)</f>
        <v>42.562452931683694</v>
      </c>
      <c r="AB47" s="67">
        <f ca="1">IF(Summary!$C$8="Patients", 'Parameters calculator (hide)'!$I$63,'Parameters calculator (hide)'!$I$62)</f>
        <v>47.04271113501882</v>
      </c>
      <c r="AC47" s="67">
        <f t="shared" ca="1" si="2"/>
        <v>4.4802582033351257</v>
      </c>
    </row>
    <row r="48" spans="1:29" x14ac:dyDescent="0.2">
      <c r="H48" s="297">
        <f>'Summary Calculations (hide)'!A50</f>
        <v>44438</v>
      </c>
      <c r="I48" t="str">
        <f>'Summary Calculations (hide)'!B50</f>
        <v/>
      </c>
      <c r="J48" t="str">
        <f>'Summary Calculations (hide)'!C50</f>
        <v/>
      </c>
      <c r="K48">
        <f>'Summary Calculations (hide)'!D50</f>
        <v>35</v>
      </c>
      <c r="L48" s="67">
        <f ca="1">VLOOKUP($K48,'SPC background (hide)'!$AG$2:$AS$54,3,0)</f>
        <v>1</v>
      </c>
      <c r="M48" s="67">
        <f t="shared" ca="1" si="0"/>
        <v>445.5</v>
      </c>
      <c r="N48" s="67">
        <f t="shared" ca="1" si="1"/>
        <v>127.50613747954175</v>
      </c>
      <c r="O48" s="67"/>
      <c r="P48" s="67"/>
      <c r="Q48" s="67"/>
      <c r="R48" s="5">
        <f ca="1">(VLOOKUP(K48,'Summary Calculations (hide)'!$D$15:$L$67,8,0)+VLOOKUP(K48,'Summary Calculations (hide)'!$D$15:$L$67,9,0))*IF(Summary!$C$8="Patients",'Summary Calculations (hide)'!$I$9,1)</f>
        <v>560.43103448275861</v>
      </c>
      <c r="AA48" s="67">
        <f ca="1">IF(Summary!$C$8="Patients", 'Parameters calculator (hide)'!$H$63,'Parameters calculator (hide)'!$H$62)</f>
        <v>42.562452931683694</v>
      </c>
      <c r="AB48" s="67">
        <f ca="1">IF(Summary!$C$8="Patients", 'Parameters calculator (hide)'!$I$63,'Parameters calculator (hide)'!$I$62)</f>
        <v>47.04271113501882</v>
      </c>
      <c r="AC48" s="67">
        <f t="shared" ca="1" si="2"/>
        <v>4.4802582033351257</v>
      </c>
    </row>
    <row r="49" spans="8:29" x14ac:dyDescent="0.2">
      <c r="H49" s="297">
        <f>'Summary Calculations (hide)'!A51</f>
        <v>44445</v>
      </c>
      <c r="I49" t="str">
        <f>'Summary Calculations (hide)'!B51</f>
        <v/>
      </c>
      <c r="J49" t="str">
        <f>'Summary Calculations (hide)'!C51</f>
        <v>Sep</v>
      </c>
      <c r="K49">
        <f>'Summary Calculations (hide)'!D51</f>
        <v>36</v>
      </c>
      <c r="L49" s="67">
        <f ca="1">VLOOKUP($K49,'SPC background (hide)'!$AG$2:$AS$54,3,0)</f>
        <v>1</v>
      </c>
      <c r="M49" s="67">
        <f t="shared" ca="1" si="0"/>
        <v>445.5</v>
      </c>
      <c r="N49" s="67">
        <f t="shared" ca="1" si="1"/>
        <v>127.50613747954175</v>
      </c>
      <c r="O49" s="67"/>
      <c r="P49" s="67"/>
      <c r="Q49" s="67"/>
      <c r="R49" s="5">
        <f ca="1">(VLOOKUP(K49,'Summary Calculations (hide)'!$D$15:$L$67,8,0)+VLOOKUP(K49,'Summary Calculations (hide)'!$D$15:$L$67,9,0))*IF(Summary!$C$8="Patients",'Summary Calculations (hide)'!$I$9,1)</f>
        <v>560.43103448275861</v>
      </c>
      <c r="AA49" s="67">
        <f ca="1">IF(Summary!$C$8="Patients", 'Parameters calculator (hide)'!$H$63,'Parameters calculator (hide)'!$H$62)</f>
        <v>42.562452931683694</v>
      </c>
      <c r="AB49" s="67">
        <f ca="1">IF(Summary!$C$8="Patients", 'Parameters calculator (hide)'!$I$63,'Parameters calculator (hide)'!$I$62)</f>
        <v>47.04271113501882</v>
      </c>
      <c r="AC49" s="67">
        <f t="shared" ca="1" si="2"/>
        <v>4.4802582033351257</v>
      </c>
    </row>
    <row r="50" spans="8:29" x14ac:dyDescent="0.2">
      <c r="H50" s="297">
        <f>'Summary Calculations (hide)'!A52</f>
        <v>44452</v>
      </c>
      <c r="I50" t="str">
        <f>'Summary Calculations (hide)'!B52</f>
        <v/>
      </c>
      <c r="J50" t="str">
        <f>'Summary Calculations (hide)'!C52</f>
        <v/>
      </c>
      <c r="K50">
        <f>'Summary Calculations (hide)'!D52</f>
        <v>37</v>
      </c>
      <c r="L50" s="67">
        <f ca="1">VLOOKUP($K50,'SPC background (hide)'!$AG$2:$AS$54,3,0)</f>
        <v>1</v>
      </c>
      <c r="M50" s="67">
        <f t="shared" ca="1" si="0"/>
        <v>445.5</v>
      </c>
      <c r="N50" s="67">
        <f t="shared" ca="1" si="1"/>
        <v>127.50613747954175</v>
      </c>
      <c r="O50" s="67"/>
      <c r="P50" s="67"/>
      <c r="Q50" s="67"/>
      <c r="R50" s="5">
        <f ca="1">(VLOOKUP(K50,'Summary Calculations (hide)'!$D$15:$L$67,8,0)+VLOOKUP(K50,'Summary Calculations (hide)'!$D$15:$L$67,9,0))*IF(Summary!$C$8="Patients",'Summary Calculations (hide)'!$I$9,1)</f>
        <v>560.43103448275861</v>
      </c>
      <c r="AA50" s="67">
        <f ca="1">IF(Summary!$C$8="Patients", 'Parameters calculator (hide)'!$H$63,'Parameters calculator (hide)'!$H$62)</f>
        <v>42.562452931683694</v>
      </c>
      <c r="AB50" s="67">
        <f ca="1">IF(Summary!$C$8="Patients", 'Parameters calculator (hide)'!$I$63,'Parameters calculator (hide)'!$I$62)</f>
        <v>47.04271113501882</v>
      </c>
      <c r="AC50" s="67">
        <f t="shared" ca="1" si="2"/>
        <v>4.4802582033351257</v>
      </c>
    </row>
    <row r="51" spans="8:29" x14ac:dyDescent="0.2">
      <c r="H51" s="297">
        <f>'Summary Calculations (hide)'!A53</f>
        <v>44459</v>
      </c>
      <c r="I51" t="str">
        <f>'Summary Calculations (hide)'!B53</f>
        <v/>
      </c>
      <c r="J51" t="str">
        <f>'Summary Calculations (hide)'!C53</f>
        <v/>
      </c>
      <c r="K51">
        <f>'Summary Calculations (hide)'!D53</f>
        <v>38</v>
      </c>
      <c r="L51" s="67">
        <f ca="1">VLOOKUP($K51,'SPC background (hide)'!$AG$2:$AS$54,3,0)</f>
        <v>1</v>
      </c>
      <c r="M51" s="67">
        <f t="shared" ca="1" si="0"/>
        <v>445.5</v>
      </c>
      <c r="N51" s="67">
        <f t="shared" ca="1" si="1"/>
        <v>127.50613747954175</v>
      </c>
      <c r="O51" s="67"/>
      <c r="P51" s="67"/>
      <c r="Q51" s="67"/>
      <c r="R51" s="5">
        <f ca="1">(VLOOKUP(K51,'Summary Calculations (hide)'!$D$15:$L$67,8,0)+VLOOKUP(K51,'Summary Calculations (hide)'!$D$15:$L$67,9,0))*IF(Summary!$C$8="Patients",'Summary Calculations (hide)'!$I$9,1)</f>
        <v>560.43103448275861</v>
      </c>
      <c r="AA51" s="67">
        <f ca="1">IF(Summary!$C$8="Patients", 'Parameters calculator (hide)'!$H$63,'Parameters calculator (hide)'!$H$62)</f>
        <v>42.562452931683694</v>
      </c>
      <c r="AB51" s="67">
        <f ca="1">IF(Summary!$C$8="Patients", 'Parameters calculator (hide)'!$I$63,'Parameters calculator (hide)'!$I$62)</f>
        <v>47.04271113501882</v>
      </c>
      <c r="AC51" s="67">
        <f t="shared" ca="1" si="2"/>
        <v>4.4802582033351257</v>
      </c>
    </row>
    <row r="52" spans="8:29" x14ac:dyDescent="0.2">
      <c r="H52" s="297">
        <f>'Summary Calculations (hide)'!A54</f>
        <v>44466</v>
      </c>
      <c r="I52" t="str">
        <f>'Summary Calculations (hide)'!B54</f>
        <v/>
      </c>
      <c r="J52" t="str">
        <f>'Summary Calculations (hide)'!C54</f>
        <v/>
      </c>
      <c r="K52">
        <f>'Summary Calculations (hide)'!D54</f>
        <v>39</v>
      </c>
      <c r="L52" s="67">
        <f ca="1">VLOOKUP($K52,'SPC background (hide)'!$AG$2:$AS$54,3,0)</f>
        <v>1</v>
      </c>
      <c r="M52" s="67">
        <f t="shared" ca="1" si="0"/>
        <v>445.5</v>
      </c>
      <c r="N52" s="67">
        <f t="shared" ca="1" si="1"/>
        <v>127.50613747954175</v>
      </c>
      <c r="O52" s="67"/>
      <c r="P52" s="67"/>
      <c r="Q52" s="67"/>
      <c r="R52" s="5">
        <f ca="1">(VLOOKUP(K52,'Summary Calculations (hide)'!$D$15:$L$67,8,0)+VLOOKUP(K52,'Summary Calculations (hide)'!$D$15:$L$67,9,0))*IF(Summary!$C$8="Patients",'Summary Calculations (hide)'!$I$9,1)</f>
        <v>560.43103448275861</v>
      </c>
      <c r="AA52" s="67">
        <f ca="1">IF(Summary!$C$8="Patients", 'Parameters calculator (hide)'!$H$63,'Parameters calculator (hide)'!$H$62)</f>
        <v>42.562452931683694</v>
      </c>
      <c r="AB52" s="67">
        <f ca="1">IF(Summary!$C$8="Patients", 'Parameters calculator (hide)'!$I$63,'Parameters calculator (hide)'!$I$62)</f>
        <v>47.04271113501882</v>
      </c>
      <c r="AC52" s="67">
        <f t="shared" ca="1" si="2"/>
        <v>4.4802582033351257</v>
      </c>
    </row>
    <row r="53" spans="8:29" x14ac:dyDescent="0.2">
      <c r="H53" s="297">
        <f>'Summary Calculations (hide)'!A55</f>
        <v>44473</v>
      </c>
      <c r="I53" t="str">
        <f>'Summary Calculations (hide)'!B55</f>
        <v/>
      </c>
      <c r="J53" t="str">
        <f>'Summary Calculations (hide)'!C55</f>
        <v>Oct</v>
      </c>
      <c r="K53">
        <f>'Summary Calculations (hide)'!D55</f>
        <v>40</v>
      </c>
      <c r="L53" s="67">
        <f ca="1">VLOOKUP($K53,'SPC background (hide)'!$AG$2:$AS$54,3,0)</f>
        <v>1</v>
      </c>
      <c r="M53" s="67">
        <f t="shared" ca="1" si="0"/>
        <v>445.5</v>
      </c>
      <c r="N53" s="67">
        <f t="shared" ca="1" si="1"/>
        <v>127.50613747954175</v>
      </c>
      <c r="O53" s="67"/>
      <c r="P53" s="67"/>
      <c r="Q53" s="67"/>
      <c r="R53" s="5">
        <f ca="1">(VLOOKUP(K53,'Summary Calculations (hide)'!$D$15:$L$67,8,0)+VLOOKUP(K53,'Summary Calculations (hide)'!$D$15:$L$67,9,0))*IF(Summary!$C$8="Patients",'Summary Calculations (hide)'!$I$9,1)</f>
        <v>560.43103448275861</v>
      </c>
      <c r="AA53" s="67">
        <f ca="1">IF(Summary!$C$8="Patients", 'Parameters calculator (hide)'!$H$63,'Parameters calculator (hide)'!$H$62)</f>
        <v>42.562452931683694</v>
      </c>
      <c r="AB53" s="67">
        <f ca="1">IF(Summary!$C$8="Patients", 'Parameters calculator (hide)'!$I$63,'Parameters calculator (hide)'!$I$62)</f>
        <v>47.04271113501882</v>
      </c>
      <c r="AC53" s="67">
        <f t="shared" ca="1" si="2"/>
        <v>4.4802582033351257</v>
      </c>
    </row>
    <row r="54" spans="8:29" x14ac:dyDescent="0.2">
      <c r="H54" s="297">
        <f>'Summary Calculations (hide)'!A56</f>
        <v>44480</v>
      </c>
      <c r="I54" t="str">
        <f>'Summary Calculations (hide)'!B56</f>
        <v/>
      </c>
      <c r="J54" t="str">
        <f>'Summary Calculations (hide)'!C56</f>
        <v/>
      </c>
      <c r="K54">
        <f>'Summary Calculations (hide)'!D56</f>
        <v>41</v>
      </c>
      <c r="L54" s="67">
        <f ca="1">VLOOKUP($K54,'SPC background (hide)'!$AG$2:$AS$54,3,0)</f>
        <v>1</v>
      </c>
      <c r="M54" s="67">
        <f t="shared" ca="1" si="0"/>
        <v>445.5</v>
      </c>
      <c r="N54" s="67">
        <f t="shared" ca="1" si="1"/>
        <v>127.50613747954175</v>
      </c>
      <c r="O54" s="67"/>
      <c r="P54" s="67"/>
      <c r="Q54" s="67"/>
      <c r="R54" s="5">
        <f ca="1">(VLOOKUP(K54,'Summary Calculations (hide)'!$D$15:$L$67,8,0)+VLOOKUP(K54,'Summary Calculations (hide)'!$D$15:$L$67,9,0))*IF(Summary!$C$8="Patients",'Summary Calculations (hide)'!$I$9,1)</f>
        <v>560.43103448275861</v>
      </c>
      <c r="AA54" s="67">
        <f ca="1">IF(Summary!$C$8="Patients", 'Parameters calculator (hide)'!$H$63,'Parameters calculator (hide)'!$H$62)</f>
        <v>42.562452931683694</v>
      </c>
      <c r="AB54" s="67">
        <f ca="1">IF(Summary!$C$8="Patients", 'Parameters calculator (hide)'!$I$63,'Parameters calculator (hide)'!$I$62)</f>
        <v>47.04271113501882</v>
      </c>
      <c r="AC54" s="67">
        <f t="shared" ca="1" si="2"/>
        <v>4.4802582033351257</v>
      </c>
    </row>
    <row r="55" spans="8:29" x14ac:dyDescent="0.2">
      <c r="H55" s="297">
        <f>'Summary Calculations (hide)'!A57</f>
        <v>44487</v>
      </c>
      <c r="I55" t="str">
        <f>'Summary Calculations (hide)'!B57</f>
        <v/>
      </c>
      <c r="J55" t="str">
        <f>'Summary Calculations (hide)'!C57</f>
        <v/>
      </c>
      <c r="K55">
        <f>'Summary Calculations (hide)'!D57</f>
        <v>42</v>
      </c>
      <c r="L55" s="67">
        <f ca="1">VLOOKUP($K55,'SPC background (hide)'!$AG$2:$AS$54,3,0)</f>
        <v>1</v>
      </c>
      <c r="M55" s="67">
        <f t="shared" ca="1" si="0"/>
        <v>445.5</v>
      </c>
      <c r="N55" s="67">
        <f t="shared" ca="1" si="1"/>
        <v>127.50613747954175</v>
      </c>
      <c r="O55" s="67"/>
      <c r="P55" s="67"/>
      <c r="Q55" s="67"/>
      <c r="R55" s="5">
        <f ca="1">(VLOOKUP(K55,'Summary Calculations (hide)'!$D$15:$L$67,8,0)+VLOOKUP(K55,'Summary Calculations (hide)'!$D$15:$L$67,9,0))*IF(Summary!$C$8="Patients",'Summary Calculations (hide)'!$I$9,1)</f>
        <v>560.43103448275861</v>
      </c>
      <c r="AA55" s="67">
        <f ca="1">IF(Summary!$C$8="Patients", 'Parameters calculator (hide)'!$H$63,'Parameters calculator (hide)'!$H$62)</f>
        <v>42.562452931683694</v>
      </c>
      <c r="AB55" s="67">
        <f ca="1">IF(Summary!$C$8="Patients", 'Parameters calculator (hide)'!$I$63,'Parameters calculator (hide)'!$I$62)</f>
        <v>47.04271113501882</v>
      </c>
      <c r="AC55" s="67">
        <f t="shared" ca="1" si="2"/>
        <v>4.4802582033351257</v>
      </c>
    </row>
    <row r="56" spans="8:29" x14ac:dyDescent="0.2">
      <c r="H56" s="297">
        <f>'Summary Calculations (hide)'!A58</f>
        <v>44494</v>
      </c>
      <c r="I56" t="str">
        <f>'Summary Calculations (hide)'!B58</f>
        <v/>
      </c>
      <c r="J56" t="str">
        <f>'Summary Calculations (hide)'!C58</f>
        <v/>
      </c>
      <c r="K56">
        <f>'Summary Calculations (hide)'!D58</f>
        <v>43</v>
      </c>
      <c r="L56" s="67">
        <f ca="1">VLOOKUP($K56,'SPC background (hide)'!$AG$2:$AS$54,3,0)</f>
        <v>1</v>
      </c>
      <c r="M56" s="67">
        <f t="shared" ca="1" si="0"/>
        <v>445.5</v>
      </c>
      <c r="N56" s="67">
        <f t="shared" ca="1" si="1"/>
        <v>127.50613747954175</v>
      </c>
      <c r="O56" s="67"/>
      <c r="P56" s="67"/>
      <c r="Q56" s="67"/>
      <c r="R56" s="5">
        <f ca="1">(VLOOKUP(K56,'Summary Calculations (hide)'!$D$15:$L$67,8,0)+VLOOKUP(K56,'Summary Calculations (hide)'!$D$15:$L$67,9,0))*IF(Summary!$C$8="Patients",'Summary Calculations (hide)'!$I$9,1)</f>
        <v>560.43103448275861</v>
      </c>
      <c r="AA56" s="67">
        <f ca="1">IF(Summary!$C$8="Patients", 'Parameters calculator (hide)'!$H$63,'Parameters calculator (hide)'!$H$62)</f>
        <v>42.562452931683694</v>
      </c>
      <c r="AB56" s="67">
        <f ca="1">IF(Summary!$C$8="Patients", 'Parameters calculator (hide)'!$I$63,'Parameters calculator (hide)'!$I$62)</f>
        <v>47.04271113501882</v>
      </c>
      <c r="AC56" s="67">
        <f t="shared" ca="1" si="2"/>
        <v>4.4802582033351257</v>
      </c>
    </row>
    <row r="57" spans="8:29" x14ac:dyDescent="0.2">
      <c r="H57" s="297">
        <f>'Summary Calculations (hide)'!A59</f>
        <v>44501</v>
      </c>
      <c r="I57" t="str">
        <f>'Summary Calculations (hide)'!B59</f>
        <v/>
      </c>
      <c r="J57" t="str">
        <f>'Summary Calculations (hide)'!C59</f>
        <v>Nov</v>
      </c>
      <c r="K57">
        <f>'Summary Calculations (hide)'!D59</f>
        <v>44</v>
      </c>
      <c r="L57" s="67">
        <f ca="1">VLOOKUP($K57,'SPC background (hide)'!$AG$2:$AS$54,3,0)</f>
        <v>1</v>
      </c>
      <c r="M57" s="67">
        <f t="shared" ca="1" si="0"/>
        <v>445.5</v>
      </c>
      <c r="N57" s="67">
        <f t="shared" ca="1" si="1"/>
        <v>127.50613747954175</v>
      </c>
      <c r="O57" s="67"/>
      <c r="P57" s="67"/>
      <c r="Q57" s="67"/>
      <c r="R57" s="5">
        <f ca="1">(VLOOKUP(K57,'Summary Calculations (hide)'!$D$15:$L$67,8,0)+VLOOKUP(K57,'Summary Calculations (hide)'!$D$15:$L$67,9,0))*IF(Summary!$C$8="Patients",'Summary Calculations (hide)'!$I$9,1)</f>
        <v>560.43103448275861</v>
      </c>
      <c r="AA57" s="67">
        <f ca="1">IF(Summary!$C$8="Patients", 'Parameters calculator (hide)'!$H$63,'Parameters calculator (hide)'!$H$62)</f>
        <v>42.562452931683694</v>
      </c>
      <c r="AB57" s="67">
        <f ca="1">IF(Summary!$C$8="Patients", 'Parameters calculator (hide)'!$I$63,'Parameters calculator (hide)'!$I$62)</f>
        <v>47.04271113501882</v>
      </c>
      <c r="AC57" s="67">
        <f t="shared" ca="1" si="2"/>
        <v>4.4802582033351257</v>
      </c>
    </row>
    <row r="58" spans="8:29" x14ac:dyDescent="0.2">
      <c r="H58" s="297">
        <f>'Summary Calculations (hide)'!A60</f>
        <v>44508</v>
      </c>
      <c r="I58" t="str">
        <f>'Summary Calculations (hide)'!B60</f>
        <v/>
      </c>
      <c r="J58" t="str">
        <f>'Summary Calculations (hide)'!C60</f>
        <v/>
      </c>
      <c r="K58">
        <f>'Summary Calculations (hide)'!D60</f>
        <v>45</v>
      </c>
      <c r="L58" s="67">
        <f ca="1">VLOOKUP($K58,'SPC background (hide)'!$AG$2:$AS$54,3,0)</f>
        <v>1</v>
      </c>
      <c r="M58" s="67">
        <f t="shared" ca="1" si="0"/>
        <v>445.5</v>
      </c>
      <c r="N58" s="67">
        <f t="shared" ca="1" si="1"/>
        <v>127.50613747954175</v>
      </c>
      <c r="O58" s="67"/>
      <c r="P58" s="67"/>
      <c r="Q58" s="67"/>
      <c r="R58" s="5">
        <f ca="1">(VLOOKUP(K58,'Summary Calculations (hide)'!$D$15:$L$67,8,0)+VLOOKUP(K58,'Summary Calculations (hide)'!$D$15:$L$67,9,0))*IF(Summary!$C$8="Patients",'Summary Calculations (hide)'!$I$9,1)</f>
        <v>560.43103448275861</v>
      </c>
      <c r="AA58" s="67">
        <f ca="1">IF(Summary!$C$8="Patients", 'Parameters calculator (hide)'!$H$63,'Parameters calculator (hide)'!$H$62)</f>
        <v>42.562452931683694</v>
      </c>
      <c r="AB58" s="67">
        <f ca="1">IF(Summary!$C$8="Patients", 'Parameters calculator (hide)'!$I$63,'Parameters calculator (hide)'!$I$62)</f>
        <v>47.04271113501882</v>
      </c>
      <c r="AC58" s="67">
        <f t="shared" ca="1" si="2"/>
        <v>4.4802582033351257</v>
      </c>
    </row>
    <row r="59" spans="8:29" x14ac:dyDescent="0.2">
      <c r="H59" s="297">
        <f>'Summary Calculations (hide)'!A61</f>
        <v>44515</v>
      </c>
      <c r="I59" t="str">
        <f>'Summary Calculations (hide)'!B61</f>
        <v/>
      </c>
      <c r="J59" t="str">
        <f>'Summary Calculations (hide)'!C61</f>
        <v/>
      </c>
      <c r="K59">
        <f>'Summary Calculations (hide)'!D61</f>
        <v>46</v>
      </c>
      <c r="L59" s="67">
        <f ca="1">VLOOKUP($K59,'SPC background (hide)'!$AG$2:$AS$54,3,0)</f>
        <v>1</v>
      </c>
      <c r="M59" s="67">
        <f t="shared" ca="1" si="0"/>
        <v>445.5</v>
      </c>
      <c r="N59" s="67">
        <f t="shared" ca="1" si="1"/>
        <v>127.50613747954175</v>
      </c>
      <c r="O59" s="67"/>
      <c r="P59" s="67"/>
      <c r="Q59" s="67"/>
      <c r="R59" s="5">
        <f ca="1">(VLOOKUP(K59,'Summary Calculations (hide)'!$D$15:$L$67,8,0)+VLOOKUP(K59,'Summary Calculations (hide)'!$D$15:$L$67,9,0))*IF(Summary!$C$8="Patients",'Summary Calculations (hide)'!$I$9,1)</f>
        <v>560.43103448275861</v>
      </c>
      <c r="AA59" s="67">
        <f ca="1">IF(Summary!$C$8="Patients", 'Parameters calculator (hide)'!$H$63,'Parameters calculator (hide)'!$H$62)</f>
        <v>42.562452931683694</v>
      </c>
      <c r="AB59" s="67">
        <f ca="1">IF(Summary!$C$8="Patients", 'Parameters calculator (hide)'!$I$63,'Parameters calculator (hide)'!$I$62)</f>
        <v>47.04271113501882</v>
      </c>
      <c r="AC59" s="67">
        <f t="shared" ca="1" si="2"/>
        <v>4.4802582033351257</v>
      </c>
    </row>
    <row r="60" spans="8:29" x14ac:dyDescent="0.2">
      <c r="H60" s="297">
        <f>'Summary Calculations (hide)'!A62</f>
        <v>44522</v>
      </c>
      <c r="I60" t="str">
        <f>'Summary Calculations (hide)'!B62</f>
        <v/>
      </c>
      <c r="J60" t="str">
        <f>'Summary Calculations (hide)'!C62</f>
        <v/>
      </c>
      <c r="K60">
        <f>'Summary Calculations (hide)'!D62</f>
        <v>47</v>
      </c>
      <c r="L60" s="67">
        <f ca="1">VLOOKUP($K60,'SPC background (hide)'!$AG$2:$AS$54,3,0)</f>
        <v>1</v>
      </c>
      <c r="M60" s="67">
        <f t="shared" ca="1" si="0"/>
        <v>445.5</v>
      </c>
      <c r="N60" s="67">
        <f t="shared" ca="1" si="1"/>
        <v>127.50613747954175</v>
      </c>
      <c r="O60" s="67"/>
      <c r="P60" s="67"/>
      <c r="Q60" s="67"/>
      <c r="R60" s="5">
        <f ca="1">(VLOOKUP(K60,'Summary Calculations (hide)'!$D$15:$L$67,8,0)+VLOOKUP(K60,'Summary Calculations (hide)'!$D$15:$L$67,9,0))*IF(Summary!$C$8="Patients",'Summary Calculations (hide)'!$I$9,1)</f>
        <v>560.43103448275861</v>
      </c>
      <c r="AA60" s="67">
        <f ca="1">IF(Summary!$C$8="Patients", 'Parameters calculator (hide)'!$H$63,'Parameters calculator (hide)'!$H$62)</f>
        <v>42.562452931683694</v>
      </c>
      <c r="AB60" s="67">
        <f ca="1">IF(Summary!$C$8="Patients", 'Parameters calculator (hide)'!$I$63,'Parameters calculator (hide)'!$I$62)</f>
        <v>47.04271113501882</v>
      </c>
      <c r="AC60" s="67">
        <f t="shared" ca="1" si="2"/>
        <v>4.4802582033351257</v>
      </c>
    </row>
    <row r="61" spans="8:29" x14ac:dyDescent="0.2">
      <c r="H61" s="297">
        <f>'Summary Calculations (hide)'!A63</f>
        <v>44529</v>
      </c>
      <c r="I61" t="str">
        <f>'Summary Calculations (hide)'!B63</f>
        <v/>
      </c>
      <c r="J61" t="str">
        <f>'Summary Calculations (hide)'!C63</f>
        <v/>
      </c>
      <c r="K61">
        <f>'Summary Calculations (hide)'!D63</f>
        <v>48</v>
      </c>
      <c r="L61" s="67">
        <f ca="1">VLOOKUP($K61,'SPC background (hide)'!$AG$2:$AS$54,3,0)</f>
        <v>1</v>
      </c>
      <c r="M61" s="67">
        <f t="shared" ca="1" si="0"/>
        <v>445.5</v>
      </c>
      <c r="N61" s="67">
        <f t="shared" ca="1" si="1"/>
        <v>127.50613747954175</v>
      </c>
      <c r="O61" s="67"/>
      <c r="P61" s="67"/>
      <c r="Q61" s="67"/>
      <c r="R61" s="5">
        <f ca="1">(VLOOKUP(K61,'Summary Calculations (hide)'!$D$15:$L$67,8,0)+VLOOKUP(K61,'Summary Calculations (hide)'!$D$15:$L$67,9,0))*IF(Summary!$C$8="Patients",'Summary Calculations (hide)'!$I$9,1)</f>
        <v>560.43103448275861</v>
      </c>
      <c r="AA61" s="67">
        <f ca="1">IF(Summary!$C$8="Patients", 'Parameters calculator (hide)'!$H$63,'Parameters calculator (hide)'!$H$62)</f>
        <v>42.562452931683694</v>
      </c>
      <c r="AB61" s="67">
        <f ca="1">IF(Summary!$C$8="Patients", 'Parameters calculator (hide)'!$I$63,'Parameters calculator (hide)'!$I$62)</f>
        <v>47.04271113501882</v>
      </c>
      <c r="AC61" s="67">
        <f t="shared" ca="1" si="2"/>
        <v>4.4802582033351257</v>
      </c>
    </row>
    <row r="62" spans="8:29" x14ac:dyDescent="0.2">
      <c r="H62" s="297">
        <f>'Summary Calculations (hide)'!A64</f>
        <v>44536</v>
      </c>
      <c r="I62" t="str">
        <f>'Summary Calculations (hide)'!B64</f>
        <v/>
      </c>
      <c r="J62" t="str">
        <f>'Summary Calculations (hide)'!C64</f>
        <v>Dec</v>
      </c>
      <c r="K62">
        <f>'Summary Calculations (hide)'!D64</f>
        <v>49</v>
      </c>
      <c r="L62" s="67">
        <f ca="1">VLOOKUP($K62,'SPC background (hide)'!$AG$2:$AS$54,3,0)</f>
        <v>1</v>
      </c>
      <c r="M62" s="67">
        <f t="shared" ca="1" si="0"/>
        <v>445.5</v>
      </c>
      <c r="N62" s="67">
        <f t="shared" ca="1" si="1"/>
        <v>127.50613747954175</v>
      </c>
      <c r="O62" s="67"/>
      <c r="P62" s="67"/>
      <c r="Q62" s="67"/>
      <c r="R62" s="5">
        <f ca="1">(VLOOKUP(K62,'Summary Calculations (hide)'!$D$15:$L$67,8,0)+VLOOKUP(K62,'Summary Calculations (hide)'!$D$15:$L$67,9,0))*IF(Summary!$C$8="Patients",'Summary Calculations (hide)'!$I$9,1)</f>
        <v>560.43103448275861</v>
      </c>
      <c r="AA62" s="67">
        <f ca="1">IF(Summary!$C$8="Patients", 'Parameters calculator (hide)'!$H$63,'Parameters calculator (hide)'!$H$62)</f>
        <v>42.562452931683694</v>
      </c>
      <c r="AB62" s="67">
        <f ca="1">IF(Summary!$C$8="Patients", 'Parameters calculator (hide)'!$I$63,'Parameters calculator (hide)'!$I$62)</f>
        <v>47.04271113501882</v>
      </c>
      <c r="AC62" s="67">
        <f t="shared" ca="1" si="2"/>
        <v>4.4802582033351257</v>
      </c>
    </row>
    <row r="63" spans="8:29" x14ac:dyDescent="0.2">
      <c r="H63" s="297">
        <f>'Summary Calculations (hide)'!A65</f>
        <v>44543</v>
      </c>
      <c r="I63" t="str">
        <f>'Summary Calculations (hide)'!B65</f>
        <v/>
      </c>
      <c r="J63" t="str">
        <f>'Summary Calculations (hide)'!C65</f>
        <v/>
      </c>
      <c r="K63">
        <f>'Summary Calculations (hide)'!D65</f>
        <v>50</v>
      </c>
      <c r="L63" s="67">
        <f ca="1">VLOOKUP($K63,'SPC background (hide)'!$AG$2:$AS$54,3,0)</f>
        <v>1</v>
      </c>
      <c r="M63" s="67">
        <f t="shared" ca="1" si="0"/>
        <v>445.5</v>
      </c>
      <c r="N63" s="67">
        <f t="shared" ca="1" si="1"/>
        <v>127.50613747954175</v>
      </c>
      <c r="O63" s="67"/>
      <c r="P63" s="67"/>
      <c r="Q63" s="67"/>
      <c r="R63" s="5">
        <f ca="1">(VLOOKUP(K63,'Summary Calculations (hide)'!$D$15:$L$67,8,0)+VLOOKUP(K63,'Summary Calculations (hide)'!$D$15:$L$67,9,0))*IF(Summary!$C$8="Patients",'Summary Calculations (hide)'!$I$9,1)</f>
        <v>560.43103448275861</v>
      </c>
      <c r="AA63" s="67">
        <f ca="1">IF(Summary!$C$8="Patients", 'Parameters calculator (hide)'!$H$63,'Parameters calculator (hide)'!$H$62)</f>
        <v>42.562452931683694</v>
      </c>
      <c r="AB63" s="67">
        <f ca="1">IF(Summary!$C$8="Patients", 'Parameters calculator (hide)'!$I$63,'Parameters calculator (hide)'!$I$62)</f>
        <v>47.04271113501882</v>
      </c>
      <c r="AC63" s="67">
        <f t="shared" ca="1" si="2"/>
        <v>4.4802582033351257</v>
      </c>
    </row>
    <row r="64" spans="8:29" x14ac:dyDescent="0.2">
      <c r="H64" s="297">
        <f>'Summary Calculations (hide)'!A66</f>
        <v>44550</v>
      </c>
      <c r="I64" t="str">
        <f>'Summary Calculations (hide)'!B66</f>
        <v/>
      </c>
      <c r="J64" t="str">
        <f>'Summary Calculations (hide)'!C66</f>
        <v/>
      </c>
      <c r="K64">
        <f>'Summary Calculations (hide)'!D66</f>
        <v>51</v>
      </c>
      <c r="L64" s="67">
        <f ca="1">VLOOKUP($K64,'SPC background (hide)'!$AG$2:$AS$54,3,0)</f>
        <v>1</v>
      </c>
      <c r="M64" s="67">
        <f t="shared" ca="1" si="0"/>
        <v>445.5</v>
      </c>
      <c r="N64" s="67">
        <f t="shared" ca="1" si="1"/>
        <v>127.50613747954175</v>
      </c>
      <c r="O64" s="67"/>
      <c r="P64" s="67"/>
      <c r="Q64" s="67"/>
      <c r="R64" s="5">
        <f ca="1">(VLOOKUP(K64,'Summary Calculations (hide)'!$D$15:$L$67,8,0)+VLOOKUP(K64,'Summary Calculations (hide)'!$D$15:$L$67,9,0))*IF(Summary!$C$8="Patients",'Summary Calculations (hide)'!$I$9,1)</f>
        <v>560.43103448275861</v>
      </c>
      <c r="AA64" s="67">
        <f ca="1">IF(Summary!$C$8="Patients", 'Parameters calculator (hide)'!$H$63,'Parameters calculator (hide)'!$H$62)</f>
        <v>42.562452931683694</v>
      </c>
      <c r="AB64" s="67">
        <f ca="1">IF(Summary!$C$8="Patients", 'Parameters calculator (hide)'!$I$63,'Parameters calculator (hide)'!$I$62)</f>
        <v>47.04271113501882</v>
      </c>
      <c r="AC64" s="67">
        <f t="shared" ca="1" si="2"/>
        <v>4.4802582033351257</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6">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f ca="1">'Summary Calculations (hide)'!X70</f>
        <v>12.046153846153853</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f ca="1">IF(OR(C11="",C11=1),"",D12*(1+C11))</f>
        <v>12.648461538461547</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7"/>
      <c r="D15" s="307">
        <f ca="1">'Parameters calculator (hide)'!B43</f>
        <v>0.1</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7"/>
      <c r="D16" s="307">
        <f ca="1">'Parameters calculator (hide)'!B44</f>
        <v>0</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7"/>
      <c r="D17" s="307">
        <f ca="1">'Parameters calculator (hide)'!B45</f>
        <v>0.1</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7"/>
      <c r="D18" s="307">
        <f ca="1">'Parameters calculator (hide)'!B46</f>
        <v>1</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6" t="s">
        <v>512</v>
      </c>
      <c r="C22" s="489" t="s">
        <v>511</v>
      </c>
      <c r="D22" s="489"/>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7"/>
      <c r="C23" s="490"/>
      <c r="D23" s="490"/>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8"/>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1238</v>
      </c>
      <c r="V26" s="155" t="s">
        <v>1238</v>
      </c>
      <c r="W26" s="155" t="s">
        <v>1238</v>
      </c>
      <c r="X26" s="155" t="s">
        <v>1238</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1239</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1238</v>
      </c>
      <c r="AY27" s="158" t="s">
        <v>1238</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1266</v>
      </c>
      <c r="B1" s="67">
        <v>2</v>
      </c>
    </row>
    <row r="3" spans="1:10" x14ac:dyDescent="0.2">
      <c r="A3" s="67" t="s">
        <v>1245</v>
      </c>
      <c r="B3" s="67" t="s">
        <v>14</v>
      </c>
      <c r="C3" s="67" t="s">
        <v>1246</v>
      </c>
      <c r="D3" s="67" t="s">
        <v>1247</v>
      </c>
      <c r="E3" s="67" t="s">
        <v>529</v>
      </c>
      <c r="F3" s="67" t="s">
        <v>75</v>
      </c>
      <c r="G3" s="67" t="s">
        <v>1248</v>
      </c>
      <c r="H3" s="67" t="s">
        <v>99</v>
      </c>
      <c r="I3" s="67" t="s">
        <v>1249</v>
      </c>
      <c r="J3" s="67" t="s">
        <v>391</v>
      </c>
    </row>
    <row r="4" spans="1:10" x14ac:dyDescent="0.2">
      <c r="A4" t="s">
        <v>1267</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44515</v>
      </c>
      <c r="B4">
        <f ca="1">WEEKNUM(A4,21)</f>
        <v>46</v>
      </c>
      <c r="C4" s="5">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13.421118881118881</v>
      </c>
      <c r="D4" s="5">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2.7377622377622375</v>
      </c>
      <c r="E4" s="5">
        <f ca="1">VLOOKUP($B4,'Summary Calculations (hide)'!$D$15:$U$67,15,0)</f>
        <v>13.038461538461538</v>
      </c>
      <c r="F4" s="5">
        <f ca="1">VLOOKUP($B4,'Summary Calculations (hide)'!$D$15:$U$67,16,0)</f>
        <v>2.1153846153846154</v>
      </c>
      <c r="G4" s="5">
        <f ca="1">SUM(E4:F4)</f>
        <v>15.153846153846153</v>
      </c>
      <c r="H4" s="5">
        <f ca="1">IF(G4+SUM(I4:AC4)&lt;0,0,G4+SUM(I4:AC4))</f>
        <v>15.153846153846153</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f ca="1">VLOOKUP($B4,'Summary Calculations (hide)'!$D$15:$U$67,17,0)</f>
        <v>13.421118881118881</v>
      </c>
      <c r="AE4" s="67">
        <f ca="1">VLOOKUP($B4,'Summary Calculations (hide)'!$D$15:$U$67,18,0)</f>
        <v>2.7377622377622375</v>
      </c>
    </row>
    <row r="5" spans="1:31" x14ac:dyDescent="0.2">
      <c r="A5" s="87">
        <f ca="1">A4+7</f>
        <v>44522</v>
      </c>
      <c r="B5" s="67">
        <f t="shared" ref="B5:B55" ca="1" si="0">WEEKNUM(A5,21)</f>
        <v>47</v>
      </c>
      <c r="C5" s="5">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13.421118881118881</v>
      </c>
      <c r="D5" s="5">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2.7377622377622375</v>
      </c>
      <c r="E5" s="5">
        <f ca="1">VLOOKUP($B5,'Summary Calculations (hide)'!$D$15:$U$67,15,0)</f>
        <v>13.038461538461538</v>
      </c>
      <c r="F5" s="5">
        <f ca="1">VLOOKUP($B5,'Summary Calculations (hide)'!$D$15:$U$67,16,0)</f>
        <v>2.1153846153846154</v>
      </c>
      <c r="G5" s="5">
        <f t="shared" ref="G5:G55" ca="1" si="1">SUM(E5:F5)</f>
        <v>15.153846153846153</v>
      </c>
      <c r="H5" s="5">
        <f t="shared" ref="H5:H55" ca="1" si="2">IF(G5+SUM(I5:AC5)&lt;0,0,G5+SUM(I5:AC5))</f>
        <v>15.153846153846153</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f ca="1">VLOOKUP($B5,'Summary Calculations (hide)'!$D$15:$U$67,17,0)</f>
        <v>13.421118881118881</v>
      </c>
      <c r="AE5" s="67">
        <f ca="1">VLOOKUP($B5,'Summary Calculations (hide)'!$D$15:$U$67,18,0)</f>
        <v>2.7377622377622375</v>
      </c>
    </row>
    <row r="6" spans="1:31" x14ac:dyDescent="0.2">
      <c r="A6" s="87">
        <f t="shared" ref="A6:A55" ca="1" si="3">A5+7</f>
        <v>44529</v>
      </c>
      <c r="B6" s="67">
        <f t="shared" ca="1" si="0"/>
        <v>48</v>
      </c>
      <c r="C6" s="5">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13.421118881118881</v>
      </c>
      <c r="D6" s="5">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2.7377622377622375</v>
      </c>
      <c r="E6" s="5">
        <f ca="1">VLOOKUP($B6,'Summary Calculations (hide)'!$D$15:$U$67,15,0)</f>
        <v>13.038461538461538</v>
      </c>
      <c r="F6" s="5">
        <f ca="1">VLOOKUP($B6,'Summary Calculations (hide)'!$D$15:$U$67,16,0)</f>
        <v>2.1153846153846154</v>
      </c>
      <c r="G6" s="5">
        <f t="shared" ca="1" si="1"/>
        <v>15.153846153846153</v>
      </c>
      <c r="H6" s="5">
        <f t="shared" ca="1" si="2"/>
        <v>15.153846153846153</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f ca="1">VLOOKUP($B6,'Summary Calculations (hide)'!$D$15:$U$67,17,0)</f>
        <v>13.421118881118881</v>
      </c>
      <c r="AE6" s="67">
        <f ca="1">VLOOKUP($B6,'Summary Calculations (hide)'!$D$15:$U$67,18,0)</f>
        <v>2.7377622377622375</v>
      </c>
    </row>
    <row r="7" spans="1:31" x14ac:dyDescent="0.2">
      <c r="A7" s="87">
        <f t="shared" ca="1" si="3"/>
        <v>44536</v>
      </c>
      <c r="B7" s="67">
        <f t="shared" ca="1" si="0"/>
        <v>49</v>
      </c>
      <c r="C7" s="5">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13.421118881118881</v>
      </c>
      <c r="D7" s="5">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2.7377622377622375</v>
      </c>
      <c r="E7" s="5">
        <f ca="1">VLOOKUP($B7,'Summary Calculations (hide)'!$D$15:$U$67,15,0)</f>
        <v>13.038461538461538</v>
      </c>
      <c r="F7" s="5">
        <f ca="1">VLOOKUP($B7,'Summary Calculations (hide)'!$D$15:$U$67,16,0)</f>
        <v>2.1153846153846154</v>
      </c>
      <c r="G7" s="5">
        <f t="shared" ca="1" si="1"/>
        <v>15.153846153846153</v>
      </c>
      <c r="H7" s="5">
        <f t="shared" ca="1" si="2"/>
        <v>15.153846153846153</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f ca="1">VLOOKUP($B7,'Summary Calculations (hide)'!$D$15:$U$67,17,0)</f>
        <v>13.421118881118881</v>
      </c>
      <c r="AE7" s="67">
        <f ca="1">VLOOKUP($B7,'Summary Calculations (hide)'!$D$15:$U$67,18,0)</f>
        <v>2.7377622377622375</v>
      </c>
    </row>
    <row r="8" spans="1:31" x14ac:dyDescent="0.2">
      <c r="A8" s="87">
        <f t="shared" ca="1" si="3"/>
        <v>44543</v>
      </c>
      <c r="B8" s="67">
        <f t="shared" ca="1" si="0"/>
        <v>50</v>
      </c>
      <c r="C8" s="5">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13.421118881118881</v>
      </c>
      <c r="D8" s="5">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2.7377622377622375</v>
      </c>
      <c r="E8" s="5">
        <f ca="1">VLOOKUP($B8,'Summary Calculations (hide)'!$D$15:$U$67,15,0)</f>
        <v>13.038461538461538</v>
      </c>
      <c r="F8" s="5">
        <f ca="1">VLOOKUP($B8,'Summary Calculations (hide)'!$D$15:$U$67,16,0)</f>
        <v>2.1153846153846154</v>
      </c>
      <c r="G8" s="5">
        <f t="shared" ca="1" si="1"/>
        <v>15.153846153846153</v>
      </c>
      <c r="H8" s="5">
        <f t="shared" ca="1" si="2"/>
        <v>15.153846153846153</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f ca="1">VLOOKUP($B8,'Summary Calculations (hide)'!$D$15:$U$67,17,0)</f>
        <v>13.421118881118881</v>
      </c>
      <c r="AE8" s="67">
        <f ca="1">VLOOKUP($B8,'Summary Calculations (hide)'!$D$15:$U$67,18,0)</f>
        <v>2.7377622377622375</v>
      </c>
    </row>
    <row r="9" spans="1:31" x14ac:dyDescent="0.2">
      <c r="A9" s="87">
        <f t="shared" ca="1" si="3"/>
        <v>44550</v>
      </c>
      <c r="B9" s="67">
        <f t="shared" ca="1" si="0"/>
        <v>51</v>
      </c>
      <c r="C9" s="5">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13.421118881118881</v>
      </c>
      <c r="D9" s="5">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2.7377622377622375</v>
      </c>
      <c r="E9" s="5">
        <f ca="1">VLOOKUP($B9,'Summary Calculations (hide)'!$D$15:$U$67,15,0)</f>
        <v>13.038461538461538</v>
      </c>
      <c r="F9" s="5">
        <f ca="1">VLOOKUP($B9,'Summary Calculations (hide)'!$D$15:$U$67,16,0)</f>
        <v>2.1153846153846154</v>
      </c>
      <c r="G9" s="5">
        <f t="shared" ca="1" si="1"/>
        <v>15.153846153846153</v>
      </c>
      <c r="H9" s="5">
        <f t="shared" ca="1" si="2"/>
        <v>15.153846153846153</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f ca="1">VLOOKUP($B9,'Summary Calculations (hide)'!$D$15:$U$67,17,0)</f>
        <v>13.421118881118881</v>
      </c>
      <c r="AE9" s="67">
        <f ca="1">VLOOKUP($B9,'Summary Calculations (hide)'!$D$15:$U$67,18,0)</f>
        <v>2.7377622377622375</v>
      </c>
    </row>
    <row r="10" spans="1:31" x14ac:dyDescent="0.2">
      <c r="A10" s="87">
        <f t="shared" ca="1" si="3"/>
        <v>44557</v>
      </c>
      <c r="B10" s="67">
        <f t="shared" ca="1" si="0"/>
        <v>52</v>
      </c>
      <c r="C10" s="5">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13.421118881118881</v>
      </c>
      <c r="D10" s="5">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2.7377622377622375</v>
      </c>
      <c r="E10" s="5">
        <f ca="1">VLOOKUP($B10,'Summary Calculations (hide)'!$D$15:$U$67,15,0)</f>
        <v>13.038461538461538</v>
      </c>
      <c r="F10" s="5">
        <f ca="1">VLOOKUP($B10,'Summary Calculations (hide)'!$D$15:$U$67,16,0)</f>
        <v>2.1153846153846154</v>
      </c>
      <c r="G10" s="5">
        <f t="shared" ca="1" si="1"/>
        <v>15.153846153846153</v>
      </c>
      <c r="H10" s="5">
        <f t="shared" ca="1" si="2"/>
        <v>117.15384615384616</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f ca="1">VLOOKUP($B10,'Summary Calculations (hide)'!$D$15:$U$67,17,0)</f>
        <v>13.421118881118881</v>
      </c>
      <c r="AE10" s="67">
        <f ca="1">VLOOKUP($B10,'Summary Calculations (hide)'!$D$15:$U$67,18,0)</f>
        <v>2.7377622377622375</v>
      </c>
    </row>
    <row r="11" spans="1:31" x14ac:dyDescent="0.2">
      <c r="A11" s="87">
        <f t="shared" ca="1" si="3"/>
        <v>44564</v>
      </c>
      <c r="B11" s="67">
        <f t="shared" ca="1" si="0"/>
        <v>1</v>
      </c>
      <c r="C11" s="5">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13.421118881118881</v>
      </c>
      <c r="D11" s="5">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2.7377622377622375</v>
      </c>
      <c r="E11" s="5">
        <f ca="1">VLOOKUP($B11,'Summary Calculations (hide)'!$D$15:$U$67,15,0)</f>
        <v>13.038461538461538</v>
      </c>
      <c r="F11" s="5">
        <f ca="1">VLOOKUP($B11,'Summary Calculations (hide)'!$D$15:$U$67,16,0)</f>
        <v>2.1153846153846154</v>
      </c>
      <c r="G11" s="5">
        <f t="shared" ca="1" si="1"/>
        <v>15.153846153846153</v>
      </c>
      <c r="H11" s="5">
        <f t="shared" ca="1" si="2"/>
        <v>15.153846153846153</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f ca="1">VLOOKUP($B11,'Summary Calculations (hide)'!$D$15:$U$67,17,0)</f>
        <v>13.421118881118881</v>
      </c>
      <c r="AE11" s="67">
        <f ca="1">VLOOKUP($B11,'Summary Calculations (hide)'!$D$15:$U$67,18,0)</f>
        <v>2.7377622377622375</v>
      </c>
    </row>
    <row r="12" spans="1:31" x14ac:dyDescent="0.2">
      <c r="A12" s="87">
        <f t="shared" ca="1" si="3"/>
        <v>44571</v>
      </c>
      <c r="B12" s="67">
        <f t="shared" ca="1" si="0"/>
        <v>2</v>
      </c>
      <c r="C12" s="5">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13.421118881118881</v>
      </c>
      <c r="D12" s="5">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2.7377622377622375</v>
      </c>
      <c r="E12" s="5">
        <f ca="1">VLOOKUP($B12,'Summary Calculations (hide)'!$D$15:$U$67,15,0)</f>
        <v>13.038461538461538</v>
      </c>
      <c r="F12" s="5">
        <f ca="1">VLOOKUP($B12,'Summary Calculations (hide)'!$D$15:$U$67,16,0)</f>
        <v>2.1153846153846154</v>
      </c>
      <c r="G12" s="5">
        <f t="shared" ca="1" si="1"/>
        <v>15.153846153846153</v>
      </c>
      <c r="H12" s="5">
        <f t="shared" ca="1" si="2"/>
        <v>117.15384615384616</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f ca="1">VLOOKUP($B12,'Summary Calculations (hide)'!$D$15:$U$67,17,0)</f>
        <v>13.421118881118881</v>
      </c>
      <c r="AE12" s="67">
        <f ca="1">VLOOKUP($B12,'Summary Calculations (hide)'!$D$15:$U$67,18,0)</f>
        <v>2.7377622377622375</v>
      </c>
    </row>
    <row r="13" spans="1:31" x14ac:dyDescent="0.2">
      <c r="A13" s="87">
        <f t="shared" ca="1" si="3"/>
        <v>44578</v>
      </c>
      <c r="B13" s="67">
        <f t="shared" ca="1" si="0"/>
        <v>3</v>
      </c>
      <c r="C13" s="5">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13.421118881118881</v>
      </c>
      <c r="D13" s="5">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2.7377622377622375</v>
      </c>
      <c r="E13" s="5">
        <f ca="1">VLOOKUP($B13,'Summary Calculations (hide)'!$D$15:$U$67,15,0)</f>
        <v>13.038461538461538</v>
      </c>
      <c r="F13" s="5">
        <f ca="1">VLOOKUP($B13,'Summary Calculations (hide)'!$D$15:$U$67,16,0)</f>
        <v>2.1153846153846154</v>
      </c>
      <c r="G13" s="5">
        <f t="shared" ca="1" si="1"/>
        <v>15.153846153846153</v>
      </c>
      <c r="H13" s="5">
        <f t="shared" ca="1" si="2"/>
        <v>100.15384615384616</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f ca="1">VLOOKUP($B13,'Summary Calculations (hide)'!$D$15:$U$67,17,0)</f>
        <v>13.421118881118881</v>
      </c>
      <c r="AE13" s="67">
        <f ca="1">VLOOKUP($B13,'Summary Calculations (hide)'!$D$15:$U$67,18,0)</f>
        <v>2.7377622377622375</v>
      </c>
    </row>
    <row r="14" spans="1:31" x14ac:dyDescent="0.2">
      <c r="A14" s="87">
        <f t="shared" ca="1" si="3"/>
        <v>44585</v>
      </c>
      <c r="B14" s="67">
        <f t="shared" ca="1" si="0"/>
        <v>4</v>
      </c>
      <c r="C14" s="5">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13.421118881118881</v>
      </c>
      <c r="D14" s="5">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2.7377622377622375</v>
      </c>
      <c r="E14" s="5">
        <f ca="1">VLOOKUP($B14,'Summary Calculations (hide)'!$D$15:$U$67,15,0)</f>
        <v>13.038461538461538</v>
      </c>
      <c r="F14" s="5">
        <f ca="1">VLOOKUP($B14,'Summary Calculations (hide)'!$D$15:$U$67,16,0)</f>
        <v>2.1153846153846154</v>
      </c>
      <c r="G14" s="5">
        <f t="shared" ca="1" si="1"/>
        <v>15.153846153846153</v>
      </c>
      <c r="H14" s="5">
        <f t="shared" ca="1" si="2"/>
        <v>15.153846153846153</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f ca="1">VLOOKUP($B14,'Summary Calculations (hide)'!$D$15:$U$67,17,0)</f>
        <v>13.421118881118881</v>
      </c>
      <c r="AE14" s="67">
        <f ca="1">VLOOKUP($B14,'Summary Calculations (hide)'!$D$15:$U$67,18,0)</f>
        <v>2.7377622377622375</v>
      </c>
    </row>
    <row r="15" spans="1:31" x14ac:dyDescent="0.2">
      <c r="A15" s="87">
        <f t="shared" ca="1" si="3"/>
        <v>44592</v>
      </c>
      <c r="B15" s="67">
        <f t="shared" ca="1" si="0"/>
        <v>5</v>
      </c>
      <c r="C15" s="5">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13.421118881118881</v>
      </c>
      <c r="D15" s="5">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2.7377622377622375</v>
      </c>
      <c r="E15" s="5">
        <f ca="1">VLOOKUP($B15,'Summary Calculations (hide)'!$D$15:$U$67,15,0)</f>
        <v>13.038461538461538</v>
      </c>
      <c r="F15" s="5">
        <f ca="1">VLOOKUP($B15,'Summary Calculations (hide)'!$D$15:$U$67,16,0)</f>
        <v>2.1153846153846154</v>
      </c>
      <c r="G15" s="5">
        <f t="shared" ca="1" si="1"/>
        <v>15.153846153846153</v>
      </c>
      <c r="H15" s="5">
        <f t="shared" ca="1" si="2"/>
        <v>15.153846153846153</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f ca="1">VLOOKUP($B15,'Summary Calculations (hide)'!$D$15:$U$67,17,0)</f>
        <v>13.421118881118881</v>
      </c>
      <c r="AE15" s="67">
        <f ca="1">VLOOKUP($B15,'Summary Calculations (hide)'!$D$15:$U$67,18,0)</f>
        <v>2.7377622377622375</v>
      </c>
    </row>
    <row r="16" spans="1:31" x14ac:dyDescent="0.2">
      <c r="A16" s="87">
        <f t="shared" ca="1" si="3"/>
        <v>44599</v>
      </c>
      <c r="B16" s="67">
        <f t="shared" ca="1" si="0"/>
        <v>6</v>
      </c>
      <c r="C16" s="5">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13.421118881118881</v>
      </c>
      <c r="D16" s="5">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2.7377622377622375</v>
      </c>
      <c r="E16" s="5">
        <f ca="1">VLOOKUP($B16,'Summary Calculations (hide)'!$D$15:$U$67,15,0)</f>
        <v>13.038461538461538</v>
      </c>
      <c r="F16" s="5">
        <f ca="1">VLOOKUP($B16,'Summary Calculations (hide)'!$D$15:$U$67,16,0)</f>
        <v>2.1153846153846154</v>
      </c>
      <c r="G16" s="5">
        <f t="shared" ca="1" si="1"/>
        <v>15.153846153846153</v>
      </c>
      <c r="H16" s="5">
        <f t="shared" ca="1" si="2"/>
        <v>117.15384615384616</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f ca="1">VLOOKUP($B16,'Summary Calculations (hide)'!$D$15:$U$67,17,0)</f>
        <v>13.421118881118881</v>
      </c>
      <c r="AE16" s="67">
        <f ca="1">VLOOKUP($B16,'Summary Calculations (hide)'!$D$15:$U$67,18,0)</f>
        <v>2.7377622377622375</v>
      </c>
    </row>
    <row r="17" spans="1:31" x14ac:dyDescent="0.2">
      <c r="A17" s="87">
        <f t="shared" ca="1" si="3"/>
        <v>44606</v>
      </c>
      <c r="B17" s="67">
        <f t="shared" ca="1" si="0"/>
        <v>7</v>
      </c>
      <c r="C17" s="5">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13.421118881118881</v>
      </c>
      <c r="D17" s="5">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2.7377622377622375</v>
      </c>
      <c r="E17" s="5">
        <f ca="1">VLOOKUP($B17,'Summary Calculations (hide)'!$D$15:$U$67,15,0)</f>
        <v>13.038461538461538</v>
      </c>
      <c r="F17" s="5">
        <f ca="1">VLOOKUP($B17,'Summary Calculations (hide)'!$D$15:$U$67,16,0)</f>
        <v>2.1153846153846154</v>
      </c>
      <c r="G17" s="5">
        <f t="shared" ca="1" si="1"/>
        <v>15.153846153846153</v>
      </c>
      <c r="H17" s="5">
        <f t="shared" ca="1" si="2"/>
        <v>15.153846153846153</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f ca="1">VLOOKUP($B17,'Summary Calculations (hide)'!$D$15:$U$67,17,0)</f>
        <v>13.421118881118881</v>
      </c>
      <c r="AE17" s="67">
        <f ca="1">VLOOKUP($B17,'Summary Calculations (hide)'!$D$15:$U$67,18,0)</f>
        <v>2.7377622377622375</v>
      </c>
    </row>
    <row r="18" spans="1:31" x14ac:dyDescent="0.2">
      <c r="A18" s="87">
        <f t="shared" ca="1" si="3"/>
        <v>44613</v>
      </c>
      <c r="B18" s="67">
        <f t="shared" ca="1" si="0"/>
        <v>8</v>
      </c>
      <c r="C18" s="5">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13.421118881118881</v>
      </c>
      <c r="D18" s="5">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2.7377622377622375</v>
      </c>
      <c r="E18" s="5">
        <f ca="1">VLOOKUP($B18,'Summary Calculations (hide)'!$D$15:$U$67,15,0)</f>
        <v>13.038461538461538</v>
      </c>
      <c r="F18" s="5">
        <f ca="1">VLOOKUP($B18,'Summary Calculations (hide)'!$D$15:$U$67,16,0)</f>
        <v>2.1153846153846154</v>
      </c>
      <c r="G18" s="5">
        <f t="shared" ca="1" si="1"/>
        <v>15.153846153846153</v>
      </c>
      <c r="H18" s="5">
        <f t="shared" ca="1" si="2"/>
        <v>15.153846153846153</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f ca="1">VLOOKUP($B18,'Summary Calculations (hide)'!$D$15:$U$67,17,0)</f>
        <v>13.421118881118881</v>
      </c>
      <c r="AE18" s="67">
        <f ca="1">VLOOKUP($B18,'Summary Calculations (hide)'!$D$15:$U$67,18,0)</f>
        <v>2.7377622377622375</v>
      </c>
    </row>
    <row r="19" spans="1:31" x14ac:dyDescent="0.2">
      <c r="A19" s="87">
        <f t="shared" ca="1" si="3"/>
        <v>44620</v>
      </c>
      <c r="B19" s="67">
        <f t="shared" ca="1" si="0"/>
        <v>9</v>
      </c>
      <c r="C19" s="5">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13.421118881118881</v>
      </c>
      <c r="D19" s="5">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2.7377622377622375</v>
      </c>
      <c r="E19" s="5">
        <f ca="1">VLOOKUP($B19,'Summary Calculations (hide)'!$D$15:$U$67,15,0)</f>
        <v>13.038461538461538</v>
      </c>
      <c r="F19" s="5">
        <f ca="1">VLOOKUP($B19,'Summary Calculations (hide)'!$D$15:$U$67,16,0)</f>
        <v>2.1153846153846154</v>
      </c>
      <c r="G19" s="5">
        <f t="shared" ca="1" si="1"/>
        <v>15.153846153846153</v>
      </c>
      <c r="H19" s="5">
        <f t="shared" ca="1" si="2"/>
        <v>100.15384615384616</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f ca="1">VLOOKUP($B19,'Summary Calculations (hide)'!$D$15:$U$67,17,0)</f>
        <v>13.421118881118881</v>
      </c>
      <c r="AE19" s="67">
        <f ca="1">VLOOKUP($B19,'Summary Calculations (hide)'!$D$15:$U$67,18,0)</f>
        <v>2.7377622377622375</v>
      </c>
    </row>
    <row r="20" spans="1:31" x14ac:dyDescent="0.2">
      <c r="A20" s="87">
        <f t="shared" ca="1" si="3"/>
        <v>44627</v>
      </c>
      <c r="B20" s="67">
        <f t="shared" ca="1" si="0"/>
        <v>10</v>
      </c>
      <c r="C20" s="5">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13.421118881118881</v>
      </c>
      <c r="D20" s="5">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2.7377622377622375</v>
      </c>
      <c r="E20" s="5">
        <f ca="1">VLOOKUP($B20,'Summary Calculations (hide)'!$D$15:$U$67,15,0)</f>
        <v>13.038461538461538</v>
      </c>
      <c r="F20" s="5">
        <f ca="1">VLOOKUP($B20,'Summary Calculations (hide)'!$D$15:$U$67,16,0)</f>
        <v>2.1153846153846154</v>
      </c>
      <c r="G20" s="5">
        <f t="shared" ca="1" si="1"/>
        <v>15.153846153846153</v>
      </c>
      <c r="H20" s="5">
        <f t="shared" ca="1" si="2"/>
        <v>100.15384615384616</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f ca="1">VLOOKUP($B20,'Summary Calculations (hide)'!$D$15:$U$67,17,0)</f>
        <v>13.421118881118881</v>
      </c>
      <c r="AE20" s="67">
        <f ca="1">VLOOKUP($B20,'Summary Calculations (hide)'!$D$15:$U$67,18,0)</f>
        <v>2.7377622377622375</v>
      </c>
    </row>
    <row r="21" spans="1:31" x14ac:dyDescent="0.2">
      <c r="A21" s="87">
        <f t="shared" ca="1" si="3"/>
        <v>44634</v>
      </c>
      <c r="B21" s="67">
        <f t="shared" ca="1" si="0"/>
        <v>11</v>
      </c>
      <c r="C21" s="5">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13.421118881118881</v>
      </c>
      <c r="D21" s="5">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2.7377622377622375</v>
      </c>
      <c r="E21" s="5">
        <f ca="1">VLOOKUP($B21,'Summary Calculations (hide)'!$D$15:$U$67,15,0)</f>
        <v>13.038461538461538</v>
      </c>
      <c r="F21" s="5">
        <f ca="1">VLOOKUP($B21,'Summary Calculations (hide)'!$D$15:$U$67,16,0)</f>
        <v>2.1153846153846154</v>
      </c>
      <c r="G21" s="5">
        <f t="shared" ca="1" si="1"/>
        <v>15.153846153846153</v>
      </c>
      <c r="H21" s="5">
        <f t="shared" ca="1" si="2"/>
        <v>100.15384615384616</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f ca="1">VLOOKUP($B21,'Summary Calculations (hide)'!$D$15:$U$67,17,0)</f>
        <v>13.421118881118881</v>
      </c>
      <c r="AE21" s="67">
        <f ca="1">VLOOKUP($B21,'Summary Calculations (hide)'!$D$15:$U$67,18,0)</f>
        <v>2.7377622377622375</v>
      </c>
    </row>
    <row r="22" spans="1:31" x14ac:dyDescent="0.2">
      <c r="A22" s="87">
        <f t="shared" ca="1" si="3"/>
        <v>44641</v>
      </c>
      <c r="B22" s="67">
        <f t="shared" ca="1" si="0"/>
        <v>12</v>
      </c>
      <c r="C22" s="5">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13.421118881118881</v>
      </c>
      <c r="D22" s="5">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2.7377622377622375</v>
      </c>
      <c r="E22" s="5">
        <f ca="1">VLOOKUP($B22,'Summary Calculations (hide)'!$D$15:$U$67,15,0)</f>
        <v>13.038461538461538</v>
      </c>
      <c r="F22" s="5">
        <f ca="1">VLOOKUP($B22,'Summary Calculations (hide)'!$D$15:$U$67,16,0)</f>
        <v>2.1153846153846154</v>
      </c>
      <c r="G22" s="5">
        <f t="shared" ca="1" si="1"/>
        <v>15.153846153846153</v>
      </c>
      <c r="H22" s="5">
        <f t="shared" ca="1" si="2"/>
        <v>100.15384615384616</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f ca="1">VLOOKUP($B22,'Summary Calculations (hide)'!$D$15:$U$67,17,0)</f>
        <v>13.421118881118881</v>
      </c>
      <c r="AE22" s="67">
        <f ca="1">VLOOKUP($B22,'Summary Calculations (hide)'!$D$15:$U$67,18,0)</f>
        <v>2.7377622377622375</v>
      </c>
    </row>
    <row r="23" spans="1:31" x14ac:dyDescent="0.2">
      <c r="A23" s="87">
        <f t="shared" ca="1" si="3"/>
        <v>44648</v>
      </c>
      <c r="B23" s="67">
        <f t="shared" ca="1" si="0"/>
        <v>13</v>
      </c>
      <c r="C23" s="5">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13.421118881118881</v>
      </c>
      <c r="D23" s="5">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2.7377622377622375</v>
      </c>
      <c r="E23" s="5">
        <f ca="1">VLOOKUP($B23,'Summary Calculations (hide)'!$D$15:$U$67,15,0)</f>
        <v>13.038461538461538</v>
      </c>
      <c r="F23" s="5">
        <f ca="1">VLOOKUP($B23,'Summary Calculations (hide)'!$D$15:$U$67,16,0)</f>
        <v>2.1153846153846154</v>
      </c>
      <c r="G23" s="5">
        <f t="shared" ca="1" si="1"/>
        <v>15.153846153846153</v>
      </c>
      <c r="H23" s="5">
        <f t="shared" ca="1" si="2"/>
        <v>15.153846153846153</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f ca="1">VLOOKUP($B23,'Summary Calculations (hide)'!$D$15:$U$67,17,0)</f>
        <v>13.421118881118881</v>
      </c>
      <c r="AE23" s="67">
        <f ca="1">VLOOKUP($B23,'Summary Calculations (hide)'!$D$15:$U$67,18,0)</f>
        <v>2.7377622377622375</v>
      </c>
    </row>
    <row r="24" spans="1:31" x14ac:dyDescent="0.2">
      <c r="A24" s="87">
        <f t="shared" ca="1" si="3"/>
        <v>44655</v>
      </c>
      <c r="B24" s="67">
        <f t="shared" ca="1" si="0"/>
        <v>14</v>
      </c>
      <c r="C24" s="5">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13.421118881118881</v>
      </c>
      <c r="D24" s="5">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2.7377622377622375</v>
      </c>
      <c r="E24" s="5">
        <f ca="1">VLOOKUP($B24,'Summary Calculations (hide)'!$D$15:$U$67,15,0)</f>
        <v>13.038461538461538</v>
      </c>
      <c r="F24" s="5">
        <f ca="1">VLOOKUP($B24,'Summary Calculations (hide)'!$D$15:$U$67,16,0)</f>
        <v>2.1153846153846154</v>
      </c>
      <c r="G24" s="5">
        <f t="shared" ca="1" si="1"/>
        <v>15.153846153846153</v>
      </c>
      <c r="H24" s="5">
        <f t="shared" ca="1" si="2"/>
        <v>117.15384615384616</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f ca="1">VLOOKUP($B24,'Summary Calculations (hide)'!$D$15:$U$67,17,0)</f>
        <v>13.421118881118881</v>
      </c>
      <c r="AE24" s="67">
        <f ca="1">VLOOKUP($B24,'Summary Calculations (hide)'!$D$15:$U$67,18,0)</f>
        <v>2.7377622377622375</v>
      </c>
    </row>
    <row r="25" spans="1:31" x14ac:dyDescent="0.2">
      <c r="A25" s="87">
        <f t="shared" ca="1" si="3"/>
        <v>44662</v>
      </c>
      <c r="B25" s="67">
        <f t="shared" ca="1" si="0"/>
        <v>15</v>
      </c>
      <c r="C25" s="5">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13.421118881118881</v>
      </c>
      <c r="D25" s="5">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2.7377622377622375</v>
      </c>
      <c r="E25" s="5">
        <f ca="1">VLOOKUP($B25,'Summary Calculations (hide)'!$D$15:$U$67,15,0)</f>
        <v>13.038461538461538</v>
      </c>
      <c r="F25" s="5">
        <f ca="1">VLOOKUP($B25,'Summary Calculations (hide)'!$D$15:$U$67,16,0)</f>
        <v>2.1153846153846154</v>
      </c>
      <c r="G25" s="5">
        <f t="shared" ca="1" si="1"/>
        <v>15.153846153846153</v>
      </c>
      <c r="H25" s="5">
        <f t="shared" ca="1" si="2"/>
        <v>117.15384615384616</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f ca="1">VLOOKUP($B25,'Summary Calculations (hide)'!$D$15:$U$67,17,0)</f>
        <v>13.421118881118881</v>
      </c>
      <c r="AE25" s="67">
        <f ca="1">VLOOKUP($B25,'Summary Calculations (hide)'!$D$15:$U$67,18,0)</f>
        <v>2.7377622377622375</v>
      </c>
    </row>
    <row r="26" spans="1:31" x14ac:dyDescent="0.2">
      <c r="A26" s="87">
        <f t="shared" ca="1" si="3"/>
        <v>44669</v>
      </c>
      <c r="B26" s="67">
        <f t="shared" ca="1" si="0"/>
        <v>16</v>
      </c>
      <c r="C26" s="5">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13.421118881118881</v>
      </c>
      <c r="D26" s="5">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2.7377622377622375</v>
      </c>
      <c r="E26" s="5">
        <f ca="1">VLOOKUP($B26,'Summary Calculations (hide)'!$D$15:$U$67,15,0)</f>
        <v>13.038461538461538</v>
      </c>
      <c r="F26" s="5">
        <f ca="1">VLOOKUP($B26,'Summary Calculations (hide)'!$D$15:$U$67,16,0)</f>
        <v>2.1153846153846154</v>
      </c>
      <c r="G26" s="5">
        <f t="shared" ca="1" si="1"/>
        <v>15.153846153846153</v>
      </c>
      <c r="H26" s="5">
        <f t="shared" ca="1" si="2"/>
        <v>15.153846153846153</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f ca="1">VLOOKUP($B26,'Summary Calculations (hide)'!$D$15:$U$67,17,0)</f>
        <v>13.421118881118881</v>
      </c>
      <c r="AE26" s="67">
        <f ca="1">VLOOKUP($B26,'Summary Calculations (hide)'!$D$15:$U$67,18,0)</f>
        <v>2.7377622377622375</v>
      </c>
    </row>
    <row r="27" spans="1:31" x14ac:dyDescent="0.2">
      <c r="A27" s="87">
        <f t="shared" ca="1" si="3"/>
        <v>44676</v>
      </c>
      <c r="B27" s="67">
        <f t="shared" ca="1" si="0"/>
        <v>17</v>
      </c>
      <c r="C27" s="5">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13.421118881118881</v>
      </c>
      <c r="D27" s="5">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2.7377622377622375</v>
      </c>
      <c r="E27" s="5">
        <f ca="1">VLOOKUP($B27,'Summary Calculations (hide)'!$D$15:$U$67,15,0)</f>
        <v>13.038461538461538</v>
      </c>
      <c r="F27" s="5">
        <f ca="1">VLOOKUP($B27,'Summary Calculations (hide)'!$D$15:$U$67,16,0)</f>
        <v>2.1153846153846154</v>
      </c>
      <c r="G27" s="5">
        <f t="shared" ca="1" si="1"/>
        <v>15.153846153846153</v>
      </c>
      <c r="H27" s="5">
        <f t="shared" ca="1" si="2"/>
        <v>15.153846153846153</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f ca="1">VLOOKUP($B27,'Summary Calculations (hide)'!$D$15:$U$67,17,0)</f>
        <v>13.421118881118881</v>
      </c>
      <c r="AE27" s="67">
        <f ca="1">VLOOKUP($B27,'Summary Calculations (hide)'!$D$15:$U$67,18,0)</f>
        <v>2.7377622377622375</v>
      </c>
    </row>
    <row r="28" spans="1:31" x14ac:dyDescent="0.2">
      <c r="A28" s="87">
        <f t="shared" ca="1" si="3"/>
        <v>44683</v>
      </c>
      <c r="B28" s="67">
        <f t="shared" ca="1" si="0"/>
        <v>18</v>
      </c>
      <c r="C28" s="5">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13.421118881118881</v>
      </c>
      <c r="D28" s="5">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2.7377622377622375</v>
      </c>
      <c r="E28" s="5">
        <f ca="1">VLOOKUP($B28,'Summary Calculations (hide)'!$D$15:$U$67,15,0)</f>
        <v>13.038461538461538</v>
      </c>
      <c r="F28" s="5">
        <f ca="1">VLOOKUP($B28,'Summary Calculations (hide)'!$D$15:$U$67,16,0)</f>
        <v>2.1153846153846154</v>
      </c>
      <c r="G28" s="5">
        <f t="shared" ca="1" si="1"/>
        <v>15.153846153846153</v>
      </c>
      <c r="H28" s="5">
        <f t="shared" ca="1" si="2"/>
        <v>15.153846153846153</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f ca="1">VLOOKUP($B28,'Summary Calculations (hide)'!$D$15:$U$67,17,0)</f>
        <v>13.421118881118881</v>
      </c>
      <c r="AE28" s="67">
        <f ca="1">VLOOKUP($B28,'Summary Calculations (hide)'!$D$15:$U$67,18,0)</f>
        <v>2.7377622377622375</v>
      </c>
    </row>
    <row r="29" spans="1:31" x14ac:dyDescent="0.2">
      <c r="A29" s="87">
        <f t="shared" ca="1" si="3"/>
        <v>44690</v>
      </c>
      <c r="B29" s="67">
        <f t="shared" ca="1" si="0"/>
        <v>19</v>
      </c>
      <c r="C29" s="5">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13.421118881118881</v>
      </c>
      <c r="D29" s="5">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2.7377622377622375</v>
      </c>
      <c r="E29" s="5">
        <f ca="1">VLOOKUP($B29,'Summary Calculations (hide)'!$D$15:$U$67,15,0)</f>
        <v>13.038461538461538</v>
      </c>
      <c r="F29" s="5">
        <f ca="1">VLOOKUP($B29,'Summary Calculations (hide)'!$D$15:$U$67,16,0)</f>
        <v>2.1153846153846154</v>
      </c>
      <c r="G29" s="5">
        <f t="shared" ca="1" si="1"/>
        <v>15.153846153846153</v>
      </c>
      <c r="H29" s="5">
        <f t="shared" ca="1" si="2"/>
        <v>15.153846153846153</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f ca="1">VLOOKUP($B29,'Summary Calculations (hide)'!$D$15:$U$67,17,0)</f>
        <v>13.421118881118881</v>
      </c>
      <c r="AE29" s="67">
        <f ca="1">VLOOKUP($B29,'Summary Calculations (hide)'!$D$15:$U$67,18,0)</f>
        <v>2.7377622377622375</v>
      </c>
    </row>
    <row r="30" spans="1:31" x14ac:dyDescent="0.2">
      <c r="A30" s="87">
        <f t="shared" ca="1" si="3"/>
        <v>44697</v>
      </c>
      <c r="B30" s="67">
        <f t="shared" ca="1" si="0"/>
        <v>20</v>
      </c>
      <c r="C30" s="5">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13.421118881118881</v>
      </c>
      <c r="D30" s="5">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2.7377622377622375</v>
      </c>
      <c r="E30" s="5">
        <f ca="1">VLOOKUP($B30,'Summary Calculations (hide)'!$D$15:$U$67,15,0)</f>
        <v>13.038461538461538</v>
      </c>
      <c r="F30" s="5">
        <f ca="1">VLOOKUP($B30,'Summary Calculations (hide)'!$D$15:$U$67,16,0)</f>
        <v>2.1153846153846154</v>
      </c>
      <c r="G30" s="5">
        <f t="shared" ca="1" si="1"/>
        <v>15.153846153846153</v>
      </c>
      <c r="H30" s="5">
        <f t="shared" ca="1" si="2"/>
        <v>15.153846153846153</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f ca="1">VLOOKUP($B30,'Summary Calculations (hide)'!$D$15:$U$67,17,0)</f>
        <v>13.421118881118881</v>
      </c>
      <c r="AE30" s="67">
        <f ca="1">VLOOKUP($B30,'Summary Calculations (hide)'!$D$15:$U$67,18,0)</f>
        <v>2.7377622377622375</v>
      </c>
    </row>
    <row r="31" spans="1:31" x14ac:dyDescent="0.2">
      <c r="A31" s="87">
        <f t="shared" ca="1" si="3"/>
        <v>44704</v>
      </c>
      <c r="B31" s="67">
        <f t="shared" ca="1" si="0"/>
        <v>21</v>
      </c>
      <c r="C31" s="5">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13.421118881118881</v>
      </c>
      <c r="D31" s="5">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2.7377622377622375</v>
      </c>
      <c r="E31" s="5">
        <f ca="1">VLOOKUP($B31,'Summary Calculations (hide)'!$D$15:$U$67,15,0)</f>
        <v>13.038461538461538</v>
      </c>
      <c r="F31" s="5">
        <f ca="1">VLOOKUP($B31,'Summary Calculations (hide)'!$D$15:$U$67,16,0)</f>
        <v>2.1153846153846154</v>
      </c>
      <c r="G31" s="5">
        <f t="shared" ca="1" si="1"/>
        <v>15.153846153846153</v>
      </c>
      <c r="H31" s="5">
        <f t="shared" ca="1" si="2"/>
        <v>15.153846153846153</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f ca="1">VLOOKUP($B31,'Summary Calculations (hide)'!$D$15:$U$67,17,0)</f>
        <v>13.421118881118881</v>
      </c>
      <c r="AE31" s="67">
        <f ca="1">VLOOKUP($B31,'Summary Calculations (hide)'!$D$15:$U$67,18,0)</f>
        <v>2.7377622377622375</v>
      </c>
    </row>
    <row r="32" spans="1:31" x14ac:dyDescent="0.2">
      <c r="A32" s="87">
        <f t="shared" ca="1" si="3"/>
        <v>44711</v>
      </c>
      <c r="B32" s="67">
        <f t="shared" ca="1" si="0"/>
        <v>22</v>
      </c>
      <c r="C32" s="5">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13.421118881118881</v>
      </c>
      <c r="D32" s="5">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2.7377622377622375</v>
      </c>
      <c r="E32" s="5">
        <f ca="1">VLOOKUP($B32,'Summary Calculations (hide)'!$D$15:$U$67,15,0)</f>
        <v>13.038461538461538</v>
      </c>
      <c r="F32" s="5">
        <f ca="1">VLOOKUP($B32,'Summary Calculations (hide)'!$D$15:$U$67,16,0)</f>
        <v>2.1153846153846154</v>
      </c>
      <c r="G32" s="5">
        <f t="shared" ca="1" si="1"/>
        <v>15.153846153846153</v>
      </c>
      <c r="H32" s="5">
        <f t="shared" ca="1" si="2"/>
        <v>15.153846153846153</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f ca="1">VLOOKUP($B32,'Summary Calculations (hide)'!$D$15:$U$67,17,0)</f>
        <v>13.421118881118881</v>
      </c>
      <c r="AE32" s="67">
        <f ca="1">VLOOKUP($B32,'Summary Calculations (hide)'!$D$15:$U$67,18,0)</f>
        <v>2.7377622377622375</v>
      </c>
    </row>
    <row r="33" spans="1:31" x14ac:dyDescent="0.2">
      <c r="A33" s="87">
        <f t="shared" ca="1" si="3"/>
        <v>44718</v>
      </c>
      <c r="B33" s="67">
        <f t="shared" ca="1" si="0"/>
        <v>23</v>
      </c>
      <c r="C33" s="5">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13.421118881118881</v>
      </c>
      <c r="D33" s="5">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2.7377622377622375</v>
      </c>
      <c r="E33" s="5">
        <f ca="1">VLOOKUP($B33,'Summary Calculations (hide)'!$D$15:$U$67,15,0)</f>
        <v>13.038461538461538</v>
      </c>
      <c r="F33" s="5">
        <f ca="1">VLOOKUP($B33,'Summary Calculations (hide)'!$D$15:$U$67,16,0)</f>
        <v>2.1153846153846154</v>
      </c>
      <c r="G33" s="5">
        <f t="shared" ca="1" si="1"/>
        <v>15.153846153846153</v>
      </c>
      <c r="H33" s="5">
        <f t="shared" ca="1" si="2"/>
        <v>15.153846153846153</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f ca="1">VLOOKUP($B33,'Summary Calculations (hide)'!$D$15:$U$67,17,0)</f>
        <v>13.421118881118881</v>
      </c>
      <c r="AE33" s="67">
        <f ca="1">VLOOKUP($B33,'Summary Calculations (hide)'!$D$15:$U$67,18,0)</f>
        <v>2.7377622377622375</v>
      </c>
    </row>
    <row r="34" spans="1:31" x14ac:dyDescent="0.2">
      <c r="A34" s="87">
        <f t="shared" ca="1" si="3"/>
        <v>44725</v>
      </c>
      <c r="B34" s="67">
        <f t="shared" ca="1" si="0"/>
        <v>24</v>
      </c>
      <c r="C34" s="5">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13.421118881118881</v>
      </c>
      <c r="D34" s="5">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2.7377622377622375</v>
      </c>
      <c r="E34" s="5">
        <f ca="1">VLOOKUP($B34,'Summary Calculations (hide)'!$D$15:$U$67,15,0)</f>
        <v>13.038461538461538</v>
      </c>
      <c r="F34" s="5">
        <f ca="1">VLOOKUP($B34,'Summary Calculations (hide)'!$D$15:$U$67,16,0)</f>
        <v>2.1153846153846154</v>
      </c>
      <c r="G34" s="5">
        <f t="shared" ca="1" si="1"/>
        <v>15.153846153846153</v>
      </c>
      <c r="H34" s="5">
        <f t="shared" ca="1" si="2"/>
        <v>15.153846153846153</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f ca="1">VLOOKUP($B34,'Summary Calculations (hide)'!$D$15:$U$67,17,0)</f>
        <v>13.421118881118881</v>
      </c>
      <c r="AE34" s="67">
        <f ca="1">VLOOKUP($B34,'Summary Calculations (hide)'!$D$15:$U$67,18,0)</f>
        <v>2.7377622377622375</v>
      </c>
    </row>
    <row r="35" spans="1:31" x14ac:dyDescent="0.2">
      <c r="A35" s="87">
        <f t="shared" ca="1" si="3"/>
        <v>44732</v>
      </c>
      <c r="B35" s="67">
        <f t="shared" ca="1" si="0"/>
        <v>25</v>
      </c>
      <c r="C35" s="5">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13.421118881118881</v>
      </c>
      <c r="D35" s="5">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2.7377622377622375</v>
      </c>
      <c r="E35" s="5">
        <f ca="1">VLOOKUP($B35,'Summary Calculations (hide)'!$D$15:$U$67,15,0)</f>
        <v>13.038461538461538</v>
      </c>
      <c r="F35" s="5">
        <f ca="1">VLOOKUP($B35,'Summary Calculations (hide)'!$D$15:$U$67,16,0)</f>
        <v>2.1153846153846154</v>
      </c>
      <c r="G35" s="5">
        <f t="shared" ca="1" si="1"/>
        <v>15.153846153846153</v>
      </c>
      <c r="H35" s="5">
        <f t="shared" ca="1" si="2"/>
        <v>15.153846153846153</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f ca="1">VLOOKUP($B35,'Summary Calculations (hide)'!$D$15:$U$67,17,0)</f>
        <v>13.421118881118881</v>
      </c>
      <c r="AE35" s="67">
        <f ca="1">VLOOKUP($B35,'Summary Calculations (hide)'!$D$15:$U$67,18,0)</f>
        <v>2.7377622377622375</v>
      </c>
    </row>
    <row r="36" spans="1:31" x14ac:dyDescent="0.2">
      <c r="A36" s="87">
        <f t="shared" ca="1" si="3"/>
        <v>44739</v>
      </c>
      <c r="B36" s="67">
        <f t="shared" ca="1" si="0"/>
        <v>26</v>
      </c>
      <c r="C36" s="5">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13.421118881118881</v>
      </c>
      <c r="D36" s="5">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2.7377622377622375</v>
      </c>
      <c r="E36" s="5">
        <f ca="1">VLOOKUP($B36,'Summary Calculations (hide)'!$D$15:$U$67,15,0)</f>
        <v>13.038461538461538</v>
      </c>
      <c r="F36" s="5">
        <f ca="1">VLOOKUP($B36,'Summary Calculations (hide)'!$D$15:$U$67,16,0)</f>
        <v>2.1153846153846154</v>
      </c>
      <c r="G36" s="5">
        <f t="shared" ca="1" si="1"/>
        <v>15.153846153846153</v>
      </c>
      <c r="H36" s="5">
        <f t="shared" ca="1" si="2"/>
        <v>15.153846153846153</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f ca="1">VLOOKUP($B36,'Summary Calculations (hide)'!$D$15:$U$67,17,0)</f>
        <v>13.421118881118881</v>
      </c>
      <c r="AE36" s="67">
        <f ca="1">VLOOKUP($B36,'Summary Calculations (hide)'!$D$15:$U$67,18,0)</f>
        <v>2.7377622377622375</v>
      </c>
    </row>
    <row r="37" spans="1:31" x14ac:dyDescent="0.2">
      <c r="A37" s="87">
        <f t="shared" ca="1" si="3"/>
        <v>44746</v>
      </c>
      <c r="B37" s="67">
        <f t="shared" ca="1" si="0"/>
        <v>27</v>
      </c>
      <c r="C37" s="5">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13.421118881118881</v>
      </c>
      <c r="D37" s="5">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2.7377622377622375</v>
      </c>
      <c r="E37" s="5">
        <f ca="1">VLOOKUP($B37,'Summary Calculations (hide)'!$D$15:$U$67,15,0)</f>
        <v>13.038461538461538</v>
      </c>
      <c r="F37" s="5">
        <f ca="1">VLOOKUP($B37,'Summary Calculations (hide)'!$D$15:$U$67,16,0)</f>
        <v>2.1153846153846154</v>
      </c>
      <c r="G37" s="5">
        <f t="shared" ca="1" si="1"/>
        <v>15.153846153846153</v>
      </c>
      <c r="H37" s="5">
        <f t="shared" ca="1" si="2"/>
        <v>15.153846153846153</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f ca="1">VLOOKUP($B37,'Summary Calculations (hide)'!$D$15:$U$67,17,0)</f>
        <v>13.421118881118881</v>
      </c>
      <c r="AE37" s="67">
        <f ca="1">VLOOKUP($B37,'Summary Calculations (hide)'!$D$15:$U$67,18,0)</f>
        <v>2.7377622377622375</v>
      </c>
    </row>
    <row r="38" spans="1:31" x14ac:dyDescent="0.2">
      <c r="A38" s="87">
        <f t="shared" ca="1" si="3"/>
        <v>44753</v>
      </c>
      <c r="B38" s="67">
        <f t="shared" ca="1" si="0"/>
        <v>28</v>
      </c>
      <c r="C38" s="5">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13.421118881118881</v>
      </c>
      <c r="D38" s="5">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2.7377622377622375</v>
      </c>
      <c r="E38" s="5">
        <f ca="1">VLOOKUP($B38,'Summary Calculations (hide)'!$D$15:$U$67,15,0)</f>
        <v>13.038461538461538</v>
      </c>
      <c r="F38" s="5">
        <f ca="1">VLOOKUP($B38,'Summary Calculations (hide)'!$D$15:$U$67,16,0)</f>
        <v>2.1153846153846154</v>
      </c>
      <c r="G38" s="5">
        <f t="shared" ca="1" si="1"/>
        <v>15.153846153846153</v>
      </c>
      <c r="H38" s="5">
        <f t="shared" ca="1" si="2"/>
        <v>15.153846153846153</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f ca="1">VLOOKUP($B38,'Summary Calculations (hide)'!$D$15:$U$67,17,0)</f>
        <v>13.421118881118881</v>
      </c>
      <c r="AE38" s="67">
        <f ca="1">VLOOKUP($B38,'Summary Calculations (hide)'!$D$15:$U$67,18,0)</f>
        <v>2.7377622377622375</v>
      </c>
    </row>
    <row r="39" spans="1:31" x14ac:dyDescent="0.2">
      <c r="A39" s="87">
        <f t="shared" ca="1" si="3"/>
        <v>44760</v>
      </c>
      <c r="B39" s="67">
        <f t="shared" ca="1" si="0"/>
        <v>29</v>
      </c>
      <c r="C39" s="5">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13.421118881118881</v>
      </c>
      <c r="D39" s="5">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2.7377622377622375</v>
      </c>
      <c r="E39" s="5">
        <f ca="1">VLOOKUP($B39,'Summary Calculations (hide)'!$D$15:$U$67,15,0)</f>
        <v>13.038461538461538</v>
      </c>
      <c r="F39" s="5">
        <f ca="1">VLOOKUP($B39,'Summary Calculations (hide)'!$D$15:$U$67,16,0)</f>
        <v>2.1153846153846154</v>
      </c>
      <c r="G39" s="5">
        <f t="shared" ca="1" si="1"/>
        <v>15.153846153846153</v>
      </c>
      <c r="H39" s="5">
        <f t="shared" ca="1" si="2"/>
        <v>15.153846153846153</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f ca="1">VLOOKUP($B39,'Summary Calculations (hide)'!$D$15:$U$67,17,0)</f>
        <v>13.421118881118881</v>
      </c>
      <c r="AE39" s="67">
        <f ca="1">VLOOKUP($B39,'Summary Calculations (hide)'!$D$15:$U$67,18,0)</f>
        <v>2.7377622377622375</v>
      </c>
    </row>
    <row r="40" spans="1:31" x14ac:dyDescent="0.2">
      <c r="A40" s="87">
        <f t="shared" ca="1" si="3"/>
        <v>44767</v>
      </c>
      <c r="B40" s="67">
        <f t="shared" ca="1" si="0"/>
        <v>30</v>
      </c>
      <c r="C40" s="5">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13.421118881118881</v>
      </c>
      <c r="D40" s="5">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2.7377622377622375</v>
      </c>
      <c r="E40" s="5">
        <f ca="1">VLOOKUP($B40,'Summary Calculations (hide)'!$D$15:$U$67,15,0)</f>
        <v>13.038461538461538</v>
      </c>
      <c r="F40" s="5">
        <f ca="1">VLOOKUP($B40,'Summary Calculations (hide)'!$D$15:$U$67,16,0)</f>
        <v>2.1153846153846154</v>
      </c>
      <c r="G40" s="5">
        <f t="shared" ca="1" si="1"/>
        <v>15.153846153846153</v>
      </c>
      <c r="H40" s="5">
        <f t="shared" ca="1" si="2"/>
        <v>15.153846153846153</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f ca="1">VLOOKUP($B40,'Summary Calculations (hide)'!$D$15:$U$67,17,0)</f>
        <v>13.421118881118881</v>
      </c>
      <c r="AE40" s="67">
        <f ca="1">VLOOKUP($B40,'Summary Calculations (hide)'!$D$15:$U$67,18,0)</f>
        <v>2.7377622377622375</v>
      </c>
    </row>
    <row r="41" spans="1:31" x14ac:dyDescent="0.2">
      <c r="A41" s="87">
        <f t="shared" ca="1" si="3"/>
        <v>44774</v>
      </c>
      <c r="B41" s="67">
        <f t="shared" ca="1" si="0"/>
        <v>31</v>
      </c>
      <c r="C41" s="5">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13.421118881118881</v>
      </c>
      <c r="D41" s="5">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2.7377622377622375</v>
      </c>
      <c r="E41" s="5">
        <f ca="1">VLOOKUP($B41,'Summary Calculations (hide)'!$D$15:$U$67,15,0)</f>
        <v>13.038461538461538</v>
      </c>
      <c r="F41" s="5">
        <f ca="1">VLOOKUP($B41,'Summary Calculations (hide)'!$D$15:$U$67,16,0)</f>
        <v>2.1153846153846154</v>
      </c>
      <c r="G41" s="5">
        <f t="shared" ca="1" si="1"/>
        <v>15.153846153846153</v>
      </c>
      <c r="H41" s="5">
        <f t="shared" ca="1" si="2"/>
        <v>15.153846153846153</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f ca="1">VLOOKUP($B41,'Summary Calculations (hide)'!$D$15:$U$67,17,0)</f>
        <v>13.421118881118881</v>
      </c>
      <c r="AE41" s="67">
        <f ca="1">VLOOKUP($B41,'Summary Calculations (hide)'!$D$15:$U$67,18,0)</f>
        <v>2.7377622377622375</v>
      </c>
    </row>
    <row r="42" spans="1:31" x14ac:dyDescent="0.2">
      <c r="A42" s="87">
        <f ca="1">A41+7</f>
        <v>44781</v>
      </c>
      <c r="B42" s="67">
        <f t="shared" ca="1" si="0"/>
        <v>32</v>
      </c>
      <c r="C42" s="5">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13.421118881118881</v>
      </c>
      <c r="D42" s="5">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2.7377622377622375</v>
      </c>
      <c r="E42" s="5">
        <f ca="1">VLOOKUP($B42,'Summary Calculations (hide)'!$D$15:$U$67,15,0)</f>
        <v>13.038461538461538</v>
      </c>
      <c r="F42" s="5">
        <f ca="1">VLOOKUP($B42,'Summary Calculations (hide)'!$D$15:$U$67,16,0)</f>
        <v>2.1153846153846154</v>
      </c>
      <c r="G42" s="5">
        <f t="shared" ca="1" si="1"/>
        <v>15.153846153846153</v>
      </c>
      <c r="H42" s="5">
        <f t="shared" ca="1" si="2"/>
        <v>15.153846153846153</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f ca="1">VLOOKUP($B42,'Summary Calculations (hide)'!$D$15:$U$67,17,0)</f>
        <v>13.421118881118881</v>
      </c>
      <c r="AE42" s="67">
        <f ca="1">VLOOKUP($B42,'Summary Calculations (hide)'!$D$15:$U$67,18,0)</f>
        <v>2.7377622377622375</v>
      </c>
    </row>
    <row r="43" spans="1:31" x14ac:dyDescent="0.2">
      <c r="A43" s="87">
        <f t="shared" ca="1" si="3"/>
        <v>44788</v>
      </c>
      <c r="B43" s="67">
        <f t="shared" ca="1" si="0"/>
        <v>33</v>
      </c>
      <c r="C43" s="5">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13.421118881118881</v>
      </c>
      <c r="D43" s="5">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2.7377622377622375</v>
      </c>
      <c r="E43" s="5">
        <f ca="1">VLOOKUP($B43,'Summary Calculations (hide)'!$D$15:$U$67,15,0)</f>
        <v>13.038461538461538</v>
      </c>
      <c r="F43" s="5">
        <f ca="1">VLOOKUP($B43,'Summary Calculations (hide)'!$D$15:$U$67,16,0)</f>
        <v>2.1153846153846154</v>
      </c>
      <c r="G43" s="5">
        <f t="shared" ca="1" si="1"/>
        <v>15.153846153846153</v>
      </c>
      <c r="H43" s="5">
        <f t="shared" ca="1" si="2"/>
        <v>15.153846153846153</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f ca="1">VLOOKUP($B43,'Summary Calculations (hide)'!$D$15:$U$67,17,0)</f>
        <v>13.421118881118881</v>
      </c>
      <c r="AE43" s="67">
        <f ca="1">VLOOKUP($B43,'Summary Calculations (hide)'!$D$15:$U$67,18,0)</f>
        <v>2.7377622377622375</v>
      </c>
    </row>
    <row r="44" spans="1:31" x14ac:dyDescent="0.2">
      <c r="A44" s="87">
        <f t="shared" ca="1" si="3"/>
        <v>44795</v>
      </c>
      <c r="B44" s="67">
        <f t="shared" ca="1" si="0"/>
        <v>34</v>
      </c>
      <c r="C44" s="5">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13.421118881118881</v>
      </c>
      <c r="D44" s="5">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2.7377622377622375</v>
      </c>
      <c r="E44" s="5">
        <f ca="1">VLOOKUP($B44,'Summary Calculations (hide)'!$D$15:$U$67,15,0)</f>
        <v>13.038461538461538</v>
      </c>
      <c r="F44" s="5">
        <f ca="1">VLOOKUP($B44,'Summary Calculations (hide)'!$D$15:$U$67,16,0)</f>
        <v>2.1153846153846154</v>
      </c>
      <c r="G44" s="5">
        <f t="shared" ca="1" si="1"/>
        <v>15.153846153846153</v>
      </c>
      <c r="H44" s="5">
        <f t="shared" ca="1" si="2"/>
        <v>15.153846153846153</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f ca="1">VLOOKUP($B44,'Summary Calculations (hide)'!$D$15:$U$67,17,0)</f>
        <v>13.421118881118881</v>
      </c>
      <c r="AE44" s="67">
        <f ca="1">VLOOKUP($B44,'Summary Calculations (hide)'!$D$15:$U$67,18,0)</f>
        <v>2.7377622377622375</v>
      </c>
    </row>
    <row r="45" spans="1:31" x14ac:dyDescent="0.2">
      <c r="A45" s="87">
        <f t="shared" ca="1" si="3"/>
        <v>44802</v>
      </c>
      <c r="B45" s="67">
        <f t="shared" ca="1" si="0"/>
        <v>35</v>
      </c>
      <c r="C45" s="5">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13.421118881118881</v>
      </c>
      <c r="D45" s="5">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2.7377622377622375</v>
      </c>
      <c r="E45" s="5">
        <f ca="1">VLOOKUP($B45,'Summary Calculations (hide)'!$D$15:$U$67,15,0)</f>
        <v>13.038461538461538</v>
      </c>
      <c r="F45" s="5">
        <f ca="1">VLOOKUP($B45,'Summary Calculations (hide)'!$D$15:$U$67,16,0)</f>
        <v>2.1153846153846154</v>
      </c>
      <c r="G45" s="5">
        <f t="shared" ca="1" si="1"/>
        <v>15.153846153846153</v>
      </c>
      <c r="H45" s="5">
        <f t="shared" ca="1" si="2"/>
        <v>15.153846153846153</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f ca="1">VLOOKUP($B45,'Summary Calculations (hide)'!$D$15:$U$67,17,0)</f>
        <v>13.421118881118881</v>
      </c>
      <c r="AE45" s="67">
        <f ca="1">VLOOKUP($B45,'Summary Calculations (hide)'!$D$15:$U$67,18,0)</f>
        <v>2.7377622377622375</v>
      </c>
    </row>
    <row r="46" spans="1:31" x14ac:dyDescent="0.2">
      <c r="A46" s="87">
        <f t="shared" ca="1" si="3"/>
        <v>44809</v>
      </c>
      <c r="B46" s="67">
        <f t="shared" ca="1" si="0"/>
        <v>36</v>
      </c>
      <c r="C46" s="5">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13.421118881118881</v>
      </c>
      <c r="D46" s="5">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2.7377622377622375</v>
      </c>
      <c r="E46" s="5">
        <f ca="1">VLOOKUP($B46,'Summary Calculations (hide)'!$D$15:$U$67,15,0)</f>
        <v>13.038461538461538</v>
      </c>
      <c r="F46" s="5">
        <f ca="1">VLOOKUP($B46,'Summary Calculations (hide)'!$D$15:$U$67,16,0)</f>
        <v>2.1153846153846154</v>
      </c>
      <c r="G46" s="5">
        <f t="shared" ca="1" si="1"/>
        <v>15.153846153846153</v>
      </c>
      <c r="H46" s="5">
        <f t="shared" ca="1" si="2"/>
        <v>15.153846153846153</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f ca="1">VLOOKUP($B46,'Summary Calculations (hide)'!$D$15:$U$67,17,0)</f>
        <v>13.421118881118881</v>
      </c>
      <c r="AE46" s="67">
        <f ca="1">VLOOKUP($B46,'Summary Calculations (hide)'!$D$15:$U$67,18,0)</f>
        <v>2.7377622377622375</v>
      </c>
    </row>
    <row r="47" spans="1:31" x14ac:dyDescent="0.2">
      <c r="A47" s="87">
        <f t="shared" ca="1" si="3"/>
        <v>44816</v>
      </c>
      <c r="B47" s="67">
        <f t="shared" ca="1" si="0"/>
        <v>37</v>
      </c>
      <c r="C47" s="5">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13.421118881118881</v>
      </c>
      <c r="D47" s="5">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2.7377622377622375</v>
      </c>
      <c r="E47" s="5">
        <f ca="1">VLOOKUP($B47,'Summary Calculations (hide)'!$D$15:$U$67,15,0)</f>
        <v>13.038461538461538</v>
      </c>
      <c r="F47" s="5">
        <f ca="1">VLOOKUP($B47,'Summary Calculations (hide)'!$D$15:$U$67,16,0)</f>
        <v>2.1153846153846154</v>
      </c>
      <c r="G47" s="5">
        <f t="shared" ca="1" si="1"/>
        <v>15.153846153846153</v>
      </c>
      <c r="H47" s="5">
        <f t="shared" ca="1" si="2"/>
        <v>15.153846153846153</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f ca="1">VLOOKUP($B47,'Summary Calculations (hide)'!$D$15:$U$67,17,0)</f>
        <v>13.421118881118881</v>
      </c>
      <c r="AE47" s="67">
        <f ca="1">VLOOKUP($B47,'Summary Calculations (hide)'!$D$15:$U$67,18,0)</f>
        <v>2.7377622377622375</v>
      </c>
    </row>
    <row r="48" spans="1:31" x14ac:dyDescent="0.2">
      <c r="A48" s="87">
        <f t="shared" ca="1" si="3"/>
        <v>44823</v>
      </c>
      <c r="B48" s="67">
        <f t="shared" ca="1" si="0"/>
        <v>38</v>
      </c>
      <c r="C48" s="5">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13.421118881118881</v>
      </c>
      <c r="D48" s="5">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2.7377622377622375</v>
      </c>
      <c r="E48" s="5">
        <f ca="1">VLOOKUP($B48,'Summary Calculations (hide)'!$D$15:$U$67,15,0)</f>
        <v>13.038461538461538</v>
      </c>
      <c r="F48" s="5">
        <f ca="1">VLOOKUP($B48,'Summary Calculations (hide)'!$D$15:$U$67,16,0)</f>
        <v>2.1153846153846154</v>
      </c>
      <c r="G48" s="5">
        <f t="shared" ca="1" si="1"/>
        <v>15.153846153846153</v>
      </c>
      <c r="H48" s="5">
        <f t="shared" ca="1" si="2"/>
        <v>117.15384615384616</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f ca="1">VLOOKUP($B48,'Summary Calculations (hide)'!$D$15:$U$67,17,0)</f>
        <v>13.421118881118881</v>
      </c>
      <c r="AE48" s="67">
        <f ca="1">VLOOKUP($B48,'Summary Calculations (hide)'!$D$15:$U$67,18,0)</f>
        <v>2.7377622377622375</v>
      </c>
    </row>
    <row r="49" spans="1:31" x14ac:dyDescent="0.2">
      <c r="A49" s="87">
        <f t="shared" ca="1" si="3"/>
        <v>44830</v>
      </c>
      <c r="B49" s="67">
        <f t="shared" ca="1" si="0"/>
        <v>39</v>
      </c>
      <c r="C49" s="5">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13.421118881118881</v>
      </c>
      <c r="D49" s="5">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2.7377622377622375</v>
      </c>
      <c r="E49" s="5">
        <f ca="1">VLOOKUP($B49,'Summary Calculations (hide)'!$D$15:$U$67,15,0)</f>
        <v>13.038461538461538</v>
      </c>
      <c r="F49" s="5">
        <f ca="1">VLOOKUP($B49,'Summary Calculations (hide)'!$D$15:$U$67,16,0)</f>
        <v>2.1153846153846154</v>
      </c>
      <c r="G49" s="5">
        <f t="shared" ca="1" si="1"/>
        <v>15.153846153846153</v>
      </c>
      <c r="H49" s="5">
        <f t="shared" ca="1" si="2"/>
        <v>117.15384615384616</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f ca="1">VLOOKUP($B49,'Summary Calculations (hide)'!$D$15:$U$67,17,0)</f>
        <v>13.421118881118881</v>
      </c>
      <c r="AE49" s="67">
        <f ca="1">VLOOKUP($B49,'Summary Calculations (hide)'!$D$15:$U$67,18,0)</f>
        <v>2.7377622377622375</v>
      </c>
    </row>
    <row r="50" spans="1:31" x14ac:dyDescent="0.2">
      <c r="A50" s="87">
        <f t="shared" ca="1" si="3"/>
        <v>44837</v>
      </c>
      <c r="B50" s="67">
        <f t="shared" ca="1" si="0"/>
        <v>40</v>
      </c>
      <c r="C50" s="5">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13.421118881118881</v>
      </c>
      <c r="D50" s="5">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2.7377622377622375</v>
      </c>
      <c r="E50" s="5">
        <f ca="1">VLOOKUP($B50,'Summary Calculations (hide)'!$D$15:$U$67,15,0)</f>
        <v>13.038461538461538</v>
      </c>
      <c r="F50" s="5">
        <f ca="1">VLOOKUP($B50,'Summary Calculations (hide)'!$D$15:$U$67,16,0)</f>
        <v>2.1153846153846154</v>
      </c>
      <c r="G50" s="5">
        <f t="shared" ca="1" si="1"/>
        <v>15.153846153846153</v>
      </c>
      <c r="H50" s="5">
        <f t="shared" ca="1" si="2"/>
        <v>15.153846153846153</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f ca="1">VLOOKUP($B50,'Summary Calculations (hide)'!$D$15:$U$67,17,0)</f>
        <v>13.421118881118881</v>
      </c>
      <c r="AE50" s="67">
        <f ca="1">VLOOKUP($B50,'Summary Calculations (hide)'!$D$15:$U$67,18,0)</f>
        <v>2.7377622377622375</v>
      </c>
    </row>
    <row r="51" spans="1:31" x14ac:dyDescent="0.2">
      <c r="A51" s="87">
        <f t="shared" ca="1" si="3"/>
        <v>44844</v>
      </c>
      <c r="B51" s="67">
        <f t="shared" ca="1" si="0"/>
        <v>41</v>
      </c>
      <c r="C51" s="5">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13.421118881118881</v>
      </c>
      <c r="D51" s="5">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2.7377622377622375</v>
      </c>
      <c r="E51" s="5">
        <f ca="1">VLOOKUP($B51,'Summary Calculations (hide)'!$D$15:$U$67,15,0)</f>
        <v>13.038461538461538</v>
      </c>
      <c r="F51" s="5">
        <f ca="1">VLOOKUP($B51,'Summary Calculations (hide)'!$D$15:$U$67,16,0)</f>
        <v>2.1153846153846154</v>
      </c>
      <c r="G51" s="5">
        <f t="shared" ca="1" si="1"/>
        <v>15.153846153846153</v>
      </c>
      <c r="H51" s="5">
        <f t="shared" ca="1" si="2"/>
        <v>15.153846153846153</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f ca="1">VLOOKUP($B51,'Summary Calculations (hide)'!$D$15:$U$67,17,0)</f>
        <v>13.421118881118881</v>
      </c>
      <c r="AE51" s="67">
        <f ca="1">VLOOKUP($B51,'Summary Calculations (hide)'!$D$15:$U$67,18,0)</f>
        <v>2.7377622377622375</v>
      </c>
    </row>
    <row r="52" spans="1:31" x14ac:dyDescent="0.2">
      <c r="A52" s="87">
        <f t="shared" ca="1" si="3"/>
        <v>44851</v>
      </c>
      <c r="B52" s="67">
        <f t="shared" ca="1" si="0"/>
        <v>42</v>
      </c>
      <c r="C52" s="5">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13.421118881118881</v>
      </c>
      <c r="D52" s="5">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2.7377622377622375</v>
      </c>
      <c r="E52" s="5">
        <f ca="1">VLOOKUP($B52,'Summary Calculations (hide)'!$D$15:$U$67,15,0)</f>
        <v>13.038461538461538</v>
      </c>
      <c r="F52" s="5">
        <f ca="1">VLOOKUP($B52,'Summary Calculations (hide)'!$D$15:$U$67,16,0)</f>
        <v>2.1153846153846154</v>
      </c>
      <c r="G52" s="5">
        <f t="shared" ca="1" si="1"/>
        <v>15.153846153846153</v>
      </c>
      <c r="H52" s="5">
        <f t="shared" ca="1" si="2"/>
        <v>15.153846153846153</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f ca="1">VLOOKUP($B52,'Summary Calculations (hide)'!$D$15:$U$67,17,0)</f>
        <v>13.421118881118881</v>
      </c>
      <c r="AE52" s="67">
        <f ca="1">VLOOKUP($B52,'Summary Calculations (hide)'!$D$15:$U$67,18,0)</f>
        <v>2.7377622377622375</v>
      </c>
    </row>
    <row r="53" spans="1:31" x14ac:dyDescent="0.2">
      <c r="A53" s="87">
        <f t="shared" ca="1" si="3"/>
        <v>44858</v>
      </c>
      <c r="B53" s="67">
        <f t="shared" ca="1" si="0"/>
        <v>43</v>
      </c>
      <c r="C53" s="5">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13.421118881118881</v>
      </c>
      <c r="D53" s="5">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2.7377622377622375</v>
      </c>
      <c r="E53" s="5">
        <f ca="1">VLOOKUP($B53,'Summary Calculations (hide)'!$D$15:$U$67,15,0)</f>
        <v>13.038461538461538</v>
      </c>
      <c r="F53" s="5">
        <f ca="1">VLOOKUP($B53,'Summary Calculations (hide)'!$D$15:$U$67,16,0)</f>
        <v>2.1153846153846154</v>
      </c>
      <c r="G53" s="5">
        <f t="shared" ca="1" si="1"/>
        <v>15.153846153846153</v>
      </c>
      <c r="H53" s="5">
        <f t="shared" ca="1" si="2"/>
        <v>15.153846153846153</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f ca="1">VLOOKUP($B53,'Summary Calculations (hide)'!$D$15:$U$67,17,0)</f>
        <v>13.421118881118881</v>
      </c>
      <c r="AE53" s="67">
        <f ca="1">VLOOKUP($B53,'Summary Calculations (hide)'!$D$15:$U$67,18,0)</f>
        <v>2.7377622377622375</v>
      </c>
    </row>
    <row r="54" spans="1:31" x14ac:dyDescent="0.2">
      <c r="A54" s="87">
        <f t="shared" ca="1" si="3"/>
        <v>44865</v>
      </c>
      <c r="B54" s="67">
        <f t="shared" ca="1" si="0"/>
        <v>44</v>
      </c>
      <c r="C54" s="5">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13.421118881118881</v>
      </c>
      <c r="D54" s="5">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2.7377622377622375</v>
      </c>
      <c r="E54" s="5">
        <f ca="1">VLOOKUP($B54,'Summary Calculations (hide)'!$D$15:$U$67,15,0)</f>
        <v>13.038461538461538</v>
      </c>
      <c r="F54" s="5">
        <f ca="1">VLOOKUP($B54,'Summary Calculations (hide)'!$D$15:$U$67,16,0)</f>
        <v>2.1153846153846154</v>
      </c>
      <c r="G54" s="5">
        <f t="shared" ca="1" si="1"/>
        <v>15.153846153846153</v>
      </c>
      <c r="H54" s="5">
        <f t="shared" ca="1" si="2"/>
        <v>15.153846153846153</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f ca="1">VLOOKUP($B54,'Summary Calculations (hide)'!$D$15:$U$67,17,0)</f>
        <v>13.421118881118881</v>
      </c>
      <c r="AE54" s="67">
        <f ca="1">VLOOKUP($B54,'Summary Calculations (hide)'!$D$15:$U$67,18,0)</f>
        <v>2.7377622377622375</v>
      </c>
    </row>
    <row r="55" spans="1:31" x14ac:dyDescent="0.2">
      <c r="A55" s="87">
        <f t="shared" ca="1" si="3"/>
        <v>44872</v>
      </c>
      <c r="B55" s="67">
        <f t="shared" ca="1" si="0"/>
        <v>45</v>
      </c>
      <c r="C55" s="5">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13.421118881118881</v>
      </c>
      <c r="D55" s="5">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2.7377622377622375</v>
      </c>
      <c r="E55" s="5">
        <f ca="1">VLOOKUP($B55,'Summary Calculations (hide)'!$D$15:$U$67,15,0)</f>
        <v>13.038461538461538</v>
      </c>
      <c r="F55" s="5">
        <f ca="1">VLOOKUP($B55,'Summary Calculations (hide)'!$D$15:$U$67,16,0)</f>
        <v>2.1153846153846154</v>
      </c>
      <c r="G55" s="5">
        <f t="shared" ca="1" si="1"/>
        <v>15.153846153846153</v>
      </c>
      <c r="H55" s="5">
        <f t="shared" ca="1" si="2"/>
        <v>15.153846153846153</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f ca="1">VLOOKUP($B55,'Summary Calculations (hide)'!$D$15:$U$67,17,0)</f>
        <v>13.421118881118881</v>
      </c>
      <c r="AE55" s="67">
        <f ca="1">VLOOKUP($B55,'Summary Calculations (hide)'!$D$15:$U$67,18,0)</f>
        <v>2.7377622377622375</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f ca="1">'Summary Calculations (hide)'!X72</f>
        <v>12.046153846153853</v>
      </c>
    </row>
    <row r="5" spans="1:3" x14ac:dyDescent="0.2">
      <c r="A5" s="166" t="s">
        <v>531</v>
      </c>
      <c r="B5" s="166" t="s">
        <v>532</v>
      </c>
      <c r="C5" s="5">
        <f ca="1">'Summary Calculations (hide)'!M70</f>
        <v>13.42111888111887</v>
      </c>
    </row>
    <row r="6" spans="1:3" x14ac:dyDescent="0.2">
      <c r="A6" s="166" t="s">
        <v>533</v>
      </c>
      <c r="B6" s="166" t="s">
        <v>534</v>
      </c>
      <c r="C6" s="5">
        <f ca="1">'Summary Calculations (hide)'!N70</f>
        <v>16.158881118881101</v>
      </c>
    </row>
    <row r="7" spans="1:3" ht="42.75" x14ac:dyDescent="0.2">
      <c r="A7" s="166" t="s">
        <v>99</v>
      </c>
      <c r="B7" s="166" t="s">
        <v>535</v>
      </c>
      <c r="C7">
        <f ca="1">'Parameters calculator (hide)'!B45</f>
        <v>0.1</v>
      </c>
    </row>
    <row r="8" spans="1:3" ht="28.5" x14ac:dyDescent="0.2">
      <c r="A8" s="166" t="s">
        <v>536</v>
      </c>
      <c r="B8" s="166" t="s">
        <v>537</v>
      </c>
      <c r="C8">
        <f ca="1">'Parameters calculator (hide)'!B46</f>
        <v>1</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0</v>
      </c>
    </row>
    <row r="12" spans="1:3" x14ac:dyDescent="0.2">
      <c r="A12" s="166" t="s">
        <v>494</v>
      </c>
      <c r="B12" s="166" t="s">
        <v>544</v>
      </c>
      <c r="C12" s="5" t="e">
        <f ca="1">SUM('Summary Calculations (hide)'!R70:S70)</f>
        <v>#N/A</v>
      </c>
    </row>
    <row r="13" spans="1:3" x14ac:dyDescent="0.2">
      <c r="A13" s="166" t="s">
        <v>545</v>
      </c>
      <c r="B13" s="166" t="s">
        <v>546</v>
      </c>
      <c r="C13" s="5">
        <f ca="1">'Parameters calculator (hide)'!F63</f>
        <v>44.802582033351257</v>
      </c>
    </row>
    <row r="14" spans="1:3" x14ac:dyDescent="0.2">
      <c r="A14" s="166" t="s">
        <v>547</v>
      </c>
      <c r="B14" s="166" t="s">
        <v>548</v>
      </c>
      <c r="C14" s="5">
        <f ca="1">'Parameters calculator (hide)'!B79</f>
        <v>60</v>
      </c>
    </row>
    <row r="15" spans="1:3" x14ac:dyDescent="0.2">
      <c r="A15" s="166" t="s">
        <v>75</v>
      </c>
      <c r="B15" s="166" t="s">
        <v>549</v>
      </c>
      <c r="C15">
        <f ca="1">'Parameters calculator (hide)'!B43+'Parameters calculator (hide)'!B44</f>
        <v>0.1</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Bytheway, Mark</cp:lastModifiedBy>
  <dcterms:created xsi:type="dcterms:W3CDTF">2018-01-30T12:52:20Z</dcterms:created>
  <dcterms:modified xsi:type="dcterms:W3CDTF">2021-11-11T14:20:45Z</dcterms:modified>
</cp:coreProperties>
</file>