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MBytheway\Data\Desktop\Updates\"/>
    </mc:Choice>
  </mc:AlternateContent>
  <xr:revisionPtr revIDLastSave="0" documentId="13_ncr:1_{8367C5A1-601F-4CD0-977D-D9739DD037FC}" xr6:coauthVersionLast="45" xr6:coauthVersionMax="45" xr10:uidLastSave="{00000000-0000-0000-0000-000000000000}"/>
  <bookViews>
    <workbookView xWindow="-120" yWindow="-120" windowWidth="23280" windowHeight="15000" tabRatio="794" firstSheet="4" activeTab="22"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SPC Chart" sheetId="7" r:id="rId8"/>
    <sheet name="SPC background (hide)" sheetId="12" state="hidden" r:id="rId9"/>
    <sheet name="Planned" sheetId="14" state="hidden" r:id="rId10"/>
    <sheet name="Planned background (hide)" sheetId="15" state="hidden" r:id="rId11"/>
    <sheet name="Planned SPC" sheetId="21" state="hidden" r:id="rId12"/>
    <sheet name="Capacity" sheetId="20" r:id="rId13"/>
    <sheet name="Critical resources" sheetId="22" r:id="rId14"/>
    <sheet name="Capacity setup" sheetId="32"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E153" i="24"/>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AU6" i="31" l="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CJ113" i="31"/>
  <c r="CB113" i="31"/>
  <c r="DB113" i="31"/>
  <c r="BZ113" i="31"/>
  <c r="BM113" i="31"/>
  <c r="CI113" i="31"/>
  <c r="CL113" i="31"/>
  <c r="CF113" i="31"/>
  <c r="CO113" i="31"/>
  <c r="CX113" i="31"/>
  <c r="DJ113" i="31"/>
  <c r="CN113" i="31"/>
  <c r="CW113" i="31"/>
  <c r="DF113" i="31"/>
  <c r="DG113" i="31"/>
  <c r="DE113" i="31"/>
  <c r="BW113" i="31"/>
  <c r="BO113" i="31"/>
  <c r="CK113" i="31"/>
  <c r="BN113" i="31"/>
  <c r="DC113" i="31"/>
  <c r="CS113" i="31"/>
  <c r="BV113" i="31"/>
  <c r="CU113" i="31"/>
  <c r="BR113" i="31"/>
  <c r="CD113" i="3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CM113" i="31" l="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I67" i="17" s="1"/>
  <c r="DD4" i="31"/>
  <c r="I60" i="17" s="1"/>
  <c r="CZ4" i="31"/>
  <c r="I56" i="17" s="1"/>
  <c r="CQ4" i="31"/>
  <c r="I47" i="17" s="1"/>
  <c r="CM4" i="31"/>
  <c r="I43" i="17" s="1"/>
  <c r="CS4" i="31"/>
  <c r="CD4" i="31"/>
  <c r="I34" i="17" s="1"/>
  <c r="BZ4" i="31"/>
  <c r="I30" i="17" s="1"/>
  <c r="BW4" i="31"/>
  <c r="I27" i="17" s="1"/>
  <c r="BR4" i="31"/>
  <c r="I22" i="17" s="1"/>
  <c r="BN4" i="31"/>
  <c r="I18" i="17" s="1"/>
  <c r="B212" i="3" l="1"/>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AS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T20" i="12" s="1"/>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T29" i="12" s="1"/>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R47" i="12" s="1"/>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T52" i="12" s="1"/>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Q63" i="12" s="1"/>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AW43" i="15" l="1"/>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70" i="12" l="1"/>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U12"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E7" i="36"/>
  <c r="S18" i="17"/>
  <c r="S47" i="17"/>
  <c r="E36" i="36"/>
  <c r="E34" i="36"/>
  <c r="S45" i="17"/>
  <c r="S39" i="17"/>
  <c r="E28" i="36"/>
  <c r="E10" i="36"/>
  <c r="S21" i="17"/>
  <c r="S60" i="17"/>
  <c r="S16" i="17"/>
  <c r="E5" i="36"/>
  <c r="E38" i="36"/>
  <c r="S49" i="17"/>
  <c r="S43" i="17"/>
  <c r="E37" i="36"/>
  <c r="S48" i="17"/>
  <c r="E45" i="36"/>
  <c r="S56" i="17"/>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54"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7" i="36"/>
  <c r="G7" i="36" s="1"/>
  <c r="H7" i="36" s="1"/>
  <c r="F6" i="36"/>
  <c r="G6" i="36" s="1"/>
  <c r="H6" i="36" s="1"/>
  <c r="F52" i="36"/>
  <c r="G52" i="36" s="1"/>
  <c r="H52" i="36" s="1"/>
  <c r="F25" i="36"/>
  <c r="G25" i="36" s="1"/>
  <c r="H25" i="36" s="1"/>
  <c r="F5" i="36"/>
  <c r="G5" i="36" s="1"/>
  <c r="H5" i="36" s="1"/>
  <c r="F13" i="36"/>
  <c r="G13" i="36" s="1"/>
  <c r="H13" i="36" s="1"/>
  <c r="F15" i="36"/>
  <c r="G15" i="36" s="1"/>
  <c r="H15" i="36" s="1"/>
  <c r="F51" i="36"/>
  <c r="G51" i="36" s="1"/>
  <c r="H51"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F62" i="26"/>
  <c r="AR51" i="15"/>
  <c r="AR49" i="15"/>
  <c r="AR50" i="15"/>
  <c r="AR21" i="15"/>
  <c r="AR20" i="15"/>
  <c r="F54" i="36" l="1"/>
  <c r="G54" i="36" s="1"/>
  <c r="H54"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H62" i="26"/>
  <c r="I62" i="26"/>
  <c r="F63" i="26"/>
  <c r="C12" i="37" l="1"/>
  <c r="C13" i="37"/>
  <c r="H63" i="26"/>
  <c r="I63" i="26"/>
  <c r="AB63" i="39" l="1"/>
  <c r="AB36" i="39"/>
  <c r="AB31" i="39"/>
  <c r="AB47" i="39"/>
  <c r="AB17" i="39"/>
  <c r="AB40" i="39"/>
  <c r="AB55" i="39"/>
  <c r="AB50" i="39"/>
  <c r="AB39" i="39"/>
  <c r="AB20" i="39"/>
  <c r="AB58" i="39"/>
  <c r="AB57" i="39"/>
  <c r="AB24" i="39"/>
  <c r="AB52" i="39"/>
  <c r="AB14" i="39"/>
  <c r="AB27" i="39"/>
  <c r="AB28" i="39"/>
  <c r="AB18" i="39"/>
  <c r="AB45" i="39"/>
  <c r="AB49" i="39"/>
  <c r="AB15" i="39"/>
  <c r="AB62" i="39"/>
  <c r="AB44" i="39"/>
  <c r="AB51" i="39"/>
  <c r="AB26" i="39"/>
  <c r="AB16" i="39"/>
  <c r="AB48" i="39"/>
  <c r="AB64" i="39"/>
  <c r="I66" i="26"/>
  <c r="AB37" i="39"/>
  <c r="AB54" i="39"/>
  <c r="AB13" i="39"/>
  <c r="AB25" i="39"/>
  <c r="AB21" i="39"/>
  <c r="AB22" i="39"/>
  <c r="AB42" i="39"/>
  <c r="AB23" i="39"/>
  <c r="AB60" i="39"/>
  <c r="AB53" i="39"/>
  <c r="AB34" i="39"/>
  <c r="AB61" i="39"/>
  <c r="AB35" i="39"/>
  <c r="AB33" i="39"/>
  <c r="AB41" i="39"/>
  <c r="AB19" i="39"/>
  <c r="AB32" i="39"/>
  <c r="AB30" i="39"/>
  <c r="AB43" i="39"/>
  <c r="AB29" i="39"/>
  <c r="AB59" i="39"/>
  <c r="AB46" i="39"/>
  <c r="AB38" i="39"/>
  <c r="AB56" i="39"/>
  <c r="AA29" i="39"/>
  <c r="AA62" i="39"/>
  <c r="AA34" i="39"/>
  <c r="AA15" i="39"/>
  <c r="AA60" i="39"/>
  <c r="AA13" i="39"/>
  <c r="AA18" i="39"/>
  <c r="AA56" i="39"/>
  <c r="AA35" i="39"/>
  <c r="AA51" i="39"/>
  <c r="AA44" i="39"/>
  <c r="AA36" i="39"/>
  <c r="AA26" i="39"/>
  <c r="AA32" i="39"/>
  <c r="AA22" i="39"/>
  <c r="AA48" i="39"/>
  <c r="AA14" i="39"/>
  <c r="AA64" i="39"/>
  <c r="AA30" i="39"/>
  <c r="AA21" i="39"/>
  <c r="AA45" i="39"/>
  <c r="AA31" i="39"/>
  <c r="AA40" i="39"/>
  <c r="AA16" i="39"/>
  <c r="AA53" i="39"/>
  <c r="AA42" i="39"/>
  <c r="AA23" i="39"/>
  <c r="AA17" i="39"/>
  <c r="AA55" i="39"/>
  <c r="AA25" i="39"/>
  <c r="AA59" i="39"/>
  <c r="AA61" i="39"/>
  <c r="AA38" i="39"/>
  <c r="AA54" i="39"/>
  <c r="AA28" i="39"/>
  <c r="AA57" i="39"/>
  <c r="AA27" i="39"/>
  <c r="AA49" i="39"/>
  <c r="AA20" i="39"/>
  <c r="AA37" i="39"/>
  <c r="AA63" i="39"/>
  <c r="AA41" i="39"/>
  <c r="AA39" i="39"/>
  <c r="AA19" i="39"/>
  <c r="AA33" i="39"/>
  <c r="AA43" i="39"/>
  <c r="AA46" i="39"/>
  <c r="AA52" i="39"/>
  <c r="AA50" i="39"/>
  <c r="AA47" i="39"/>
  <c r="AA24" i="39"/>
  <c r="AA58" i="39"/>
  <c r="H66" i="26"/>
  <c r="AC38" i="39" l="1"/>
  <c r="AC43" i="39"/>
  <c r="AC41" i="39"/>
  <c r="AC42" i="39"/>
  <c r="AC13" i="39"/>
  <c r="AC64" i="39"/>
  <c r="AC51" i="39"/>
  <c r="AC49" i="39"/>
  <c r="AC57" i="39"/>
  <c r="AC47" i="39"/>
  <c r="AC27" i="39"/>
  <c r="AC50" i="39"/>
  <c r="AC33" i="39"/>
  <c r="AC53" i="39"/>
  <c r="AC34" i="39"/>
  <c r="AC22" i="39"/>
  <c r="AC54" i="39"/>
  <c r="AC48" i="39"/>
  <c r="AC44" i="39"/>
  <c r="AC45" i="39"/>
  <c r="AC14" i="39"/>
  <c r="AC58" i="39"/>
  <c r="AC55" i="39"/>
  <c r="AC31" i="39"/>
  <c r="AC46" i="39"/>
  <c r="H69" i="26"/>
  <c r="C53" i="18" s="1"/>
  <c r="B61" i="18" s="1"/>
  <c r="H71" i="26"/>
  <c r="C50" i="18"/>
  <c r="AC59" i="39"/>
  <c r="AC32" i="39"/>
  <c r="AC35" i="39"/>
  <c r="AC60" i="39"/>
  <c r="AC21" i="39"/>
  <c r="AC37" i="39"/>
  <c r="AC16" i="39"/>
  <c r="AC62" i="39"/>
  <c r="AC18" i="39"/>
  <c r="AC52" i="39"/>
  <c r="AC20" i="39"/>
  <c r="AC40" i="39"/>
  <c r="AC36" i="39"/>
  <c r="AC30" i="39"/>
  <c r="AC56" i="39"/>
  <c r="AC29" i="39"/>
  <c r="AC19" i="39"/>
  <c r="AC61" i="39"/>
  <c r="AC23" i="39"/>
  <c r="AC25" i="39"/>
  <c r="J66" i="26"/>
  <c r="I71" i="26"/>
  <c r="AC26" i="39"/>
  <c r="AC15" i="39"/>
  <c r="AC28" i="39"/>
  <c r="AC24" i="39"/>
  <c r="AC39" i="39"/>
  <c r="AC17" i="39"/>
  <c r="AC63" i="39"/>
  <c r="B21" i="26" l="1"/>
  <c r="B25" i="26" l="1"/>
  <c r="H7" i="11" s="1"/>
  <c r="B22" i="26" s="1"/>
  <c r="B24" i="26" s="1"/>
  <c r="B43" i="26" s="1"/>
  <c r="C43" i="26" l="1"/>
  <c r="D15" i="35"/>
  <c r="I4" i="17"/>
  <c r="B5" i="39" l="1"/>
  <c r="J4" i="17"/>
  <c r="E21" i="26" l="1"/>
  <c r="E25" i="26" s="1"/>
  <c r="H21" i="11" s="1"/>
  <c r="E22" i="26" s="1"/>
  <c r="E24" i="26" l="1"/>
  <c r="B45" i="26" s="1"/>
  <c r="D17" i="35" s="1"/>
  <c r="F24" i="26"/>
  <c r="I6" i="17" l="1"/>
  <c r="C7" i="37"/>
  <c r="F21" i="26"/>
  <c r="B47" i="26"/>
  <c r="B46" i="26"/>
  <c r="J6" i="17" l="1"/>
  <c r="B7" i="39"/>
  <c r="B14" i="39" s="1"/>
  <c r="D18" i="35"/>
  <c r="C8" i="37"/>
  <c r="C46" i="26"/>
  <c r="I7" i="17"/>
  <c r="C11" i="37"/>
  <c r="C47" i="26"/>
  <c r="G57" i="26" s="1"/>
  <c r="H21" i="26"/>
  <c r="H24" i="26" s="1"/>
  <c r="I16" i="11" s="1"/>
  <c r="F25" i="26"/>
  <c r="J27" i="11" s="1"/>
  <c r="G55" i="26" l="1"/>
  <c r="G56" i="26"/>
  <c r="F22" i="26"/>
  <c r="H22" i="26" s="1"/>
  <c r="H25" i="26"/>
  <c r="J16" i="11" s="1"/>
  <c r="J7" i="17"/>
  <c r="B8" i="39"/>
  <c r="C21" i="26"/>
  <c r="C25" i="26" s="1"/>
  <c r="B15" i="39" l="1"/>
  <c r="B16" i="39" s="1"/>
  <c r="B12" i="39"/>
  <c r="B27" i="26"/>
  <c r="B26" i="11" s="1"/>
  <c r="H11" i="11"/>
  <c r="C16" i="11" l="1"/>
  <c r="C22" i="26"/>
  <c r="C24" i="26" s="1"/>
  <c r="B44" i="26" s="1"/>
  <c r="M18" i="17" l="1"/>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U34" i="17" s="1"/>
  <c r="M59" i="17"/>
  <c r="T59" i="17" s="1"/>
  <c r="M17" i="17"/>
  <c r="T17" i="17" s="1"/>
  <c r="N43" i="17"/>
  <c r="N42" i="17"/>
  <c r="M61" i="17"/>
  <c r="T61" i="17" s="1"/>
  <c r="M20" i="17"/>
  <c r="T20" i="17" s="1"/>
  <c r="N67" i="17"/>
  <c r="U67" i="17" s="1"/>
  <c r="M44" i="17"/>
  <c r="T44" i="17" s="1"/>
  <c r="M58" i="17"/>
  <c r="T58" i="17" s="1"/>
  <c r="M32" i="17"/>
  <c r="T32" i="17" s="1"/>
  <c r="N35" i="17"/>
  <c r="M53" i="17"/>
  <c r="T53" i="17" s="1"/>
  <c r="N26" i="17"/>
  <c r="M25" i="17"/>
  <c r="T25" i="17" s="1"/>
  <c r="N28" i="17"/>
  <c r="M64" i="17"/>
  <c r="T64" i="17" s="1"/>
  <c r="U22" i="17" l="1"/>
  <c r="U46" i="17"/>
  <c r="U26" i="17"/>
  <c r="U31" i="17"/>
  <c r="U48" i="17"/>
  <c r="U40" i="17"/>
  <c r="U24" i="17"/>
  <c r="U30" i="17"/>
  <c r="U19" i="17"/>
  <c r="U50" i="17"/>
  <c r="U66" i="17"/>
  <c r="U52" i="17"/>
  <c r="U65" i="17"/>
  <c r="U39" i="17"/>
  <c r="U57" i="17"/>
  <c r="U49" i="17"/>
  <c r="U63" i="17"/>
  <c r="U44" i="17"/>
  <c r="U45" i="17"/>
  <c r="U21" i="17"/>
  <c r="U32" i="17"/>
  <c r="U17" i="17"/>
  <c r="U64" i="17"/>
  <c r="U16" i="17"/>
  <c r="U41" i="17"/>
  <c r="U53" i="17"/>
  <c r="U54" i="17"/>
  <c r="U33" i="17"/>
  <c r="U37" i="17"/>
  <c r="U23" i="17"/>
  <c r="U25" i="17"/>
  <c r="U36" i="17"/>
  <c r="U55" i="17"/>
  <c r="U60" i="17"/>
  <c r="U20" i="17"/>
  <c r="U42" i="17"/>
  <c r="U56" i="17"/>
  <c r="U28" i="17"/>
  <c r="U35" i="17"/>
  <c r="U43" i="17"/>
  <c r="U51" i="17"/>
  <c r="U58" i="17"/>
  <c r="U61" i="17"/>
  <c r="U38" i="17"/>
  <c r="U27" i="17"/>
  <c r="U47" i="17"/>
  <c r="U62" i="17"/>
  <c r="U59" i="17"/>
  <c r="U29" i="17"/>
  <c r="U15" i="17"/>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L4" i="17" s="1"/>
  <c r="C50" i="36" s="1"/>
  <c r="X62" i="17"/>
  <c r="X21" i="17"/>
  <c r="X58" i="17"/>
  <c r="B6" i="39"/>
  <c r="X44" i="17"/>
  <c r="X34" i="17"/>
  <c r="X66" i="17"/>
  <c r="X32" i="17"/>
  <c r="X63" i="17"/>
  <c r="X23" i="17"/>
  <c r="X56" i="17"/>
  <c r="X33" i="17"/>
  <c r="X20" i="17"/>
  <c r="AD9" i="36"/>
  <c r="C9" i="36"/>
  <c r="AD53" i="36"/>
  <c r="C53" i="36"/>
  <c r="AD4" i="36"/>
  <c r="C4" i="36"/>
  <c r="C30" i="36"/>
  <c r="AD30" i="36"/>
  <c r="C5" i="36"/>
  <c r="AD5" i="36"/>
  <c r="C12" i="36"/>
  <c r="AD12" i="36"/>
  <c r="C47" i="36"/>
  <c r="AD47" i="36"/>
  <c r="AD8" i="36"/>
  <c r="C8" i="36"/>
  <c r="AD13" i="36"/>
  <c r="C13" i="36"/>
  <c r="C28" i="36"/>
  <c r="AD28" i="36"/>
  <c r="C35" i="36"/>
  <c r="AD35" i="36"/>
  <c r="C43" i="36"/>
  <c r="AD43" i="36"/>
  <c r="AD11" i="36"/>
  <c r="C11" i="36"/>
  <c r="C14" i="36"/>
  <c r="AD14" i="36"/>
  <c r="AE13"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C54" i="36" l="1"/>
  <c r="AD54" i="36"/>
  <c r="N71" i="17"/>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B13" i="39" s="1"/>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D30" i="18" l="1"/>
  <c r="D11"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D26E3232-55BB-49B8-B842-FC8D35EDBF6B}">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<sst xmlns="http://schemas.openxmlformats.org/spreadsheetml/2006/main" count="1664" uniqueCount="1192">
  <si>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</si>
  <si>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</si>
  <si>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</si>
  <si>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</si>
  <si>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</si>
  <si>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</si>
  <si>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</si>
  <si>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</si>
  <si>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</si>
  <si>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</si>
  <si>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</si>
  <si>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</si>
  <si>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</si>
  <si>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</si>
  <si>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</si>
  <si>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</si>
  <si>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</si>
  <si>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</si>
  <si>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</si>
  <si>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</si>
  <si>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</si>
  <si>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</si>
  <si>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</si>
  <si>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</si>
  <si>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</si>
  <si>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</si>
  <si>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</si>
  <si>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</si>
  <si>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</si>
  <si>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</si>
  <si>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</si>
  <si>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</si>
  <si>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</si>
  <si>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</si>
  <si>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</si>
  <si>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</si>
  <si>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</si>
  <si>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</si>
  <si>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</si>
  <si>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</si>
  <si>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</si>
  <si>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</si>
  <si>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</si>
  <si>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</si>
  <si>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</si>
  <si>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</si>
  <si>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</si>
  <si>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</si>
  <si>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</si>
  <si>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</si>
  <si>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</si>
  <si>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</si>
  <si>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</si>
  <si>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</si>
  <si>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</si>
  <si>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</si>
  <si>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</si>
  <si>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</si>
  <si>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</si>
  <si>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</si>
  <si>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</si>
  <si>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</si>
  <si>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</si>
  <si>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</si>
  <si>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</si>
  <si>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</si>
  <si>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</si>
  <si>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</si>
  <si>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</si>
  <si>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</si>
  <si>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</si>
  <si>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</si>
  <si>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</si>
  <si>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</si>
  <si>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</si>
  <si>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</si>
  <si>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</si>
  <si>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</si>
  <si>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</si>
  <si>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</si>
  <si>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</si>
  <si>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</si>
  <si>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</si>
  <si>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</si>
  <si>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</si>
  <si>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</si>
  <si>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</si>
  <si>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</si>
  <si>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</si>
  <si>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</si>
  <si>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</si>
  <si>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</si>
  <si>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</si>
  <si>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</si>
  <si>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</si>
  <si>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</si>
  <si>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</si>
  <si>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</si>
  <si>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</si>
  <si>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</si>
  <si>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</si>
  <si>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</si>
  <si>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</si>
  <si>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</si>
  <si>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</si>
  <si>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</si>
  <si>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</si>
  <si>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</si>
  <si>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</si>
  <si>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</si>
  <si>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</si>
  <si>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</si>
  <si>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</si>
  <si>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</si>
  <si>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</si>
  <si>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</si>
  <si>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</si>
  <si>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</si>
  <si>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</si>
  <si>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</si>
  <si>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</si>
  <si>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</si>
  <si>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</si>
  <si>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</si>
  <si>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</si>
  <si>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</si>
  <si>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</si>
  <si>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</si>
  <si>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</si>
  <si>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</si>
  <si>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</si>
  <si>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</si>
  <si>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</si>
  <si>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</si>
  <si>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</si>
  <si>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</si>
  <si>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</si>
  <si>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</si>
  <si>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</si>
  <si>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</si>
  <si>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</si>
  <si>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</si>
  <si>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</si>
  <si>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</si>
  <si>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</si>
  <si>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</si>
  <si>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</si>
  <si>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</si>
  <si>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</si>
  <si>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</si>
  <si>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</si>
  <si>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</si>
  <si>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</si>
  <si>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</si>
  <si>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</si>
  <si>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</si>
  <si>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</si>
  <si>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</si>
  <si>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</si>
  <si>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</si>
  <si>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</si>
  <si>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</si>
  <si>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</si>
  <si>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</si>
  <si>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</si>
  <si>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</si>
  <si>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</si>
  <si>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</si>
  <si>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</si>
  <si>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</si>
  <si>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</si>
  <si>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</si>
  <si>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</si>
  <si>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</si>
  <si>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</si>
  <si>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</si>
  <si>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</si>
  <si>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</si>
  <si>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</si>
  <si>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</si>
  <si>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</si>
  <si>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</si>
  <si>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</si>
  <si>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</si>
  <si>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</si>
  <si>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</si>
  <si>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</si>
  <si>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</si>
  <si>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</si>
  <si>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</si>
  <si>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</si>
  <si>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</si>
  <si>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</si>
  <si>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</si>
  <si>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</si>
  <si>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</si>
  <si>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</si>
  <si>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</si>
  <si>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</si>
  <si>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</si>
  <si>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</si>
  <si>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</si>
  <si>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</si>
  <si>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</si>
  <si>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</si>
  <si>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</si>
  <si>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</si>
  <si>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</si>
  <si>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</si>
  <si>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</si>
  <si>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</si>
  <si>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</si>
  <si>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</si>
  <si>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</si>
  <si>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</si>
  <si>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</si>
  <si>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</si>
  <si>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</si>
  <si>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</si>
  <si>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</si>
  <si>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</si>
  <si>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</si>
  <si>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</si>
  <si>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</si>
  <si>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</si>
  <si>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</si>
  <si>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</si>
  <si>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</si>
  <si>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</si>
  <si>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</si>
  <si>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</si>
  <si>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</si>
  <si>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</si>
  <si>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</si>
  <si>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</si>
  <si>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</si>
  <si>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</si>
  <si>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</si>
  <si>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</si>
  <si>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</si>
  <si>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</si>
  <si>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</si>
  <si>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</si>
  <si>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</si>
  <si>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</si>
  <si>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</si>
  <si>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</si>
  <si>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</si>
  <si>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</si>
  <si>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</si>
  <si>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</si>
  <si>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</si>
  <si>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</si>
  <si>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</si>
  <si>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</si>
  <si>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</si>
  <si>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</si>
  <si>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</si>
  <si>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</si>
  <si>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</si>
  <si>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</si>
  <si>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</si>
  <si>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</si>
  <si>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</si>
  <si>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</si>
  <si>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</si>
  <si>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</si>
  <si>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</si>
  <si>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</si>
  <si>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</si>
  <si>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</si>
  <si>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</si>
  <si>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</si>
  <si>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</si>
  <si>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</si>
  <si>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</si>
  <si>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</si>
  <si>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</si>
  <si>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</si>
  <si>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</si>
  <si>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</si>
  <si>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</si>
  <si>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</si>
  <si>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</si>
  <si>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</si>
  <si>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</si>
  <si>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</si>
  <si>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</si>
  <si>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</si>
  <si>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</si>
  <si>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</si>
  <si>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</si>
  <si>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</si>
  <si>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</si>
  <si>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</si>
  <si>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</si>
  <si>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</si>
  <si>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</si>
  <si>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</si>
  <si>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</si>
  <si>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</si>
  <si>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</si>
  <si>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</si>
  <si>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</si>
  <si>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</si>
  <si>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</si>
  <si>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</si>
  <si>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</si>
  <si>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</si>
  <si>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</si>
  <si>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</si>
  <si>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</si>
  <si>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</si>
  <si>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</si>
  <si>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</si>
  <si>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</si>
  <si>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</si>
  <si>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</si>
  <si>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</si>
  <si>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</si>
  <si>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</si>
  <si>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</si>
  <si>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</si>
  <si>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</si>
  <si>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</si>
  <si>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</si>
  <si>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</si>
  <si>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</si>
  <si>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</si>
  <si>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</si>
  <si>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</si>
  <si>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</si>
  <si>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</si>
  <si>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</si>
  <si>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</si>
  <si>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</si>
  <si>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</si>
  <si>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</si>
  <si>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</si>
  <si>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</si>
  <si>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</si>
  <si>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</si>
  <si>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</si>
  <si>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</si>
  <si>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</si>
  <si>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</si>
  <si>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</si>
  <si>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</si>
  <si>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</si>
  <si>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</si>
  <si>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</si>
  <si>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</si>
  <si>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</si>
  <si>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</si>
  <si>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</si>
  <si>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</si>
  <si>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</si>
  <si>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</si>
  <si>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</si>
  <si>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</si>
  <si>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</si>
  <si>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</si>
  <si>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</si>
  <si>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</si>
  <si>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</si>
  <si>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</si>
  <si>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</si>
  <si>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</si>
  <si>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</si>
  <si>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</si>
  <si>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</si>
  <si>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</si>
  <si>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</si>
  <si>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</si>
  <si>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</si>
  <si>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</si>
  <si>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</si>
  <si>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</si>
  <si>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</si>
  <si>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</si>
  <si>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</si>
  <si>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</si>
  <si>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</si>
  <si>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</si>
  <si>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</si>
  <si>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</si>
  <si>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</si>
  <si>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</si>
  <si>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</si>
  <si>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</si>
  <si>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</si>
  <si>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</si>
  <si>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</si>
  <si>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</si>
  <si>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</si>
  <si>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</si>
  <si>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</si>
  <si>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</si>
  <si>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</si>
  <si>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</si>
  <si>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</si>
  <si>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</si>
  <si>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</si>
  <si>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</si>
  <si>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</si>
  <si>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</si>
  <si>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</si>
  <si>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</si>
  <si>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</si>
  <si>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</si>
  <si>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</si>
  <si>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</si>
  <si>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</si>
  <si>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</si>
  <si>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</si>
  <si>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</si>
  <si>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</si>
  <si>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</si>
  <si>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</si>
  <si>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</si>
  <si>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</si>
  <si>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</si>
  <si>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</si>
  <si>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</si>
  <si>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</si>
  <si>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</si>
  <si>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</si>
  <si>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</si>
  <si>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</si>
  <si>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</si>
  <si>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</si>
  <si>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</si>
  <si>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</si>
  <si>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</si>
  <si>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</si>
  <si>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</si>
  <si>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</si>
  <si>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</si>
  <si>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</si>
  <si>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</si>
  <si>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</si>
  <si>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</si>
  <si>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</si>
  <si>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</si>
  <si>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</si>
  <si>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</si>
  <si>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</si>
  <si>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</si>
  <si>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</si>
  <si>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</si>
  <si>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</si>
  <si>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</si>
  <si>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</si>
  <si>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</si>
  <si>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</si>
  <si>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</si>
  <si>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</si>
  <si>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</si>
  <si>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</si>
  <si>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</si>
  <si>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</si>
  <si>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</si>
  <si>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</si>
  <si>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</si>
  <si>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</si>
  <si>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</si>
  <si>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</si>
  <si>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</si>
  <si>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</si>
  <si>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</si>
  <si>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</si>
  <si>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</si>
  <si>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</si>
  <si>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</si>
  <si>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</si>
  <si>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</si>
  <si>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</si>
  <si>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</si>
  <si>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</si>
  <si>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</si>
  <si>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</si>
  <si>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</si>
  <si>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</si>
  <si>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</si>
  <si>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</si>
  <si>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</si>
  <si>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</si>
  <si>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</si>
  <si>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</si>
  <si>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</si>
  <si>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</si>
  <si>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</si>
  <si>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</si>
  <si>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</si>
  <si>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</si>
  <si>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</si>
  <si>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</si>
  <si>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</si>
  <si>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</si>
  <si>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</si>
  <si>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</si>
  <si>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</si>
  <si>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</si>
  <si>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</si>
  <si>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</si>
  <si>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</si>
  <si>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</si>
  <si>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</si>
  <si>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</si>
  <si>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</si>
  <si>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</si>
  <si>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</si>
  <si>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</si>
  <si>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</si>
  <si>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</si>
  <si>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</si>
  <si>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</si>
  <si>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</si>
  <si>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</si>
  <si>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</si>
  <si>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</si>
  <si>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</si>
  <si>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</si>
  <si>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</si>
  <si>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</si>
  <si>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</si>
  <si>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</si>
  <si>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</si>
  <si>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</si>
  <si>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</si>
  <si>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</si>
  <si>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</si>
  <si>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</si>
  <si>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</si>
  <si>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</si>
  <si>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</si>
  <si>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</si>
  <si>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</si>
  <si>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</si>
  <si>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</si>
  <si>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</si>
  <si>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</si>
  <si>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</si>
  <si>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</si>
  <si>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</si>
  <si>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</si>
  <si>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</si>
  <si>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</si>
  <si>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</si>
  <si>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</si>
  <si>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</si>
  <si>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</si>
  <si>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</si>
  <si>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</si>
  <si>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</si>
  <si>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</si>
  <si>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</si>
  <si>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</si>
  <si>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</si>
  <si>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</si>
  <si>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</si>
  <si>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</si>
  <si>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</si>
  <si>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</si>
  <si>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</si>
  <si>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</si>
  <si>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</si>
  <si>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</si>
  <si>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</si>
  <si>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</si>
  <si>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</si>
  <si>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</si>
  <si>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</si>
  <si>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</si>
  <si>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</si>
  <si>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</si>
  <si>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</si>
  <si>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</si>
  <si>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</si>
  <si>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</si>
  <si>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</si>
  <si>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</si>
  <si>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</si>
  <si>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</si>
  <si>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</si>
  <si>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</si>
  <si>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</si>
  <si>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</si>
  <si>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</si>
  <si>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</si>
  <si>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</si>
  <si>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</si>
  <si>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</si>
  <si>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</si>
  <si>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</si>
  <si>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</si>
  <si>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</si>
  <si>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</si>
  <si>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</si>
  <si>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</si>
  <si>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</si>
  <si>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</si>
  <si>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</si>
  <si>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</si>
  <si>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</si>
  <si>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</si>
  <si>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</si>
  <si>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</si>
  <si>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</si>
  <si>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</si>
  <si>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</si>
  <si>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</si>
  <si>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</si>
  <si>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</si>
  <si>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</si>
  <si>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</si>
  <si>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</si>
  <si>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</si>
  <si>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</si>
  <si>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</si>
  <si>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</si>
  <si>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</si>
  <si>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</si>
  <si>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</si>
  <si>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</si>
  <si>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</si>
  <si>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</si>
  <si>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</si>
  <si>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</si>
  <si>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</si>
  <si>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</si>
  <si>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</si>
  <si>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</si>
  <si>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</si>
  <si>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</si>
  <si>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</si>
  <si>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</si>
  <si>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</si>
  <si>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</si>
  <si>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</si>
  <si>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</si>
  <si>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</si>
  <si>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</si>
  <si>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</si>
  <si>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</si>
  <si>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</si>
  <si>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</si>
  <si>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</si>
  <si>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</si>
  <si>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</si>
  <si>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</si>
  <si>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</si>
  <si>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</si>
  <si>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</si>
  <si>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</si>
  <si>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</si>
  <si>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</si>
  <si>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</si>
  <si>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</si>
  <si>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</si>
  <si>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</si>
  <si>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</si>
  <si>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</si>
  <si>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</si>
  <si>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</si>
  <si>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</si>
  <si>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</si>
  <si>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</si>
  <si>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</si>
  <si>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</si>
  <si>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</si>
  <si>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</si>
  <si>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</si>
  <si>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</si>
  <si>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</si>
  <si>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</si>
  <si>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</si>
  <si>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</si>
  <si>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</si>
  <si>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</si>
  <si>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</si>
  <si>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</si>
  <si>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</si>
  <si>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</si>
  <si>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</si>
  <si>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</si>
  <si>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</si>
  <si>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</si>
  <si>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</si>
  <si>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</si>
  <si>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</si>
  <si>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</si>
  <si>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</si>
  <si>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</si>
  <si>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</si>
  <si>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</si>
  <si>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</si>
  <si>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</si>
  <si>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</si>
  <si>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</si>
  <si>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</si>
  <si>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</si>
  <si>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</si>
  <si>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</si>
  <si>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</si>
  <si>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</si>
  <si>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</si>
  <si>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</si>
  <si>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</si>
  <si>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</si>
  <si>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</si>
  <si>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</si>
  <si>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</si>
  <si>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</si>
  <si>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</si>
  <si>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</si>
  <si>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</si>
  <si>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</si>
  <si>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</si>
  <si>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</si>
  <si>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</si>
  <si>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</si>
  <si>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</si>
  <si>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</si>
  <si>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</si>
  <si>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</si>
  <si>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</si>
  <si>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</si>
  <si>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</si>
  <si>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</si>
  <si>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</si>
  <si>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</si>
  <si>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</si>
  <si>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</si>
  <si>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</si>
  <si>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</si>
  <si>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</si>
  <si>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</si>
  <si>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</si>
  <si>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</si>
  <si>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</si>
  <si>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</si>
  <si>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</si>
  <si>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</si>
  <si>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</si>
  <si>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</si>
  <si>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</si>
  <si>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</si>
  <si>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</si>
  <si>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</si>
  <si>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</si>
  <si>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</si>
  <si>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</si>
  <si>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</si>
  <si>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</si>
  <si>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</si>
  <si>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</si>
  <si>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</si>
  <si>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</si>
  <si>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</si>
  <si>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</si>
  <si>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</si>
  <si>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</si>
  <si>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</si>
  <si>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</si>
  <si>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</si>
  <si>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</si>
  <si>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</si>
  <si>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</si>
  <si>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</si>
  <si>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</si>
  <si>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</si>
  <si>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</si>
  <si>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</si>
  <si>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</si>
  <si>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</si>
  <si>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</si>
  <si>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</si>
  <si>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</si>
  <si>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</si>
  <si>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</si>
  <si>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</si>
  <si>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</si>
  <si>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</si>
  <si>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</si>
  <si>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</si>
  <si>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</si>
  <si>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</si>
  <si>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</si>
  <si>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</si>
  <si>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</si>
  <si>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</si>
  <si>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</si>
  <si>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</si>
  <si>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</si>
  <si>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</si>
  <si>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</si>
  <si>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</si>
  <si>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</si>
  <si>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</si>
  <si>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</si>
  <si>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</si>
  <si>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</si>
  <si>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</si>
  <si>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</si>
  <si>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</si>
  <si>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</si>
  <si>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</si>
  <si>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</si>
  <si>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</si>
  <si>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</si>
  <si>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</si>
  <si>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</si>
  <si>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</si>
  <si>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</si>
  <si>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</si>
  <si>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</si>
  <si>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</si>
  <si>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</si>
  <si>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</si>
  <si>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</si>
  <si>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</si>
  <si>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</si>
  <si>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</si>
  <si>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</si>
  <si>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</si>
  <si>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</si>
  <si>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</si>
  <si>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</si>
  <si>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</si>
  <si>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</si>
  <si>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</si>
  <si>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</si>
  <si>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</si>
  <si>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</si>
  <si>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</si>
  <si>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</si>
  <si>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</si>
  <si>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</si>
  <si>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</si>
  <si>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</si>
  <si>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</si>
  <si>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</si>
  <si>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</si>
  <si>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</si>
  <si>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</si>
  <si>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</si>
  <si>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</si>
  <si>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</si>
  <si>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</si>
  <si>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</si>
  <si>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</si>
  <si>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</si>
  <si>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</si>
  <si>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</si>
  <si>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</si>
  <si>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</si>
  <si>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</si>
  <si>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</si>
  <si>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</si>
  <si>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</si>
  <si>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</si>
  <si>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</si>
  <si>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</si>
  <si>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</si>
  <si>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</si>
  <si>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</si>
  <si>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</si>
  <si>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</si>
  <si>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</si>
  <si>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</si>
  <si>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</si>
  <si>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</si>
  <si>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</si>
  <si>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</si>
  <si>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</si>
  <si>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</si>
  <si>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</si>
  <si>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</si>
  <si>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</si>
  <si>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</si>
  <si>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</si>
  <si>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</si>
  <si>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</si>
  <si>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</si>
  <si>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</si>
  <si>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</si>
  <si>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</si>
  <si>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</si>
  <si>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</si>
  <si>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</si>
  <si>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</si>
  <si>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</si>
  <si>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</si>
  <si>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</si>
  <si>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</si>
  <si>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</si>
  <si>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</si>
  <si>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</si>
  <si>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</si>
  <si>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</si>
  <si>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</si>
  <si>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</si>
  <si>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</si>
  <si>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</si>
  <si>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</si>
  <si>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</si>
  <si>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</si>
  <si>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</si>
  <si>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</si>
  <si>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</si>
  <si>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</si>
  <si>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</si>
  <si>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</si>
  <si>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</si>
  <si>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</si>
  <si>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</si>
  <si>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</si>
  <si>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</si>
  <si>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</si>
  <si>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</si>
  <si>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</si>
  <si>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</si>
  <si>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</si>
  <si>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</si>
  <si>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</si>
  <si>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</si>
  <si>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</si>
  <si>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</si>
  <si>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</si>
  <si>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</si>
  <si>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</si>
  <si>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</si>
  <si>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</si>
  <si>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</si>
  <si>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</si>
  <si>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</si>
  <si>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</si>
  <si>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</si>
  <si>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</si>
  <si>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</si>
  <si>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</si>
  <si>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</si>
  <si>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</si>
  <si>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</si>
  <si>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</si>
  <si>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</si>
  <si>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</si>
  <si>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</si>
  <si>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</si>
  <si>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</si>
  <si>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</si>
  <si>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</si>
  <si>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</si>
  <si>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</si>
  <si>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</si>
  <si>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</si>
  <si>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</si>
  <si>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</si>
  <si>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</si>
  <si>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</si>
  <si>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</si>
  <si>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</si>
  <si>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</si>
  <si>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</si>
  <si>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</si>
  <si>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</si>
  <si>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</si>
  <si>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</si>
  <si>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</si>
  <si>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</si>
  <si>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</si>
  <si>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</si>
  <si>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</si>
  <si>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</si>
  <si>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</si>
  <si>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</si>
  <si>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</si>
  <si>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</si>
  <si>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</si>
  <si>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</si>
  <si>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</si>
  <si>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</si>
  <si>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</si>
  <si>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</si>
  <si>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</si>
  <si>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</si>
  <si>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</si>
  <si>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</si>
  <si>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</si>
  <si>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</si>
  <si>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</si>
  <si>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</si>
  <si>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</si>
  <si>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</si>
  <si>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</si>
  <si>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</si>
  <si>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</si>
  <si>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</si>
  <si>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</si>
  <si>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</si>
  <si>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</si>
  <si>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</si>
  <si>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</si>
  <si>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</si>
  <si>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</si>
  <si>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</si>
  <si>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</si>
  <si>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</si>
  <si>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</si>
  <si>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</si>
  <si>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</si>
  <si>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</si>
  <si>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</si>
  <si>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</si>
  <si>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</si>
  <si>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</si>
  <si>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</si>
  <si>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</si>
  <si>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</si>
  <si>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</si>
  <si>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</si>
  <si>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</si>
  <si>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</si>
  <si>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</si>
  <si>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</si>
  <si>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</si>
  <si>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</si>
  <si>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</si>
  <si>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</si>
  <si>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</si>
  <si>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</si>
  <si>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</si>
  <si>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</si>
  <si>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</si>
  <si>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</si>
  <si>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</si>
  <si>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</si>
  <si>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</si>
  <si>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</si>
  <si>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</si>
  <si>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</si>
  <si>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</si>
  <si>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</si>
  <si>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</si>
  <si>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</si>
  <si>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</si>
  <si>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</si>
  <si>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</si>
  <si>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</si>
  <si>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</si>
  <si>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</si>
  <si>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</si>
  <si>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</si>
  <si>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</si>
  <si>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</si>
  <si>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</si>
  <si>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</si>
  <si>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</si>
  <si>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</si>
  <si>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</si>
  <si>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</si>
  <si>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</si>
  <si>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</si>
  <si>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</si>
  <si>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</si>
  <si>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</si>
  <si>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</si>
  <si>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</si>
  <si>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</si>
  <si>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</si>
  <si>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</si>
  <si>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</si>
  <si>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</si>
  <si>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</si>
  <si>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</si>
  <si>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</si>
  <si>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</si>
  <si>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</si>
  <si>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</si>
  <si>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</si>
  <si>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</si>
  <si>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</si>
  <si>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</si>
  <si>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</si>
  <si>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</si>
  <si>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</si>
  <si>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</si>
  <si>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</si>
  <si>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</si>
  <si>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</si>
  <si>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</si>
  <si>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</si>
  <si>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</si>
  <si>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</si>
  <si>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</si>
  <si>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</si>
  <si>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</si>
  <si>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</si>
  <si>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</si>
  <si>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</si>
  <si>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</si>
  <si>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</si>
  <si>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</si>
  <si>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</si>
  <si>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</si>
  <si>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</si>
  <si>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</si>
  <si>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</si>
  <si>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</si>
  <si>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</si>
  <si>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</si>
  <si>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</si>
  <si>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</si>
  <si>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</si>
  <si>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</si>
  <si>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</si>
  <si>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</si>
  <si>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</si>
  <si>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</si>
  <si>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</si>
  <si>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</si>
  <si>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</si>
  <si>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</si>
  <si>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</si>
  <si>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</si>
  <si>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</si>
  <si>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</si>
  <si>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</si>
  <si>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</si>
  <si>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</si>
  <si>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</si>
  <si>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</si>
  <si>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</si>
  <si>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</si>
  <si>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</si>
  <si>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</si>
  <si>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</si>
  <si>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</si>
  <si>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</si>
  <si>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</si>
  <si>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</si>
  <si>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</si>
  <si>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</si>
  <si>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</si>
  <si>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</si>
  <si>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</si>
  <si>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</si>
  <si>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</si>
  <si>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</si>
  <si>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</si>
  <si>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</si>
  <si>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</si>
  <si>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</si>
  <si>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</si>
  <si>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</si>
  <si>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</si>
  <si>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</si>
  <si>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</si>
  <si>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</si>
  <si>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</si>
  <si>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</si>
  <si>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</si>
  <si>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</si>
  <si>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</si>
  <si>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</si>
  <si>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</si>
  <si>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</si>
  <si>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</si>
  <si>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</si>
  <si>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</si>
  <si>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</si>
  <si>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</si>
  <si>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</si>
  <si>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</si>
  <si>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</si>
  <si>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</si>
  <si>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</si>
  <si>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</si>
  <si>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</si>
  <si>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</si>
  <si>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</si>
  <si>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</si>
  <si>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</si>
  <si>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</si>
  <si>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</si>
  <si>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</si>
  <si>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</si>
  <si>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</si>
  <si>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Version: 2.14</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</si>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</sst>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0"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FFFFFF"/>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69" fillId="0" borderId="0" xfId="0" applyFont="1" applyAlignment="1"/>
    <xf numFmtId="0" fontId="60" fillId="0" borderId="89" xfId="0" applyFont="1" applyFill="1" applyBorder="1" applyAlignment="1" applyProtection="1">
      <alignment horizontal="center" vertical="center"/>
      <protection locked="0"/>
    </xf>
    <xf numFmtId="164" fontId="60" fillId="0" borderId="89" xfId="0" applyNumberFormat="1" applyFont="1" applyFill="1" applyBorder="1" applyProtection="1">
      <protection locked="0"/>
    </xf>
    <xf numFmtId="0" fontId="60" fillId="0" borderId="0" xfId="0" applyFont="1"/>
    <xf numFmtId="0" fontId="0" fillId="0" borderId="76" xfId="0" applyBorder="1" applyAlignment="1" applyProtection="1">
      <alignment wrapText="1"/>
      <protection locked="0"/>
    </xf>
    <xf numFmtId="0" fontId="69" fillId="0" borderId="0" xfId="0" applyFont="1" applyFill="1" applyBorder="1"/>
    <xf numFmtId="14" fontId="60" fillId="0" borderId="89" xfId="0" applyNumberFormat="1" applyFont="1" applyFill="1" applyBorder="1" applyAlignment="1" applyProtection="1">
      <alignment horizontal="center" vertical="center"/>
      <protection locked="0"/>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0</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0</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0</c:v>
                </c:pt>
                <c:pt idx="1">
                  <c:v>0</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#N/A</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'Summary Calculations (hide)'!$U$15:$U$66</c:f>
              <c:numCache>
                <c:formatCode>#,##0</c:formatCode>
                <c:ptCount val="52"/>
                <c:pt idx="0">
                  <c:v>0</c:v>
                </c:pt>
                <c:pt idx="1">
                  <c:v>0</c:v>
                </c:pt>
                <c:pt idx="2">
                  <c:v>0</c:v>
                </c:pt>
                <c:pt idx="3">
                  <c:v>0</c:v>
                </c:pt>
                <c:pt idx="4">
                  <c:v>0</c:v>
                </c:pt>
                <c:pt idx="5">
                  <c:v>0</c:v>
                </c:pt>
                <c:pt idx="6">
                  <c:v>0</c:v>
                </c:pt>
                <c:pt idx="7">
                  <c:v>0</c:v>
                </c:pt>
                <c:pt idx="8">
                  <c:v>#N/A</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(hide)'!$AD$4:$AD$55</c:f>
              <c:numCache>
                <c:formatCode>General</c:formatCode>
                <c:ptCount val="52"/>
                <c:pt idx="0">
                  <c:v>0</c:v>
                </c:pt>
                <c:pt idx="1">
                  <c:v>0</c:v>
                </c:pt>
                <c:pt idx="2">
                  <c:v>0</c:v>
                </c:pt>
                <c:pt idx="3">
                  <c:v>0</c:v>
                </c:pt>
                <c:pt idx="4">
                  <c:v>0</c:v>
                </c:pt>
                <c:pt idx="5">
                  <c:v>0</c:v>
                </c:pt>
                <c:pt idx="6">
                  <c:v>#N/A</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(hide)'!$AE$4:$AE$55</c:f>
              <c:numCache>
                <c:formatCode>General</c:formatCode>
                <c:ptCount val="52"/>
                <c:pt idx="0">
                  <c:v>0</c:v>
                </c:pt>
                <c:pt idx="1">
                  <c:v>0</c:v>
                </c:pt>
                <c:pt idx="2">
                  <c:v>0</c:v>
                </c:pt>
                <c:pt idx="3">
                  <c:v>0</c:v>
                </c:pt>
                <c:pt idx="4">
                  <c:v>0</c:v>
                </c:pt>
                <c:pt idx="5">
                  <c:v>0</c:v>
                </c:pt>
                <c:pt idx="6">
                  <c:v>#N/A</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fmlaLink="'Capacity calculation (hide)'!$E$1" lockText="1" noThreeD="1"/>
</file>

<file path=xl/ctrlProps/ctrlProp22.xml><?xml version="1.0" encoding="utf-8"?>
<formControlPr xmlns="http://schemas.microsoft.com/office/spreadsheetml/2009/9/main" objectType="Radio" checked="Checked"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5</xdr:row>
          <xdr:rowOff>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85725</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1419225</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161925</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161925</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276225</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showRowColHeaders="0" workbookViewId="0"/>
  </sheetViews>
  <sheetFormatPr defaultRowHeight="14.25" x14ac:dyDescent="0.2"/>
  <cols>
    <col min="1" max="1" width="9.625" bestFit="1" customWidth="1"/>
    <col min="2" max="2" width="9.875" bestFit="1" customWidth="1"/>
    <col min="3" max="3" width="20.125" customWidth="1"/>
    <col min="4" max="4" width="74.375" customWidth="1"/>
    <col min="5" max="5" width="35.375" customWidth="1"/>
  </cols>
  <sheetData>
    <row r="2" spans="1:5" ht="15" x14ac:dyDescent="0.25">
      <c r="A2" s="291" t="s">
        <v>0</v>
      </c>
      <c r="B2" s="291" t="s">
        <v>1</v>
      </c>
      <c r="C2" s="291" t="s">
        <v>2</v>
      </c>
      <c r="D2" s="291" t="s">
        <v>3</v>
      </c>
      <c r="E2" s="291" t="s">
        <v>11</v>
      </c>
    </row>
    <row r="3" spans="1:5" s="68" customFormat="1" ht="228" x14ac:dyDescent="0.2">
      <c r="A3" s="295">
        <v>2.14</v>
      </c>
      <c r="B3" s="296">
        <v>43920</v>
      </c>
      <c r="C3" s="298" t="s">
        <v>1191</v>
      </c>
      <c r="D3" s="298" t="s">
        <v>1190</v>
      </c>
      <c r="E3" s="295"/>
    </row>
    <row r="4" spans="1:5" s="68" customFormat="1" ht="171.75" x14ac:dyDescent="0.25">
      <c r="A4" s="295">
        <v>2.13</v>
      </c>
      <c r="B4" s="296">
        <v>43903</v>
      </c>
      <c r="C4" s="295" t="s">
        <v>5</v>
      </c>
      <c r="D4" s="298" t="s">
        <v>1188</v>
      </c>
      <c r="E4" s="291"/>
    </row>
    <row r="5" spans="1:5" s="68" customFormat="1" ht="29.25" x14ac:dyDescent="0.25">
      <c r="A5" s="295">
        <v>2.12</v>
      </c>
      <c r="B5" s="296">
        <v>43887</v>
      </c>
      <c r="C5" s="295" t="s">
        <v>278</v>
      </c>
      <c r="D5" s="298" t="s">
        <v>1187</v>
      </c>
      <c r="E5" s="291"/>
    </row>
    <row r="6" spans="1:5" s="68" customFormat="1" ht="57" x14ac:dyDescent="0.2">
      <c r="A6" s="295">
        <v>2.11</v>
      </c>
      <c r="B6" s="296">
        <v>43846</v>
      </c>
      <c r="C6" s="298" t="s">
        <v>1178</v>
      </c>
      <c r="D6" s="298" t="s">
        <v>1186</v>
      </c>
      <c r="E6" s="298" t="s">
        <v>1184</v>
      </c>
    </row>
    <row r="7" spans="1:5" s="68" customFormat="1" ht="43.5" x14ac:dyDescent="0.25">
      <c r="A7" s="338">
        <v>2.1</v>
      </c>
      <c r="B7" s="296">
        <v>43756</v>
      </c>
      <c r="C7" s="295" t="s">
        <v>278</v>
      </c>
      <c r="D7" s="298" t="s">
        <v>1182</v>
      </c>
      <c r="E7" s="291"/>
    </row>
    <row r="8" spans="1:5" s="68" customFormat="1" ht="57.75" x14ac:dyDescent="0.25">
      <c r="A8" s="295">
        <v>2.02</v>
      </c>
      <c r="B8" s="296">
        <v>43718</v>
      </c>
      <c r="C8" s="295" t="s">
        <v>5</v>
      </c>
      <c r="D8" s="298" t="s">
        <v>1181</v>
      </c>
      <c r="E8" s="291"/>
    </row>
    <row r="9" spans="1:5" s="68" customFormat="1" ht="57.75" x14ac:dyDescent="0.25">
      <c r="A9" s="295">
        <v>2.0099999999999998</v>
      </c>
      <c r="B9" s="296">
        <v>43693</v>
      </c>
      <c r="C9" s="295" t="s">
        <v>1117</v>
      </c>
      <c r="D9" s="298" t="s">
        <v>1180</v>
      </c>
      <c r="E9" s="291"/>
    </row>
    <row r="10" spans="1:5" s="68" customFormat="1" ht="100.5" x14ac:dyDescent="0.25">
      <c r="A10" s="335">
        <v>2</v>
      </c>
      <c r="B10" s="323">
        <v>43665</v>
      </c>
      <c r="C10" s="298" t="s">
        <v>1178</v>
      </c>
      <c r="D10" s="298" t="s">
        <v>1179</v>
      </c>
      <c r="E10" s="291"/>
    </row>
    <row r="11" spans="1:5" s="68" customFormat="1" ht="257.25" x14ac:dyDescent="0.25">
      <c r="A11" s="291">
        <v>1.05</v>
      </c>
      <c r="B11" s="323">
        <v>43570</v>
      </c>
      <c r="C11" s="298" t="s">
        <v>1177</v>
      </c>
      <c r="D11" s="298" t="s">
        <v>1171</v>
      </c>
      <c r="E11" s="325" t="s">
        <v>1170</v>
      </c>
    </row>
    <row r="12" spans="1:5" s="68" customFormat="1" ht="85.5" x14ac:dyDescent="0.2">
      <c r="A12" s="295">
        <v>1.04</v>
      </c>
      <c r="B12" s="296">
        <v>43516</v>
      </c>
      <c r="C12" s="295" t="s">
        <v>1117</v>
      </c>
      <c r="D12" s="298" t="s">
        <v>1120</v>
      </c>
      <c r="E12" s="298"/>
    </row>
    <row r="13" spans="1:5" s="68" customFormat="1" ht="128.25" x14ac:dyDescent="0.2">
      <c r="A13" s="295" t="s">
        <v>1116</v>
      </c>
      <c r="B13" s="296">
        <v>43486</v>
      </c>
      <c r="C13" s="295" t="s">
        <v>1117</v>
      </c>
      <c r="D13" s="298" t="s">
        <v>1118</v>
      </c>
      <c r="E13" s="298" t="s">
        <v>1119</v>
      </c>
    </row>
    <row r="14" spans="1:5" s="297" customFormat="1" ht="171" x14ac:dyDescent="0.2">
      <c r="A14" s="295" t="s">
        <v>1116</v>
      </c>
      <c r="B14" s="296">
        <v>43395</v>
      </c>
      <c r="C14" s="295" t="s">
        <v>5</v>
      </c>
      <c r="D14" s="298" t="s">
        <v>1115</v>
      </c>
      <c r="E14" s="298" t="s">
        <v>1114</v>
      </c>
    </row>
    <row r="15" spans="1:5" s="297" customFormat="1" ht="171" x14ac:dyDescent="0.2">
      <c r="A15" s="295">
        <v>1.03</v>
      </c>
      <c r="B15" s="296">
        <v>43319</v>
      </c>
      <c r="C15" s="295" t="s">
        <v>5</v>
      </c>
      <c r="D15" s="298" t="s">
        <v>1113</v>
      </c>
      <c r="E15" s="295"/>
    </row>
    <row r="16" spans="1:5" ht="409.5" x14ac:dyDescent="0.2">
      <c r="A16" s="292">
        <v>1.02</v>
      </c>
      <c r="B16" s="293">
        <v>43292</v>
      </c>
      <c r="C16" s="292" t="s">
        <v>5</v>
      </c>
      <c r="D16" s="294" t="s">
        <v>1112</v>
      </c>
      <c r="E16" s="294" t="s">
        <v>953</v>
      </c>
    </row>
    <row r="17" spans="1:5" ht="42.75" x14ac:dyDescent="0.2">
      <c r="A17" s="292" t="s">
        <v>941</v>
      </c>
      <c r="B17" s="293">
        <v>43291</v>
      </c>
      <c r="C17" s="292" t="s">
        <v>5</v>
      </c>
      <c r="D17" s="294" t="s">
        <v>942</v>
      </c>
      <c r="E17" s="292"/>
    </row>
    <row r="18" spans="1:5" ht="156.75" x14ac:dyDescent="0.2">
      <c r="A18" s="292" t="s">
        <v>883</v>
      </c>
      <c r="B18" s="293">
        <v>43255</v>
      </c>
      <c r="C18" s="292" t="s">
        <v>5</v>
      </c>
      <c r="D18" s="294" t="s">
        <v>884</v>
      </c>
      <c r="E18" s="292"/>
    </row>
    <row r="19" spans="1:5" ht="42.75" x14ac:dyDescent="0.2">
      <c r="A19" s="292" t="s">
        <v>876</v>
      </c>
      <c r="B19" s="293">
        <v>43247</v>
      </c>
      <c r="C19" s="292" t="s">
        <v>5</v>
      </c>
      <c r="D19" s="294" t="s">
        <v>877</v>
      </c>
      <c r="E19" s="292"/>
    </row>
    <row r="20" spans="1:5" ht="142.5" x14ac:dyDescent="0.2">
      <c r="A20" s="292">
        <v>0.4</v>
      </c>
      <c r="B20" s="293">
        <v>43229</v>
      </c>
      <c r="C20" s="292" t="s">
        <v>5</v>
      </c>
      <c r="D20" s="294" t="s">
        <v>494</v>
      </c>
      <c r="E20" s="294" t="s">
        <v>495</v>
      </c>
    </row>
    <row r="21" spans="1:5" ht="114" x14ac:dyDescent="0.2">
      <c r="A21" s="292" t="s">
        <v>326</v>
      </c>
      <c r="B21" s="293">
        <v>43206</v>
      </c>
      <c r="C21" s="292" t="s">
        <v>5</v>
      </c>
      <c r="D21" s="294" t="s">
        <v>327</v>
      </c>
      <c r="E21" s="294" t="s">
        <v>342</v>
      </c>
    </row>
    <row r="22" spans="1:5" ht="57" x14ac:dyDescent="0.2">
      <c r="A22" s="292" t="s">
        <v>302</v>
      </c>
      <c r="B22" s="293">
        <v>43185</v>
      </c>
      <c r="C22" s="292" t="s">
        <v>5</v>
      </c>
      <c r="D22" s="292"/>
      <c r="E22" s="294" t="s">
        <v>303</v>
      </c>
    </row>
    <row r="23" spans="1:5" ht="71.25" x14ac:dyDescent="0.2">
      <c r="A23" s="292" t="s">
        <v>300</v>
      </c>
      <c r="B23" s="293">
        <v>43178</v>
      </c>
      <c r="C23" s="292" t="s">
        <v>278</v>
      </c>
      <c r="D23" s="294" t="s">
        <v>301</v>
      </c>
      <c r="E23" s="292"/>
    </row>
    <row r="24" spans="1:5" ht="128.25" x14ac:dyDescent="0.2">
      <c r="A24" s="292" t="s">
        <v>290</v>
      </c>
      <c r="B24" s="293">
        <v>43172</v>
      </c>
      <c r="C24" s="292" t="s">
        <v>5</v>
      </c>
      <c r="D24" s="294" t="s">
        <v>291</v>
      </c>
      <c r="E24" s="294" t="s">
        <v>293</v>
      </c>
    </row>
    <row r="25" spans="1:5" ht="57" x14ac:dyDescent="0.2">
      <c r="A25" s="292" t="s">
        <v>277</v>
      </c>
      <c r="B25" s="293">
        <v>43167</v>
      </c>
      <c r="C25" s="292" t="s">
        <v>278</v>
      </c>
      <c r="D25" s="292" t="s">
        <v>279</v>
      </c>
      <c r="E25" s="294" t="s">
        <v>284</v>
      </c>
    </row>
    <row r="26" spans="1:5" x14ac:dyDescent="0.2">
      <c r="A26" s="292"/>
      <c r="B26" s="293">
        <v>43147</v>
      </c>
      <c r="C26" s="292" t="s">
        <v>5</v>
      </c>
      <c r="D26" s="292" t="s">
        <v>129</v>
      </c>
      <c r="E26" s="292"/>
    </row>
    <row r="27" spans="1:5" ht="99.75" x14ac:dyDescent="0.2">
      <c r="A27" s="292" t="s">
        <v>9</v>
      </c>
      <c r="B27" s="293">
        <v>43130</v>
      </c>
      <c r="C27" s="292" t="s">
        <v>5</v>
      </c>
      <c r="D27" s="294" t="s">
        <v>10</v>
      </c>
      <c r="E27" s="294" t="s">
        <v>12</v>
      </c>
    </row>
    <row r="28" spans="1:5" x14ac:dyDescent="0.2">
      <c r="A28" s="292" t="s">
        <v>7</v>
      </c>
      <c r="B28" s="293">
        <v>43068</v>
      </c>
      <c r="C28" s="292" t="s">
        <v>5</v>
      </c>
      <c r="D28" s="292" t="s">
        <v>8</v>
      </c>
      <c r="E28" s="292"/>
    </row>
    <row r="29" spans="1:5" x14ac:dyDescent="0.2">
      <c r="A29" s="292" t="s">
        <v>4</v>
      </c>
      <c r="B29" s="293">
        <v>42852</v>
      </c>
      <c r="C29" s="292" t="s">
        <v>5</v>
      </c>
      <c r="D29" s="292" t="s">
        <v>6</v>
      </c>
      <c r="E29" s="292"/>
    </row>
  </sheetData>
  <sheetProtection algorithmName="SHA-512" hashValue="Myix0B7zaDzxVF067MGWzn8B8FtE4QAOC4BuIqFhkebCM+VB3fmDz7kVGVmby2pM29/4hRkIkKVG8jSTjYNtTQ==" saltValue="pPmzy9MPw3BERDE2DvriHQ=="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8" hidden="1" customWidth="1"/>
    <col min="2" max="2" width="27.5" customWidth="1"/>
    <col min="3" max="3" width="7.625" customWidth="1"/>
    <col min="4" max="4" width="23.25" customWidth="1"/>
  </cols>
  <sheetData>
    <row r="1" spans="1:18" x14ac:dyDescent="0.2">
      <c r="B1" t="s">
        <v>526</v>
      </c>
    </row>
    <row r="3" spans="1:18" x14ac:dyDescent="0.2">
      <c r="B3" t="s">
        <v>527</v>
      </c>
    </row>
    <row r="4" spans="1:18" x14ac:dyDescent="0.2">
      <c r="B4" t="s">
        <v>528</v>
      </c>
    </row>
    <row r="7" spans="1:18" ht="15" x14ac:dyDescent="0.25">
      <c r="B7" s="2" t="s">
        <v>956</v>
      </c>
      <c r="K7" s="2" t="s">
        <v>1111</v>
      </c>
    </row>
    <row r="9" spans="1:18" ht="15" x14ac:dyDescent="0.25">
      <c r="A9" s="68">
        <f>COUNTA(B10:B1048576)</f>
        <v>236</v>
      </c>
      <c r="B9" s="2" t="s">
        <v>529</v>
      </c>
      <c r="C9" s="2"/>
      <c r="D9" s="2" t="s">
        <v>530</v>
      </c>
      <c r="K9" s="2" t="s">
        <v>1109</v>
      </c>
      <c r="R9" s="2" t="s">
        <v>1110</v>
      </c>
    </row>
    <row r="10" spans="1:18" x14ac:dyDescent="0.2">
      <c r="A10" s="68">
        <f>COUNTA(D10:D1048576)</f>
        <v>79</v>
      </c>
      <c r="B10" s="68" t="s">
        <v>560</v>
      </c>
      <c r="D10" s="68" t="s">
        <v>830</v>
      </c>
      <c r="K10" t="s">
        <v>957</v>
      </c>
      <c r="R10" t="s">
        <v>830</v>
      </c>
    </row>
    <row r="11" spans="1:18" x14ac:dyDescent="0.2">
      <c r="B11" s="68" t="s">
        <v>561</v>
      </c>
      <c r="D11" s="68" t="s">
        <v>856</v>
      </c>
      <c r="K11" t="s">
        <v>958</v>
      </c>
      <c r="R11" t="s">
        <v>856</v>
      </c>
    </row>
    <row r="12" spans="1:18" x14ac:dyDescent="0.2">
      <c r="B12" s="68" t="s">
        <v>562</v>
      </c>
      <c r="D12" s="68" t="s">
        <v>814</v>
      </c>
      <c r="K12" t="s">
        <v>959</v>
      </c>
      <c r="R12" t="s">
        <v>814</v>
      </c>
    </row>
    <row r="13" spans="1:18" x14ac:dyDescent="0.2">
      <c r="B13" s="68" t="s">
        <v>563</v>
      </c>
      <c r="D13" s="68" t="s">
        <v>822</v>
      </c>
      <c r="K13" t="s">
        <v>960</v>
      </c>
      <c r="R13" t="s">
        <v>822</v>
      </c>
    </row>
    <row r="14" spans="1:18" x14ac:dyDescent="0.2">
      <c r="B14" s="68" t="s">
        <v>564</v>
      </c>
      <c r="D14" s="68" t="s">
        <v>864</v>
      </c>
      <c r="K14" t="s">
        <v>961</v>
      </c>
      <c r="R14" t="s">
        <v>864</v>
      </c>
    </row>
    <row r="15" spans="1:18" x14ac:dyDescent="0.2">
      <c r="B15" s="68" t="s">
        <v>565</v>
      </c>
      <c r="D15" s="68" t="s">
        <v>827</v>
      </c>
      <c r="K15" t="s">
        <v>962</v>
      </c>
      <c r="R15" t="s">
        <v>827</v>
      </c>
    </row>
    <row r="16" spans="1:18" x14ac:dyDescent="0.2">
      <c r="B16" s="68" t="s">
        <v>566</v>
      </c>
      <c r="D16" s="68" t="s">
        <v>812</v>
      </c>
      <c r="K16" t="s">
        <v>963</v>
      </c>
      <c r="R16" t="s">
        <v>812</v>
      </c>
    </row>
    <row r="17" spans="2:18" x14ac:dyDescent="0.2">
      <c r="B17" s="68" t="s">
        <v>567</v>
      </c>
      <c r="D17" s="68" t="s">
        <v>865</v>
      </c>
      <c r="K17" t="s">
        <v>964</v>
      </c>
      <c r="R17" t="s">
        <v>865</v>
      </c>
    </row>
    <row r="18" spans="2:18" x14ac:dyDescent="0.2">
      <c r="B18" s="68" t="s">
        <v>568</v>
      </c>
      <c r="D18" s="68" t="s">
        <v>857</v>
      </c>
      <c r="K18" t="s">
        <v>965</v>
      </c>
      <c r="R18" t="s">
        <v>857</v>
      </c>
    </row>
    <row r="19" spans="2:18" x14ac:dyDescent="0.2">
      <c r="B19" s="68" t="s">
        <v>569</v>
      </c>
      <c r="D19" s="68" t="s">
        <v>823</v>
      </c>
      <c r="K19" t="s">
        <v>966</v>
      </c>
      <c r="R19" t="s">
        <v>823</v>
      </c>
    </row>
    <row r="20" spans="2:18" x14ac:dyDescent="0.2">
      <c r="B20" s="68" t="s">
        <v>570</v>
      </c>
      <c r="D20" s="68" t="s">
        <v>819</v>
      </c>
      <c r="K20" t="s">
        <v>967</v>
      </c>
      <c r="R20" t="s">
        <v>819</v>
      </c>
    </row>
    <row r="21" spans="2:18" x14ac:dyDescent="0.2">
      <c r="B21" s="68" t="s">
        <v>571</v>
      </c>
      <c r="D21" s="68" t="s">
        <v>824</v>
      </c>
      <c r="K21" t="s">
        <v>968</v>
      </c>
      <c r="R21" t="s">
        <v>824</v>
      </c>
    </row>
    <row r="22" spans="2:18" x14ac:dyDescent="0.2">
      <c r="B22" s="68" t="s">
        <v>572</v>
      </c>
      <c r="D22" s="68" t="s">
        <v>840</v>
      </c>
      <c r="K22" t="s">
        <v>969</v>
      </c>
      <c r="R22" t="s">
        <v>840</v>
      </c>
    </row>
    <row r="23" spans="2:18" x14ac:dyDescent="0.2">
      <c r="B23" s="68" t="s">
        <v>573</v>
      </c>
      <c r="D23" s="68" t="s">
        <v>861</v>
      </c>
      <c r="K23" t="s">
        <v>970</v>
      </c>
      <c r="R23" t="s">
        <v>861</v>
      </c>
    </row>
    <row r="24" spans="2:18" x14ac:dyDescent="0.2">
      <c r="B24" s="68" t="s">
        <v>574</v>
      </c>
      <c r="D24" s="68" t="s">
        <v>821</v>
      </c>
      <c r="K24" t="s">
        <v>971</v>
      </c>
      <c r="R24" t="s">
        <v>821</v>
      </c>
    </row>
    <row r="25" spans="2:18" x14ac:dyDescent="0.2">
      <c r="B25" s="68" t="s">
        <v>575</v>
      </c>
      <c r="D25" s="68" t="s">
        <v>820</v>
      </c>
      <c r="K25" t="s">
        <v>972</v>
      </c>
      <c r="R25" t="s">
        <v>820</v>
      </c>
    </row>
    <row r="26" spans="2:18" x14ac:dyDescent="0.2">
      <c r="B26" s="68" t="s">
        <v>576</v>
      </c>
      <c r="D26" s="68" t="s">
        <v>874</v>
      </c>
      <c r="K26" t="s">
        <v>973</v>
      </c>
      <c r="R26" t="s">
        <v>874</v>
      </c>
    </row>
    <row r="27" spans="2:18" x14ac:dyDescent="0.2">
      <c r="B27" s="68" t="s">
        <v>577</v>
      </c>
      <c r="D27" s="68" t="s">
        <v>872</v>
      </c>
      <c r="K27" t="s">
        <v>974</v>
      </c>
      <c r="R27" t="s">
        <v>872</v>
      </c>
    </row>
    <row r="28" spans="2:18" x14ac:dyDescent="0.2">
      <c r="B28" s="68" t="s">
        <v>578</v>
      </c>
      <c r="D28" s="68" t="s">
        <v>851</v>
      </c>
      <c r="K28" t="s">
        <v>975</v>
      </c>
      <c r="R28" t="s">
        <v>851</v>
      </c>
    </row>
    <row r="29" spans="2:18" x14ac:dyDescent="0.2">
      <c r="B29" s="68" t="s">
        <v>579</v>
      </c>
      <c r="D29" s="68" t="s">
        <v>815</v>
      </c>
      <c r="K29" t="s">
        <v>976</v>
      </c>
      <c r="R29" t="s">
        <v>815</v>
      </c>
    </row>
    <row r="30" spans="2:18" x14ac:dyDescent="0.2">
      <c r="B30" s="68" t="s">
        <v>580</v>
      </c>
      <c r="D30" s="68" t="s">
        <v>845</v>
      </c>
      <c r="K30" t="s">
        <v>977</v>
      </c>
      <c r="R30" t="s">
        <v>845</v>
      </c>
    </row>
    <row r="31" spans="2:18" x14ac:dyDescent="0.2">
      <c r="B31" s="68" t="s">
        <v>581</v>
      </c>
      <c r="D31" s="68" t="s">
        <v>831</v>
      </c>
      <c r="K31" t="s">
        <v>978</v>
      </c>
      <c r="R31" t="s">
        <v>831</v>
      </c>
    </row>
    <row r="32" spans="2:18" x14ac:dyDescent="0.2">
      <c r="B32" s="68" t="s">
        <v>582</v>
      </c>
      <c r="D32" s="68" t="s">
        <v>818</v>
      </c>
      <c r="K32" t="s">
        <v>979</v>
      </c>
      <c r="R32" t="s">
        <v>818</v>
      </c>
    </row>
    <row r="33" spans="2:18" x14ac:dyDescent="0.2">
      <c r="B33" s="68" t="s">
        <v>583</v>
      </c>
      <c r="D33" s="68" t="s">
        <v>806</v>
      </c>
      <c r="K33" t="s">
        <v>980</v>
      </c>
      <c r="R33" t="s">
        <v>806</v>
      </c>
    </row>
    <row r="34" spans="2:18" x14ac:dyDescent="0.2">
      <c r="B34" s="68" t="s">
        <v>584</v>
      </c>
      <c r="D34" s="68" t="s">
        <v>799</v>
      </c>
      <c r="K34" t="s">
        <v>981</v>
      </c>
      <c r="R34" t="s">
        <v>799</v>
      </c>
    </row>
    <row r="35" spans="2:18" x14ac:dyDescent="0.2">
      <c r="B35" s="68" t="s">
        <v>585</v>
      </c>
      <c r="D35" s="68" t="s">
        <v>858</v>
      </c>
      <c r="K35" t="s">
        <v>982</v>
      </c>
      <c r="R35" t="s">
        <v>858</v>
      </c>
    </row>
    <row r="36" spans="2:18" x14ac:dyDescent="0.2">
      <c r="B36" s="68" t="s">
        <v>586</v>
      </c>
      <c r="D36" s="68" t="s">
        <v>817</v>
      </c>
      <c r="K36" t="s">
        <v>983</v>
      </c>
      <c r="R36" t="s">
        <v>817</v>
      </c>
    </row>
    <row r="37" spans="2:18" x14ac:dyDescent="0.2">
      <c r="B37" s="68" t="s">
        <v>587</v>
      </c>
      <c r="D37" s="68" t="s">
        <v>854</v>
      </c>
      <c r="K37" t="s">
        <v>984</v>
      </c>
      <c r="R37" t="s">
        <v>854</v>
      </c>
    </row>
    <row r="38" spans="2:18" x14ac:dyDescent="0.2">
      <c r="B38" s="68" t="s">
        <v>588</v>
      </c>
      <c r="D38" s="68" t="s">
        <v>853</v>
      </c>
      <c r="K38" t="s">
        <v>985</v>
      </c>
      <c r="R38" t="s">
        <v>853</v>
      </c>
    </row>
    <row r="39" spans="2:18" x14ac:dyDescent="0.2">
      <c r="B39" s="68" t="s">
        <v>589</v>
      </c>
      <c r="D39" s="68" t="s">
        <v>816</v>
      </c>
      <c r="K39" t="s">
        <v>986</v>
      </c>
      <c r="R39" t="s">
        <v>816</v>
      </c>
    </row>
    <row r="40" spans="2:18" x14ac:dyDescent="0.2">
      <c r="B40" s="68" t="s">
        <v>590</v>
      </c>
      <c r="D40" t="s">
        <v>863</v>
      </c>
      <c r="K40" t="s">
        <v>987</v>
      </c>
      <c r="R40" t="s">
        <v>863</v>
      </c>
    </row>
    <row r="41" spans="2:18" x14ac:dyDescent="0.2">
      <c r="B41" s="68" t="s">
        <v>591</v>
      </c>
      <c r="D41" t="s">
        <v>796</v>
      </c>
      <c r="K41" t="s">
        <v>988</v>
      </c>
      <c r="R41" t="s">
        <v>796</v>
      </c>
    </row>
    <row r="42" spans="2:18" x14ac:dyDescent="0.2">
      <c r="B42" s="68" t="s">
        <v>592</v>
      </c>
      <c r="D42" t="s">
        <v>835</v>
      </c>
      <c r="K42" t="s">
        <v>989</v>
      </c>
      <c r="R42" t="s">
        <v>835</v>
      </c>
    </row>
    <row r="43" spans="2:18" x14ac:dyDescent="0.2">
      <c r="B43" s="68" t="s">
        <v>593</v>
      </c>
      <c r="D43" t="s">
        <v>844</v>
      </c>
      <c r="K43" t="s">
        <v>990</v>
      </c>
      <c r="R43" t="s">
        <v>844</v>
      </c>
    </row>
    <row r="44" spans="2:18" x14ac:dyDescent="0.2">
      <c r="B44" s="68" t="s">
        <v>594</v>
      </c>
      <c r="D44" t="s">
        <v>850</v>
      </c>
      <c r="K44" t="s">
        <v>991</v>
      </c>
      <c r="R44" t="s">
        <v>850</v>
      </c>
    </row>
    <row r="45" spans="2:18" x14ac:dyDescent="0.2">
      <c r="B45" s="68" t="s">
        <v>595</v>
      </c>
      <c r="D45" t="s">
        <v>866</v>
      </c>
      <c r="K45" t="s">
        <v>992</v>
      </c>
      <c r="R45" t="s">
        <v>866</v>
      </c>
    </row>
    <row r="46" spans="2:18" x14ac:dyDescent="0.2">
      <c r="B46" s="68" t="s">
        <v>596</v>
      </c>
      <c r="D46" t="s">
        <v>867</v>
      </c>
      <c r="K46" t="s">
        <v>993</v>
      </c>
      <c r="R46" t="s">
        <v>867</v>
      </c>
    </row>
    <row r="47" spans="2:18" x14ac:dyDescent="0.2">
      <c r="B47" s="68" t="s">
        <v>597</v>
      </c>
      <c r="D47" t="s">
        <v>868</v>
      </c>
      <c r="K47" t="s">
        <v>994</v>
      </c>
      <c r="R47" t="s">
        <v>868</v>
      </c>
    </row>
    <row r="48" spans="2:18" x14ac:dyDescent="0.2">
      <c r="B48" s="68" t="s">
        <v>598</v>
      </c>
      <c r="D48" t="s">
        <v>833</v>
      </c>
      <c r="K48" t="s">
        <v>995</v>
      </c>
      <c r="R48" t="s">
        <v>833</v>
      </c>
    </row>
    <row r="49" spans="2:18" x14ac:dyDescent="0.2">
      <c r="B49" s="68" t="s">
        <v>599</v>
      </c>
      <c r="D49" t="s">
        <v>855</v>
      </c>
      <c r="K49" t="s">
        <v>996</v>
      </c>
      <c r="R49" t="s">
        <v>855</v>
      </c>
    </row>
    <row r="50" spans="2:18" x14ac:dyDescent="0.2">
      <c r="B50" s="68" t="s">
        <v>600</v>
      </c>
      <c r="D50" t="s">
        <v>870</v>
      </c>
      <c r="K50" t="s">
        <v>997</v>
      </c>
      <c r="R50" t="s">
        <v>870</v>
      </c>
    </row>
    <row r="51" spans="2:18" x14ac:dyDescent="0.2">
      <c r="B51" s="68" t="s">
        <v>601</v>
      </c>
      <c r="D51" t="s">
        <v>869</v>
      </c>
      <c r="K51" t="s">
        <v>998</v>
      </c>
      <c r="R51" t="s">
        <v>869</v>
      </c>
    </row>
    <row r="52" spans="2:18" x14ac:dyDescent="0.2">
      <c r="B52" s="68" t="s">
        <v>602</v>
      </c>
      <c r="D52" t="s">
        <v>837</v>
      </c>
      <c r="K52" t="s">
        <v>999</v>
      </c>
      <c r="R52" t="s">
        <v>837</v>
      </c>
    </row>
    <row r="53" spans="2:18" x14ac:dyDescent="0.2">
      <c r="B53" s="68" t="s">
        <v>603</v>
      </c>
      <c r="D53" t="s">
        <v>847</v>
      </c>
      <c r="K53" t="s">
        <v>1000</v>
      </c>
      <c r="R53" t="s">
        <v>847</v>
      </c>
    </row>
    <row r="54" spans="2:18" x14ac:dyDescent="0.2">
      <c r="B54" s="68" t="s">
        <v>604</v>
      </c>
      <c r="D54" t="s">
        <v>871</v>
      </c>
      <c r="K54" t="s">
        <v>1001</v>
      </c>
      <c r="R54" t="s">
        <v>871</v>
      </c>
    </row>
    <row r="55" spans="2:18" x14ac:dyDescent="0.2">
      <c r="B55" s="68" t="s">
        <v>605</v>
      </c>
      <c r="D55" t="s">
        <v>852</v>
      </c>
      <c r="K55" t="s">
        <v>1002</v>
      </c>
      <c r="R55" t="s">
        <v>852</v>
      </c>
    </row>
    <row r="56" spans="2:18" x14ac:dyDescent="0.2">
      <c r="B56" s="68" t="s">
        <v>606</v>
      </c>
      <c r="D56" t="s">
        <v>836</v>
      </c>
      <c r="K56" t="s">
        <v>1003</v>
      </c>
      <c r="R56" t="s">
        <v>836</v>
      </c>
    </row>
    <row r="57" spans="2:18" x14ac:dyDescent="0.2">
      <c r="B57" s="68" t="s">
        <v>607</v>
      </c>
      <c r="D57" t="s">
        <v>839</v>
      </c>
      <c r="K57" t="s">
        <v>1004</v>
      </c>
      <c r="R57" t="s">
        <v>839</v>
      </c>
    </row>
    <row r="58" spans="2:18" x14ac:dyDescent="0.2">
      <c r="B58" s="68" t="s">
        <v>608</v>
      </c>
      <c r="D58" t="s">
        <v>810</v>
      </c>
      <c r="K58" t="s">
        <v>1005</v>
      </c>
      <c r="R58" t="s">
        <v>810</v>
      </c>
    </row>
    <row r="59" spans="2:18" x14ac:dyDescent="0.2">
      <c r="B59" s="68" t="s">
        <v>609</v>
      </c>
      <c r="D59" t="s">
        <v>838</v>
      </c>
      <c r="K59" t="s">
        <v>1006</v>
      </c>
      <c r="R59" t="s">
        <v>838</v>
      </c>
    </row>
    <row r="60" spans="2:18" x14ac:dyDescent="0.2">
      <c r="B60" s="68" t="s">
        <v>610</v>
      </c>
      <c r="D60" t="s">
        <v>849</v>
      </c>
      <c r="K60" t="s">
        <v>1007</v>
      </c>
      <c r="R60" t="s">
        <v>849</v>
      </c>
    </row>
    <row r="61" spans="2:18" x14ac:dyDescent="0.2">
      <c r="B61" s="68" t="s">
        <v>611</v>
      </c>
      <c r="D61" t="s">
        <v>848</v>
      </c>
      <c r="K61" t="s">
        <v>1008</v>
      </c>
      <c r="R61" t="s">
        <v>848</v>
      </c>
    </row>
    <row r="62" spans="2:18" x14ac:dyDescent="0.2">
      <c r="B62" s="68" t="s">
        <v>612</v>
      </c>
      <c r="D62" t="s">
        <v>873</v>
      </c>
      <c r="K62" t="s">
        <v>1009</v>
      </c>
      <c r="R62" t="s">
        <v>873</v>
      </c>
    </row>
    <row r="63" spans="2:18" x14ac:dyDescent="0.2">
      <c r="B63" s="68" t="s">
        <v>613</v>
      </c>
      <c r="D63" t="s">
        <v>860</v>
      </c>
      <c r="K63" t="s">
        <v>1010</v>
      </c>
      <c r="R63" t="s">
        <v>860</v>
      </c>
    </row>
    <row r="64" spans="2:18" x14ac:dyDescent="0.2">
      <c r="B64" s="68" t="s">
        <v>614</v>
      </c>
      <c r="D64" t="s">
        <v>800</v>
      </c>
      <c r="K64" t="s">
        <v>1011</v>
      </c>
      <c r="R64" t="s">
        <v>800</v>
      </c>
    </row>
    <row r="65" spans="2:18" x14ac:dyDescent="0.2">
      <c r="B65" s="68" t="s">
        <v>615</v>
      </c>
      <c r="D65" t="s">
        <v>805</v>
      </c>
      <c r="K65" t="s">
        <v>1012</v>
      </c>
      <c r="R65" t="s">
        <v>805</v>
      </c>
    </row>
    <row r="66" spans="2:18" x14ac:dyDescent="0.2">
      <c r="B66" s="68" t="s">
        <v>616</v>
      </c>
      <c r="D66" t="s">
        <v>801</v>
      </c>
      <c r="K66" t="s">
        <v>1013</v>
      </c>
      <c r="R66" t="s">
        <v>801</v>
      </c>
    </row>
    <row r="67" spans="2:18" x14ac:dyDescent="0.2">
      <c r="B67" s="68" t="s">
        <v>617</v>
      </c>
      <c r="D67" t="s">
        <v>804</v>
      </c>
      <c r="K67" t="s">
        <v>1014</v>
      </c>
      <c r="R67" t="s">
        <v>804</v>
      </c>
    </row>
    <row r="68" spans="2:18" x14ac:dyDescent="0.2">
      <c r="B68" s="68" t="s">
        <v>618</v>
      </c>
      <c r="D68" t="s">
        <v>828</v>
      </c>
      <c r="K68" t="s">
        <v>1015</v>
      </c>
      <c r="R68" t="s">
        <v>828</v>
      </c>
    </row>
    <row r="69" spans="2:18" x14ac:dyDescent="0.2">
      <c r="B69" s="68" t="s">
        <v>619</v>
      </c>
      <c r="D69" t="s">
        <v>803</v>
      </c>
      <c r="K69" t="s">
        <v>1016</v>
      </c>
      <c r="R69" t="s">
        <v>803</v>
      </c>
    </row>
    <row r="70" spans="2:18" x14ac:dyDescent="0.2">
      <c r="B70" s="68" t="s">
        <v>620</v>
      </c>
      <c r="D70" t="s">
        <v>843</v>
      </c>
      <c r="K70" t="s">
        <v>1017</v>
      </c>
      <c r="R70" t="s">
        <v>843</v>
      </c>
    </row>
    <row r="71" spans="2:18" x14ac:dyDescent="0.2">
      <c r="B71" s="68" t="s">
        <v>621</v>
      </c>
      <c r="D71" t="s">
        <v>813</v>
      </c>
      <c r="K71" t="s">
        <v>1018</v>
      </c>
      <c r="R71" t="s">
        <v>813</v>
      </c>
    </row>
    <row r="72" spans="2:18" x14ac:dyDescent="0.2">
      <c r="B72" s="68" t="s">
        <v>622</v>
      </c>
      <c r="D72" t="s">
        <v>842</v>
      </c>
      <c r="K72" t="s">
        <v>1019</v>
      </c>
      <c r="R72" t="s">
        <v>842</v>
      </c>
    </row>
    <row r="73" spans="2:18" x14ac:dyDescent="0.2">
      <c r="B73" s="68" t="s">
        <v>623</v>
      </c>
      <c r="D73" t="s">
        <v>826</v>
      </c>
      <c r="K73" t="s">
        <v>1020</v>
      </c>
      <c r="R73" t="s">
        <v>826</v>
      </c>
    </row>
    <row r="74" spans="2:18" x14ac:dyDescent="0.2">
      <c r="B74" s="68" t="s">
        <v>624</v>
      </c>
      <c r="D74" t="s">
        <v>807</v>
      </c>
      <c r="K74" t="s">
        <v>1021</v>
      </c>
      <c r="R74" t="s">
        <v>807</v>
      </c>
    </row>
    <row r="75" spans="2:18" x14ac:dyDescent="0.2">
      <c r="B75" s="68" t="s">
        <v>625</v>
      </c>
      <c r="D75" t="s">
        <v>811</v>
      </c>
      <c r="K75" t="s">
        <v>1022</v>
      </c>
      <c r="R75" t="s">
        <v>811</v>
      </c>
    </row>
    <row r="76" spans="2:18" x14ac:dyDescent="0.2">
      <c r="B76" s="68" t="s">
        <v>626</v>
      </c>
      <c r="D76" t="s">
        <v>808</v>
      </c>
      <c r="K76" t="s">
        <v>1023</v>
      </c>
      <c r="R76" t="s">
        <v>808</v>
      </c>
    </row>
    <row r="77" spans="2:18" x14ac:dyDescent="0.2">
      <c r="B77" s="68" t="s">
        <v>627</v>
      </c>
      <c r="D77" t="s">
        <v>859</v>
      </c>
      <c r="K77" t="s">
        <v>1024</v>
      </c>
      <c r="R77" t="s">
        <v>859</v>
      </c>
    </row>
    <row r="78" spans="2:18" x14ac:dyDescent="0.2">
      <c r="B78" s="68" t="s">
        <v>628</v>
      </c>
      <c r="D78" t="s">
        <v>862</v>
      </c>
      <c r="K78" t="s">
        <v>1025</v>
      </c>
      <c r="R78" t="s">
        <v>862</v>
      </c>
    </row>
    <row r="79" spans="2:18" x14ac:dyDescent="0.2">
      <c r="B79" s="68" t="s">
        <v>629</v>
      </c>
      <c r="D79" t="s">
        <v>825</v>
      </c>
      <c r="K79" t="s">
        <v>1026</v>
      </c>
      <c r="R79" t="s">
        <v>825</v>
      </c>
    </row>
    <row r="80" spans="2:18" x14ac:dyDescent="0.2">
      <c r="B80" s="68" t="s">
        <v>630</v>
      </c>
      <c r="D80" t="s">
        <v>832</v>
      </c>
      <c r="K80" t="s">
        <v>1027</v>
      </c>
      <c r="R80" t="s">
        <v>832</v>
      </c>
    </row>
    <row r="81" spans="2:18" x14ac:dyDescent="0.2">
      <c r="B81" s="68" t="s">
        <v>631</v>
      </c>
      <c r="D81" t="s">
        <v>802</v>
      </c>
      <c r="K81" t="s">
        <v>1028</v>
      </c>
      <c r="R81" t="s">
        <v>802</v>
      </c>
    </row>
    <row r="82" spans="2:18" x14ac:dyDescent="0.2">
      <c r="B82" s="68" t="s">
        <v>632</v>
      </c>
      <c r="D82" t="s">
        <v>841</v>
      </c>
      <c r="K82" t="s">
        <v>1029</v>
      </c>
      <c r="R82" t="s">
        <v>841</v>
      </c>
    </row>
    <row r="83" spans="2:18" x14ac:dyDescent="0.2">
      <c r="B83" s="68" t="s">
        <v>633</v>
      </c>
      <c r="D83" t="s">
        <v>846</v>
      </c>
      <c r="K83" t="s">
        <v>1030</v>
      </c>
      <c r="R83" t="s">
        <v>846</v>
      </c>
    </row>
    <row r="84" spans="2:18" x14ac:dyDescent="0.2">
      <c r="B84" s="68" t="s">
        <v>634</v>
      </c>
      <c r="D84" t="s">
        <v>829</v>
      </c>
      <c r="K84" t="s">
        <v>1031</v>
      </c>
      <c r="R84" t="s">
        <v>829</v>
      </c>
    </row>
    <row r="85" spans="2:18" x14ac:dyDescent="0.2">
      <c r="B85" s="68" t="s">
        <v>635</v>
      </c>
      <c r="D85" t="s">
        <v>809</v>
      </c>
      <c r="K85" t="s">
        <v>1032</v>
      </c>
      <c r="R85" t="s">
        <v>809</v>
      </c>
    </row>
    <row r="86" spans="2:18" x14ac:dyDescent="0.2">
      <c r="B86" s="68" t="s">
        <v>636</v>
      </c>
      <c r="D86" t="s">
        <v>798</v>
      </c>
      <c r="K86" t="s">
        <v>1033</v>
      </c>
      <c r="R86" t="s">
        <v>798</v>
      </c>
    </row>
    <row r="87" spans="2:18" x14ac:dyDescent="0.2">
      <c r="B87" s="68" t="s">
        <v>637</v>
      </c>
      <c r="D87" t="s">
        <v>834</v>
      </c>
      <c r="K87" t="s">
        <v>1034</v>
      </c>
      <c r="R87" t="s">
        <v>834</v>
      </c>
    </row>
    <row r="88" spans="2:18" x14ac:dyDescent="0.2">
      <c r="B88" s="68" t="s">
        <v>638</v>
      </c>
      <c r="D88" t="s">
        <v>797</v>
      </c>
      <c r="K88" t="s">
        <v>1035</v>
      </c>
      <c r="R88" t="s">
        <v>797</v>
      </c>
    </row>
    <row r="89" spans="2:18" x14ac:dyDescent="0.2">
      <c r="B89" s="68" t="s">
        <v>639</v>
      </c>
      <c r="K89" t="s">
        <v>1036</v>
      </c>
    </row>
    <row r="90" spans="2:18" x14ac:dyDescent="0.2">
      <c r="B90" s="68" t="s">
        <v>640</v>
      </c>
      <c r="K90" t="s">
        <v>1037</v>
      </c>
    </row>
    <row r="91" spans="2:18" x14ac:dyDescent="0.2">
      <c r="B91" s="68" t="s">
        <v>641</v>
      </c>
      <c r="K91" t="s">
        <v>1038</v>
      </c>
    </row>
    <row r="92" spans="2:18" x14ac:dyDescent="0.2">
      <c r="B92" s="68" t="s">
        <v>642</v>
      </c>
      <c r="K92" t="s">
        <v>1039</v>
      </c>
    </row>
    <row r="93" spans="2:18" x14ac:dyDescent="0.2">
      <c r="B93" s="68" t="s">
        <v>643</v>
      </c>
      <c r="K93" t="s">
        <v>1040</v>
      </c>
    </row>
    <row r="94" spans="2:18" x14ac:dyDescent="0.2">
      <c r="B94" s="68" t="s">
        <v>644</v>
      </c>
      <c r="K94" t="s">
        <v>1041</v>
      </c>
    </row>
    <row r="95" spans="2:18" x14ac:dyDescent="0.2">
      <c r="B95" s="68" t="s">
        <v>645</v>
      </c>
      <c r="K95" t="s">
        <v>1042</v>
      </c>
    </row>
    <row r="96" spans="2:18" x14ac:dyDescent="0.2">
      <c r="B96" s="68" t="s">
        <v>646</v>
      </c>
      <c r="K96" t="s">
        <v>1043</v>
      </c>
    </row>
    <row r="97" spans="2:11" x14ac:dyDescent="0.2">
      <c r="B97" s="68" t="s">
        <v>647</v>
      </c>
      <c r="K97" t="s">
        <v>1044</v>
      </c>
    </row>
    <row r="98" spans="2:11" x14ac:dyDescent="0.2">
      <c r="B98" s="68" t="s">
        <v>648</v>
      </c>
      <c r="K98" t="s">
        <v>1045</v>
      </c>
    </row>
    <row r="99" spans="2:11" x14ac:dyDescent="0.2">
      <c r="B99" s="68" t="s">
        <v>649</v>
      </c>
      <c r="K99" t="s">
        <v>1046</v>
      </c>
    </row>
    <row r="100" spans="2:11" x14ac:dyDescent="0.2">
      <c r="B100" s="68" t="s">
        <v>650</v>
      </c>
      <c r="K100" t="s">
        <v>1047</v>
      </c>
    </row>
    <row r="101" spans="2:11" x14ac:dyDescent="0.2">
      <c r="B101" s="68" t="s">
        <v>651</v>
      </c>
      <c r="K101" t="s">
        <v>1048</v>
      </c>
    </row>
    <row r="102" spans="2:11" x14ac:dyDescent="0.2">
      <c r="B102" s="68" t="s">
        <v>652</v>
      </c>
      <c r="K102" t="s">
        <v>1049</v>
      </c>
    </row>
    <row r="103" spans="2:11" x14ac:dyDescent="0.2">
      <c r="B103" s="68" t="s">
        <v>653</v>
      </c>
      <c r="K103" t="s">
        <v>1050</v>
      </c>
    </row>
    <row r="104" spans="2:11" x14ac:dyDescent="0.2">
      <c r="B104" s="68" t="s">
        <v>654</v>
      </c>
      <c r="K104" t="s">
        <v>1051</v>
      </c>
    </row>
    <row r="105" spans="2:11" x14ac:dyDescent="0.2">
      <c r="B105" s="68" t="s">
        <v>655</v>
      </c>
      <c r="K105" t="s">
        <v>1052</v>
      </c>
    </row>
    <row r="106" spans="2:11" x14ac:dyDescent="0.2">
      <c r="B106" s="68" t="s">
        <v>656</v>
      </c>
      <c r="K106" t="s">
        <v>1053</v>
      </c>
    </row>
    <row r="107" spans="2:11" x14ac:dyDescent="0.2">
      <c r="B107" s="68" t="s">
        <v>657</v>
      </c>
      <c r="K107" t="s">
        <v>1054</v>
      </c>
    </row>
    <row r="108" spans="2:11" x14ac:dyDescent="0.2">
      <c r="B108" s="68" t="s">
        <v>658</v>
      </c>
      <c r="K108" t="s">
        <v>1055</v>
      </c>
    </row>
    <row r="109" spans="2:11" x14ac:dyDescent="0.2">
      <c r="B109" s="68" t="s">
        <v>659</v>
      </c>
      <c r="K109" t="s">
        <v>1056</v>
      </c>
    </row>
    <row r="110" spans="2:11" x14ac:dyDescent="0.2">
      <c r="B110" s="68" t="s">
        <v>660</v>
      </c>
      <c r="K110" t="s">
        <v>1057</v>
      </c>
    </row>
    <row r="111" spans="2:11" x14ac:dyDescent="0.2">
      <c r="B111" s="68" t="s">
        <v>661</v>
      </c>
      <c r="K111" t="s">
        <v>1058</v>
      </c>
    </row>
    <row r="112" spans="2:11" x14ac:dyDescent="0.2">
      <c r="B112" s="68" t="s">
        <v>662</v>
      </c>
      <c r="K112" t="s">
        <v>1059</v>
      </c>
    </row>
    <row r="113" spans="2:11" x14ac:dyDescent="0.2">
      <c r="B113" s="68" t="s">
        <v>663</v>
      </c>
      <c r="K113" t="s">
        <v>1060</v>
      </c>
    </row>
    <row r="114" spans="2:11" x14ac:dyDescent="0.2">
      <c r="B114" s="68" t="s">
        <v>664</v>
      </c>
      <c r="K114" t="s">
        <v>1061</v>
      </c>
    </row>
    <row r="115" spans="2:11" x14ac:dyDescent="0.2">
      <c r="B115" s="68" t="s">
        <v>665</v>
      </c>
      <c r="K115" t="s">
        <v>1062</v>
      </c>
    </row>
    <row r="116" spans="2:11" x14ac:dyDescent="0.2">
      <c r="B116" s="68" t="s">
        <v>666</v>
      </c>
      <c r="K116" t="s">
        <v>1063</v>
      </c>
    </row>
    <row r="117" spans="2:11" x14ac:dyDescent="0.2">
      <c r="B117" s="68" t="s">
        <v>667</v>
      </c>
      <c r="K117" t="s">
        <v>1064</v>
      </c>
    </row>
    <row r="118" spans="2:11" x14ac:dyDescent="0.2">
      <c r="B118" s="68" t="s">
        <v>668</v>
      </c>
      <c r="K118" t="s">
        <v>1065</v>
      </c>
    </row>
    <row r="119" spans="2:11" x14ac:dyDescent="0.2">
      <c r="B119" s="68" t="s">
        <v>669</v>
      </c>
      <c r="K119" t="s">
        <v>1066</v>
      </c>
    </row>
    <row r="120" spans="2:11" x14ac:dyDescent="0.2">
      <c r="B120" s="68" t="s">
        <v>670</v>
      </c>
      <c r="K120" t="s">
        <v>1067</v>
      </c>
    </row>
    <row r="121" spans="2:11" x14ac:dyDescent="0.2">
      <c r="B121" s="68" t="s">
        <v>671</v>
      </c>
      <c r="K121" t="s">
        <v>1068</v>
      </c>
    </row>
    <row r="122" spans="2:11" x14ac:dyDescent="0.2">
      <c r="B122" s="68" t="s">
        <v>672</v>
      </c>
      <c r="K122" t="s">
        <v>1069</v>
      </c>
    </row>
    <row r="123" spans="2:11" x14ac:dyDescent="0.2">
      <c r="B123" s="68" t="s">
        <v>673</v>
      </c>
      <c r="K123" t="s">
        <v>1070</v>
      </c>
    </row>
    <row r="124" spans="2:11" x14ac:dyDescent="0.2">
      <c r="B124" s="68" t="s">
        <v>674</v>
      </c>
      <c r="K124" t="s">
        <v>1071</v>
      </c>
    </row>
    <row r="125" spans="2:11" x14ac:dyDescent="0.2">
      <c r="B125" s="68" t="s">
        <v>675</v>
      </c>
      <c r="K125" t="s">
        <v>1072</v>
      </c>
    </row>
    <row r="126" spans="2:11" x14ac:dyDescent="0.2">
      <c r="B126" s="68" t="s">
        <v>676</v>
      </c>
      <c r="K126" t="s">
        <v>1073</v>
      </c>
    </row>
    <row r="127" spans="2:11" x14ac:dyDescent="0.2">
      <c r="B127" s="68" t="s">
        <v>677</v>
      </c>
      <c r="K127" t="s">
        <v>1074</v>
      </c>
    </row>
    <row r="128" spans="2:11" x14ac:dyDescent="0.2">
      <c r="B128" s="68" t="s">
        <v>678</v>
      </c>
      <c r="K128" t="s">
        <v>1075</v>
      </c>
    </row>
    <row r="129" spans="2:11" x14ac:dyDescent="0.2">
      <c r="B129" s="68" t="s">
        <v>679</v>
      </c>
      <c r="K129" t="s">
        <v>1076</v>
      </c>
    </row>
    <row r="130" spans="2:11" x14ac:dyDescent="0.2">
      <c r="B130" s="68" t="s">
        <v>680</v>
      </c>
      <c r="K130" t="s">
        <v>1077</v>
      </c>
    </row>
    <row r="131" spans="2:11" x14ac:dyDescent="0.2">
      <c r="B131" s="68" t="s">
        <v>681</v>
      </c>
      <c r="K131" t="s">
        <v>1078</v>
      </c>
    </row>
    <row r="132" spans="2:11" x14ac:dyDescent="0.2">
      <c r="B132" s="68" t="s">
        <v>682</v>
      </c>
      <c r="K132" t="s">
        <v>1079</v>
      </c>
    </row>
    <row r="133" spans="2:11" x14ac:dyDescent="0.2">
      <c r="B133" s="68" t="s">
        <v>683</v>
      </c>
      <c r="K133" t="s">
        <v>1080</v>
      </c>
    </row>
    <row r="134" spans="2:11" x14ac:dyDescent="0.2">
      <c r="B134" s="68" t="s">
        <v>684</v>
      </c>
      <c r="K134" t="s">
        <v>1081</v>
      </c>
    </row>
    <row r="135" spans="2:11" x14ac:dyDescent="0.2">
      <c r="B135" s="68" t="s">
        <v>685</v>
      </c>
      <c r="K135" t="s">
        <v>1082</v>
      </c>
    </row>
    <row r="136" spans="2:11" x14ac:dyDescent="0.2">
      <c r="B136" s="68" t="s">
        <v>686</v>
      </c>
      <c r="K136" t="s">
        <v>1083</v>
      </c>
    </row>
    <row r="137" spans="2:11" x14ac:dyDescent="0.2">
      <c r="B137" s="68" t="s">
        <v>687</v>
      </c>
      <c r="K137" t="s">
        <v>1084</v>
      </c>
    </row>
    <row r="138" spans="2:11" x14ac:dyDescent="0.2">
      <c r="B138" s="68" t="s">
        <v>688</v>
      </c>
      <c r="K138" t="s">
        <v>1085</v>
      </c>
    </row>
    <row r="139" spans="2:11" x14ac:dyDescent="0.2">
      <c r="B139" s="68" t="s">
        <v>689</v>
      </c>
      <c r="K139" t="s">
        <v>1086</v>
      </c>
    </row>
    <row r="140" spans="2:11" x14ac:dyDescent="0.2">
      <c r="B140" s="68" t="s">
        <v>690</v>
      </c>
      <c r="K140" t="s">
        <v>1087</v>
      </c>
    </row>
    <row r="141" spans="2:11" x14ac:dyDescent="0.2">
      <c r="B141" s="68" t="s">
        <v>691</v>
      </c>
      <c r="K141" t="s">
        <v>1088</v>
      </c>
    </row>
    <row r="142" spans="2:11" x14ac:dyDescent="0.2">
      <c r="B142" s="68" t="s">
        <v>692</v>
      </c>
      <c r="K142" t="s">
        <v>1089</v>
      </c>
    </row>
    <row r="143" spans="2:11" x14ac:dyDescent="0.2">
      <c r="B143" s="68" t="s">
        <v>693</v>
      </c>
      <c r="K143" t="s">
        <v>1090</v>
      </c>
    </row>
    <row r="144" spans="2:11" x14ac:dyDescent="0.2">
      <c r="B144" s="68" t="s">
        <v>694</v>
      </c>
      <c r="K144" t="s">
        <v>1091</v>
      </c>
    </row>
    <row r="145" spans="2:11" x14ac:dyDescent="0.2">
      <c r="B145" s="68" t="s">
        <v>695</v>
      </c>
      <c r="K145" t="s">
        <v>1092</v>
      </c>
    </row>
    <row r="146" spans="2:11" x14ac:dyDescent="0.2">
      <c r="B146" s="68" t="s">
        <v>696</v>
      </c>
      <c r="K146" t="s">
        <v>1093</v>
      </c>
    </row>
    <row r="147" spans="2:11" x14ac:dyDescent="0.2">
      <c r="B147" s="68" t="s">
        <v>697</v>
      </c>
      <c r="K147" t="s">
        <v>1094</v>
      </c>
    </row>
    <row r="148" spans="2:11" x14ac:dyDescent="0.2">
      <c r="B148" s="68" t="s">
        <v>698</v>
      </c>
      <c r="K148" t="s">
        <v>1095</v>
      </c>
    </row>
    <row r="149" spans="2:11" x14ac:dyDescent="0.2">
      <c r="B149" s="68" t="s">
        <v>699</v>
      </c>
      <c r="K149" t="s">
        <v>1096</v>
      </c>
    </row>
    <row r="150" spans="2:11" x14ac:dyDescent="0.2">
      <c r="B150" s="68" t="s">
        <v>700</v>
      </c>
      <c r="K150" t="s">
        <v>1097</v>
      </c>
    </row>
    <row r="151" spans="2:11" x14ac:dyDescent="0.2">
      <c r="B151" s="68" t="s">
        <v>701</v>
      </c>
      <c r="K151" t="s">
        <v>1098</v>
      </c>
    </row>
    <row r="152" spans="2:11" x14ac:dyDescent="0.2">
      <c r="B152" s="68" t="s">
        <v>702</v>
      </c>
      <c r="K152" t="s">
        <v>1099</v>
      </c>
    </row>
    <row r="153" spans="2:11" x14ac:dyDescent="0.2">
      <c r="B153" s="68" t="s">
        <v>703</v>
      </c>
      <c r="K153" t="s">
        <v>1100</v>
      </c>
    </row>
    <row r="154" spans="2:11" x14ac:dyDescent="0.2">
      <c r="B154" s="68" t="s">
        <v>704</v>
      </c>
      <c r="K154" t="s">
        <v>1101</v>
      </c>
    </row>
    <row r="155" spans="2:11" x14ac:dyDescent="0.2">
      <c r="B155" s="68" t="s">
        <v>705</v>
      </c>
      <c r="K155" t="s">
        <v>1102</v>
      </c>
    </row>
    <row r="156" spans="2:11" x14ac:dyDescent="0.2">
      <c r="B156" s="68" t="s">
        <v>706</v>
      </c>
      <c r="K156" t="s">
        <v>1103</v>
      </c>
    </row>
    <row r="157" spans="2:11" x14ac:dyDescent="0.2">
      <c r="B157" s="68" t="s">
        <v>707</v>
      </c>
      <c r="K157" t="s">
        <v>1104</v>
      </c>
    </row>
    <row r="158" spans="2:11" x14ac:dyDescent="0.2">
      <c r="B158" s="68" t="s">
        <v>708</v>
      </c>
      <c r="K158" t="s">
        <v>1105</v>
      </c>
    </row>
    <row r="159" spans="2:11" x14ac:dyDescent="0.2">
      <c r="B159" s="68" t="s">
        <v>709</v>
      </c>
      <c r="K159" t="s">
        <v>1106</v>
      </c>
    </row>
    <row r="160" spans="2:11" x14ac:dyDescent="0.2">
      <c r="B160" s="68" t="s">
        <v>710</v>
      </c>
      <c r="K160" t="s">
        <v>1107</v>
      </c>
    </row>
    <row r="161" spans="2:11" x14ac:dyDescent="0.2">
      <c r="B161" s="68" t="s">
        <v>711</v>
      </c>
      <c r="K161" t="s">
        <v>1108</v>
      </c>
    </row>
    <row r="162" spans="2:11" x14ac:dyDescent="0.2">
      <c r="B162" s="68" t="s">
        <v>712</v>
      </c>
    </row>
    <row r="163" spans="2:11" x14ac:dyDescent="0.2">
      <c r="B163" s="68" t="s">
        <v>713</v>
      </c>
    </row>
    <row r="164" spans="2:11" x14ac:dyDescent="0.2">
      <c r="B164" s="68" t="s">
        <v>714</v>
      </c>
    </row>
    <row r="165" spans="2:11" x14ac:dyDescent="0.2">
      <c r="B165" s="68" t="s">
        <v>715</v>
      </c>
    </row>
    <row r="166" spans="2:11" x14ac:dyDescent="0.2">
      <c r="B166" s="68" t="s">
        <v>716</v>
      </c>
    </row>
    <row r="167" spans="2:11" x14ac:dyDescent="0.2">
      <c r="B167" s="68" t="s">
        <v>717</v>
      </c>
    </row>
    <row r="168" spans="2:11" x14ac:dyDescent="0.2">
      <c r="B168" s="68" t="s">
        <v>718</v>
      </c>
    </row>
    <row r="169" spans="2:11" x14ac:dyDescent="0.2">
      <c r="B169" s="68" t="s">
        <v>719</v>
      </c>
    </row>
    <row r="170" spans="2:11" x14ac:dyDescent="0.2">
      <c r="B170" s="68" t="s">
        <v>720</v>
      </c>
    </row>
    <row r="171" spans="2:11" x14ac:dyDescent="0.2">
      <c r="B171" s="68" t="s">
        <v>721</v>
      </c>
    </row>
    <row r="172" spans="2:11" x14ac:dyDescent="0.2">
      <c r="B172" s="68" t="s">
        <v>722</v>
      </c>
    </row>
    <row r="173" spans="2:11" x14ac:dyDescent="0.2">
      <c r="B173" s="68" t="s">
        <v>723</v>
      </c>
    </row>
    <row r="174" spans="2:11" x14ac:dyDescent="0.2">
      <c r="B174" s="68" t="s">
        <v>724</v>
      </c>
    </row>
    <row r="175" spans="2:11" x14ac:dyDescent="0.2">
      <c r="B175" s="68" t="s">
        <v>725</v>
      </c>
    </row>
    <row r="176" spans="2:11" x14ac:dyDescent="0.2">
      <c r="B176" s="68" t="s">
        <v>726</v>
      </c>
    </row>
    <row r="177" spans="2:2" x14ac:dyDescent="0.2">
      <c r="B177" s="68" t="s">
        <v>727</v>
      </c>
    </row>
    <row r="178" spans="2:2" x14ac:dyDescent="0.2">
      <c r="B178" s="68" t="s">
        <v>728</v>
      </c>
    </row>
    <row r="179" spans="2:2" x14ac:dyDescent="0.2">
      <c r="B179" s="68" t="s">
        <v>729</v>
      </c>
    </row>
    <row r="180" spans="2:2" x14ac:dyDescent="0.2">
      <c r="B180" s="68" t="s">
        <v>730</v>
      </c>
    </row>
    <row r="181" spans="2:2" x14ac:dyDescent="0.2">
      <c r="B181" s="68" t="s">
        <v>731</v>
      </c>
    </row>
    <row r="182" spans="2:2" x14ac:dyDescent="0.2">
      <c r="B182" s="68" t="s">
        <v>732</v>
      </c>
    </row>
    <row r="183" spans="2:2" x14ac:dyDescent="0.2">
      <c r="B183" s="68" t="s">
        <v>733</v>
      </c>
    </row>
    <row r="184" spans="2:2" x14ac:dyDescent="0.2">
      <c r="B184" s="68" t="s">
        <v>734</v>
      </c>
    </row>
    <row r="185" spans="2:2" x14ac:dyDescent="0.2">
      <c r="B185" s="68" t="s">
        <v>735</v>
      </c>
    </row>
    <row r="186" spans="2:2" x14ac:dyDescent="0.2">
      <c r="B186" s="68" t="s">
        <v>736</v>
      </c>
    </row>
    <row r="187" spans="2:2" x14ac:dyDescent="0.2">
      <c r="B187" s="68" t="s">
        <v>737</v>
      </c>
    </row>
    <row r="188" spans="2:2" x14ac:dyDescent="0.2">
      <c r="B188" s="68" t="s">
        <v>738</v>
      </c>
    </row>
    <row r="189" spans="2:2" x14ac:dyDescent="0.2">
      <c r="B189" s="68" t="s">
        <v>739</v>
      </c>
    </row>
    <row r="190" spans="2:2" x14ac:dyDescent="0.2">
      <c r="B190" s="68" t="s">
        <v>740</v>
      </c>
    </row>
    <row r="191" spans="2:2" x14ac:dyDescent="0.2">
      <c r="B191" s="68" t="s">
        <v>741</v>
      </c>
    </row>
    <row r="192" spans="2:2" x14ac:dyDescent="0.2">
      <c r="B192" s="68" t="s">
        <v>742</v>
      </c>
    </row>
    <row r="193" spans="2:2" x14ac:dyDescent="0.2">
      <c r="B193" s="68" t="s">
        <v>743</v>
      </c>
    </row>
    <row r="194" spans="2:2" x14ac:dyDescent="0.2">
      <c r="B194" s="68" t="s">
        <v>744</v>
      </c>
    </row>
    <row r="195" spans="2:2" x14ac:dyDescent="0.2">
      <c r="B195" s="68" t="s">
        <v>745</v>
      </c>
    </row>
    <row r="196" spans="2:2" x14ac:dyDescent="0.2">
      <c r="B196" s="68" t="s">
        <v>746</v>
      </c>
    </row>
    <row r="197" spans="2:2" x14ac:dyDescent="0.2">
      <c r="B197" s="68" t="s">
        <v>747</v>
      </c>
    </row>
    <row r="198" spans="2:2" x14ac:dyDescent="0.2">
      <c r="B198" s="68" t="s">
        <v>748</v>
      </c>
    </row>
    <row r="199" spans="2:2" x14ac:dyDescent="0.2">
      <c r="B199" s="68" t="s">
        <v>749</v>
      </c>
    </row>
    <row r="200" spans="2:2" x14ac:dyDescent="0.2">
      <c r="B200" s="68" t="s">
        <v>750</v>
      </c>
    </row>
    <row r="201" spans="2:2" x14ac:dyDescent="0.2">
      <c r="B201" s="68" t="s">
        <v>751</v>
      </c>
    </row>
    <row r="202" spans="2:2" x14ac:dyDescent="0.2">
      <c r="B202" s="68" t="s">
        <v>752</v>
      </c>
    </row>
    <row r="203" spans="2:2" x14ac:dyDescent="0.2">
      <c r="B203" s="68" t="s">
        <v>753</v>
      </c>
    </row>
    <row r="204" spans="2:2" x14ac:dyDescent="0.2">
      <c r="B204" s="68" t="s">
        <v>754</v>
      </c>
    </row>
    <row r="205" spans="2:2" x14ac:dyDescent="0.2">
      <c r="B205" s="68" t="s">
        <v>755</v>
      </c>
    </row>
    <row r="206" spans="2:2" x14ac:dyDescent="0.2">
      <c r="B206" s="68" t="s">
        <v>756</v>
      </c>
    </row>
    <row r="207" spans="2:2" x14ac:dyDescent="0.2">
      <c r="B207" s="68" t="s">
        <v>757</v>
      </c>
    </row>
    <row r="208" spans="2:2" x14ac:dyDescent="0.2">
      <c r="B208" s="68" t="s">
        <v>758</v>
      </c>
    </row>
    <row r="209" spans="2:2" x14ac:dyDescent="0.2">
      <c r="B209" s="68" t="s">
        <v>759</v>
      </c>
    </row>
    <row r="210" spans="2:2" x14ac:dyDescent="0.2">
      <c r="B210" s="68" t="s">
        <v>760</v>
      </c>
    </row>
    <row r="211" spans="2:2" x14ac:dyDescent="0.2">
      <c r="B211" s="68" t="s">
        <v>761</v>
      </c>
    </row>
    <row r="212" spans="2:2" x14ac:dyDescent="0.2">
      <c r="B212" s="68" t="s">
        <v>762</v>
      </c>
    </row>
    <row r="213" spans="2:2" x14ac:dyDescent="0.2">
      <c r="B213" s="68" t="s">
        <v>763</v>
      </c>
    </row>
    <row r="214" spans="2:2" x14ac:dyDescent="0.2">
      <c r="B214" s="68" t="s">
        <v>764</v>
      </c>
    </row>
    <row r="215" spans="2:2" x14ac:dyDescent="0.2">
      <c r="B215" s="68" t="s">
        <v>765</v>
      </c>
    </row>
    <row r="216" spans="2:2" x14ac:dyDescent="0.2">
      <c r="B216" s="68" t="s">
        <v>766</v>
      </c>
    </row>
    <row r="217" spans="2:2" x14ac:dyDescent="0.2">
      <c r="B217" s="68" t="s">
        <v>767</v>
      </c>
    </row>
    <row r="218" spans="2:2" x14ac:dyDescent="0.2">
      <c r="B218" s="68" t="s">
        <v>768</v>
      </c>
    </row>
    <row r="219" spans="2:2" x14ac:dyDescent="0.2">
      <c r="B219" s="68" t="s">
        <v>769</v>
      </c>
    </row>
    <row r="220" spans="2:2" x14ac:dyDescent="0.2">
      <c r="B220" s="68" t="s">
        <v>770</v>
      </c>
    </row>
    <row r="221" spans="2:2" x14ac:dyDescent="0.2">
      <c r="B221" s="68" t="s">
        <v>771</v>
      </c>
    </row>
    <row r="222" spans="2:2" x14ac:dyDescent="0.2">
      <c r="B222" s="68" t="s">
        <v>772</v>
      </c>
    </row>
    <row r="223" spans="2:2" x14ac:dyDescent="0.2">
      <c r="B223" s="68" t="s">
        <v>773</v>
      </c>
    </row>
    <row r="224" spans="2:2" x14ac:dyDescent="0.2">
      <c r="B224" s="68" t="s">
        <v>774</v>
      </c>
    </row>
    <row r="225" spans="2:2" x14ac:dyDescent="0.2">
      <c r="B225" s="68" t="s">
        <v>775</v>
      </c>
    </row>
    <row r="226" spans="2:2" x14ac:dyDescent="0.2">
      <c r="B226" s="68" t="s">
        <v>776</v>
      </c>
    </row>
    <row r="227" spans="2:2" x14ac:dyDescent="0.2">
      <c r="B227" s="68" t="s">
        <v>777</v>
      </c>
    </row>
    <row r="228" spans="2:2" x14ac:dyDescent="0.2">
      <c r="B228" s="68" t="s">
        <v>778</v>
      </c>
    </row>
    <row r="229" spans="2:2" x14ac:dyDescent="0.2">
      <c r="B229" s="68" t="s">
        <v>779</v>
      </c>
    </row>
    <row r="230" spans="2:2" x14ac:dyDescent="0.2">
      <c r="B230" s="68" t="s">
        <v>780</v>
      </c>
    </row>
    <row r="231" spans="2:2" x14ac:dyDescent="0.2">
      <c r="B231" s="68" t="s">
        <v>781</v>
      </c>
    </row>
    <row r="232" spans="2:2" x14ac:dyDescent="0.2">
      <c r="B232" s="68" t="s">
        <v>782</v>
      </c>
    </row>
    <row r="233" spans="2:2" x14ac:dyDescent="0.2">
      <c r="B233" s="68" t="s">
        <v>783</v>
      </c>
    </row>
    <row r="234" spans="2:2" x14ac:dyDescent="0.2">
      <c r="B234" s="68" t="s">
        <v>784</v>
      </c>
    </row>
    <row r="235" spans="2:2" x14ac:dyDescent="0.2">
      <c r="B235" s="68" t="s">
        <v>785</v>
      </c>
    </row>
    <row r="236" spans="2:2" x14ac:dyDescent="0.2">
      <c r="B236" s="68" t="s">
        <v>786</v>
      </c>
    </row>
    <row r="237" spans="2:2" x14ac:dyDescent="0.2">
      <c r="B237" s="68" t="s">
        <v>787</v>
      </c>
    </row>
    <row r="238" spans="2:2" x14ac:dyDescent="0.2">
      <c r="B238" s="68" t="s">
        <v>788</v>
      </c>
    </row>
    <row r="239" spans="2:2" x14ac:dyDescent="0.2">
      <c r="B239" s="68" t="s">
        <v>789</v>
      </c>
    </row>
    <row r="240" spans="2:2" x14ac:dyDescent="0.2">
      <c r="B240" s="68" t="s">
        <v>790</v>
      </c>
    </row>
    <row r="241" spans="2:2" x14ac:dyDescent="0.2">
      <c r="B241" s="68" t="s">
        <v>791</v>
      </c>
    </row>
    <row r="242" spans="2:2" x14ac:dyDescent="0.2">
      <c r="B242" s="68" t="s">
        <v>792</v>
      </c>
    </row>
    <row r="243" spans="2:2" x14ac:dyDescent="0.2">
      <c r="B243" s="68" t="s">
        <v>793</v>
      </c>
    </row>
    <row r="244" spans="2:2" x14ac:dyDescent="0.2">
      <c r="B244" s="68" t="s">
        <v>794</v>
      </c>
    </row>
    <row r="245" spans="2:2" x14ac:dyDescent="0.2">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defaultRowHeight="14.25" x14ac:dyDescent="0.2"/>
  <cols>
    <col min="6" max="6" width="11.375" bestFit="1" customWidth="1"/>
    <col min="11" max="11" width="28.25" customWidth="1"/>
    <col min="13" max="13" width="17.5" customWidth="1"/>
    <col min="16" max="16" width="10" bestFit="1" customWidth="1"/>
    <col min="17" max="17" width="11.25" bestFit="1" customWidth="1"/>
    <col min="19" max="19" width="12.375" bestFit="1" customWidth="1"/>
  </cols>
  <sheetData>
    <row r="1" spans="1:35" x14ac:dyDescent="0.2">
      <c r="A1" t="s">
        <v>26</v>
      </c>
      <c r="C1" t="s">
        <v>13</v>
      </c>
      <c r="E1" t="s">
        <v>14</v>
      </c>
      <c r="F1" t="s">
        <v>15</v>
      </c>
      <c r="H1" t="s">
        <v>16</v>
      </c>
      <c r="S1" t="s">
        <v>17</v>
      </c>
      <c r="V1" t="s">
        <v>18</v>
      </c>
      <c r="Y1" t="s">
        <v>209</v>
      </c>
      <c r="AE1" t="s">
        <v>299</v>
      </c>
      <c r="AI1" t="s">
        <v>329</v>
      </c>
    </row>
    <row r="2" spans="1:35" x14ac:dyDescent="0.2">
      <c r="A2">
        <v>0</v>
      </c>
      <c r="E2" t="s">
        <v>19</v>
      </c>
      <c r="F2">
        <v>1</v>
      </c>
      <c r="H2">
        <v>65</v>
      </c>
      <c r="I2">
        <v>0.65</v>
      </c>
      <c r="S2" s="8" t="str">
        <f>IF(Demand!$C$6="","",Demand!$C$6)</f>
        <v/>
      </c>
      <c r="V2">
        <v>1</v>
      </c>
      <c r="Y2" t="s">
        <v>212</v>
      </c>
      <c r="Z2" t="s">
        <v>210</v>
      </c>
      <c r="AA2" t="s">
        <v>211</v>
      </c>
      <c r="AE2" t="s">
        <v>58</v>
      </c>
      <c r="AI2" t="str">
        <f ca="1">"Baseline: "&amp;TEXT(MAX('SPC background (hide)'!$I$5:$I$11),"#")&amp;" wks"</f>
        <v>Baseline: 1 wks</v>
      </c>
    </row>
    <row r="3" spans="1:35" x14ac:dyDescent="0.2">
      <c r="A3">
        <v>1</v>
      </c>
      <c r="C3" t="s">
        <v>20</v>
      </c>
      <c r="E3" t="s">
        <v>21</v>
      </c>
      <c r="F3">
        <v>2</v>
      </c>
      <c r="H3">
        <v>70</v>
      </c>
      <c r="I3">
        <v>0.7</v>
      </c>
      <c r="S3" s="8" t="str">
        <f>IF($S$2="","",S2+7)</f>
        <v/>
      </c>
      <c r="V3">
        <v>1.5</v>
      </c>
      <c r="Y3" t="s">
        <v>32</v>
      </c>
      <c r="Z3" t="str">
        <f>Setup!C27</f>
        <v>Modality 1</v>
      </c>
      <c r="AA3" t="str">
        <f>IF(Z3="",Y3,Z3)</f>
        <v>Modality 1</v>
      </c>
      <c r="AE3" t="str">
        <f>IF(Capacity!B17="","",ROW(A1)&amp;". "&amp;Capacity!B17)</f>
        <v/>
      </c>
      <c r="AF3" s="68"/>
      <c r="AI3">
        <v>20</v>
      </c>
    </row>
    <row r="4" spans="1:35" x14ac:dyDescent="0.2">
      <c r="A4">
        <v>2</v>
      </c>
      <c r="C4" t="s">
        <v>22</v>
      </c>
      <c r="E4" t="s">
        <v>23</v>
      </c>
      <c r="F4">
        <v>3</v>
      </c>
      <c r="H4">
        <v>75</v>
      </c>
      <c r="I4">
        <v>0.75</v>
      </c>
      <c r="S4" s="8" t="str">
        <f t="shared" ref="S4:S53" si="0">IF($S$2="","",S3+7)</f>
        <v/>
      </c>
      <c r="V4">
        <v>2</v>
      </c>
      <c r="Y4" t="s">
        <v>34</v>
      </c>
      <c r="Z4" t="str">
        <f>Setup!C28</f>
        <v>Modality 2</v>
      </c>
      <c r="AA4" t="str">
        <f t="shared" ref="AA4:AA12" si="1">IF(Z4="",Y4,Z4)</f>
        <v>Modality 2</v>
      </c>
      <c r="AE4" s="68" t="str">
        <f>IF(Capacity!B18="","",ROW(A2)&amp;". "&amp;Capacity!B18)</f>
        <v/>
      </c>
      <c r="AF4" s="68"/>
      <c r="AI4">
        <v>21</v>
      </c>
    </row>
    <row r="5" spans="1:35" x14ac:dyDescent="0.2">
      <c r="A5">
        <v>3</v>
      </c>
      <c r="H5">
        <v>80</v>
      </c>
      <c r="I5">
        <v>0.8</v>
      </c>
      <c r="S5" s="8" t="str">
        <f t="shared" si="0"/>
        <v/>
      </c>
      <c r="V5">
        <v>2.5</v>
      </c>
      <c r="Y5" t="s">
        <v>36</v>
      </c>
      <c r="Z5" t="str">
        <f>Setup!C29</f>
        <v>Modality 3</v>
      </c>
      <c r="AA5" t="str">
        <f t="shared" si="1"/>
        <v>Modality 3</v>
      </c>
      <c r="AE5" s="68" t="str">
        <f>IF(Capacity!B19="","",ROW(A3)&amp;". "&amp;Capacity!B19)</f>
        <v/>
      </c>
      <c r="AF5" s="68"/>
      <c r="AI5" s="68">
        <v>22</v>
      </c>
    </row>
    <row r="6" spans="1:35" x14ac:dyDescent="0.2">
      <c r="A6">
        <v>4</v>
      </c>
      <c r="C6" t="s">
        <v>22</v>
      </c>
      <c r="E6" t="s">
        <v>19</v>
      </c>
      <c r="I6">
        <v>0.85</v>
      </c>
      <c r="S6" s="8" t="str">
        <f t="shared" si="0"/>
        <v/>
      </c>
      <c r="V6">
        <v>3</v>
      </c>
      <c r="Y6" t="s">
        <v>38</v>
      </c>
      <c r="Z6" t="str">
        <f>Setup!C30</f>
        <v>Modality 4</v>
      </c>
      <c r="AA6" t="str">
        <f t="shared" si="1"/>
        <v>Modality 4</v>
      </c>
      <c r="AE6" s="68" t="str">
        <f>IF(Capacity!B20="","",ROW(A4)&amp;". "&amp;Capacity!B20)</f>
        <v/>
      </c>
      <c r="AF6" s="68"/>
      <c r="AI6" s="68">
        <v>23</v>
      </c>
    </row>
    <row r="7" spans="1:35" x14ac:dyDescent="0.2">
      <c r="A7">
        <v>5</v>
      </c>
      <c r="C7" t="s">
        <v>20</v>
      </c>
      <c r="E7" t="s">
        <v>23</v>
      </c>
      <c r="S7" s="8" t="str">
        <f t="shared" si="0"/>
        <v/>
      </c>
      <c r="V7">
        <v>3.5</v>
      </c>
      <c r="Y7" t="s">
        <v>40</v>
      </c>
      <c r="Z7" t="str">
        <f>Setup!C31</f>
        <v>Modality 5</v>
      </c>
      <c r="AA7" t="str">
        <f t="shared" si="1"/>
        <v>Modality 5</v>
      </c>
      <c r="AE7" s="68" t="str">
        <f>IF(Capacity!B21="","",ROW(A5)&amp;". "&amp;Capacity!B21)</f>
        <v/>
      </c>
      <c r="AF7" s="68"/>
      <c r="AI7" s="68">
        <v>24</v>
      </c>
    </row>
    <row r="8" spans="1:35" x14ac:dyDescent="0.2">
      <c r="A8">
        <v>6</v>
      </c>
      <c r="S8" s="8" t="str">
        <f t="shared" si="0"/>
        <v/>
      </c>
      <c r="V8">
        <v>4</v>
      </c>
      <c r="Y8" t="s">
        <v>42</v>
      </c>
      <c r="Z8" t="str">
        <f>Setup!C32</f>
        <v>Modality 6</v>
      </c>
      <c r="AA8" t="str">
        <f t="shared" si="1"/>
        <v>Modality 6</v>
      </c>
      <c r="AE8" s="68" t="str">
        <f>IF(Capacity!B22="","",ROW(A6)&amp;". "&amp;Capacity!B22)</f>
        <v/>
      </c>
      <c r="AF8" s="68"/>
      <c r="AI8" s="68">
        <v>25</v>
      </c>
    </row>
    <row r="9" spans="1:35" x14ac:dyDescent="0.2">
      <c r="A9">
        <v>7</v>
      </c>
      <c r="E9" t="s">
        <v>19</v>
      </c>
      <c r="H9" t="s">
        <v>139</v>
      </c>
      <c r="I9">
        <f>VLOOKUP(Setup!I19,'Control sheet (hide)'!H2:I5,2,0)</f>
        <v>0.65</v>
      </c>
      <c r="S9" s="8" t="str">
        <f t="shared" si="0"/>
        <v/>
      </c>
      <c r="V9">
        <v>4.5</v>
      </c>
      <c r="Y9" t="s">
        <v>44</v>
      </c>
      <c r="Z9" t="str">
        <f>Setup!C33</f>
        <v>Modality 7</v>
      </c>
      <c r="AA9" t="str">
        <f t="shared" si="1"/>
        <v>Modality 7</v>
      </c>
      <c r="AE9" s="68" t="str">
        <f>IF(Capacity!B23="","",ROW(A7)&amp;". "&amp;Capacity!B23)</f>
        <v/>
      </c>
      <c r="AF9" s="68"/>
      <c r="AI9" s="68">
        <v>26</v>
      </c>
    </row>
    <row r="10" spans="1:35" x14ac:dyDescent="0.2">
      <c r="A10">
        <v>8</v>
      </c>
      <c r="E10" t="s">
        <v>21</v>
      </c>
      <c r="H10" t="s">
        <v>140</v>
      </c>
      <c r="I10">
        <f>I6</f>
        <v>0.85</v>
      </c>
      <c r="S10" s="8" t="str">
        <f t="shared" si="0"/>
        <v/>
      </c>
      <c r="V10">
        <v>5</v>
      </c>
      <c r="Y10" t="s">
        <v>46</v>
      </c>
      <c r="Z10" t="str">
        <f>Setup!C34</f>
        <v>Modality 8</v>
      </c>
      <c r="AA10" t="str">
        <f t="shared" si="1"/>
        <v>Modality 8</v>
      </c>
      <c r="AE10" s="68" t="str">
        <f>IF(Capacity!B24="","",ROW(A8)&amp;". "&amp;Capacity!B24)</f>
        <v/>
      </c>
      <c r="AF10" s="68"/>
      <c r="AI10" s="68">
        <v>27</v>
      </c>
    </row>
    <row r="11" spans="1:35" x14ac:dyDescent="0.2">
      <c r="A11">
        <v>9</v>
      </c>
      <c r="S11" s="8" t="str">
        <f t="shared" si="0"/>
        <v/>
      </c>
      <c r="V11">
        <v>5.5</v>
      </c>
      <c r="Y11" t="s">
        <v>48</v>
      </c>
      <c r="Z11" t="str">
        <f>Setup!C35</f>
        <v>Modality 9</v>
      </c>
      <c r="AA11" t="str">
        <f t="shared" si="1"/>
        <v>Modality 9</v>
      </c>
      <c r="AE11" s="68" t="str">
        <f>IF(Capacity!B25="","",ROW(A9)&amp;". "&amp;Capacity!B25)</f>
        <v/>
      </c>
      <c r="AF11" s="68"/>
      <c r="AI11" s="68">
        <v>28</v>
      </c>
    </row>
    <row r="12" spans="1:35" x14ac:dyDescent="0.2">
      <c r="A12">
        <v>10</v>
      </c>
      <c r="S12" s="8" t="str">
        <f t="shared" si="0"/>
        <v/>
      </c>
      <c r="V12">
        <v>6</v>
      </c>
      <c r="Y12" t="s">
        <v>50</v>
      </c>
      <c r="Z12" t="str">
        <f>Setup!C36</f>
        <v>Modality 10</v>
      </c>
      <c r="AA12" t="str">
        <f t="shared" si="1"/>
        <v>Modality 10</v>
      </c>
      <c r="AE12" s="68" t="str">
        <f>IF(Capacity!B26="","",ROW(A10)&amp;". "&amp;Capacity!B26)</f>
        <v/>
      </c>
      <c r="AF12" s="68"/>
      <c r="AI12" s="68">
        <v>29</v>
      </c>
    </row>
    <row r="13" spans="1:35" x14ac:dyDescent="0.2">
      <c r="A13">
        <v>11</v>
      </c>
      <c r="E13" t="s">
        <v>24</v>
      </c>
      <c r="H13" t="s">
        <v>878</v>
      </c>
      <c r="S13" s="8" t="str">
        <f t="shared" si="0"/>
        <v/>
      </c>
      <c r="V13">
        <v>6.5</v>
      </c>
      <c r="AA13" t="s">
        <v>213</v>
      </c>
      <c r="AE13" s="68" t="str">
        <f>IF(Capacity!B27="","",ROW(A11)&amp;". "&amp;Capacity!B27)</f>
        <v/>
      </c>
      <c r="AF13" s="68"/>
      <c r="AI13" s="68">
        <v>30</v>
      </c>
    </row>
    <row r="14" spans="1:35" x14ac:dyDescent="0.2">
      <c r="A14">
        <v>12</v>
      </c>
      <c r="E14" t="s">
        <v>25</v>
      </c>
      <c r="H14" t="s">
        <v>879</v>
      </c>
      <c r="S14" s="8" t="str">
        <f t="shared" si="0"/>
        <v/>
      </c>
      <c r="V14">
        <v>7</v>
      </c>
      <c r="AE14" s="68" t="str">
        <f>IF(Capacity!B28="","",ROW(A12)&amp;". "&amp;Capacity!B28)</f>
        <v/>
      </c>
      <c r="AF14" s="68"/>
      <c r="AI14" s="68">
        <v>31</v>
      </c>
    </row>
    <row r="15" spans="1:35" x14ac:dyDescent="0.2">
      <c r="A15">
        <v>13</v>
      </c>
      <c r="S15" s="8" t="str">
        <f t="shared" si="0"/>
        <v/>
      </c>
      <c r="V15">
        <v>7.5</v>
      </c>
      <c r="AE15" s="68" t="str">
        <f>IF(Capacity!B29="","",ROW(A13)&amp;". "&amp;Capacity!B29)</f>
        <v/>
      </c>
      <c r="AF15" s="68"/>
      <c r="AI15" s="68">
        <v>32</v>
      </c>
    </row>
    <row r="16" spans="1:35" x14ac:dyDescent="0.2">
      <c r="A16">
        <v>14</v>
      </c>
      <c r="E16" t="s">
        <v>90</v>
      </c>
      <c r="S16" s="8" t="str">
        <f t="shared" si="0"/>
        <v/>
      </c>
      <c r="V16">
        <v>8</v>
      </c>
      <c r="AE16" s="68" t="str">
        <f>IF(Capacity!B30="","",ROW(A14)&amp;". "&amp;Capacity!B30)</f>
        <v/>
      </c>
      <c r="AF16" s="68"/>
      <c r="AI16" s="68">
        <v>33</v>
      </c>
    </row>
    <row r="17" spans="1:35" x14ac:dyDescent="0.2">
      <c r="A17">
        <v>15</v>
      </c>
      <c r="E17" t="s">
        <v>89</v>
      </c>
      <c r="S17" s="8" t="str">
        <f t="shared" si="0"/>
        <v/>
      </c>
      <c r="V17">
        <v>8.5</v>
      </c>
      <c r="AE17" s="68" t="str">
        <f>IF(Capacity!B31="","",ROW(A15)&amp;". "&amp;Capacity!B31)</f>
        <v/>
      </c>
      <c r="AF17" s="68"/>
      <c r="AI17" s="68">
        <v>34</v>
      </c>
    </row>
    <row r="18" spans="1:35" x14ac:dyDescent="0.2">
      <c r="A18">
        <v>16</v>
      </c>
      <c r="S18" s="8" t="str">
        <f t="shared" si="0"/>
        <v/>
      </c>
      <c r="V18">
        <v>9</v>
      </c>
      <c r="AE18" s="68" t="str">
        <f>IF(Capacity!B32="","",ROW(A16)&amp;". "&amp;Capacity!B32)</f>
        <v/>
      </c>
      <c r="AF18" s="68"/>
      <c r="AI18" s="68">
        <v>35</v>
      </c>
    </row>
    <row r="19" spans="1:35" x14ac:dyDescent="0.2">
      <c r="A19">
        <v>17</v>
      </c>
      <c r="E19" t="s">
        <v>405</v>
      </c>
      <c r="S19" s="8" t="str">
        <f t="shared" si="0"/>
        <v/>
      </c>
      <c r="V19">
        <v>9.5</v>
      </c>
      <c r="AE19" s="68" t="str">
        <f>IF(Capacity!B33="","",ROW(A17)&amp;". "&amp;Capacity!B33)</f>
        <v/>
      </c>
      <c r="AF19" s="68"/>
      <c r="AI19" s="68">
        <v>36</v>
      </c>
    </row>
    <row r="20" spans="1:35" x14ac:dyDescent="0.2">
      <c r="A20">
        <v>18</v>
      </c>
      <c r="E20" t="s">
        <v>404</v>
      </c>
      <c r="S20" s="8" t="str">
        <f t="shared" si="0"/>
        <v/>
      </c>
      <c r="V20">
        <v>10</v>
      </c>
      <c r="AE20" s="68" t="str">
        <f>IF(Capacity!B34="","",ROW(A18)&amp;". "&amp;Capacity!B34)</f>
        <v/>
      </c>
      <c r="AF20" s="68"/>
      <c r="AI20" s="68">
        <v>37</v>
      </c>
    </row>
    <row r="21" spans="1:35" x14ac:dyDescent="0.2">
      <c r="A21">
        <v>19</v>
      </c>
      <c r="S21" s="8" t="str">
        <f t="shared" si="0"/>
        <v/>
      </c>
      <c r="V21">
        <v>10.5</v>
      </c>
      <c r="AE21" s="68" t="str">
        <f>IF(Capacity!B35="","",ROW(A19)&amp;". "&amp;Capacity!B35)</f>
        <v/>
      </c>
      <c r="AF21" s="68"/>
      <c r="AI21" s="68">
        <v>38</v>
      </c>
    </row>
    <row r="22" spans="1:35" x14ac:dyDescent="0.2">
      <c r="A22">
        <v>20</v>
      </c>
      <c r="E22" t="s">
        <v>24</v>
      </c>
      <c r="S22" s="8" t="str">
        <f t="shared" si="0"/>
        <v/>
      </c>
      <c r="V22">
        <v>11</v>
      </c>
      <c r="AE22" s="68" t="str">
        <f>IF(Capacity!B36="","",ROW(A20)&amp;". "&amp;Capacity!B36)</f>
        <v/>
      </c>
      <c r="AF22" s="68"/>
      <c r="AI22" s="68">
        <v>39</v>
      </c>
    </row>
    <row r="23" spans="1:35" x14ac:dyDescent="0.2">
      <c r="A23">
        <v>21</v>
      </c>
      <c r="E23" t="s">
        <v>424</v>
      </c>
      <c r="S23" s="8" t="str">
        <f t="shared" si="0"/>
        <v/>
      </c>
      <c r="V23">
        <v>11.5</v>
      </c>
      <c r="AE23" s="68" t="str">
        <f>IF(Capacity!B37="","",ROW(A21)&amp;". "&amp;Capacity!B37)</f>
        <v/>
      </c>
      <c r="AF23" s="68"/>
      <c r="AI23" s="68">
        <v>40</v>
      </c>
    </row>
    <row r="24" spans="1:35" x14ac:dyDescent="0.2">
      <c r="A24">
        <v>22</v>
      </c>
      <c r="S24" s="8" t="str">
        <f t="shared" si="0"/>
        <v/>
      </c>
      <c r="V24">
        <v>12</v>
      </c>
      <c r="AE24" s="68" t="str">
        <f>IF(Capacity!B38="","",ROW(A22)&amp;". "&amp;Capacity!B38)</f>
        <v/>
      </c>
      <c r="AF24" s="68"/>
      <c r="AI24" s="68">
        <v>41</v>
      </c>
    </row>
    <row r="25" spans="1:35" x14ac:dyDescent="0.2">
      <c r="A25">
        <v>23</v>
      </c>
      <c r="E25" t="s">
        <v>483</v>
      </c>
      <c r="S25" s="8" t="str">
        <f t="shared" si="0"/>
        <v/>
      </c>
      <c r="AE25" s="68" t="str">
        <f>IF(Capacity!B39="","",ROW(A23)&amp;". "&amp;Capacity!B39)</f>
        <v/>
      </c>
      <c r="AF25" s="68"/>
      <c r="AI25" s="68">
        <v>42</v>
      </c>
    </row>
    <row r="26" spans="1:35" x14ac:dyDescent="0.2">
      <c r="A26">
        <v>24</v>
      </c>
      <c r="E26" t="s">
        <v>484</v>
      </c>
      <c r="S26" s="8" t="str">
        <f t="shared" si="0"/>
        <v/>
      </c>
      <c r="AE26" s="68" t="str">
        <f>IF(Capacity!B40="","",ROW(A24)&amp;". "&amp;Capacity!B40)</f>
        <v/>
      </c>
      <c r="AF26" s="68"/>
      <c r="AI26" s="68">
        <v>43</v>
      </c>
    </row>
    <row r="27" spans="1:35" x14ac:dyDescent="0.2">
      <c r="A27">
        <v>25</v>
      </c>
      <c r="S27" s="8" t="str">
        <f t="shared" si="0"/>
        <v/>
      </c>
      <c r="AE27" s="68" t="str">
        <f>IF(Capacity!B41="","",ROW(A25)&amp;". "&amp;Capacity!B41)</f>
        <v/>
      </c>
      <c r="AF27" s="68"/>
      <c r="AI27" s="68">
        <v>44</v>
      </c>
    </row>
    <row r="28" spans="1:35" x14ac:dyDescent="0.2">
      <c r="A28">
        <v>26</v>
      </c>
      <c r="S28" s="8" t="str">
        <f t="shared" si="0"/>
        <v/>
      </c>
      <c r="AE28" s="68" t="str">
        <f>IF(Capacity!B42="","",ROW(A26)&amp;". "&amp;Capacity!B42)</f>
        <v/>
      </c>
      <c r="AF28" s="68"/>
      <c r="AI28" s="68">
        <v>45</v>
      </c>
    </row>
    <row r="29" spans="1:35" x14ac:dyDescent="0.2">
      <c r="A29">
        <v>27</v>
      </c>
      <c r="C29" t="s">
        <v>196</v>
      </c>
      <c r="E29" t="s">
        <v>485</v>
      </c>
      <c r="S29" s="8" t="str">
        <f t="shared" si="0"/>
        <v/>
      </c>
      <c r="AE29" s="68" t="str">
        <f>IF(Capacity!B43="","",ROW(A27)&amp;". "&amp;Capacity!B43)</f>
        <v/>
      </c>
      <c r="AF29" s="68"/>
      <c r="AI29" s="68">
        <v>46</v>
      </c>
    </row>
    <row r="30" spans="1:35" x14ac:dyDescent="0.2">
      <c r="A30">
        <v>28</v>
      </c>
      <c r="C30" t="s">
        <v>194</v>
      </c>
      <c r="S30" s="8" t="str">
        <f t="shared" si="0"/>
        <v/>
      </c>
      <c r="AE30" s="68" t="str">
        <f>IF(Capacity!B44="","",ROW(A28)&amp;". "&amp;Capacity!B44)</f>
        <v/>
      </c>
      <c r="AF30" s="68"/>
      <c r="AI30" s="68">
        <v>47</v>
      </c>
    </row>
    <row r="31" spans="1:35" x14ac:dyDescent="0.2">
      <c r="A31">
        <v>29</v>
      </c>
      <c r="C31" t="s">
        <v>195</v>
      </c>
      <c r="S31" s="8" t="str">
        <f t="shared" si="0"/>
        <v/>
      </c>
      <c r="AE31" s="68" t="str">
        <f>IF(Capacity!B45="","",ROW(A29)&amp;". "&amp;Capacity!B45)</f>
        <v/>
      </c>
      <c r="AF31" s="68"/>
      <c r="AI31" s="68">
        <v>48</v>
      </c>
    </row>
    <row r="32" spans="1:35" x14ac:dyDescent="0.2">
      <c r="A32">
        <v>30</v>
      </c>
      <c r="S32" s="8" t="str">
        <f t="shared" si="0"/>
        <v/>
      </c>
      <c r="AE32" s="68" t="str">
        <f>IF(Capacity!B46="","",ROW(A30)&amp;". "&amp;Capacity!B46)</f>
        <v/>
      </c>
      <c r="AF32" s="68"/>
      <c r="AI32" s="68">
        <v>49</v>
      </c>
    </row>
    <row r="33" spans="1:35" x14ac:dyDescent="0.2">
      <c r="A33">
        <v>31</v>
      </c>
      <c r="S33" s="8" t="str">
        <f t="shared" si="0"/>
        <v/>
      </c>
      <c r="AE33" s="68" t="str">
        <f>IF(Capacity!B47="","",ROW(A31)&amp;". "&amp;Capacity!B47)</f>
        <v/>
      </c>
      <c r="AF33" s="68"/>
      <c r="AI33" s="68">
        <v>50</v>
      </c>
    </row>
    <row r="34" spans="1:35" x14ac:dyDescent="0.2">
      <c r="A34">
        <v>32</v>
      </c>
      <c r="C34" t="s">
        <v>24</v>
      </c>
      <c r="S34" s="8" t="str">
        <f t="shared" si="0"/>
        <v/>
      </c>
      <c r="AE34" s="68" t="str">
        <f>IF(Capacity!B48="","",ROW(A32)&amp;". "&amp;Capacity!B48)</f>
        <v/>
      </c>
      <c r="AF34" s="68"/>
      <c r="AI34" s="68">
        <v>51</v>
      </c>
    </row>
    <row r="35" spans="1:35" x14ac:dyDescent="0.2">
      <c r="A35">
        <v>33</v>
      </c>
      <c r="C35" t="s">
        <v>104</v>
      </c>
      <c r="S35" s="8" t="str">
        <f t="shared" si="0"/>
        <v/>
      </c>
      <c r="AE35" s="68" t="str">
        <f>IF(Capacity!B49="","",ROW(A33)&amp;". "&amp;Capacity!B49)</f>
        <v/>
      </c>
      <c r="AF35" s="68"/>
      <c r="AI35" s="68">
        <v>52</v>
      </c>
    </row>
    <row r="36" spans="1:35" x14ac:dyDescent="0.2">
      <c r="A36">
        <v>34</v>
      </c>
      <c r="S36" s="8" t="str">
        <f t="shared" si="0"/>
        <v/>
      </c>
      <c r="AE36" s="68" t="str">
        <f>IF(Capacity!B50="","",ROW(A34)&amp;". "&amp;Capacity!B50)</f>
        <v/>
      </c>
      <c r="AF36" s="68"/>
    </row>
    <row r="37" spans="1:35" x14ac:dyDescent="0.2">
      <c r="A37">
        <v>35</v>
      </c>
      <c r="S37" s="8" t="str">
        <f t="shared" si="0"/>
        <v/>
      </c>
      <c r="AE37" s="68" t="str">
        <f>IF(Capacity!B51="","",ROW(A35)&amp;". "&amp;Capacity!B51)</f>
        <v/>
      </c>
      <c r="AF37" s="68"/>
    </row>
    <row r="38" spans="1:35" x14ac:dyDescent="0.2">
      <c r="A38">
        <v>36</v>
      </c>
      <c r="S38" s="8" t="str">
        <f t="shared" si="0"/>
        <v/>
      </c>
      <c r="AE38" s="68" t="str">
        <f>IF(Capacity!B52="","",ROW(A36)&amp;". "&amp;Capacity!B52)</f>
        <v/>
      </c>
      <c r="AF38" s="68"/>
    </row>
    <row r="39" spans="1:35" x14ac:dyDescent="0.2">
      <c r="A39">
        <v>37</v>
      </c>
      <c r="S39" s="8" t="str">
        <f t="shared" si="0"/>
        <v/>
      </c>
      <c r="AE39" s="68" t="str">
        <f>IF(Capacity!B53="","",ROW(A37)&amp;". "&amp;Capacity!B53)</f>
        <v/>
      </c>
      <c r="AF39" s="68"/>
    </row>
    <row r="40" spans="1:35" x14ac:dyDescent="0.2">
      <c r="A40">
        <v>38</v>
      </c>
      <c r="S40" s="8" t="str">
        <f t="shared" si="0"/>
        <v/>
      </c>
      <c r="AE40" s="68" t="str">
        <f>IF(Capacity!B54="","",ROW(A38)&amp;". "&amp;Capacity!B54)</f>
        <v/>
      </c>
      <c r="AF40" s="68"/>
    </row>
    <row r="41" spans="1:35" x14ac:dyDescent="0.2">
      <c r="A41">
        <v>39</v>
      </c>
      <c r="S41" s="8" t="str">
        <f t="shared" si="0"/>
        <v/>
      </c>
      <c r="AE41" s="68" t="str">
        <f>IF(Capacity!B55="","",ROW(A39)&amp;". "&amp;Capacity!B55)</f>
        <v/>
      </c>
      <c r="AF41" s="68"/>
    </row>
    <row r="42" spans="1:35" x14ac:dyDescent="0.2">
      <c r="A42">
        <v>40</v>
      </c>
      <c r="S42" s="8" t="str">
        <f t="shared" si="0"/>
        <v/>
      </c>
      <c r="AE42" s="68" t="str">
        <f>IF(Capacity!B56="","",ROW(A40)&amp;". "&amp;Capacity!B56)</f>
        <v/>
      </c>
      <c r="AF42" s="68"/>
    </row>
    <row r="43" spans="1:35" x14ac:dyDescent="0.2">
      <c r="A43">
        <v>41</v>
      </c>
      <c r="S43" s="8" t="str">
        <f t="shared" si="0"/>
        <v/>
      </c>
      <c r="AE43" s="68" t="str">
        <f>IF(Capacity!B57="","",ROW(A41)&amp;". "&amp;Capacity!B57)</f>
        <v/>
      </c>
      <c r="AF43" s="68"/>
    </row>
    <row r="44" spans="1:35" x14ac:dyDescent="0.2">
      <c r="A44">
        <v>42</v>
      </c>
      <c r="S44" s="8" t="str">
        <f t="shared" si="0"/>
        <v/>
      </c>
      <c r="AE44" s="68" t="str">
        <f>IF(Capacity!B58="","",ROW(A42)&amp;". "&amp;Capacity!B58)</f>
        <v/>
      </c>
      <c r="AF44" s="68"/>
    </row>
    <row r="45" spans="1:35" x14ac:dyDescent="0.2">
      <c r="A45">
        <v>43</v>
      </c>
      <c r="S45" s="8" t="str">
        <f t="shared" si="0"/>
        <v/>
      </c>
      <c r="AE45" s="68" t="str">
        <f>IF(Capacity!B59="","",ROW(A43)&amp;". "&amp;Capacity!B59)</f>
        <v/>
      </c>
      <c r="AF45" s="68"/>
    </row>
    <row r="46" spans="1:35" x14ac:dyDescent="0.2">
      <c r="A46">
        <v>44</v>
      </c>
      <c r="S46" s="8" t="str">
        <f t="shared" si="0"/>
        <v/>
      </c>
      <c r="AE46" s="68" t="str">
        <f>IF(Capacity!B60="","",ROW(A44)&amp;". "&amp;Capacity!B60)</f>
        <v/>
      </c>
      <c r="AF46" s="68"/>
    </row>
    <row r="47" spans="1:35" x14ac:dyDescent="0.2">
      <c r="A47">
        <v>45</v>
      </c>
      <c r="S47" s="8" t="str">
        <f t="shared" si="0"/>
        <v/>
      </c>
      <c r="AE47" s="68" t="str">
        <f>IF(Capacity!B61="","",ROW(A45)&amp;". "&amp;Capacity!B61)</f>
        <v/>
      </c>
      <c r="AF47" s="68"/>
    </row>
    <row r="48" spans="1:35" x14ac:dyDescent="0.2">
      <c r="A48">
        <v>46</v>
      </c>
      <c r="S48" s="8" t="str">
        <f t="shared" si="0"/>
        <v/>
      </c>
      <c r="AE48" s="68" t="str">
        <f>IF(Capacity!B62="","",ROW(A46)&amp;". "&amp;Capacity!B62)</f>
        <v/>
      </c>
      <c r="AF48" s="68"/>
    </row>
    <row r="49" spans="1:32" x14ac:dyDescent="0.2">
      <c r="A49">
        <v>47</v>
      </c>
      <c r="S49" s="8" t="str">
        <f t="shared" si="0"/>
        <v/>
      </c>
      <c r="AE49" s="68" t="str">
        <f>IF(Capacity!B63="","",ROW(A47)&amp;". "&amp;Capacity!B63)</f>
        <v/>
      </c>
      <c r="AF49" s="68"/>
    </row>
    <row r="50" spans="1:32" x14ac:dyDescent="0.2">
      <c r="A50">
        <v>48</v>
      </c>
      <c r="S50" s="8" t="str">
        <f t="shared" si="0"/>
        <v/>
      </c>
      <c r="AE50" s="68" t="str">
        <f>IF(Capacity!B64="","",ROW(A48)&amp;". "&amp;Capacity!B64)</f>
        <v/>
      </c>
      <c r="AF50" s="68"/>
    </row>
    <row r="51" spans="1:32" x14ac:dyDescent="0.2">
      <c r="A51">
        <v>49</v>
      </c>
      <c r="S51" s="8" t="str">
        <f t="shared" si="0"/>
        <v/>
      </c>
      <c r="AE51" s="68" t="str">
        <f>IF(Capacity!B65="","",ROW(A49)&amp;". "&amp;Capacity!B65)</f>
        <v/>
      </c>
      <c r="AF51" s="68"/>
    </row>
    <row r="52" spans="1:32" x14ac:dyDescent="0.2">
      <c r="A52">
        <v>50</v>
      </c>
      <c r="S52" s="8" t="str">
        <f t="shared" si="0"/>
        <v/>
      </c>
      <c r="AE52" s="68" t="str">
        <f>IF(Capacity!B66="","",ROW(A50)&amp;". "&amp;Capacity!B66)</f>
        <v/>
      </c>
      <c r="AF52" s="68"/>
    </row>
    <row r="53" spans="1:32" x14ac:dyDescent="0.2">
      <c r="A53">
        <v>51</v>
      </c>
      <c r="S53" s="8" t="str">
        <f t="shared" si="0"/>
        <v/>
      </c>
      <c r="AE53" s="68" t="str">
        <f>IF(Capacity!B67="","",ROW(A51)&amp;". "&amp;Capacity!B67)</f>
        <v/>
      </c>
      <c r="AF53" s="68"/>
    </row>
    <row r="54" spans="1:32" x14ac:dyDescent="0.2">
      <c r="A54">
        <v>52</v>
      </c>
      <c r="AE54" s="68" t="str">
        <f>IF(Capacity!B68="","",ROW(A52)&amp;". "&amp;Capacity!B68)</f>
        <v/>
      </c>
      <c r="AF54" s="68"/>
    </row>
    <row r="55" spans="1:32" x14ac:dyDescent="0.2">
      <c r="A55">
        <v>53</v>
      </c>
      <c r="AE55" s="68" t="str">
        <f>IF(Capacity!B69="","",ROW(A53)&amp;". "&amp;Capacity!B69)</f>
        <v/>
      </c>
      <c r="AF55" s="68"/>
    </row>
    <row r="56" spans="1:32" x14ac:dyDescent="0.2">
      <c r="A56">
        <v>54</v>
      </c>
      <c r="AE56" s="68" t="str">
        <f>IF(Capacity!B70="","",ROW(A54)&amp;". "&amp;Capacity!B70)</f>
        <v/>
      </c>
      <c r="AF56" s="68"/>
    </row>
    <row r="57" spans="1:32" x14ac:dyDescent="0.2">
      <c r="A57">
        <v>55</v>
      </c>
      <c r="AE57" s="68" t="str">
        <f>IF(Capacity!B71="","",ROW(A55)&amp;". "&amp;Capacity!B71)</f>
        <v/>
      </c>
      <c r="AF57" s="68"/>
    </row>
    <row r="58" spans="1:32" x14ac:dyDescent="0.2">
      <c r="A58">
        <v>56</v>
      </c>
      <c r="AE58" s="68" t="str">
        <f>IF(Capacity!B72="","",ROW(A56)&amp;". "&amp;Capacity!B72)</f>
        <v/>
      </c>
      <c r="AF58" s="68"/>
    </row>
    <row r="59" spans="1:32" x14ac:dyDescent="0.2">
      <c r="A59">
        <v>57</v>
      </c>
      <c r="AE59" s="68" t="str">
        <f>IF(Capacity!B73="","",ROW(A57)&amp;". "&amp;Capacity!B73)</f>
        <v/>
      </c>
      <c r="AF59" s="68"/>
    </row>
    <row r="60" spans="1:32" x14ac:dyDescent="0.2">
      <c r="A60">
        <v>58</v>
      </c>
      <c r="AE60" s="68" t="str">
        <f>IF(Capacity!B74="","",ROW(A58)&amp;". "&amp;Capacity!B74)</f>
        <v/>
      </c>
      <c r="AF60" s="68"/>
    </row>
    <row r="61" spans="1:32" x14ac:dyDescent="0.2">
      <c r="A61">
        <v>59</v>
      </c>
      <c r="AE61" s="68" t="str">
        <f>IF(Capacity!B75="","",ROW(A59)&amp;". "&amp;Capacity!B75)</f>
        <v/>
      </c>
      <c r="AF61" s="68"/>
    </row>
    <row r="62" spans="1:32" x14ac:dyDescent="0.2">
      <c r="A62">
        <v>60</v>
      </c>
      <c r="AE62" s="68" t="str">
        <f>IF(Capacity!B76="","",ROW(A60)&amp;". "&amp;Capacity!B76)</f>
        <v/>
      </c>
      <c r="AF62" s="68"/>
    </row>
    <row r="63" spans="1:32" x14ac:dyDescent="0.2">
      <c r="A63">
        <v>61</v>
      </c>
      <c r="AE63" s="68" t="str">
        <f>IF(Capacity!B77="","",ROW(A61)&amp;". "&amp;Capacity!B77)</f>
        <v/>
      </c>
      <c r="AF63" s="68"/>
    </row>
    <row r="64" spans="1:32" x14ac:dyDescent="0.2">
      <c r="A64">
        <v>62</v>
      </c>
      <c r="AE64" s="68" t="str">
        <f>IF(Capacity!B78="","",ROW(A62)&amp;". "&amp;Capacity!B78)</f>
        <v/>
      </c>
      <c r="AF64" s="68"/>
    </row>
    <row r="65" spans="1:32" x14ac:dyDescent="0.2">
      <c r="A65">
        <v>63</v>
      </c>
      <c r="AE65" s="68" t="str">
        <f>IF(Capacity!B79="","",ROW(A63)&amp;". "&amp;Capacity!B79)</f>
        <v/>
      </c>
      <c r="AF65" s="68"/>
    </row>
    <row r="66" spans="1:32" x14ac:dyDescent="0.2">
      <c r="A66">
        <v>64</v>
      </c>
      <c r="AE66" s="68" t="str">
        <f>IF(Capacity!B80="","",ROW(A64)&amp;". "&amp;Capacity!B80)</f>
        <v/>
      </c>
      <c r="AF66" s="68"/>
    </row>
    <row r="67" spans="1:32" x14ac:dyDescent="0.2">
      <c r="A67">
        <v>65</v>
      </c>
      <c r="AE67" s="68" t="str">
        <f>IF(Capacity!B81="","",ROW(A65)&amp;". "&amp;Capacity!B81)</f>
        <v/>
      </c>
      <c r="AF67" s="68"/>
    </row>
    <row r="68" spans="1:32" x14ac:dyDescent="0.2">
      <c r="A68">
        <v>66</v>
      </c>
      <c r="AE68" s="68" t="str">
        <f>IF(Capacity!B82="","",ROW(A66)&amp;". "&amp;Capacity!B82)</f>
        <v/>
      </c>
      <c r="AF68" s="68"/>
    </row>
    <row r="69" spans="1:32" x14ac:dyDescent="0.2">
      <c r="A69">
        <v>67</v>
      </c>
      <c r="AE69" s="68" t="str">
        <f>IF(Capacity!B83="","",ROW(A67)&amp;". "&amp;Capacity!B83)</f>
        <v/>
      </c>
      <c r="AF69" s="68"/>
    </row>
    <row r="70" spans="1:32" x14ac:dyDescent="0.2">
      <c r="A70">
        <v>68</v>
      </c>
      <c r="AE70" s="68" t="str">
        <f>IF(Capacity!B84="","",ROW(A68)&amp;". "&amp;Capacity!B84)</f>
        <v/>
      </c>
      <c r="AF70" s="68"/>
    </row>
    <row r="71" spans="1:32" x14ac:dyDescent="0.2">
      <c r="A71">
        <v>69</v>
      </c>
      <c r="AE71" s="68" t="str">
        <f>IF(Capacity!B85="","",ROW(A69)&amp;". "&amp;Capacity!B85)</f>
        <v/>
      </c>
      <c r="AF71" s="68"/>
    </row>
    <row r="72" spans="1:32" x14ac:dyDescent="0.2">
      <c r="A72">
        <v>70</v>
      </c>
      <c r="AE72" s="68" t="str">
        <f>IF(Capacity!B86="","",ROW(A70)&amp;". "&amp;Capacity!B86)</f>
        <v/>
      </c>
      <c r="AF72" s="68"/>
    </row>
    <row r="73" spans="1:32" x14ac:dyDescent="0.2">
      <c r="A73">
        <v>71</v>
      </c>
      <c r="AE73" s="68" t="str">
        <f>IF(Capacity!B87="","",ROW(A71)&amp;". "&amp;Capacity!B87)</f>
        <v/>
      </c>
      <c r="AF73" s="68"/>
    </row>
    <row r="74" spans="1:32" x14ac:dyDescent="0.2">
      <c r="A74">
        <v>72</v>
      </c>
      <c r="AE74" s="68" t="str">
        <f>IF(Capacity!B88="","",ROW(A72)&amp;". "&amp;Capacity!B88)</f>
        <v/>
      </c>
      <c r="AF74" s="68"/>
    </row>
    <row r="75" spans="1:32" x14ac:dyDescent="0.2">
      <c r="A75">
        <v>73</v>
      </c>
      <c r="AE75" s="68" t="str">
        <f>IF(Capacity!B89="","",ROW(A73)&amp;". "&amp;Capacity!B89)</f>
        <v/>
      </c>
      <c r="AF75" s="68"/>
    </row>
    <row r="76" spans="1:32" x14ac:dyDescent="0.2">
      <c r="A76">
        <v>74</v>
      </c>
      <c r="AE76" s="68" t="str">
        <f>IF(Capacity!B90="","",ROW(A74)&amp;". "&amp;Capacity!B90)</f>
        <v/>
      </c>
      <c r="AF76" s="68"/>
    </row>
    <row r="77" spans="1:32" x14ac:dyDescent="0.2">
      <c r="A77">
        <v>75</v>
      </c>
      <c r="AE77" s="68" t="str">
        <f>IF(Capacity!B91="","",ROW(A75)&amp;". "&amp;Capacity!B91)</f>
        <v/>
      </c>
      <c r="AF77" s="68"/>
    </row>
    <row r="78" spans="1:32" x14ac:dyDescent="0.2">
      <c r="A78">
        <v>76</v>
      </c>
      <c r="AE78" s="68" t="str">
        <f>IF(Capacity!B92="","",ROW(A76)&amp;". "&amp;Capacity!B92)</f>
        <v/>
      </c>
      <c r="AF78" s="68"/>
    </row>
    <row r="79" spans="1:32" x14ac:dyDescent="0.2">
      <c r="A79">
        <v>77</v>
      </c>
      <c r="AE79" s="68" t="str">
        <f>IF(Capacity!B93="","",ROW(A77)&amp;". "&amp;Capacity!B93)</f>
        <v/>
      </c>
      <c r="AF79" s="68"/>
    </row>
    <row r="80" spans="1:32" x14ac:dyDescent="0.2">
      <c r="A80">
        <v>78</v>
      </c>
      <c r="AE80" s="68" t="str">
        <f>IF(Capacity!B94="","",ROW(A78)&amp;". "&amp;Capacity!B94)</f>
        <v/>
      </c>
      <c r="AF80" s="68"/>
    </row>
    <row r="81" spans="1:32" x14ac:dyDescent="0.2">
      <c r="A81">
        <v>79</v>
      </c>
      <c r="AE81" s="68" t="str">
        <f>IF(Capacity!B95="","",ROW(A79)&amp;". "&amp;Capacity!B95)</f>
        <v/>
      </c>
      <c r="AF81" s="68"/>
    </row>
    <row r="82" spans="1:32" x14ac:dyDescent="0.2">
      <c r="A82">
        <v>80</v>
      </c>
      <c r="AE82" s="68" t="str">
        <f>IF(Capacity!B96="","",ROW(A80)&amp;". "&amp;Capacity!B96)</f>
        <v/>
      </c>
      <c r="AF82" s="68"/>
    </row>
    <row r="83" spans="1:32" x14ac:dyDescent="0.2">
      <c r="A83">
        <v>81</v>
      </c>
      <c r="AE83" s="68" t="str">
        <f>IF(Capacity!B97="","",ROW(A81)&amp;". "&amp;Capacity!B97)</f>
        <v/>
      </c>
      <c r="AF83" s="68"/>
    </row>
    <row r="84" spans="1:32" x14ac:dyDescent="0.2">
      <c r="A84">
        <v>82</v>
      </c>
      <c r="AE84" s="68" t="str">
        <f>IF(Capacity!B98="","",ROW(A82)&amp;". "&amp;Capacity!B98)</f>
        <v/>
      </c>
      <c r="AF84" s="68"/>
    </row>
    <row r="85" spans="1:32" x14ac:dyDescent="0.2">
      <c r="A85">
        <v>83</v>
      </c>
      <c r="AE85" s="68" t="str">
        <f>IF(Capacity!B99="","",ROW(A83)&amp;". "&amp;Capacity!B99)</f>
        <v/>
      </c>
      <c r="AF85" s="68"/>
    </row>
    <row r="86" spans="1:32" x14ac:dyDescent="0.2">
      <c r="A86">
        <v>84</v>
      </c>
      <c r="AE86" s="68" t="str">
        <f>IF(Capacity!B100="","",ROW(A84)&amp;". "&amp;Capacity!B100)</f>
        <v/>
      </c>
      <c r="AF86" s="68"/>
    </row>
    <row r="87" spans="1:32" x14ac:dyDescent="0.2">
      <c r="A87">
        <v>85</v>
      </c>
      <c r="AE87" s="68" t="str">
        <f>IF(Capacity!B101="","",ROW(A85)&amp;". "&amp;Capacity!B101)</f>
        <v/>
      </c>
      <c r="AF87" s="68"/>
    </row>
    <row r="88" spans="1:32" x14ac:dyDescent="0.2">
      <c r="A88">
        <v>86</v>
      </c>
      <c r="AE88" s="68" t="str">
        <f>IF(Capacity!B102="","",ROW(A86)&amp;". "&amp;Capacity!B102)</f>
        <v/>
      </c>
      <c r="AF88" s="68"/>
    </row>
    <row r="89" spans="1:32" x14ac:dyDescent="0.2">
      <c r="A89">
        <v>87</v>
      </c>
      <c r="AE89" s="68" t="str">
        <f>IF(Capacity!B103="","",ROW(A87)&amp;". "&amp;Capacity!B103)</f>
        <v/>
      </c>
      <c r="AF89" s="68"/>
    </row>
    <row r="90" spans="1:32" x14ac:dyDescent="0.2">
      <c r="A90">
        <v>88</v>
      </c>
      <c r="AE90" s="68" t="str">
        <f>IF(Capacity!B104="","",ROW(A88)&amp;". "&amp;Capacity!B104)</f>
        <v/>
      </c>
      <c r="AF90" s="68"/>
    </row>
    <row r="91" spans="1:32" x14ac:dyDescent="0.2">
      <c r="A91">
        <v>89</v>
      </c>
      <c r="AE91" s="68" t="str">
        <f>IF(Capacity!B105="","",ROW(A89)&amp;". "&amp;Capacity!B105)</f>
        <v/>
      </c>
      <c r="AF91" s="68"/>
    </row>
    <row r="92" spans="1:32" x14ac:dyDescent="0.2">
      <c r="A92">
        <v>90</v>
      </c>
      <c r="AE92" s="68" t="str">
        <f>IF(Capacity!B106="","",ROW(A90)&amp;". "&amp;Capacity!B106)</f>
        <v/>
      </c>
      <c r="AF92" s="68"/>
    </row>
    <row r="93" spans="1:32" x14ac:dyDescent="0.2">
      <c r="A93">
        <v>91</v>
      </c>
      <c r="AE93" s="68" t="str">
        <f>IF(Capacity!B107="","",ROW(A91)&amp;". "&amp;Capacity!B107)</f>
        <v/>
      </c>
      <c r="AF93" s="68"/>
    </row>
    <row r="94" spans="1:32" x14ac:dyDescent="0.2">
      <c r="A94">
        <v>92</v>
      </c>
      <c r="AE94" s="68" t="str">
        <f>IF(Capacity!B108="","",ROW(A92)&amp;". "&amp;Capacity!B108)</f>
        <v/>
      </c>
      <c r="AF94" s="68"/>
    </row>
    <row r="95" spans="1:32" x14ac:dyDescent="0.2">
      <c r="A95">
        <v>93</v>
      </c>
      <c r="AE95" s="68" t="str">
        <f>IF(Capacity!B109="","",ROW(A93)&amp;". "&amp;Capacity!B109)</f>
        <v/>
      </c>
      <c r="AF95" s="68"/>
    </row>
    <row r="96" spans="1:32" x14ac:dyDescent="0.2">
      <c r="A96">
        <v>94</v>
      </c>
      <c r="AE96" s="68" t="str">
        <f>IF(Capacity!B110="","",ROW(A94)&amp;". "&amp;Capacity!B110)</f>
        <v/>
      </c>
      <c r="AF96" s="68"/>
    </row>
    <row r="97" spans="1:32" x14ac:dyDescent="0.2">
      <c r="A97">
        <v>95</v>
      </c>
      <c r="AE97" s="68" t="str">
        <f>IF(Capacity!B111="","",ROW(A95)&amp;". "&amp;Capacity!B111)</f>
        <v/>
      </c>
      <c r="AF97" s="68"/>
    </row>
    <row r="98" spans="1:32" x14ac:dyDescent="0.2">
      <c r="A98">
        <v>96</v>
      </c>
      <c r="AE98" s="68" t="str">
        <f>IF(Capacity!B112="","",ROW(A96)&amp;". "&amp;Capacity!B112)</f>
        <v/>
      </c>
      <c r="AF98" s="68"/>
    </row>
    <row r="99" spans="1:32" x14ac:dyDescent="0.2">
      <c r="A99">
        <v>97</v>
      </c>
      <c r="AE99" s="68" t="str">
        <f>IF(Capacity!B113="","",ROW(A97)&amp;". "&amp;Capacity!B113)</f>
        <v/>
      </c>
      <c r="AF99" s="68"/>
    </row>
    <row r="100" spans="1:32" x14ac:dyDescent="0.2">
      <c r="A100">
        <v>98</v>
      </c>
      <c r="AE100" s="68" t="str">
        <f>IF(Capacity!B114="","",ROW(A98)&amp;". "&amp;Capacity!B114)</f>
        <v/>
      </c>
      <c r="AF100" s="68"/>
    </row>
    <row r="101" spans="1:32" x14ac:dyDescent="0.2">
      <c r="A101">
        <v>99</v>
      </c>
      <c r="AE101" s="68" t="str">
        <f>IF(Capacity!B115="","",ROW(A99)&amp;". "&amp;Capacity!B115)</f>
        <v/>
      </c>
      <c r="AF101" s="68"/>
    </row>
    <row r="102" spans="1:32" x14ac:dyDescent="0.2">
      <c r="A102">
        <v>100</v>
      </c>
      <c r="AE102" s="68" t="str">
        <f>IF(Capacity!B116="","",ROW(A100)&amp;". "&amp;Capacity!B116)</f>
        <v/>
      </c>
      <c r="AF102" s="68"/>
    </row>
    <row r="103" spans="1:32" x14ac:dyDescent="0.2">
      <c r="A103">
        <v>101</v>
      </c>
      <c r="AE103" s="68" t="e">
        <f>IF(Capacity!#REF!="","",ROW(A101)&amp;". "&amp;Capacity!#REF!)</f>
        <v>#REF!</v>
      </c>
      <c r="AF103" s="68"/>
    </row>
    <row r="104" spans="1:32" x14ac:dyDescent="0.2">
      <c r="A104">
        <v>102</v>
      </c>
      <c r="AE104" s="68" t="e">
        <f>IF(Capacity!#REF!="","",ROW(A102)&amp;". "&amp;Capacity!#REF!)</f>
        <v>#REF!</v>
      </c>
      <c r="AF104" s="68"/>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heetViews>
  <sheetFormatPr defaultRowHeight="14.25" x14ac:dyDescent="0.2"/>
  <cols>
    <col min="2" max="2" width="129.125" customWidth="1"/>
  </cols>
  <sheetData>
    <row r="2" spans="2:17" ht="15" x14ac:dyDescent="0.25">
      <c r="B2" s="290" t="str">
        <f>"Demand and capacity analysis notes for "&amp;Setup!C5&amp;", "&amp;Setup!C7</f>
        <v>Demand and capacity analysis notes for A. N. Other Trust, Test Service</v>
      </c>
    </row>
    <row r="4" spans="2:17" x14ac:dyDescent="0.2">
      <c r="B4" s="153"/>
      <c r="C4" s="68"/>
      <c r="D4" s="68"/>
      <c r="E4" s="68"/>
      <c r="F4" s="68"/>
      <c r="G4" s="68"/>
      <c r="H4" s="68"/>
      <c r="I4" s="68"/>
      <c r="J4" s="68"/>
      <c r="K4" s="68"/>
      <c r="L4" s="68"/>
      <c r="M4" s="68"/>
      <c r="N4" s="68"/>
      <c r="O4" s="68"/>
      <c r="P4" s="68"/>
      <c r="Q4" s="68"/>
    </row>
    <row r="5" spans="2:17" s="1" customFormat="1" ht="15" x14ac:dyDescent="0.2">
      <c r="B5" s="333"/>
    </row>
    <row r="6" spans="2:17" s="1" customFormat="1" x14ac:dyDescent="0.2">
      <c r="B6" s="328"/>
    </row>
    <row r="7" spans="2:17" s="1" customFormat="1" ht="15" x14ac:dyDescent="0.2">
      <c r="B7" s="334"/>
    </row>
    <row r="8" spans="2:17" s="1" customFormat="1" x14ac:dyDescent="0.2">
      <c r="B8" s="328"/>
    </row>
    <row r="9" spans="2:17" s="1" customFormat="1" x14ac:dyDescent="0.2">
      <c r="B9" s="328"/>
    </row>
    <row r="10" spans="2:17" s="1" customFormat="1" ht="15" x14ac:dyDescent="0.2">
      <c r="B10" s="334"/>
    </row>
    <row r="11" spans="2:17" s="1" customFormat="1" x14ac:dyDescent="0.2">
      <c r="B11" s="328"/>
    </row>
    <row r="12" spans="2:17" s="1" customFormat="1" x14ac:dyDescent="0.2">
      <c r="B12" s="328"/>
    </row>
    <row r="13" spans="2:17" s="1" customFormat="1" ht="15" x14ac:dyDescent="0.2">
      <c r="B13" s="334"/>
    </row>
    <row r="14" spans="2:17" s="1" customFormat="1" x14ac:dyDescent="0.2">
      <c r="B14" s="328"/>
    </row>
    <row r="15" spans="2:17" s="1" customFormat="1" x14ac:dyDescent="0.2">
      <c r="B15" s="328"/>
    </row>
    <row r="16" spans="2:17" s="1" customFormat="1" x14ac:dyDescent="0.2">
      <c r="B16" s="328"/>
    </row>
    <row r="17" spans="2:2" s="1" customFormat="1" x14ac:dyDescent="0.2">
      <c r="B17" s="328"/>
    </row>
    <row r="18" spans="2:2" s="1" customFormat="1" x14ac:dyDescent="0.2">
      <c r="B18" s="328"/>
    </row>
    <row r="19" spans="2:2" s="1" customFormat="1" x14ac:dyDescent="0.2">
      <c r="B19" s="328"/>
    </row>
    <row r="20" spans="2:2" s="1" customFormat="1" x14ac:dyDescent="0.2">
      <c r="B20" s="328"/>
    </row>
    <row r="21" spans="2:2" s="1" customFormat="1" x14ac:dyDescent="0.2">
      <c r="B21" s="328"/>
    </row>
    <row r="22" spans="2:2" s="1" customFormat="1" x14ac:dyDescent="0.2">
      <c r="B22" s="328"/>
    </row>
    <row r="23" spans="2:2" s="1" customFormat="1" x14ac:dyDescent="0.2">
      <c r="B23" s="328"/>
    </row>
    <row r="24" spans="2:2" s="1" customFormat="1" x14ac:dyDescent="0.2">
      <c r="B24" s="328"/>
    </row>
    <row r="25" spans="2:2" s="1" customFormat="1" x14ac:dyDescent="0.2">
      <c r="B25" s="328"/>
    </row>
    <row r="26" spans="2:2" s="1" customFormat="1" x14ac:dyDescent="0.2">
      <c r="B26" s="328"/>
    </row>
    <row r="27" spans="2:2" s="1" customFormat="1" x14ac:dyDescent="0.2">
      <c r="B27" s="328"/>
    </row>
    <row r="28" spans="2:2" s="1" customFormat="1" x14ac:dyDescent="0.2">
      <c r="B28" s="328"/>
    </row>
    <row r="29" spans="2:2" s="1" customFormat="1" x14ac:dyDescent="0.2">
      <c r="B29" s="328"/>
    </row>
    <row r="30" spans="2:2" s="1" customFormat="1" x14ac:dyDescent="0.2">
      <c r="B30" s="328"/>
    </row>
    <row r="31" spans="2:2" s="1" customFormat="1" x14ac:dyDescent="0.2">
      <c r="B31" s="328"/>
    </row>
    <row r="32" spans="2:2" s="1" customFormat="1" x14ac:dyDescent="0.2">
      <c r="B32" s="328"/>
    </row>
    <row r="33" spans="2:17" s="1" customFormat="1" x14ac:dyDescent="0.2">
      <c r="B33" s="328"/>
    </row>
    <row r="34" spans="2:17" s="1" customFormat="1" x14ac:dyDescent="0.2">
      <c r="B34" s="328"/>
    </row>
    <row r="35" spans="2:17" s="1" customFormat="1" x14ac:dyDescent="0.2">
      <c r="B35" s="328"/>
    </row>
    <row r="36" spans="2:17" s="1" customFormat="1" x14ac:dyDescent="0.2">
      <c r="B36" s="328"/>
    </row>
    <row r="37" spans="2:17" s="1" customFormat="1" x14ac:dyDescent="0.2">
      <c r="B37" s="328"/>
    </row>
    <row r="38" spans="2:17" s="1" customFormat="1" x14ac:dyDescent="0.2">
      <c r="B38" s="328"/>
    </row>
    <row r="39" spans="2:17" s="1" customFormat="1" x14ac:dyDescent="0.2">
      <c r="B39" s="328"/>
    </row>
    <row r="40" spans="2:17" s="1" customFormat="1" x14ac:dyDescent="0.2">
      <c r="B40" s="328"/>
    </row>
    <row r="41" spans="2:17" s="1" customFormat="1" x14ac:dyDescent="0.2">
      <c r="B41" s="328"/>
    </row>
    <row r="42" spans="2:17" s="1" customFormat="1" x14ac:dyDescent="0.2">
      <c r="B42" s="328"/>
    </row>
    <row r="43" spans="2:17" s="1" customFormat="1" x14ac:dyDescent="0.2">
      <c r="B43" s="328"/>
    </row>
    <row r="44" spans="2:17" x14ac:dyDescent="0.2">
      <c r="B44" s="328"/>
      <c r="C44" s="68"/>
      <c r="D44" s="68"/>
      <c r="E44" s="68"/>
      <c r="F44" s="68"/>
      <c r="G44" s="68"/>
      <c r="H44" s="68"/>
      <c r="I44" s="68"/>
      <c r="J44" s="68"/>
      <c r="K44" s="68"/>
      <c r="L44" s="68"/>
      <c r="M44" s="68"/>
      <c r="N44" s="68"/>
      <c r="O44" s="68"/>
      <c r="P44" s="68"/>
      <c r="Q44" s="68"/>
    </row>
    <row r="45" spans="2:17" x14ac:dyDescent="0.2">
      <c r="B45" s="328"/>
    </row>
    <row r="46" spans="2:17" x14ac:dyDescent="0.2">
      <c r="B46" s="328"/>
    </row>
    <row r="47" spans="2:17" x14ac:dyDescent="0.2">
      <c r="B47" s="328"/>
    </row>
    <row r="48" spans="2:17" x14ac:dyDescent="0.2">
      <c r="B48" s="328"/>
    </row>
    <row r="49" spans="2:2" x14ac:dyDescent="0.2">
      <c r="B49" s="328"/>
    </row>
    <row r="50" spans="2:2" x14ac:dyDescent="0.2">
      <c r="B50" s="328"/>
    </row>
    <row r="51" spans="2:2" x14ac:dyDescent="0.2">
      <c r="B51" s="328"/>
    </row>
    <row r="52" spans="2:2" x14ac:dyDescent="0.2">
      <c r="B52" s="328"/>
    </row>
    <row r="53" spans="2:2" x14ac:dyDescent="0.2">
      <c r="B53" s="328"/>
    </row>
    <row r="54" spans="2:2" x14ac:dyDescent="0.2">
      <c r="B54" s="328"/>
    </row>
    <row r="55" spans="2:2" x14ac:dyDescent="0.2">
      <c r="B55" s="328"/>
    </row>
    <row r="56" spans="2:2" x14ac:dyDescent="0.2">
      <c r="B56" s="328"/>
    </row>
    <row r="57" spans="2:2" x14ac:dyDescent="0.2">
      <c r="B57" s="326"/>
    </row>
    <row r="58" spans="2:2" x14ac:dyDescent="0.2">
      <c r="B58" s="326"/>
    </row>
    <row r="59" spans="2:2" x14ac:dyDescent="0.2">
      <c r="B59" s="326"/>
    </row>
    <row r="60" spans="2:2" x14ac:dyDescent="0.2">
      <c r="B60" s="326"/>
    </row>
    <row r="61" spans="2:2" x14ac:dyDescent="0.2">
      <c r="B61" s="326"/>
    </row>
    <row r="62" spans="2:2" x14ac:dyDescent="0.2">
      <c r="B62" s="326"/>
    </row>
    <row r="63" spans="2:2" x14ac:dyDescent="0.2">
      <c r="B63" s="326"/>
    </row>
    <row r="64" spans="2:2" x14ac:dyDescent="0.2">
      <c r="B64" s="326"/>
    </row>
    <row r="65" spans="2:2" x14ac:dyDescent="0.2">
      <c r="B65" s="326"/>
    </row>
    <row r="66" spans="2:2" x14ac:dyDescent="0.2">
      <c r="B66" s="326"/>
    </row>
    <row r="67" spans="2:2" x14ac:dyDescent="0.2">
      <c r="B67" s="326"/>
    </row>
    <row r="68" spans="2:2" x14ac:dyDescent="0.2">
      <c r="B68" s="326"/>
    </row>
    <row r="69" spans="2:2" x14ac:dyDescent="0.2">
      <c r="B69" s="326"/>
    </row>
    <row r="70" spans="2:2" x14ac:dyDescent="0.2">
      <c r="B70" s="326"/>
    </row>
    <row r="71" spans="2:2" x14ac:dyDescent="0.2">
      <c r="B71" s="326"/>
    </row>
    <row r="72" spans="2:2" x14ac:dyDescent="0.2">
      <c r="B72" s="326"/>
    </row>
    <row r="73" spans="2:2" x14ac:dyDescent="0.2">
      <c r="B73" s="326"/>
    </row>
    <row r="74" spans="2:2" x14ac:dyDescent="0.2">
      <c r="B74" s="326"/>
    </row>
    <row r="75" spans="2:2" x14ac:dyDescent="0.2">
      <c r="B75" s="326"/>
    </row>
    <row r="76" spans="2:2" x14ac:dyDescent="0.2">
      <c r="B76" s="326"/>
    </row>
    <row r="77" spans="2:2" x14ac:dyDescent="0.2">
      <c r="B77" s="326"/>
    </row>
    <row r="78" spans="2:2" x14ac:dyDescent="0.2">
      <c r="B78" s="326"/>
    </row>
    <row r="79" spans="2:2" x14ac:dyDescent="0.2">
      <c r="B79" s="326"/>
    </row>
    <row r="80" spans="2:2" x14ac:dyDescent="0.2">
      <c r="B80" s="326"/>
    </row>
    <row r="81" spans="2:2" x14ac:dyDescent="0.2">
      <c r="B81" s="326"/>
    </row>
    <row r="82" spans="2:2" x14ac:dyDescent="0.2">
      <c r="B82" s="326"/>
    </row>
    <row r="83" spans="2:2" x14ac:dyDescent="0.2">
      <c r="B83" s="326"/>
    </row>
    <row r="84" spans="2:2" x14ac:dyDescent="0.2">
      <c r="B84" s="326"/>
    </row>
    <row r="85" spans="2:2" x14ac:dyDescent="0.2">
      <c r="B85" s="326"/>
    </row>
    <row r="86" spans="2:2" x14ac:dyDescent="0.2">
      <c r="B86" s="326"/>
    </row>
    <row r="87" spans="2:2" x14ac:dyDescent="0.2">
      <c r="B87" s="326"/>
    </row>
    <row r="88" spans="2:2" x14ac:dyDescent="0.2">
      <c r="B88" s="326"/>
    </row>
    <row r="89" spans="2:2" x14ac:dyDescent="0.2">
      <c r="B89" s="326"/>
    </row>
    <row r="90" spans="2:2" x14ac:dyDescent="0.2">
      <c r="B90" s="326"/>
    </row>
    <row r="91" spans="2:2" x14ac:dyDescent="0.2">
      <c r="B91" s="326"/>
    </row>
    <row r="92" spans="2:2" x14ac:dyDescent="0.2">
      <c r="B92" s="326"/>
    </row>
    <row r="93" spans="2:2" x14ac:dyDescent="0.2">
      <c r="B93" s="326"/>
    </row>
    <row r="94" spans="2:2" x14ac:dyDescent="0.2">
      <c r="B94" s="326"/>
    </row>
    <row r="95" spans="2:2" x14ac:dyDescent="0.2">
      <c r="B95" s="326"/>
    </row>
    <row r="96" spans="2:2" x14ac:dyDescent="0.2">
      <c r="B96" s="326"/>
    </row>
    <row r="97" spans="2:2" x14ac:dyDescent="0.2">
      <c r="B97" s="326"/>
    </row>
    <row r="98" spans="2:2" x14ac:dyDescent="0.2">
      <c r="B98" s="326"/>
    </row>
    <row r="99" spans="2:2" x14ac:dyDescent="0.2">
      <c r="B99" s="326"/>
    </row>
    <row r="100" spans="2:2" x14ac:dyDescent="0.2">
      <c r="B100" s="326"/>
    </row>
    <row r="101" spans="2:2" x14ac:dyDescent="0.2">
      <c r="B101" s="326"/>
    </row>
    <row r="102" spans="2:2" x14ac:dyDescent="0.2">
      <c r="B102" s="326"/>
    </row>
    <row r="103" spans="2:2" x14ac:dyDescent="0.2">
      <c r="B103" s="326"/>
    </row>
    <row r="104" spans="2:2" x14ac:dyDescent="0.2">
      <c r="B104" s="326"/>
    </row>
    <row r="105" spans="2:2" x14ac:dyDescent="0.2">
      <c r="B105" s="326"/>
    </row>
    <row r="106" spans="2:2" x14ac:dyDescent="0.2">
      <c r="B106" s="326"/>
    </row>
    <row r="107" spans="2:2" x14ac:dyDescent="0.2">
      <c r="B107" s="326"/>
    </row>
    <row r="108" spans="2:2" x14ac:dyDescent="0.2">
      <c r="B108" s="326"/>
    </row>
    <row r="109" spans="2:2" x14ac:dyDescent="0.2">
      <c r="B109" s="329"/>
    </row>
    <row r="110" spans="2:2" x14ac:dyDescent="0.2">
      <c r="B110" s="329"/>
    </row>
    <row r="111" spans="2:2" x14ac:dyDescent="0.2">
      <c r="B111" s="329"/>
    </row>
    <row r="112" spans="2:2" x14ac:dyDescent="0.2">
      <c r="B112" s="329"/>
    </row>
    <row r="113" spans="2:2" x14ac:dyDescent="0.2">
      <c r="B113" s="329"/>
    </row>
    <row r="114" spans="2:2" x14ac:dyDescent="0.2">
      <c r="B114" s="329"/>
    </row>
    <row r="115" spans="2:2" x14ac:dyDescent="0.2">
      <c r="B115" s="329"/>
    </row>
    <row r="116" spans="2:2" x14ac:dyDescent="0.2">
      <c r="B116" s="329"/>
    </row>
    <row r="117" spans="2:2" x14ac:dyDescent="0.2">
      <c r="B117" s="329"/>
    </row>
    <row r="118" spans="2:2" x14ac:dyDescent="0.2">
      <c r="B118" s="329"/>
    </row>
    <row r="119" spans="2:2" x14ac:dyDescent="0.2">
      <c r="B119" s="329"/>
    </row>
    <row r="120" spans="2:2" x14ac:dyDescent="0.2">
      <c r="B120" s="329"/>
    </row>
    <row r="121" spans="2:2" x14ac:dyDescent="0.2">
      <c r="B121" s="329"/>
    </row>
    <row r="122" spans="2:2" x14ac:dyDescent="0.2">
      <c r="B122" s="329"/>
    </row>
    <row r="123" spans="2:2" x14ac:dyDescent="0.2">
      <c r="B123" s="329"/>
    </row>
    <row r="124" spans="2:2" x14ac:dyDescent="0.2">
      <c r="B124" s="329"/>
    </row>
    <row r="125" spans="2:2" x14ac:dyDescent="0.2">
      <c r="B125" s="329"/>
    </row>
    <row r="126" spans="2:2" x14ac:dyDescent="0.2">
      <c r="B126" s="329"/>
    </row>
    <row r="127" spans="2:2" x14ac:dyDescent="0.2">
      <c r="B127" s="329"/>
    </row>
    <row r="128" spans="2:2" x14ac:dyDescent="0.2">
      <c r="B128" s="329"/>
    </row>
    <row r="129" spans="2:2" x14ac:dyDescent="0.2">
      <c r="B129" s="329"/>
    </row>
    <row r="130" spans="2:2" x14ac:dyDescent="0.2">
      <c r="B130" s="329"/>
    </row>
    <row r="131" spans="2:2" x14ac:dyDescent="0.2">
      <c r="B131" s="329"/>
    </row>
    <row r="132" spans="2:2" x14ac:dyDescent="0.2">
      <c r="B132" s="329"/>
    </row>
    <row r="133" spans="2:2" x14ac:dyDescent="0.2">
      <c r="B133" s="329"/>
    </row>
    <row r="134" spans="2:2" x14ac:dyDescent="0.2">
      <c r="B134" s="329"/>
    </row>
    <row r="135" spans="2:2" x14ac:dyDescent="0.2">
      <c r="B135" s="329"/>
    </row>
    <row r="136" spans="2:2" x14ac:dyDescent="0.2">
      <c r="B136" s="329"/>
    </row>
    <row r="137" spans="2:2" x14ac:dyDescent="0.2">
      <c r="B137" s="329"/>
    </row>
    <row r="138" spans="2:2" x14ac:dyDescent="0.2">
      <c r="B138" s="329"/>
    </row>
    <row r="139" spans="2:2" x14ac:dyDescent="0.2">
      <c r="B139" s="329"/>
    </row>
    <row r="140" spans="2:2" x14ac:dyDescent="0.2">
      <c r="B140" s="329"/>
    </row>
    <row r="141" spans="2:2" x14ac:dyDescent="0.2">
      <c r="B141" s="329"/>
    </row>
    <row r="142" spans="2:2" x14ac:dyDescent="0.2">
      <c r="B142" s="329"/>
    </row>
    <row r="143" spans="2:2" x14ac:dyDescent="0.2">
      <c r="B143" s="329"/>
    </row>
    <row r="144" spans="2:2" x14ac:dyDescent="0.2">
      <c r="B144" s="329"/>
    </row>
    <row r="145" spans="2:2" x14ac:dyDescent="0.2">
      <c r="B145" s="329"/>
    </row>
    <row r="146" spans="2:2" x14ac:dyDescent="0.2">
      <c r="B146" s="329"/>
    </row>
    <row r="147" spans="2:2" x14ac:dyDescent="0.2">
      <c r="B147" s="329"/>
    </row>
    <row r="148" spans="2:2" x14ac:dyDescent="0.2">
      <c r="B148" s="329"/>
    </row>
    <row r="149" spans="2:2" x14ac:dyDescent="0.2">
      <c r="B149" s="329"/>
    </row>
    <row r="150" spans="2:2" x14ac:dyDescent="0.2">
      <c r="B150" s="329"/>
    </row>
    <row r="151" spans="2:2" x14ac:dyDescent="0.2">
      <c r="B151" s="329"/>
    </row>
    <row r="152" spans="2:2" x14ac:dyDescent="0.2">
      <c r="B152" s="329"/>
    </row>
    <row r="153" spans="2:2" x14ac:dyDescent="0.2">
      <c r="B153" s="329"/>
    </row>
    <row r="154" spans="2:2" x14ac:dyDescent="0.2">
      <c r="B154" s="329"/>
    </row>
    <row r="155" spans="2:2" x14ac:dyDescent="0.2">
      <c r="B155" s="329"/>
    </row>
    <row r="156" spans="2:2" x14ac:dyDescent="0.2">
      <c r="B156" s="329"/>
    </row>
    <row r="157" spans="2:2" x14ac:dyDescent="0.2">
      <c r="B157" s="329"/>
    </row>
    <row r="158" spans="2:2" x14ac:dyDescent="0.2">
      <c r="B158" s="329"/>
    </row>
    <row r="159" spans="2:2" x14ac:dyDescent="0.2">
      <c r="B159" s="329"/>
    </row>
    <row r="160" spans="2:2" x14ac:dyDescent="0.2">
      <c r="B160" s="329"/>
    </row>
    <row r="161" spans="2:2" x14ac:dyDescent="0.2">
      <c r="B161" s="329"/>
    </row>
    <row r="162" spans="2:2" x14ac:dyDescent="0.2">
      <c r="B162" s="329"/>
    </row>
    <row r="163" spans="2:2" x14ac:dyDescent="0.2">
      <c r="B163" s="329"/>
    </row>
    <row r="164" spans="2:2" x14ac:dyDescent="0.2">
      <c r="B164" s="329"/>
    </row>
    <row r="165" spans="2:2" x14ac:dyDescent="0.2">
      <c r="B165" s="329"/>
    </row>
    <row r="166" spans="2:2" x14ac:dyDescent="0.2">
      <c r="B166" s="329"/>
    </row>
    <row r="167" spans="2:2" x14ac:dyDescent="0.2">
      <c r="B167" s="329"/>
    </row>
    <row r="168" spans="2:2" x14ac:dyDescent="0.2">
      <c r="B168" s="329"/>
    </row>
    <row r="169" spans="2:2" x14ac:dyDescent="0.2">
      <c r="B169" s="329"/>
    </row>
    <row r="170" spans="2:2" x14ac:dyDescent="0.2">
      <c r="B170" s="329"/>
    </row>
    <row r="171" spans="2:2" x14ac:dyDescent="0.2">
      <c r="B171" s="329"/>
    </row>
    <row r="172" spans="2:2" x14ac:dyDescent="0.2">
      <c r="B172" s="329"/>
    </row>
    <row r="173" spans="2:2" x14ac:dyDescent="0.2">
      <c r="B173" s="329"/>
    </row>
    <row r="174" spans="2:2" x14ac:dyDescent="0.2">
      <c r="B174" s="329"/>
    </row>
    <row r="175" spans="2:2" x14ac:dyDescent="0.2">
      <c r="B175" s="329"/>
    </row>
    <row r="176" spans="2:2" x14ac:dyDescent="0.2">
      <c r="B176" s="329"/>
    </row>
    <row r="177" spans="2:2" x14ac:dyDescent="0.2">
      <c r="B177" s="329"/>
    </row>
    <row r="178" spans="2:2" x14ac:dyDescent="0.2">
      <c r="B178" s="329"/>
    </row>
    <row r="179" spans="2:2" x14ac:dyDescent="0.2">
      <c r="B179" s="329"/>
    </row>
    <row r="180" spans="2:2" x14ac:dyDescent="0.2">
      <c r="B180" s="329"/>
    </row>
    <row r="181" spans="2:2" x14ac:dyDescent="0.2">
      <c r="B181" s="329"/>
    </row>
    <row r="182" spans="2:2" x14ac:dyDescent="0.2">
      <c r="B182" s="329"/>
    </row>
    <row r="183" spans="2:2" x14ac:dyDescent="0.2">
      <c r="B183" s="329"/>
    </row>
    <row r="184" spans="2:2" x14ac:dyDescent="0.2">
      <c r="B184" s="329"/>
    </row>
    <row r="185" spans="2:2" x14ac:dyDescent="0.2">
      <c r="B185" s="329"/>
    </row>
    <row r="186" spans="2:2" x14ac:dyDescent="0.2">
      <c r="B186" s="329"/>
    </row>
    <row r="187" spans="2:2" x14ac:dyDescent="0.2">
      <c r="B187" s="329"/>
    </row>
    <row r="188" spans="2:2" x14ac:dyDescent="0.2">
      <c r="B188" s="329"/>
    </row>
    <row r="189" spans="2:2" x14ac:dyDescent="0.2">
      <c r="B189" s="329"/>
    </row>
    <row r="190" spans="2:2" x14ac:dyDescent="0.2">
      <c r="B190" s="329"/>
    </row>
    <row r="191" spans="2:2" x14ac:dyDescent="0.2">
      <c r="B191" s="329"/>
    </row>
    <row r="192" spans="2:2" x14ac:dyDescent="0.2">
      <c r="B192" s="329"/>
    </row>
    <row r="193" spans="2:2" x14ac:dyDescent="0.2">
      <c r="B193" s="329"/>
    </row>
    <row r="194" spans="2:2" x14ac:dyDescent="0.2">
      <c r="B194" s="329"/>
    </row>
    <row r="195" spans="2:2" x14ac:dyDescent="0.2">
      <c r="B195" s="329"/>
    </row>
    <row r="196" spans="2:2" x14ac:dyDescent="0.2">
      <c r="B196" s="329"/>
    </row>
    <row r="197" spans="2:2" x14ac:dyDescent="0.2">
      <c r="B197" s="329"/>
    </row>
    <row r="198" spans="2:2" x14ac:dyDescent="0.2">
      <c r="B198" s="329"/>
    </row>
    <row r="199" spans="2:2" x14ac:dyDescent="0.2">
      <c r="B199" s="329"/>
    </row>
    <row r="200" spans="2:2" x14ac:dyDescent="0.2">
      <c r="B200" s="329"/>
    </row>
    <row r="201" spans="2:2" x14ac:dyDescent="0.2">
      <c r="B201" s="329"/>
    </row>
    <row r="202" spans="2:2" x14ac:dyDescent="0.2">
      <c r="B202" s="329"/>
    </row>
    <row r="203" spans="2:2" x14ac:dyDescent="0.2">
      <c r="B203" s="329"/>
    </row>
    <row r="204" spans="2:2" x14ac:dyDescent="0.2">
      <c r="B204" s="329"/>
    </row>
    <row r="205" spans="2:2" x14ac:dyDescent="0.2">
      <c r="B205" s="329"/>
    </row>
    <row r="206" spans="2:2" x14ac:dyDescent="0.2">
      <c r="B206" s="329"/>
    </row>
    <row r="207" spans="2:2" x14ac:dyDescent="0.2">
      <c r="B207" s="329"/>
    </row>
    <row r="208" spans="2:2" x14ac:dyDescent="0.2">
      <c r="B208" s="329"/>
    </row>
    <row r="209" spans="2:2" x14ac:dyDescent="0.2">
      <c r="B209" s="329"/>
    </row>
    <row r="210" spans="2:2" x14ac:dyDescent="0.2">
      <c r="B210" s="329"/>
    </row>
    <row r="211" spans="2:2" x14ac:dyDescent="0.2">
      <c r="B211" s="329"/>
    </row>
    <row r="212" spans="2:2" x14ac:dyDescent="0.2">
      <c r="B212" s="329"/>
    </row>
    <row r="213" spans="2:2" x14ac:dyDescent="0.2">
      <c r="B213" s="329"/>
    </row>
    <row r="214" spans="2:2" x14ac:dyDescent="0.2">
      <c r="B214" s="329"/>
    </row>
    <row r="215" spans="2:2" x14ac:dyDescent="0.2">
      <c r="B215" s="329"/>
    </row>
    <row r="216" spans="2:2" x14ac:dyDescent="0.2">
      <c r="B216" s="329"/>
    </row>
    <row r="217" spans="2:2" x14ac:dyDescent="0.2">
      <c r="B217" s="329"/>
    </row>
    <row r="218" spans="2:2" x14ac:dyDescent="0.2">
      <c r="B218" s="329"/>
    </row>
    <row r="219" spans="2:2" x14ac:dyDescent="0.2">
      <c r="B219" s="329"/>
    </row>
    <row r="220" spans="2:2" x14ac:dyDescent="0.2">
      <c r="B220" s="329"/>
    </row>
    <row r="221" spans="2:2" x14ac:dyDescent="0.2">
      <c r="B221" s="329"/>
    </row>
    <row r="222" spans="2:2" x14ac:dyDescent="0.2">
      <c r="B222" s="329"/>
    </row>
    <row r="223" spans="2:2" x14ac:dyDescent="0.2">
      <c r="B223" s="329"/>
    </row>
    <row r="224" spans="2:2" x14ac:dyDescent="0.2">
      <c r="B224" s="329"/>
    </row>
    <row r="225" spans="2:2" x14ac:dyDescent="0.2">
      <c r="B225" s="329"/>
    </row>
    <row r="226" spans="2:2" x14ac:dyDescent="0.2">
      <c r="B226" s="329"/>
    </row>
    <row r="227" spans="2:2" x14ac:dyDescent="0.2">
      <c r="B227" s="329"/>
    </row>
    <row r="228" spans="2:2" x14ac:dyDescent="0.2">
      <c r="B228" s="329"/>
    </row>
    <row r="229" spans="2:2" x14ac:dyDescent="0.2">
      <c r="B229" s="329"/>
    </row>
    <row r="230" spans="2:2" x14ac:dyDescent="0.2">
      <c r="B230" s="329"/>
    </row>
    <row r="231" spans="2:2" x14ac:dyDescent="0.2">
      <c r="B231" s="329"/>
    </row>
    <row r="232" spans="2:2" x14ac:dyDescent="0.2">
      <c r="B232" s="329"/>
    </row>
    <row r="233" spans="2:2" x14ac:dyDescent="0.2">
      <c r="B233" s="329"/>
    </row>
    <row r="234" spans="2:2" x14ac:dyDescent="0.2">
      <c r="B234" s="329"/>
    </row>
    <row r="235" spans="2:2" x14ac:dyDescent="0.2">
      <c r="B235" s="329"/>
    </row>
    <row r="236" spans="2:2" x14ac:dyDescent="0.2">
      <c r="B236" s="329"/>
    </row>
    <row r="237" spans="2:2" x14ac:dyDescent="0.2">
      <c r="B237" s="329"/>
    </row>
    <row r="238" spans="2:2" x14ac:dyDescent="0.2">
      <c r="B238" s="329"/>
    </row>
    <row r="239" spans="2:2" x14ac:dyDescent="0.2">
      <c r="B239" s="329"/>
    </row>
    <row r="240" spans="2:2" x14ac:dyDescent="0.2">
      <c r="B240" s="329"/>
    </row>
    <row r="241" spans="2:2" x14ac:dyDescent="0.2">
      <c r="B241" s="329"/>
    </row>
    <row r="242" spans="2:2" x14ac:dyDescent="0.2">
      <c r="B242" s="329"/>
    </row>
    <row r="243" spans="2:2" x14ac:dyDescent="0.2">
      <c r="B243" s="329"/>
    </row>
    <row r="244" spans="2:2" x14ac:dyDescent="0.2">
      <c r="B244" s="329"/>
    </row>
    <row r="245" spans="2:2" x14ac:dyDescent="0.2">
      <c r="B245" s="329"/>
    </row>
    <row r="246" spans="2:2" x14ac:dyDescent="0.2">
      <c r="B246" s="329"/>
    </row>
    <row r="247" spans="2:2" x14ac:dyDescent="0.2">
      <c r="B247" s="329"/>
    </row>
    <row r="248" spans="2:2" x14ac:dyDescent="0.2">
      <c r="B248" s="329"/>
    </row>
    <row r="249" spans="2:2" x14ac:dyDescent="0.2">
      <c r="B249" s="329"/>
    </row>
    <row r="250" spans="2:2" x14ac:dyDescent="0.2">
      <c r="B250" s="329"/>
    </row>
    <row r="251" spans="2:2" x14ac:dyDescent="0.2">
      <c r="B251" s="329"/>
    </row>
    <row r="252" spans="2:2" x14ac:dyDescent="0.2">
      <c r="B252" s="329"/>
    </row>
    <row r="253" spans="2:2" x14ac:dyDescent="0.2">
      <c r="B253" s="329"/>
    </row>
    <row r="254" spans="2:2" x14ac:dyDescent="0.2">
      <c r="B254" s="329"/>
    </row>
    <row r="255" spans="2:2" x14ac:dyDescent="0.2">
      <c r="B255" s="329"/>
    </row>
    <row r="256" spans="2:2" x14ac:dyDescent="0.2">
      <c r="B256" s="329"/>
    </row>
    <row r="257" spans="2:2" x14ac:dyDescent="0.2">
      <c r="B257" s="329"/>
    </row>
    <row r="258" spans="2:2" x14ac:dyDescent="0.2">
      <c r="B258" s="329"/>
    </row>
    <row r="259" spans="2:2" x14ac:dyDescent="0.2">
      <c r="B259" s="329"/>
    </row>
    <row r="260" spans="2:2" x14ac:dyDescent="0.2">
      <c r="B260" s="329"/>
    </row>
    <row r="261" spans="2:2" x14ac:dyDescent="0.2">
      <c r="B261" s="329"/>
    </row>
    <row r="262" spans="2:2" x14ac:dyDescent="0.2">
      <c r="B262" s="329"/>
    </row>
    <row r="263" spans="2:2" x14ac:dyDescent="0.2">
      <c r="B263" s="329"/>
    </row>
    <row r="264" spans="2:2" x14ac:dyDescent="0.2">
      <c r="B264" s="329"/>
    </row>
    <row r="265" spans="2:2" x14ac:dyDescent="0.2">
      <c r="B265" s="329"/>
    </row>
    <row r="266" spans="2:2" x14ac:dyDescent="0.2">
      <c r="B266" s="329"/>
    </row>
    <row r="267" spans="2:2" x14ac:dyDescent="0.2">
      <c r="B267" s="329"/>
    </row>
    <row r="268" spans="2:2" x14ac:dyDescent="0.2">
      <c r="B268" s="329"/>
    </row>
    <row r="269" spans="2:2" x14ac:dyDescent="0.2">
      <c r="B269" s="329"/>
    </row>
    <row r="270" spans="2:2" x14ac:dyDescent="0.2">
      <c r="B270" s="329"/>
    </row>
    <row r="271" spans="2:2" x14ac:dyDescent="0.2">
      <c r="B271" s="329"/>
    </row>
    <row r="272" spans="2:2" x14ac:dyDescent="0.2">
      <c r="B272" s="329"/>
    </row>
    <row r="273" spans="2:2" x14ac:dyDescent="0.2">
      <c r="B273" s="329"/>
    </row>
    <row r="274" spans="2:2" x14ac:dyDescent="0.2">
      <c r="B274" s="329"/>
    </row>
    <row r="275" spans="2:2" x14ac:dyDescent="0.2">
      <c r="B275" s="329"/>
    </row>
    <row r="276" spans="2:2" x14ac:dyDescent="0.2">
      <c r="B276" s="329"/>
    </row>
    <row r="277" spans="2:2" x14ac:dyDescent="0.2">
      <c r="B277" s="329"/>
    </row>
    <row r="278" spans="2:2" x14ac:dyDescent="0.2">
      <c r="B278" s="329"/>
    </row>
    <row r="279" spans="2:2" x14ac:dyDescent="0.2">
      <c r="B279" s="329"/>
    </row>
    <row r="280" spans="2:2" x14ac:dyDescent="0.2">
      <c r="B280" s="329"/>
    </row>
    <row r="281" spans="2:2" x14ac:dyDescent="0.2">
      <c r="B281" s="329"/>
    </row>
    <row r="282" spans="2:2" x14ac:dyDescent="0.2">
      <c r="B282" s="329"/>
    </row>
    <row r="283" spans="2:2" x14ac:dyDescent="0.2">
      <c r="B283" s="329"/>
    </row>
    <row r="284" spans="2:2" x14ac:dyDescent="0.2">
      <c r="B284" s="329"/>
    </row>
    <row r="285" spans="2:2" x14ac:dyDescent="0.2">
      <c r="B285" s="329"/>
    </row>
    <row r="286" spans="2:2" x14ac:dyDescent="0.2">
      <c r="B286" s="329"/>
    </row>
    <row r="287" spans="2:2" x14ac:dyDescent="0.2">
      <c r="B287" s="329"/>
    </row>
    <row r="288" spans="2:2" x14ac:dyDescent="0.2">
      <c r="B288" s="329"/>
    </row>
    <row r="289" spans="2:2" x14ac:dyDescent="0.2">
      <c r="B289" s="329"/>
    </row>
    <row r="290" spans="2:2" x14ac:dyDescent="0.2">
      <c r="B290" s="329"/>
    </row>
    <row r="291" spans="2:2" x14ac:dyDescent="0.2">
      <c r="B291" s="329"/>
    </row>
    <row r="292" spans="2:2" x14ac:dyDescent="0.2">
      <c r="B292" s="329"/>
    </row>
    <row r="293" spans="2:2" x14ac:dyDescent="0.2">
      <c r="B293" s="329"/>
    </row>
    <row r="294" spans="2:2" x14ac:dyDescent="0.2">
      <c r="B294" s="329"/>
    </row>
    <row r="295" spans="2:2" x14ac:dyDescent="0.2">
      <c r="B295" s="329"/>
    </row>
    <row r="296" spans="2:2" x14ac:dyDescent="0.2">
      <c r="B296" s="329"/>
    </row>
    <row r="297" spans="2:2" x14ac:dyDescent="0.2">
      <c r="B297" s="329"/>
    </row>
    <row r="298" spans="2:2" x14ac:dyDescent="0.2">
      <c r="B298" s="329"/>
    </row>
    <row r="299" spans="2:2" x14ac:dyDescent="0.2">
      <c r="B299" s="329"/>
    </row>
    <row r="300" spans="2:2" x14ac:dyDescent="0.2">
      <c r="B300" s="329"/>
    </row>
    <row r="301" spans="2:2" x14ac:dyDescent="0.2">
      <c r="B301" s="329"/>
    </row>
    <row r="302" spans="2:2" x14ac:dyDescent="0.2">
      <c r="B302" s="329"/>
    </row>
    <row r="303" spans="2:2" x14ac:dyDescent="0.2">
      <c r="B303" s="329"/>
    </row>
    <row r="304" spans="2:2" x14ac:dyDescent="0.2">
      <c r="B304" s="329"/>
    </row>
    <row r="305" spans="2:2" x14ac:dyDescent="0.2">
      <c r="B305" s="329"/>
    </row>
    <row r="306" spans="2:2" x14ac:dyDescent="0.2">
      <c r="B306" s="329"/>
    </row>
    <row r="307" spans="2:2" x14ac:dyDescent="0.2">
      <c r="B307" s="329"/>
    </row>
    <row r="308" spans="2:2" x14ac:dyDescent="0.2">
      <c r="B308" s="329"/>
    </row>
    <row r="309" spans="2:2" x14ac:dyDescent="0.2">
      <c r="B309" s="329"/>
    </row>
    <row r="310" spans="2:2" x14ac:dyDescent="0.2">
      <c r="B310" s="329"/>
    </row>
    <row r="311" spans="2:2" x14ac:dyDescent="0.2">
      <c r="B311" s="329"/>
    </row>
    <row r="312" spans="2:2" x14ac:dyDescent="0.2">
      <c r="B312" s="329"/>
    </row>
    <row r="313" spans="2:2" x14ac:dyDescent="0.2">
      <c r="B313" s="329"/>
    </row>
    <row r="314" spans="2:2" x14ac:dyDescent="0.2">
      <c r="B314" s="329"/>
    </row>
    <row r="315" spans="2:2" x14ac:dyDescent="0.2">
      <c r="B315" s="329"/>
    </row>
    <row r="316" spans="2:2" x14ac:dyDescent="0.2">
      <c r="B316" s="329"/>
    </row>
    <row r="317" spans="2:2" x14ac:dyDescent="0.2">
      <c r="B317" s="329"/>
    </row>
    <row r="318" spans="2:2" x14ac:dyDescent="0.2">
      <c r="B318" s="329"/>
    </row>
    <row r="319" spans="2:2" x14ac:dyDescent="0.2">
      <c r="B319" s="329"/>
    </row>
    <row r="320" spans="2:2" x14ac:dyDescent="0.2">
      <c r="B320" s="329"/>
    </row>
    <row r="321" spans="2:2" x14ac:dyDescent="0.2">
      <c r="B321" s="329"/>
    </row>
    <row r="322" spans="2:2" x14ac:dyDescent="0.2">
      <c r="B322" s="329"/>
    </row>
    <row r="323" spans="2:2" x14ac:dyDescent="0.2">
      <c r="B323" s="329"/>
    </row>
    <row r="324" spans="2:2" x14ac:dyDescent="0.2">
      <c r="B324" s="329"/>
    </row>
    <row r="325" spans="2:2" x14ac:dyDescent="0.2">
      <c r="B325" s="329"/>
    </row>
    <row r="326" spans="2:2" x14ac:dyDescent="0.2">
      <c r="B326" s="329"/>
    </row>
    <row r="327" spans="2:2" x14ac:dyDescent="0.2">
      <c r="B327" s="329"/>
    </row>
    <row r="328" spans="2:2" x14ac:dyDescent="0.2">
      <c r="B328" s="329"/>
    </row>
    <row r="329" spans="2:2" x14ac:dyDescent="0.2">
      <c r="B329" s="329"/>
    </row>
    <row r="330" spans="2:2" x14ac:dyDescent="0.2">
      <c r="B330" s="329"/>
    </row>
    <row r="331" spans="2:2" x14ac:dyDescent="0.2">
      <c r="B331" s="329"/>
    </row>
    <row r="332" spans="2:2" x14ac:dyDescent="0.2">
      <c r="B332" s="329"/>
    </row>
    <row r="333" spans="2:2" x14ac:dyDescent="0.2">
      <c r="B333" s="329"/>
    </row>
    <row r="334" spans="2:2" x14ac:dyDescent="0.2">
      <c r="B334" s="329"/>
    </row>
    <row r="335" spans="2:2" x14ac:dyDescent="0.2">
      <c r="B335" s="329"/>
    </row>
    <row r="336" spans="2:2" x14ac:dyDescent="0.2">
      <c r="B336" s="329"/>
    </row>
    <row r="337" spans="2:2" x14ac:dyDescent="0.2">
      <c r="B337" s="329"/>
    </row>
    <row r="338" spans="2:2" x14ac:dyDescent="0.2">
      <c r="B338" s="329"/>
    </row>
    <row r="339" spans="2:2" x14ac:dyDescent="0.2">
      <c r="B339" s="329"/>
    </row>
    <row r="340" spans="2:2" x14ac:dyDescent="0.2">
      <c r="B340" s="329"/>
    </row>
    <row r="341" spans="2:2" x14ac:dyDescent="0.2">
      <c r="B341" s="329"/>
    </row>
    <row r="342" spans="2:2" x14ac:dyDescent="0.2">
      <c r="B342" s="329"/>
    </row>
    <row r="343" spans="2:2" x14ac:dyDescent="0.2">
      <c r="B343" s="329"/>
    </row>
    <row r="344" spans="2:2" x14ac:dyDescent="0.2">
      <c r="B344" s="329"/>
    </row>
    <row r="345" spans="2:2" x14ac:dyDescent="0.2">
      <c r="B345" s="329"/>
    </row>
    <row r="346" spans="2:2" x14ac:dyDescent="0.2">
      <c r="B346" s="329"/>
    </row>
    <row r="347" spans="2:2" x14ac:dyDescent="0.2">
      <c r="B347" s="329"/>
    </row>
    <row r="348" spans="2:2" x14ac:dyDescent="0.2">
      <c r="B348" s="329"/>
    </row>
    <row r="349" spans="2:2" x14ac:dyDescent="0.2">
      <c r="B349" s="329"/>
    </row>
    <row r="350" spans="2:2" x14ac:dyDescent="0.2">
      <c r="B350" s="329"/>
    </row>
    <row r="351" spans="2:2" x14ac:dyDescent="0.2">
      <c r="B351" s="329"/>
    </row>
    <row r="352" spans="2:2" x14ac:dyDescent="0.2">
      <c r="B352" s="329"/>
    </row>
    <row r="353" spans="2:2" x14ac:dyDescent="0.2">
      <c r="B353" s="329"/>
    </row>
    <row r="354" spans="2:2" x14ac:dyDescent="0.2">
      <c r="B354" s="329"/>
    </row>
    <row r="355" spans="2:2" x14ac:dyDescent="0.2">
      <c r="B355" s="329"/>
    </row>
    <row r="356" spans="2:2" x14ac:dyDescent="0.2">
      <c r="B356" s="329"/>
    </row>
    <row r="357" spans="2:2" x14ac:dyDescent="0.2">
      <c r="B357" s="329"/>
    </row>
    <row r="358" spans="2:2" x14ac:dyDescent="0.2">
      <c r="B358" s="329"/>
    </row>
    <row r="359" spans="2:2" x14ac:dyDescent="0.2">
      <c r="B359" s="329"/>
    </row>
    <row r="360" spans="2:2" x14ac:dyDescent="0.2">
      <c r="B360" s="329"/>
    </row>
    <row r="361" spans="2:2" x14ac:dyDescent="0.2">
      <c r="B361" s="329"/>
    </row>
    <row r="362" spans="2:2" x14ac:dyDescent="0.2">
      <c r="B362" s="329"/>
    </row>
    <row r="363" spans="2:2" x14ac:dyDescent="0.2">
      <c r="B363" s="329"/>
    </row>
    <row r="364" spans="2:2" x14ac:dyDescent="0.2">
      <c r="B364" s="329"/>
    </row>
    <row r="365" spans="2:2" x14ac:dyDescent="0.2">
      <c r="B365" s="329"/>
    </row>
    <row r="366" spans="2:2" x14ac:dyDescent="0.2">
      <c r="B366" s="329"/>
    </row>
    <row r="367" spans="2:2" x14ac:dyDescent="0.2">
      <c r="B367" s="329"/>
    </row>
    <row r="368" spans="2:2" x14ac:dyDescent="0.2">
      <c r="B368" s="329"/>
    </row>
    <row r="369" spans="2:2" x14ac:dyDescent="0.2">
      <c r="B369" s="329"/>
    </row>
    <row r="370" spans="2:2" x14ac:dyDescent="0.2">
      <c r="B370" s="329"/>
    </row>
    <row r="371" spans="2:2" x14ac:dyDescent="0.2">
      <c r="B371" s="329"/>
    </row>
    <row r="372" spans="2:2" x14ac:dyDescent="0.2">
      <c r="B372" s="329"/>
    </row>
    <row r="373" spans="2:2" x14ac:dyDescent="0.2">
      <c r="B373" s="329"/>
    </row>
    <row r="374" spans="2:2" x14ac:dyDescent="0.2">
      <c r="B374" s="329"/>
    </row>
    <row r="375" spans="2:2" x14ac:dyDescent="0.2">
      <c r="B375" s="329"/>
    </row>
    <row r="376" spans="2:2" x14ac:dyDescent="0.2">
      <c r="B376" s="329"/>
    </row>
    <row r="377" spans="2:2" x14ac:dyDescent="0.2">
      <c r="B377" s="329"/>
    </row>
    <row r="378" spans="2:2" x14ac:dyDescent="0.2">
      <c r="B378" s="329"/>
    </row>
    <row r="379" spans="2:2" x14ac:dyDescent="0.2">
      <c r="B379" s="329"/>
    </row>
    <row r="380" spans="2:2" x14ac:dyDescent="0.2">
      <c r="B380" s="329"/>
    </row>
    <row r="381" spans="2:2" x14ac:dyDescent="0.2">
      <c r="B381" s="329"/>
    </row>
    <row r="382" spans="2:2" x14ac:dyDescent="0.2">
      <c r="B382" s="329"/>
    </row>
    <row r="383" spans="2:2" x14ac:dyDescent="0.2">
      <c r="B383" s="329"/>
    </row>
    <row r="384" spans="2:2" x14ac:dyDescent="0.2">
      <c r="B384" s="329"/>
    </row>
    <row r="385" spans="2:2" x14ac:dyDescent="0.2">
      <c r="B385" s="329"/>
    </row>
    <row r="386" spans="2:2" x14ac:dyDescent="0.2">
      <c r="B386" s="329"/>
    </row>
    <row r="387" spans="2:2" x14ac:dyDescent="0.2">
      <c r="B387" s="329"/>
    </row>
    <row r="388" spans="2:2" x14ac:dyDescent="0.2">
      <c r="B388" s="329"/>
    </row>
    <row r="389" spans="2:2" x14ac:dyDescent="0.2">
      <c r="B389" s="329"/>
    </row>
    <row r="390" spans="2:2" x14ac:dyDescent="0.2">
      <c r="B390" s="329"/>
    </row>
    <row r="391" spans="2:2" x14ac:dyDescent="0.2">
      <c r="B391" s="329"/>
    </row>
    <row r="392" spans="2:2" x14ac:dyDescent="0.2">
      <c r="B392" s="329"/>
    </row>
    <row r="393" spans="2:2" x14ac:dyDescent="0.2">
      <c r="B393" s="329"/>
    </row>
    <row r="394" spans="2:2" x14ac:dyDescent="0.2">
      <c r="B394" s="329"/>
    </row>
    <row r="395" spans="2:2" x14ac:dyDescent="0.2">
      <c r="B395" s="329"/>
    </row>
    <row r="396" spans="2:2" x14ac:dyDescent="0.2">
      <c r="B396" s="329"/>
    </row>
    <row r="397" spans="2:2" x14ac:dyDescent="0.2">
      <c r="B397" s="329"/>
    </row>
    <row r="398" spans="2:2" x14ac:dyDescent="0.2">
      <c r="B398" s="329"/>
    </row>
    <row r="399" spans="2:2" x14ac:dyDescent="0.2">
      <c r="B399" s="329"/>
    </row>
    <row r="400" spans="2:2" x14ac:dyDescent="0.2">
      <c r="B400" s="329"/>
    </row>
    <row r="401" spans="2:2" x14ac:dyDescent="0.2">
      <c r="B401" s="329"/>
    </row>
    <row r="402" spans="2:2" x14ac:dyDescent="0.2">
      <c r="B402" s="329"/>
    </row>
    <row r="403" spans="2:2" x14ac:dyDescent="0.2">
      <c r="B403" s="329"/>
    </row>
    <row r="404" spans="2:2" x14ac:dyDescent="0.2">
      <c r="B404" s="329"/>
    </row>
    <row r="405" spans="2:2" x14ac:dyDescent="0.2">
      <c r="B405" s="329"/>
    </row>
    <row r="406" spans="2:2" x14ac:dyDescent="0.2">
      <c r="B406" s="329"/>
    </row>
    <row r="407" spans="2:2" x14ac:dyDescent="0.2">
      <c r="B407" s="329"/>
    </row>
    <row r="408" spans="2:2" x14ac:dyDescent="0.2">
      <c r="B408" s="329"/>
    </row>
    <row r="409" spans="2:2" x14ac:dyDescent="0.2">
      <c r="B409" s="329"/>
    </row>
    <row r="410" spans="2:2" x14ac:dyDescent="0.2">
      <c r="B410" s="329"/>
    </row>
    <row r="411" spans="2:2" x14ac:dyDescent="0.2">
      <c r="B411" s="329"/>
    </row>
    <row r="412" spans="2:2" x14ac:dyDescent="0.2">
      <c r="B412" s="329"/>
    </row>
    <row r="413" spans="2:2" x14ac:dyDescent="0.2">
      <c r="B413" s="329"/>
    </row>
    <row r="414" spans="2:2" x14ac:dyDescent="0.2">
      <c r="B414" s="329"/>
    </row>
    <row r="415" spans="2:2" x14ac:dyDescent="0.2">
      <c r="B415" s="329"/>
    </row>
    <row r="416" spans="2:2" x14ac:dyDescent="0.2">
      <c r="B416" s="329"/>
    </row>
    <row r="417" spans="2:2" x14ac:dyDescent="0.2">
      <c r="B417" s="329"/>
    </row>
    <row r="418" spans="2:2" x14ac:dyDescent="0.2">
      <c r="B418" s="329"/>
    </row>
    <row r="419" spans="2:2" x14ac:dyDescent="0.2">
      <c r="B419" s="329"/>
    </row>
    <row r="420" spans="2:2" x14ac:dyDescent="0.2">
      <c r="B420" s="329"/>
    </row>
    <row r="421" spans="2:2" x14ac:dyDescent="0.2">
      <c r="B421" s="329"/>
    </row>
    <row r="422" spans="2:2" x14ac:dyDescent="0.2">
      <c r="B422" s="329"/>
    </row>
    <row r="423" spans="2:2" x14ac:dyDescent="0.2">
      <c r="B423" s="329"/>
    </row>
    <row r="424" spans="2:2" x14ac:dyDescent="0.2">
      <c r="B424" s="329"/>
    </row>
    <row r="425" spans="2:2" x14ac:dyDescent="0.2">
      <c r="B425" s="329"/>
    </row>
    <row r="426" spans="2:2" x14ac:dyDescent="0.2">
      <c r="B426" s="329"/>
    </row>
    <row r="427" spans="2:2" x14ac:dyDescent="0.2">
      <c r="B427" s="329"/>
    </row>
    <row r="428" spans="2:2" x14ac:dyDescent="0.2">
      <c r="B428" s="329"/>
    </row>
    <row r="429" spans="2:2" x14ac:dyDescent="0.2">
      <c r="B429" s="329"/>
    </row>
    <row r="430" spans="2:2" x14ac:dyDescent="0.2">
      <c r="B430" s="154"/>
    </row>
    <row r="431" spans="2:2" x14ac:dyDescent="0.2">
      <c r="B431" s="154"/>
    </row>
    <row r="432" spans="2:2" x14ac:dyDescent="0.2">
      <c r="B432" s="154"/>
    </row>
    <row r="433" spans="2:2" x14ac:dyDescent="0.2">
      <c r="B433" s="154"/>
    </row>
    <row r="434" spans="2:2" x14ac:dyDescent="0.2">
      <c r="B434" s="154"/>
    </row>
    <row r="435" spans="2:2" x14ac:dyDescent="0.2">
      <c r="B435" s="154"/>
    </row>
    <row r="436" spans="2:2" x14ac:dyDescent="0.2">
      <c r="B436" s="154"/>
    </row>
    <row r="437" spans="2:2" x14ac:dyDescent="0.2">
      <c r="B437" s="154"/>
    </row>
    <row r="438" spans="2:2" x14ac:dyDescent="0.2">
      <c r="B438" s="154"/>
    </row>
    <row r="439" spans="2:2" x14ac:dyDescent="0.2">
      <c r="B439" s="154"/>
    </row>
    <row r="440" spans="2:2" x14ac:dyDescent="0.2">
      <c r="B440" s="154"/>
    </row>
    <row r="441" spans="2:2" x14ac:dyDescent="0.2">
      <c r="B441" s="154"/>
    </row>
    <row r="442" spans="2:2" x14ac:dyDescent="0.2">
      <c r="B442" s="154"/>
    </row>
    <row r="443" spans="2:2" x14ac:dyDescent="0.2">
      <c r="B443" s="154"/>
    </row>
    <row r="444" spans="2:2" x14ac:dyDescent="0.2">
      <c r="B444" s="154"/>
    </row>
    <row r="445" spans="2:2" x14ac:dyDescent="0.2">
      <c r="B445" s="154"/>
    </row>
    <row r="446" spans="2:2" x14ac:dyDescent="0.2">
      <c r="B446" s="154"/>
    </row>
    <row r="447" spans="2:2" x14ac:dyDescent="0.2">
      <c r="B447" s="154"/>
    </row>
    <row r="448" spans="2:2" x14ac:dyDescent="0.2">
      <c r="B448" s="154"/>
    </row>
    <row r="449" spans="2:2" x14ac:dyDescent="0.2">
      <c r="B449" s="154"/>
    </row>
    <row r="450" spans="2:2" x14ac:dyDescent="0.2">
      <c r="B450" s="154"/>
    </row>
    <row r="451" spans="2:2" x14ac:dyDescent="0.2">
      <c r="B451" s="154"/>
    </row>
    <row r="452" spans="2:2" x14ac:dyDescent="0.2">
      <c r="B452" s="154"/>
    </row>
    <row r="453" spans="2:2" x14ac:dyDescent="0.2">
      <c r="B453" s="154"/>
    </row>
    <row r="454" spans="2:2" x14ac:dyDescent="0.2">
      <c r="B454" s="154"/>
    </row>
    <row r="455" spans="2:2" x14ac:dyDescent="0.2">
      <c r="B455" s="154"/>
    </row>
    <row r="456" spans="2:2" x14ac:dyDescent="0.2">
      <c r="B456" s="154"/>
    </row>
    <row r="457" spans="2:2" x14ac:dyDescent="0.2">
      <c r="B457" s="154"/>
    </row>
    <row r="458" spans="2:2" x14ac:dyDescent="0.2">
      <c r="B458" s="154"/>
    </row>
    <row r="459" spans="2:2" x14ac:dyDescent="0.2">
      <c r="B459" s="154"/>
    </row>
    <row r="460" spans="2:2" x14ac:dyDescent="0.2">
      <c r="B460" s="154"/>
    </row>
    <row r="461" spans="2:2" x14ac:dyDescent="0.2">
      <c r="B461" s="154"/>
    </row>
    <row r="462" spans="2:2" x14ac:dyDescent="0.2">
      <c r="B462" s="154"/>
    </row>
    <row r="463" spans="2:2" x14ac:dyDescent="0.2">
      <c r="B463" s="154"/>
    </row>
    <row r="464" spans="2:2" x14ac:dyDescent="0.2">
      <c r="B464" s="154"/>
    </row>
    <row r="465" spans="2:2" x14ac:dyDescent="0.2">
      <c r="B465" s="154"/>
    </row>
    <row r="466" spans="2:2" x14ac:dyDescent="0.2">
      <c r="B466" s="154"/>
    </row>
    <row r="467" spans="2:2" x14ac:dyDescent="0.2">
      <c r="B467" s="154"/>
    </row>
    <row r="468" spans="2:2" x14ac:dyDescent="0.2">
      <c r="B468" s="154"/>
    </row>
    <row r="469" spans="2:2" x14ac:dyDescent="0.2">
      <c r="B469" s="154"/>
    </row>
    <row r="470" spans="2:2" x14ac:dyDescent="0.2">
      <c r="B470" s="154"/>
    </row>
    <row r="471" spans="2:2" x14ac:dyDescent="0.2">
      <c r="B471" s="154"/>
    </row>
    <row r="472" spans="2:2" x14ac:dyDescent="0.2">
      <c r="B472" s="154"/>
    </row>
    <row r="473" spans="2:2" x14ac:dyDescent="0.2">
      <c r="B473" s="154"/>
    </row>
    <row r="474" spans="2:2" x14ac:dyDescent="0.2">
      <c r="B474" s="154"/>
    </row>
    <row r="475" spans="2:2" x14ac:dyDescent="0.2">
      <c r="B475" s="154"/>
    </row>
    <row r="476" spans="2:2" x14ac:dyDescent="0.2">
      <c r="B476" s="154"/>
    </row>
    <row r="477" spans="2:2" x14ac:dyDescent="0.2">
      <c r="B477" s="154"/>
    </row>
    <row r="478" spans="2:2" x14ac:dyDescent="0.2">
      <c r="B478" s="154"/>
    </row>
    <row r="479" spans="2:2" x14ac:dyDescent="0.2">
      <c r="B479" s="154"/>
    </row>
    <row r="480" spans="2:2" x14ac:dyDescent="0.2">
      <c r="B480" s="154"/>
    </row>
    <row r="481" spans="2:2" x14ac:dyDescent="0.2">
      <c r="B481" s="154"/>
    </row>
    <row r="482" spans="2:2" x14ac:dyDescent="0.2">
      <c r="B482" s="154"/>
    </row>
    <row r="483" spans="2:2" x14ac:dyDescent="0.2">
      <c r="B483" s="154"/>
    </row>
    <row r="484" spans="2:2" x14ac:dyDescent="0.2">
      <c r="B484" s="154"/>
    </row>
    <row r="485" spans="2:2" x14ac:dyDescent="0.2">
      <c r="B485" s="154"/>
    </row>
    <row r="486" spans="2:2" x14ac:dyDescent="0.2">
      <c r="B486" s="154"/>
    </row>
    <row r="487" spans="2:2" x14ac:dyDescent="0.2">
      <c r="B487" s="154"/>
    </row>
    <row r="488" spans="2:2" x14ac:dyDescent="0.2">
      <c r="B488" s="154"/>
    </row>
    <row r="489" spans="2:2" x14ac:dyDescent="0.2">
      <c r="B489" s="154"/>
    </row>
    <row r="490" spans="2:2" x14ac:dyDescent="0.2">
      <c r="B490" s="154"/>
    </row>
    <row r="491" spans="2:2" x14ac:dyDescent="0.2">
      <c r="B491" s="154"/>
    </row>
    <row r="492" spans="2:2" x14ac:dyDescent="0.2">
      <c r="B492" s="154"/>
    </row>
    <row r="493" spans="2:2" x14ac:dyDescent="0.2">
      <c r="B493" s="154"/>
    </row>
    <row r="494" spans="2:2" x14ac:dyDescent="0.2">
      <c r="B494" s="154"/>
    </row>
    <row r="495" spans="2:2" x14ac:dyDescent="0.2">
      <c r="B495" s="154"/>
    </row>
    <row r="496" spans="2:2" x14ac:dyDescent="0.2">
      <c r="B496" s="154"/>
    </row>
    <row r="497" spans="2:2" x14ac:dyDescent="0.2">
      <c r="B497" s="154"/>
    </row>
    <row r="498" spans="2:2" x14ac:dyDescent="0.2">
      <c r="B498" s="154"/>
    </row>
    <row r="499" spans="2:2" x14ac:dyDescent="0.2">
      <c r="B499" s="154"/>
    </row>
    <row r="500" spans="2:2" x14ac:dyDescent="0.2">
      <c r="B500" s="154"/>
    </row>
    <row r="501" spans="2:2" x14ac:dyDescent="0.2">
      <c r="B501" s="154"/>
    </row>
    <row r="502" spans="2:2" x14ac:dyDescent="0.2">
      <c r="B502" s="154"/>
    </row>
    <row r="503" spans="2:2" x14ac:dyDescent="0.2">
      <c r="B503" s="154"/>
    </row>
    <row r="504" spans="2:2" x14ac:dyDescent="0.2">
      <c r="B504" s="154"/>
    </row>
    <row r="505" spans="2:2" x14ac:dyDescent="0.2">
      <c r="B505" s="154"/>
    </row>
    <row r="506" spans="2:2" x14ac:dyDescent="0.2">
      <c r="B506" s="154"/>
    </row>
    <row r="507" spans="2:2" x14ac:dyDescent="0.2">
      <c r="B507" s="154"/>
    </row>
    <row r="508" spans="2:2" x14ac:dyDescent="0.2">
      <c r="B508" s="154"/>
    </row>
    <row r="509" spans="2:2" x14ac:dyDescent="0.2">
      <c r="B509" s="154"/>
    </row>
    <row r="510" spans="2:2" x14ac:dyDescent="0.2">
      <c r="B510" s="154"/>
    </row>
    <row r="511" spans="2:2" x14ac:dyDescent="0.2">
      <c r="B511" s="154"/>
    </row>
    <row r="512" spans="2:2" x14ac:dyDescent="0.2">
      <c r="B512" s="154"/>
    </row>
    <row r="513" spans="2:2" x14ac:dyDescent="0.2">
      <c r="B513" s="154"/>
    </row>
    <row r="514" spans="2:2" x14ac:dyDescent="0.2">
      <c r="B514" s="154"/>
    </row>
    <row r="515" spans="2:2" x14ac:dyDescent="0.2">
      <c r="B515" s="154"/>
    </row>
    <row r="516" spans="2:2" x14ac:dyDescent="0.2">
      <c r="B516" s="154"/>
    </row>
    <row r="517" spans="2:2" x14ac:dyDescent="0.2">
      <c r="B517" s="154"/>
    </row>
    <row r="518" spans="2:2" x14ac:dyDescent="0.2">
      <c r="B518" s="154"/>
    </row>
    <row r="519" spans="2:2" x14ac:dyDescent="0.2">
      <c r="B519" s="154"/>
    </row>
    <row r="520" spans="2:2" x14ac:dyDescent="0.2">
      <c r="B520" s="154"/>
    </row>
    <row r="521" spans="2:2" x14ac:dyDescent="0.2">
      <c r="B521" s="154"/>
    </row>
    <row r="522" spans="2:2" x14ac:dyDescent="0.2">
      <c r="B522" s="154"/>
    </row>
    <row r="523" spans="2:2" x14ac:dyDescent="0.2">
      <c r="B523" s="154"/>
    </row>
    <row r="524" spans="2:2" x14ac:dyDescent="0.2">
      <c r="B524" s="154"/>
    </row>
    <row r="525" spans="2:2" x14ac:dyDescent="0.2">
      <c r="B525" s="154"/>
    </row>
    <row r="526" spans="2:2" x14ac:dyDescent="0.2">
      <c r="B526" s="154"/>
    </row>
    <row r="527" spans="2:2" x14ac:dyDescent="0.2">
      <c r="B527" s="154"/>
    </row>
    <row r="528" spans="2:2" x14ac:dyDescent="0.2">
      <c r="B528" s="154"/>
    </row>
    <row r="529" spans="2:2" x14ac:dyDescent="0.2">
      <c r="B529" s="154"/>
    </row>
    <row r="530" spans="2:2" x14ac:dyDescent="0.2">
      <c r="B530" s="154"/>
    </row>
    <row r="531" spans="2:2" x14ac:dyDescent="0.2">
      <c r="B531" s="154"/>
    </row>
    <row r="532" spans="2:2" x14ac:dyDescent="0.2">
      <c r="B532" s="154"/>
    </row>
    <row r="533" spans="2:2" x14ac:dyDescent="0.2">
      <c r="B533" s="154"/>
    </row>
    <row r="534" spans="2:2" x14ac:dyDescent="0.2">
      <c r="B534" s="154"/>
    </row>
    <row r="535" spans="2:2" x14ac:dyDescent="0.2">
      <c r="B535" s="154"/>
    </row>
    <row r="536" spans="2:2" x14ac:dyDescent="0.2">
      <c r="B536" s="154"/>
    </row>
    <row r="537" spans="2:2" x14ac:dyDescent="0.2">
      <c r="B537" s="154"/>
    </row>
    <row r="538" spans="2:2" x14ac:dyDescent="0.2">
      <c r="B538" s="154"/>
    </row>
    <row r="539" spans="2:2" x14ac:dyDescent="0.2">
      <c r="B539" s="154"/>
    </row>
    <row r="540" spans="2:2" x14ac:dyDescent="0.2">
      <c r="B540" s="154"/>
    </row>
    <row r="541" spans="2:2" x14ac:dyDescent="0.2">
      <c r="B541" s="154"/>
    </row>
    <row r="542" spans="2:2" x14ac:dyDescent="0.2">
      <c r="B542" s="154"/>
    </row>
    <row r="543" spans="2:2" x14ac:dyDescent="0.2">
      <c r="B543" s="154"/>
    </row>
    <row r="544" spans="2:2" x14ac:dyDescent="0.2">
      <c r="B544" s="154"/>
    </row>
    <row r="545" spans="2:2" x14ac:dyDescent="0.2">
      <c r="B545" s="154"/>
    </row>
    <row r="546" spans="2:2" x14ac:dyDescent="0.2">
      <c r="B546" s="154"/>
    </row>
    <row r="547" spans="2:2" x14ac:dyDescent="0.2">
      <c r="B547" s="154"/>
    </row>
    <row r="548" spans="2:2" x14ac:dyDescent="0.2">
      <c r="B548" s="154"/>
    </row>
    <row r="549" spans="2:2" x14ac:dyDescent="0.2">
      <c r="B549" s="154"/>
    </row>
    <row r="550" spans="2:2" x14ac:dyDescent="0.2">
      <c r="B550" s="154"/>
    </row>
    <row r="551" spans="2:2" x14ac:dyDescent="0.2">
      <c r="B551" s="154"/>
    </row>
    <row r="552" spans="2:2" x14ac:dyDescent="0.2">
      <c r="B552" s="154"/>
    </row>
    <row r="553" spans="2:2" x14ac:dyDescent="0.2">
      <c r="B553" s="154"/>
    </row>
    <row r="554" spans="2:2" x14ac:dyDescent="0.2">
      <c r="B554" s="154"/>
    </row>
    <row r="555" spans="2:2" x14ac:dyDescent="0.2">
      <c r="B555" s="154"/>
    </row>
    <row r="556" spans="2:2" x14ac:dyDescent="0.2">
      <c r="B556" s="154"/>
    </row>
    <row r="557" spans="2:2" x14ac:dyDescent="0.2">
      <c r="B557" s="154"/>
    </row>
    <row r="558" spans="2:2" x14ac:dyDescent="0.2">
      <c r="B558" s="154"/>
    </row>
    <row r="559" spans="2:2" x14ac:dyDescent="0.2">
      <c r="B559" s="154"/>
    </row>
    <row r="560" spans="2:2" x14ac:dyDescent="0.2">
      <c r="B560" s="154"/>
    </row>
    <row r="561" spans="2:2" x14ac:dyDescent="0.2">
      <c r="B561" s="154"/>
    </row>
    <row r="562" spans="2:2" x14ac:dyDescent="0.2">
      <c r="B562" s="154"/>
    </row>
    <row r="563" spans="2:2" x14ac:dyDescent="0.2">
      <c r="B563" s="154"/>
    </row>
    <row r="564" spans="2:2" x14ac:dyDescent="0.2">
      <c r="B564" s="154"/>
    </row>
    <row r="565" spans="2:2" x14ac:dyDescent="0.2">
      <c r="B565" s="154"/>
    </row>
    <row r="566" spans="2:2" x14ac:dyDescent="0.2">
      <c r="B566" s="154"/>
    </row>
    <row r="567" spans="2:2" x14ac:dyDescent="0.2">
      <c r="B567" s="154"/>
    </row>
    <row r="568" spans="2:2" x14ac:dyDescent="0.2">
      <c r="B568" s="154"/>
    </row>
    <row r="569" spans="2:2" x14ac:dyDescent="0.2">
      <c r="B569" s="154"/>
    </row>
    <row r="570" spans="2:2" x14ac:dyDescent="0.2">
      <c r="B570" s="154"/>
    </row>
    <row r="571" spans="2:2" x14ac:dyDescent="0.2">
      <c r="B571" s="154"/>
    </row>
    <row r="572" spans="2:2" x14ac:dyDescent="0.2">
      <c r="B572" s="154"/>
    </row>
    <row r="573" spans="2:2" x14ac:dyDescent="0.2">
      <c r="B573" s="154"/>
    </row>
    <row r="574" spans="2:2" x14ac:dyDescent="0.2">
      <c r="B574" s="154"/>
    </row>
    <row r="575" spans="2:2" x14ac:dyDescent="0.2">
      <c r="B575" s="154"/>
    </row>
    <row r="576" spans="2:2" x14ac:dyDescent="0.2">
      <c r="B576" s="154"/>
    </row>
    <row r="577" spans="2:2" x14ac:dyDescent="0.2">
      <c r="B577" s="154"/>
    </row>
    <row r="578" spans="2:2" x14ac:dyDescent="0.2">
      <c r="B578" s="154"/>
    </row>
    <row r="579" spans="2:2" x14ac:dyDescent="0.2">
      <c r="B579" s="154"/>
    </row>
    <row r="580" spans="2:2" x14ac:dyDescent="0.2">
      <c r="B580" s="154"/>
    </row>
    <row r="581" spans="2:2" x14ac:dyDescent="0.2">
      <c r="B581" s="154"/>
    </row>
    <row r="582" spans="2:2" x14ac:dyDescent="0.2">
      <c r="B582" s="154"/>
    </row>
    <row r="583" spans="2:2" x14ac:dyDescent="0.2">
      <c r="B583" s="154"/>
    </row>
    <row r="584" spans="2:2" x14ac:dyDescent="0.2">
      <c r="B584" s="154"/>
    </row>
    <row r="585" spans="2:2" x14ac:dyDescent="0.2">
      <c r="B585" s="154"/>
    </row>
    <row r="586" spans="2:2" x14ac:dyDescent="0.2">
      <c r="B586" s="154"/>
    </row>
    <row r="587" spans="2:2" x14ac:dyDescent="0.2">
      <c r="B587" s="154"/>
    </row>
    <row r="588" spans="2:2" x14ac:dyDescent="0.2">
      <c r="B588" s="154"/>
    </row>
    <row r="589" spans="2:2" x14ac:dyDescent="0.2">
      <c r="B589" s="154"/>
    </row>
    <row r="590" spans="2:2" x14ac:dyDescent="0.2">
      <c r="B590" s="154"/>
    </row>
    <row r="591" spans="2:2" x14ac:dyDescent="0.2">
      <c r="B591" s="154"/>
    </row>
    <row r="592" spans="2:2" x14ac:dyDescent="0.2">
      <c r="B592" s="154"/>
    </row>
    <row r="593" spans="2:2" x14ac:dyDescent="0.2">
      <c r="B593" s="154"/>
    </row>
    <row r="594" spans="2:2" x14ac:dyDescent="0.2">
      <c r="B594" s="154"/>
    </row>
    <row r="595" spans="2:2" x14ac:dyDescent="0.2">
      <c r="B595" s="154"/>
    </row>
    <row r="596" spans="2:2" x14ac:dyDescent="0.2">
      <c r="B596" s="154"/>
    </row>
    <row r="597" spans="2:2" x14ac:dyDescent="0.2">
      <c r="B597" s="154"/>
    </row>
    <row r="598" spans="2:2" x14ac:dyDescent="0.2">
      <c r="B598" s="154"/>
    </row>
    <row r="599" spans="2:2" x14ac:dyDescent="0.2">
      <c r="B599" s="154"/>
    </row>
    <row r="600" spans="2:2" x14ac:dyDescent="0.2">
      <c r="B600" s="154"/>
    </row>
    <row r="601" spans="2:2" x14ac:dyDescent="0.2">
      <c r="B601" s="154"/>
    </row>
    <row r="602" spans="2:2" x14ac:dyDescent="0.2">
      <c r="B602" s="154"/>
    </row>
    <row r="603" spans="2:2" x14ac:dyDescent="0.2">
      <c r="B603" s="154"/>
    </row>
    <row r="604" spans="2:2" x14ac:dyDescent="0.2">
      <c r="B604" s="154"/>
    </row>
    <row r="605" spans="2:2" x14ac:dyDescent="0.2">
      <c r="B605" s="154"/>
    </row>
    <row r="606" spans="2:2" x14ac:dyDescent="0.2">
      <c r="B606" s="154"/>
    </row>
    <row r="607" spans="2:2" x14ac:dyDescent="0.2">
      <c r="B607" s="154"/>
    </row>
    <row r="608" spans="2:2" x14ac:dyDescent="0.2">
      <c r="B608" s="154"/>
    </row>
    <row r="609" spans="2:2" x14ac:dyDescent="0.2">
      <c r="B609" s="154"/>
    </row>
    <row r="610" spans="2:2" x14ac:dyDescent="0.2">
      <c r="B610" s="154"/>
    </row>
    <row r="611" spans="2:2" x14ac:dyDescent="0.2">
      <c r="B611" s="154"/>
    </row>
    <row r="612" spans="2:2" x14ac:dyDescent="0.2">
      <c r="B612" s="154"/>
    </row>
    <row r="613" spans="2:2" x14ac:dyDescent="0.2">
      <c r="B613" s="154"/>
    </row>
    <row r="614" spans="2:2" x14ac:dyDescent="0.2">
      <c r="B614" s="154"/>
    </row>
    <row r="615" spans="2:2" x14ac:dyDescent="0.2">
      <c r="B615" s="154"/>
    </row>
    <row r="616" spans="2:2" x14ac:dyDescent="0.2">
      <c r="B616" s="154"/>
    </row>
    <row r="617" spans="2:2" x14ac:dyDescent="0.2">
      <c r="B617" s="154"/>
    </row>
    <row r="618" spans="2:2" x14ac:dyDescent="0.2">
      <c r="B618" s="154"/>
    </row>
    <row r="619" spans="2:2" x14ac:dyDescent="0.2">
      <c r="B619" s="154"/>
    </row>
    <row r="620" spans="2:2" x14ac:dyDescent="0.2">
      <c r="B620" s="154"/>
    </row>
    <row r="621" spans="2:2" x14ac:dyDescent="0.2">
      <c r="B621" s="154"/>
    </row>
    <row r="622" spans="2:2" x14ac:dyDescent="0.2">
      <c r="B622" s="154"/>
    </row>
    <row r="623" spans="2:2" x14ac:dyDescent="0.2">
      <c r="B623" s="154"/>
    </row>
    <row r="624" spans="2:2" x14ac:dyDescent="0.2">
      <c r="B624" s="154"/>
    </row>
    <row r="625" spans="2:2" x14ac:dyDescent="0.2">
      <c r="B625" s="154"/>
    </row>
    <row r="626" spans="2:2" x14ac:dyDescent="0.2">
      <c r="B626" s="154"/>
    </row>
    <row r="627" spans="2:2" x14ac:dyDescent="0.2">
      <c r="B627" s="154"/>
    </row>
    <row r="628" spans="2:2" x14ac:dyDescent="0.2">
      <c r="B628" s="154"/>
    </row>
    <row r="629" spans="2:2" x14ac:dyDescent="0.2">
      <c r="B629" s="154"/>
    </row>
    <row r="630" spans="2:2" x14ac:dyDescent="0.2">
      <c r="B630" s="154"/>
    </row>
    <row r="631" spans="2:2" x14ac:dyDescent="0.2">
      <c r="B631" s="154"/>
    </row>
    <row r="632" spans="2:2" x14ac:dyDescent="0.2">
      <c r="B632" s="154"/>
    </row>
    <row r="633" spans="2:2" x14ac:dyDescent="0.2">
      <c r="B633" s="154"/>
    </row>
    <row r="634" spans="2:2" x14ac:dyDescent="0.2">
      <c r="B634" s="154"/>
    </row>
    <row r="635" spans="2:2" x14ac:dyDescent="0.2">
      <c r="B635" s="154"/>
    </row>
    <row r="636" spans="2:2" x14ac:dyDescent="0.2">
      <c r="B636" s="154"/>
    </row>
    <row r="637" spans="2:2" x14ac:dyDescent="0.2">
      <c r="B637" s="154"/>
    </row>
    <row r="638" spans="2:2" x14ac:dyDescent="0.2">
      <c r="B638" s="154"/>
    </row>
    <row r="639" spans="2:2" x14ac:dyDescent="0.2">
      <c r="B639" s="154"/>
    </row>
    <row r="640" spans="2:2" x14ac:dyDescent="0.2">
      <c r="B640" s="154"/>
    </row>
    <row r="641" spans="2:2" x14ac:dyDescent="0.2">
      <c r="B641" s="154"/>
    </row>
    <row r="642" spans="2:2" x14ac:dyDescent="0.2">
      <c r="B642" s="154"/>
    </row>
    <row r="643" spans="2:2" x14ac:dyDescent="0.2">
      <c r="B643" s="154"/>
    </row>
    <row r="644" spans="2:2" x14ac:dyDescent="0.2">
      <c r="B644" s="154"/>
    </row>
    <row r="645" spans="2:2" x14ac:dyDescent="0.2">
      <c r="B645" s="154"/>
    </row>
    <row r="646" spans="2:2" x14ac:dyDescent="0.2">
      <c r="B646" s="154"/>
    </row>
    <row r="647" spans="2:2" x14ac:dyDescent="0.2">
      <c r="B647" s="154"/>
    </row>
    <row r="648" spans="2:2" x14ac:dyDescent="0.2">
      <c r="B648" s="154"/>
    </row>
    <row r="649" spans="2:2" x14ac:dyDescent="0.2">
      <c r="B649" s="154"/>
    </row>
    <row r="650" spans="2:2" x14ac:dyDescent="0.2">
      <c r="B650" s="154"/>
    </row>
    <row r="651" spans="2:2" x14ac:dyDescent="0.2">
      <c r="B651" s="154"/>
    </row>
    <row r="652" spans="2:2" x14ac:dyDescent="0.2">
      <c r="B652" s="154"/>
    </row>
    <row r="653" spans="2:2" x14ac:dyDescent="0.2">
      <c r="B653" s="154"/>
    </row>
    <row r="654" spans="2:2" x14ac:dyDescent="0.2">
      <c r="B654" s="154"/>
    </row>
    <row r="655" spans="2:2" x14ac:dyDescent="0.2">
      <c r="B655" s="154"/>
    </row>
    <row r="656" spans="2:2" x14ac:dyDescent="0.2">
      <c r="B656" s="154"/>
    </row>
    <row r="657" spans="2:2" x14ac:dyDescent="0.2">
      <c r="B657" s="154"/>
    </row>
    <row r="658" spans="2:2" x14ac:dyDescent="0.2">
      <c r="B658" s="154"/>
    </row>
    <row r="659" spans="2:2" x14ac:dyDescent="0.2">
      <c r="B659" s="154"/>
    </row>
    <row r="660" spans="2:2" x14ac:dyDescent="0.2">
      <c r="B660" s="154"/>
    </row>
    <row r="661" spans="2:2" x14ac:dyDescent="0.2">
      <c r="B661" s="154"/>
    </row>
    <row r="662" spans="2:2" x14ac:dyDescent="0.2">
      <c r="B662" s="154"/>
    </row>
    <row r="663" spans="2:2" x14ac:dyDescent="0.2">
      <c r="B663" s="154"/>
    </row>
    <row r="664" spans="2:2" x14ac:dyDescent="0.2">
      <c r="B664" s="154"/>
    </row>
    <row r="665" spans="2:2" x14ac:dyDescent="0.2">
      <c r="B665" s="154"/>
    </row>
    <row r="666" spans="2:2" x14ac:dyDescent="0.2">
      <c r="B666" s="154"/>
    </row>
    <row r="667" spans="2:2" x14ac:dyDescent="0.2">
      <c r="B667" s="154"/>
    </row>
    <row r="668" spans="2:2" x14ac:dyDescent="0.2">
      <c r="B668" s="154"/>
    </row>
    <row r="669" spans="2:2" x14ac:dyDescent="0.2">
      <c r="B669" s="154"/>
    </row>
    <row r="670" spans="2:2" x14ac:dyDescent="0.2">
      <c r="B670" s="154"/>
    </row>
    <row r="671" spans="2:2" x14ac:dyDescent="0.2">
      <c r="B671" s="154"/>
    </row>
    <row r="672" spans="2:2" x14ac:dyDescent="0.2">
      <c r="B672" s="154"/>
    </row>
    <row r="673" spans="2:2" x14ac:dyDescent="0.2">
      <c r="B673" s="154"/>
    </row>
    <row r="674" spans="2:2" x14ac:dyDescent="0.2">
      <c r="B674" s="154"/>
    </row>
    <row r="675" spans="2:2" x14ac:dyDescent="0.2">
      <c r="B675" s="154"/>
    </row>
    <row r="676" spans="2:2" x14ac:dyDescent="0.2">
      <c r="B676" s="154"/>
    </row>
    <row r="677" spans="2:2" x14ac:dyDescent="0.2">
      <c r="B677" s="154"/>
    </row>
    <row r="678" spans="2:2" x14ac:dyDescent="0.2">
      <c r="B678" s="154"/>
    </row>
    <row r="679" spans="2:2" x14ac:dyDescent="0.2">
      <c r="B679" s="154"/>
    </row>
    <row r="680" spans="2:2" x14ac:dyDescent="0.2">
      <c r="B680" s="154"/>
    </row>
    <row r="681" spans="2:2" x14ac:dyDescent="0.2">
      <c r="B681" s="154"/>
    </row>
    <row r="682" spans="2:2" x14ac:dyDescent="0.2">
      <c r="B682" s="154"/>
    </row>
    <row r="683" spans="2:2" x14ac:dyDescent="0.2">
      <c r="B683" s="154"/>
    </row>
    <row r="684" spans="2:2" x14ac:dyDescent="0.2">
      <c r="B684" s="154"/>
    </row>
    <row r="685" spans="2:2" x14ac:dyDescent="0.2">
      <c r="B685" s="154"/>
    </row>
    <row r="686" spans="2:2" x14ac:dyDescent="0.2">
      <c r="B686" s="154"/>
    </row>
    <row r="687" spans="2:2" x14ac:dyDescent="0.2">
      <c r="B687" s="154"/>
    </row>
    <row r="688" spans="2:2" x14ac:dyDescent="0.2">
      <c r="B688" s="154"/>
    </row>
    <row r="689" spans="2:2" x14ac:dyDescent="0.2">
      <c r="B689" s="154"/>
    </row>
    <row r="690" spans="2:2" x14ac:dyDescent="0.2">
      <c r="B690" s="154"/>
    </row>
    <row r="691" spans="2:2" x14ac:dyDescent="0.2">
      <c r="B691" s="154"/>
    </row>
    <row r="692" spans="2:2" x14ac:dyDescent="0.2">
      <c r="B692" s="154"/>
    </row>
    <row r="693" spans="2:2" x14ac:dyDescent="0.2">
      <c r="B693" s="154"/>
    </row>
    <row r="694" spans="2:2" x14ac:dyDescent="0.2">
      <c r="B694" s="154"/>
    </row>
    <row r="695" spans="2:2" x14ac:dyDescent="0.2">
      <c r="B695" s="154"/>
    </row>
    <row r="696" spans="2:2" x14ac:dyDescent="0.2">
      <c r="B696" s="154"/>
    </row>
    <row r="697" spans="2:2" x14ac:dyDescent="0.2">
      <c r="B697" s="154"/>
    </row>
    <row r="698" spans="2:2" x14ac:dyDescent="0.2">
      <c r="B698" s="154"/>
    </row>
    <row r="699" spans="2:2" x14ac:dyDescent="0.2">
      <c r="B699" s="154"/>
    </row>
    <row r="700" spans="2:2" x14ac:dyDescent="0.2">
      <c r="B700" s="154"/>
    </row>
    <row r="701" spans="2:2" x14ac:dyDescent="0.2">
      <c r="B701" s="154"/>
    </row>
    <row r="702" spans="2:2" x14ac:dyDescent="0.2">
      <c r="B702" s="154"/>
    </row>
    <row r="703" spans="2:2" x14ac:dyDescent="0.2">
      <c r="B703" s="154"/>
    </row>
    <row r="704" spans="2:2" x14ac:dyDescent="0.2">
      <c r="B704" s="154"/>
    </row>
    <row r="705" spans="2:2" x14ac:dyDescent="0.2">
      <c r="B705" s="154"/>
    </row>
    <row r="706" spans="2:2" x14ac:dyDescent="0.2">
      <c r="B706" s="154"/>
    </row>
    <row r="707" spans="2:2" x14ac:dyDescent="0.2">
      <c r="B707" s="154"/>
    </row>
    <row r="708" spans="2:2" x14ac:dyDescent="0.2">
      <c r="B708" s="154"/>
    </row>
    <row r="709" spans="2:2" x14ac:dyDescent="0.2">
      <c r="B709" s="154"/>
    </row>
    <row r="710" spans="2:2" x14ac:dyDescent="0.2">
      <c r="B710" s="154"/>
    </row>
    <row r="711" spans="2:2" x14ac:dyDescent="0.2">
      <c r="B711" s="154"/>
    </row>
    <row r="712" spans="2:2" x14ac:dyDescent="0.2">
      <c r="B712" s="154"/>
    </row>
    <row r="713" spans="2:2" x14ac:dyDescent="0.2">
      <c r="B713" s="154"/>
    </row>
    <row r="714" spans="2:2" x14ac:dyDescent="0.2">
      <c r="B714" s="154"/>
    </row>
    <row r="715" spans="2:2" x14ac:dyDescent="0.2">
      <c r="B715" s="154"/>
    </row>
    <row r="716" spans="2:2" x14ac:dyDescent="0.2">
      <c r="B716" s="154"/>
    </row>
    <row r="717" spans="2:2" x14ac:dyDescent="0.2">
      <c r="B717" s="154"/>
    </row>
    <row r="718" spans="2:2" x14ac:dyDescent="0.2">
      <c r="B718" s="154"/>
    </row>
    <row r="719" spans="2:2" x14ac:dyDescent="0.2">
      <c r="B719" s="154"/>
    </row>
    <row r="720" spans="2:2" x14ac:dyDescent="0.2">
      <c r="B720" s="154"/>
    </row>
    <row r="721" spans="2:2" x14ac:dyDescent="0.2">
      <c r="B721" s="154"/>
    </row>
    <row r="722" spans="2:2" x14ac:dyDescent="0.2">
      <c r="B722" s="154"/>
    </row>
    <row r="723" spans="2:2" x14ac:dyDescent="0.2">
      <c r="B723" s="154"/>
    </row>
    <row r="724" spans="2:2" x14ac:dyDescent="0.2">
      <c r="B724" s="154"/>
    </row>
    <row r="725" spans="2:2" x14ac:dyDescent="0.2">
      <c r="B725" s="154"/>
    </row>
    <row r="726" spans="2:2" x14ac:dyDescent="0.2">
      <c r="B726" s="154"/>
    </row>
    <row r="727" spans="2:2" x14ac:dyDescent="0.2">
      <c r="B727" s="154"/>
    </row>
    <row r="728" spans="2:2" x14ac:dyDescent="0.2">
      <c r="B728" s="154"/>
    </row>
    <row r="729" spans="2:2" x14ac:dyDescent="0.2">
      <c r="B729" s="154"/>
    </row>
    <row r="730" spans="2:2" x14ac:dyDescent="0.2">
      <c r="B730" s="154"/>
    </row>
    <row r="731" spans="2:2" x14ac:dyDescent="0.2">
      <c r="B731" s="154"/>
    </row>
    <row r="732" spans="2:2" x14ac:dyDescent="0.2">
      <c r="B732" s="154"/>
    </row>
    <row r="733" spans="2:2" x14ac:dyDescent="0.2">
      <c r="B733" s="154"/>
    </row>
    <row r="734" spans="2:2" x14ac:dyDescent="0.2">
      <c r="B734" s="154"/>
    </row>
    <row r="735" spans="2:2" x14ac:dyDescent="0.2">
      <c r="B735" s="154"/>
    </row>
    <row r="736" spans="2:2" x14ac:dyDescent="0.2">
      <c r="B736" s="154"/>
    </row>
    <row r="737" spans="2:2" x14ac:dyDescent="0.2">
      <c r="B737" s="154"/>
    </row>
    <row r="738" spans="2:2" x14ac:dyDescent="0.2">
      <c r="B738" s="154"/>
    </row>
    <row r="739" spans="2:2" x14ac:dyDescent="0.2">
      <c r="B739" s="154"/>
    </row>
    <row r="740" spans="2:2" x14ac:dyDescent="0.2">
      <c r="B740" s="154"/>
    </row>
    <row r="741" spans="2:2" x14ac:dyDescent="0.2">
      <c r="B741" s="154"/>
    </row>
    <row r="742" spans="2:2" x14ac:dyDescent="0.2">
      <c r="B742" s="154"/>
    </row>
    <row r="743" spans="2:2" x14ac:dyDescent="0.2">
      <c r="B743" s="154"/>
    </row>
    <row r="744" spans="2:2" x14ac:dyDescent="0.2">
      <c r="B744" s="154"/>
    </row>
    <row r="745" spans="2:2" x14ac:dyDescent="0.2">
      <c r="B745" s="154"/>
    </row>
    <row r="746" spans="2:2" x14ac:dyDescent="0.2">
      <c r="B746" s="154"/>
    </row>
    <row r="747" spans="2:2" x14ac:dyDescent="0.2">
      <c r="B747" s="154"/>
    </row>
    <row r="748" spans="2:2" x14ac:dyDescent="0.2">
      <c r="B748" s="154"/>
    </row>
    <row r="749" spans="2:2" x14ac:dyDescent="0.2">
      <c r="B749" s="154"/>
    </row>
    <row r="750" spans="2:2" x14ac:dyDescent="0.2">
      <c r="B750" s="154"/>
    </row>
    <row r="751" spans="2:2" x14ac:dyDescent="0.2">
      <c r="B751" s="154"/>
    </row>
    <row r="752" spans="2:2" x14ac:dyDescent="0.2">
      <c r="B752" s="154"/>
    </row>
    <row r="753" spans="2:2" x14ac:dyDescent="0.2">
      <c r="B753" s="154"/>
    </row>
    <row r="754" spans="2:2" x14ac:dyDescent="0.2">
      <c r="B754" s="154"/>
    </row>
    <row r="755" spans="2:2" x14ac:dyDescent="0.2">
      <c r="B755" s="154"/>
    </row>
    <row r="756" spans="2:2" x14ac:dyDescent="0.2">
      <c r="B756" s="154"/>
    </row>
    <row r="757" spans="2:2" x14ac:dyDescent="0.2">
      <c r="B757" s="154"/>
    </row>
    <row r="758" spans="2:2" x14ac:dyDescent="0.2">
      <c r="B758" s="154"/>
    </row>
    <row r="759" spans="2:2" x14ac:dyDescent="0.2">
      <c r="B759" s="154"/>
    </row>
    <row r="760" spans="2:2" x14ac:dyDescent="0.2">
      <c r="B760" s="154"/>
    </row>
    <row r="761" spans="2:2" x14ac:dyDescent="0.2">
      <c r="B761" s="154"/>
    </row>
    <row r="762" spans="2:2" x14ac:dyDescent="0.2">
      <c r="B762" s="154"/>
    </row>
    <row r="763" spans="2:2" x14ac:dyDescent="0.2">
      <c r="B763" s="154"/>
    </row>
    <row r="764" spans="2:2" x14ac:dyDescent="0.2">
      <c r="B764" s="154"/>
    </row>
    <row r="765" spans="2:2" x14ac:dyDescent="0.2">
      <c r="B765" s="154"/>
    </row>
    <row r="766" spans="2:2" x14ac:dyDescent="0.2">
      <c r="B766" s="154"/>
    </row>
    <row r="767" spans="2:2" x14ac:dyDescent="0.2">
      <c r="B767" s="154"/>
    </row>
    <row r="768" spans="2:2" x14ac:dyDescent="0.2">
      <c r="B768" s="154"/>
    </row>
    <row r="769" spans="2:2" x14ac:dyDescent="0.2">
      <c r="B769" s="154"/>
    </row>
    <row r="770" spans="2:2" x14ac:dyDescent="0.2">
      <c r="B770" s="154"/>
    </row>
    <row r="771" spans="2:2" x14ac:dyDescent="0.2">
      <c r="B771" s="154"/>
    </row>
    <row r="772" spans="2:2" x14ac:dyDescent="0.2">
      <c r="B772" s="154"/>
    </row>
    <row r="773" spans="2:2" x14ac:dyDescent="0.2">
      <c r="B773" s="154"/>
    </row>
    <row r="774" spans="2:2" x14ac:dyDescent="0.2">
      <c r="B774" s="154"/>
    </row>
    <row r="775" spans="2:2" x14ac:dyDescent="0.2">
      <c r="B775" s="154"/>
    </row>
    <row r="776" spans="2:2" x14ac:dyDescent="0.2">
      <c r="B776" s="154"/>
    </row>
    <row r="777" spans="2:2" x14ac:dyDescent="0.2">
      <c r="B777" s="154"/>
    </row>
    <row r="778" spans="2:2" x14ac:dyDescent="0.2">
      <c r="B778" s="154"/>
    </row>
    <row r="779" spans="2:2" x14ac:dyDescent="0.2">
      <c r="B779" s="154"/>
    </row>
    <row r="780" spans="2:2" x14ac:dyDescent="0.2">
      <c r="B780" s="154"/>
    </row>
    <row r="781" spans="2:2" x14ac:dyDescent="0.2">
      <c r="B781" s="154"/>
    </row>
    <row r="782" spans="2:2" x14ac:dyDescent="0.2">
      <c r="B782" s="154"/>
    </row>
    <row r="783" spans="2:2" x14ac:dyDescent="0.2">
      <c r="B783" s="154"/>
    </row>
    <row r="784" spans="2:2" x14ac:dyDescent="0.2">
      <c r="B784" s="154"/>
    </row>
    <row r="785" spans="2:2" x14ac:dyDescent="0.2">
      <c r="B785" s="154"/>
    </row>
    <row r="786" spans="2:2" x14ac:dyDescent="0.2">
      <c r="B786" s="154"/>
    </row>
    <row r="787" spans="2:2" x14ac:dyDescent="0.2">
      <c r="B787" s="154"/>
    </row>
    <row r="788" spans="2:2" x14ac:dyDescent="0.2">
      <c r="B788" s="154"/>
    </row>
    <row r="789" spans="2:2" x14ac:dyDescent="0.2">
      <c r="B789" s="154"/>
    </row>
    <row r="790" spans="2:2" x14ac:dyDescent="0.2">
      <c r="B790" s="154"/>
    </row>
    <row r="791" spans="2:2" x14ac:dyDescent="0.2">
      <c r="B791" s="154"/>
    </row>
    <row r="792" spans="2:2" x14ac:dyDescent="0.2">
      <c r="B792" s="154"/>
    </row>
    <row r="793" spans="2:2" x14ac:dyDescent="0.2">
      <c r="B793" s="154"/>
    </row>
    <row r="794" spans="2:2" x14ac:dyDescent="0.2">
      <c r="B794" s="154"/>
    </row>
    <row r="795" spans="2:2" x14ac:dyDescent="0.2">
      <c r="B795" s="154"/>
    </row>
    <row r="796" spans="2:2" x14ac:dyDescent="0.2">
      <c r="B796" s="154"/>
    </row>
    <row r="797" spans="2:2" x14ac:dyDescent="0.2">
      <c r="B797" s="154"/>
    </row>
    <row r="798" spans="2:2" x14ac:dyDescent="0.2">
      <c r="B798" s="154"/>
    </row>
    <row r="799" spans="2:2" x14ac:dyDescent="0.2">
      <c r="B799" s="154"/>
    </row>
    <row r="800" spans="2:2" x14ac:dyDescent="0.2">
      <c r="B800" s="154"/>
    </row>
    <row r="801" spans="2:2" x14ac:dyDescent="0.2">
      <c r="B801" s="154"/>
    </row>
    <row r="802" spans="2:2" x14ac:dyDescent="0.2">
      <c r="B802" s="154"/>
    </row>
    <row r="803" spans="2:2" x14ac:dyDescent="0.2">
      <c r="B803" s="154"/>
    </row>
    <row r="804" spans="2:2" x14ac:dyDescent="0.2">
      <c r="B804" s="154"/>
    </row>
    <row r="805" spans="2:2" x14ac:dyDescent="0.2">
      <c r="B805" s="154"/>
    </row>
    <row r="806" spans="2:2" x14ac:dyDescent="0.2">
      <c r="B806" s="154"/>
    </row>
    <row r="807" spans="2:2" x14ac:dyDescent="0.2">
      <c r="B807" s="154"/>
    </row>
    <row r="808" spans="2:2" x14ac:dyDescent="0.2">
      <c r="B808" s="154"/>
    </row>
    <row r="809" spans="2:2" x14ac:dyDescent="0.2">
      <c r="B809" s="154"/>
    </row>
    <row r="810" spans="2:2" x14ac:dyDescent="0.2">
      <c r="B810" s="154"/>
    </row>
    <row r="811" spans="2:2" x14ac:dyDescent="0.2">
      <c r="B811" s="154"/>
    </row>
    <row r="812" spans="2:2" x14ac:dyDescent="0.2">
      <c r="B812" s="154"/>
    </row>
    <row r="813" spans="2:2" x14ac:dyDescent="0.2">
      <c r="B813" s="154"/>
    </row>
    <row r="814" spans="2:2" x14ac:dyDescent="0.2">
      <c r="B814" s="154"/>
    </row>
    <row r="815" spans="2:2" x14ac:dyDescent="0.2">
      <c r="B815" s="154"/>
    </row>
    <row r="816" spans="2:2" x14ac:dyDescent="0.2">
      <c r="B816" s="154"/>
    </row>
    <row r="817" spans="2:2" x14ac:dyDescent="0.2">
      <c r="B817" s="154"/>
    </row>
    <row r="818" spans="2:2" x14ac:dyDescent="0.2">
      <c r="B818" s="154"/>
    </row>
    <row r="819" spans="2:2" x14ac:dyDescent="0.2">
      <c r="B819" s="154"/>
    </row>
    <row r="820" spans="2:2" x14ac:dyDescent="0.2">
      <c r="B820" s="154"/>
    </row>
    <row r="821" spans="2:2" x14ac:dyDescent="0.2">
      <c r="B821" s="154"/>
    </row>
    <row r="822" spans="2:2" x14ac:dyDescent="0.2">
      <c r="B822" s="154"/>
    </row>
    <row r="823" spans="2:2" x14ac:dyDescent="0.2">
      <c r="B823" s="154"/>
    </row>
    <row r="824" spans="2:2" x14ac:dyDescent="0.2">
      <c r="B824" s="154"/>
    </row>
    <row r="825" spans="2:2" x14ac:dyDescent="0.2">
      <c r="B825" s="154"/>
    </row>
    <row r="826" spans="2:2" x14ac:dyDescent="0.2">
      <c r="B826" s="154"/>
    </row>
    <row r="827" spans="2:2" x14ac:dyDescent="0.2">
      <c r="B827" s="154"/>
    </row>
    <row r="828" spans="2:2" x14ac:dyDescent="0.2">
      <c r="B828" s="154"/>
    </row>
    <row r="829" spans="2:2" x14ac:dyDescent="0.2">
      <c r="B829" s="154"/>
    </row>
    <row r="830" spans="2:2" x14ac:dyDescent="0.2">
      <c r="B830" s="154"/>
    </row>
    <row r="831" spans="2:2" x14ac:dyDescent="0.2">
      <c r="B831" s="154"/>
    </row>
    <row r="832" spans="2:2" x14ac:dyDescent="0.2">
      <c r="B832" s="154"/>
    </row>
    <row r="833" spans="2:2" x14ac:dyDescent="0.2">
      <c r="B833" s="154"/>
    </row>
    <row r="834" spans="2:2" x14ac:dyDescent="0.2">
      <c r="B834" s="154"/>
    </row>
    <row r="835" spans="2:2" x14ac:dyDescent="0.2">
      <c r="B835" s="154"/>
    </row>
    <row r="836" spans="2:2" x14ac:dyDescent="0.2">
      <c r="B836" s="154"/>
    </row>
    <row r="837" spans="2:2" x14ac:dyDescent="0.2">
      <c r="B837" s="154"/>
    </row>
    <row r="838" spans="2:2" x14ac:dyDescent="0.2">
      <c r="B838" s="154"/>
    </row>
    <row r="839" spans="2:2" x14ac:dyDescent="0.2">
      <c r="B839" s="154"/>
    </row>
    <row r="840" spans="2:2" x14ac:dyDescent="0.2">
      <c r="B840" s="154"/>
    </row>
    <row r="841" spans="2:2" x14ac:dyDescent="0.2">
      <c r="B841" s="154"/>
    </row>
    <row r="842" spans="2:2" x14ac:dyDescent="0.2">
      <c r="B842" s="154"/>
    </row>
    <row r="843" spans="2:2" x14ac:dyDescent="0.2">
      <c r="B843" s="154"/>
    </row>
    <row r="844" spans="2:2" x14ac:dyDescent="0.2">
      <c r="B844" s="154"/>
    </row>
    <row r="845" spans="2:2" x14ac:dyDescent="0.2">
      <c r="B845" s="154"/>
    </row>
    <row r="846" spans="2:2" x14ac:dyDescent="0.2">
      <c r="B846" s="154"/>
    </row>
    <row r="847" spans="2:2" x14ac:dyDescent="0.2">
      <c r="B847" s="154"/>
    </row>
    <row r="848" spans="2:2" x14ac:dyDescent="0.2">
      <c r="B848" s="154"/>
    </row>
    <row r="849" spans="2:2" x14ac:dyDescent="0.2">
      <c r="B849" s="154"/>
    </row>
    <row r="850" spans="2:2" x14ac:dyDescent="0.2">
      <c r="B850" s="154"/>
    </row>
    <row r="851" spans="2:2" x14ac:dyDescent="0.2">
      <c r="B851" s="154"/>
    </row>
    <row r="852" spans="2:2" x14ac:dyDescent="0.2">
      <c r="B852" s="154"/>
    </row>
    <row r="853" spans="2:2" x14ac:dyDescent="0.2">
      <c r="B853" s="154"/>
    </row>
    <row r="854" spans="2:2" x14ac:dyDescent="0.2">
      <c r="B854" s="154"/>
    </row>
    <row r="855" spans="2:2" x14ac:dyDescent="0.2">
      <c r="B855" s="154"/>
    </row>
    <row r="856" spans="2:2" x14ac:dyDescent="0.2">
      <c r="B856" s="154"/>
    </row>
    <row r="857" spans="2:2" x14ac:dyDescent="0.2">
      <c r="B857" s="154"/>
    </row>
    <row r="858" spans="2:2" x14ac:dyDescent="0.2">
      <c r="B858" s="154"/>
    </row>
    <row r="859" spans="2:2" x14ac:dyDescent="0.2">
      <c r="B859" s="154"/>
    </row>
    <row r="860" spans="2:2" x14ac:dyDescent="0.2">
      <c r="B860" s="154"/>
    </row>
    <row r="861" spans="2:2" x14ac:dyDescent="0.2">
      <c r="B861" s="154"/>
    </row>
    <row r="862" spans="2:2" x14ac:dyDescent="0.2">
      <c r="B862" s="154"/>
    </row>
    <row r="863" spans="2:2" x14ac:dyDescent="0.2">
      <c r="B863" s="154"/>
    </row>
    <row r="864" spans="2:2" x14ac:dyDescent="0.2">
      <c r="B864" s="154"/>
    </row>
    <row r="865" spans="2:2" x14ac:dyDescent="0.2">
      <c r="B865" s="154"/>
    </row>
    <row r="866" spans="2:2" x14ac:dyDescent="0.2">
      <c r="B866" s="154"/>
    </row>
    <row r="867" spans="2:2" x14ac:dyDescent="0.2">
      <c r="B867" s="154"/>
    </row>
    <row r="868" spans="2:2" x14ac:dyDescent="0.2">
      <c r="B868" s="154"/>
    </row>
    <row r="869" spans="2:2" x14ac:dyDescent="0.2">
      <c r="B869" s="154"/>
    </row>
    <row r="870" spans="2:2" x14ac:dyDescent="0.2">
      <c r="B870" s="154"/>
    </row>
    <row r="871" spans="2:2" x14ac:dyDescent="0.2">
      <c r="B871" s="154"/>
    </row>
    <row r="872" spans="2:2" x14ac:dyDescent="0.2">
      <c r="B872" s="154"/>
    </row>
    <row r="873" spans="2:2" x14ac:dyDescent="0.2">
      <c r="B873" s="154"/>
    </row>
    <row r="874" spans="2:2" x14ac:dyDescent="0.2">
      <c r="B874" s="154"/>
    </row>
    <row r="875" spans="2:2" x14ac:dyDescent="0.2">
      <c r="B875" s="154"/>
    </row>
    <row r="876" spans="2:2" x14ac:dyDescent="0.2">
      <c r="B876" s="154"/>
    </row>
    <row r="877" spans="2:2" x14ac:dyDescent="0.2">
      <c r="B877" s="154"/>
    </row>
    <row r="878" spans="2:2" x14ac:dyDescent="0.2">
      <c r="B878" s="154"/>
    </row>
    <row r="879" spans="2:2" x14ac:dyDescent="0.2">
      <c r="B879" s="154"/>
    </row>
    <row r="880" spans="2:2" x14ac:dyDescent="0.2">
      <c r="B880" s="154"/>
    </row>
    <row r="881" spans="2:2" x14ac:dyDescent="0.2">
      <c r="B881" s="154"/>
    </row>
    <row r="882" spans="2:2" x14ac:dyDescent="0.2">
      <c r="B882" s="154"/>
    </row>
    <row r="883" spans="2:2" x14ac:dyDescent="0.2">
      <c r="B883" s="154"/>
    </row>
    <row r="884" spans="2:2" x14ac:dyDescent="0.2">
      <c r="B884" s="154"/>
    </row>
    <row r="885" spans="2:2" x14ac:dyDescent="0.2">
      <c r="B885" s="154"/>
    </row>
    <row r="886" spans="2:2" x14ac:dyDescent="0.2">
      <c r="B886" s="154"/>
    </row>
    <row r="887" spans="2:2" x14ac:dyDescent="0.2">
      <c r="B887" s="154"/>
    </row>
    <row r="888" spans="2:2" x14ac:dyDescent="0.2">
      <c r="B888" s="154"/>
    </row>
    <row r="889" spans="2:2" x14ac:dyDescent="0.2">
      <c r="B889" s="154"/>
    </row>
    <row r="890" spans="2:2" x14ac:dyDescent="0.2">
      <c r="B890" s="154"/>
    </row>
    <row r="891" spans="2:2" x14ac:dyDescent="0.2">
      <c r="B891" s="154"/>
    </row>
    <row r="892" spans="2:2" x14ac:dyDescent="0.2">
      <c r="B892" s="154"/>
    </row>
    <row r="893" spans="2:2" x14ac:dyDescent="0.2">
      <c r="B893" s="154"/>
    </row>
    <row r="894" spans="2:2" x14ac:dyDescent="0.2">
      <c r="B894" s="154"/>
    </row>
    <row r="895" spans="2:2" x14ac:dyDescent="0.2">
      <c r="B895" s="154"/>
    </row>
    <row r="896" spans="2:2" x14ac:dyDescent="0.2">
      <c r="B896" s="154"/>
    </row>
    <row r="897" spans="2:2" x14ac:dyDescent="0.2">
      <c r="B897" s="154"/>
    </row>
    <row r="898" spans="2:2" x14ac:dyDescent="0.2">
      <c r="B898" s="154"/>
    </row>
    <row r="899" spans="2:2" x14ac:dyDescent="0.2">
      <c r="B899" s="154"/>
    </row>
    <row r="900" spans="2:2" x14ac:dyDescent="0.2">
      <c r="B900" s="154"/>
    </row>
    <row r="901" spans="2:2" x14ac:dyDescent="0.2">
      <c r="B901" s="154"/>
    </row>
    <row r="902" spans="2:2" x14ac:dyDescent="0.2">
      <c r="B902" s="154"/>
    </row>
    <row r="903" spans="2:2" x14ac:dyDescent="0.2">
      <c r="B903" s="154"/>
    </row>
    <row r="904" spans="2:2" x14ac:dyDescent="0.2">
      <c r="B904" s="154"/>
    </row>
    <row r="905" spans="2:2" x14ac:dyDescent="0.2">
      <c r="B905" s="154"/>
    </row>
    <row r="906" spans="2:2" x14ac:dyDescent="0.2">
      <c r="B906" s="154"/>
    </row>
    <row r="907" spans="2:2" x14ac:dyDescent="0.2">
      <c r="B907" s="154"/>
    </row>
    <row r="908" spans="2:2" x14ac:dyDescent="0.2">
      <c r="B908" s="154"/>
    </row>
    <row r="909" spans="2:2" x14ac:dyDescent="0.2">
      <c r="B909" s="154"/>
    </row>
    <row r="910" spans="2:2" x14ac:dyDescent="0.2">
      <c r="B910" s="154"/>
    </row>
    <row r="911" spans="2:2" x14ac:dyDescent="0.2">
      <c r="B911" s="154"/>
    </row>
    <row r="912" spans="2:2" x14ac:dyDescent="0.2">
      <c r="B912" s="154"/>
    </row>
    <row r="913" spans="2:2" x14ac:dyDescent="0.2">
      <c r="B913" s="154"/>
    </row>
    <row r="914" spans="2:2" x14ac:dyDescent="0.2">
      <c r="B914" s="154"/>
    </row>
    <row r="915" spans="2:2" x14ac:dyDescent="0.2">
      <c r="B915" s="154"/>
    </row>
    <row r="916" spans="2:2" x14ac:dyDescent="0.2">
      <c r="B916" s="154"/>
    </row>
    <row r="917" spans="2:2" x14ac:dyDescent="0.2">
      <c r="B917" s="154"/>
    </row>
    <row r="918" spans="2:2" x14ac:dyDescent="0.2">
      <c r="B918" s="154"/>
    </row>
    <row r="919" spans="2:2" x14ac:dyDescent="0.2">
      <c r="B919" s="154"/>
    </row>
    <row r="920" spans="2:2" x14ac:dyDescent="0.2">
      <c r="B920" s="154"/>
    </row>
    <row r="921" spans="2:2" x14ac:dyDescent="0.2">
      <c r="B921" s="154"/>
    </row>
    <row r="922" spans="2:2" x14ac:dyDescent="0.2">
      <c r="B922" s="154"/>
    </row>
    <row r="923" spans="2:2" x14ac:dyDescent="0.2">
      <c r="B923" s="154"/>
    </row>
    <row r="924" spans="2:2" x14ac:dyDescent="0.2">
      <c r="B924" s="154"/>
    </row>
    <row r="925" spans="2:2" x14ac:dyDescent="0.2">
      <c r="B925" s="154"/>
    </row>
    <row r="926" spans="2:2" x14ac:dyDescent="0.2">
      <c r="B926" s="154"/>
    </row>
    <row r="927" spans="2:2" x14ac:dyDescent="0.2">
      <c r="B927" s="154"/>
    </row>
    <row r="928" spans="2:2" x14ac:dyDescent="0.2">
      <c r="B928" s="154"/>
    </row>
    <row r="929" spans="2:2" x14ac:dyDescent="0.2">
      <c r="B929" s="154"/>
    </row>
    <row r="930" spans="2:2" x14ac:dyDescent="0.2">
      <c r="B930" s="154"/>
    </row>
    <row r="931" spans="2:2" x14ac:dyDescent="0.2">
      <c r="B931" s="154"/>
    </row>
    <row r="932" spans="2:2" x14ac:dyDescent="0.2">
      <c r="B932" s="154"/>
    </row>
    <row r="933" spans="2:2" x14ac:dyDescent="0.2">
      <c r="B933" s="154"/>
    </row>
    <row r="934" spans="2:2" x14ac:dyDescent="0.2">
      <c r="B934" s="154"/>
    </row>
    <row r="935" spans="2:2" x14ac:dyDescent="0.2">
      <c r="B935" s="154"/>
    </row>
    <row r="936" spans="2:2" x14ac:dyDescent="0.2">
      <c r="B936" s="154"/>
    </row>
    <row r="937" spans="2:2" x14ac:dyDescent="0.2">
      <c r="B937" s="154"/>
    </row>
    <row r="938" spans="2:2" x14ac:dyDescent="0.2">
      <c r="B938" s="154"/>
    </row>
    <row r="939" spans="2:2" x14ac:dyDescent="0.2">
      <c r="B939" s="154"/>
    </row>
    <row r="940" spans="2:2" x14ac:dyDescent="0.2">
      <c r="B940" s="154"/>
    </row>
    <row r="941" spans="2:2" x14ac:dyDescent="0.2">
      <c r="B941" s="154"/>
    </row>
    <row r="942" spans="2:2" x14ac:dyDescent="0.2">
      <c r="B942" s="154"/>
    </row>
    <row r="943" spans="2:2" x14ac:dyDescent="0.2">
      <c r="B943" s="154"/>
    </row>
    <row r="944" spans="2:2" x14ac:dyDescent="0.2">
      <c r="B944" s="154"/>
    </row>
    <row r="945" spans="2:2" x14ac:dyDescent="0.2">
      <c r="B945" s="154"/>
    </row>
    <row r="946" spans="2:2" x14ac:dyDescent="0.2">
      <c r="B946" s="154"/>
    </row>
    <row r="947" spans="2:2" x14ac:dyDescent="0.2">
      <c r="B947" s="154"/>
    </row>
    <row r="948" spans="2:2" x14ac:dyDescent="0.2">
      <c r="B948" s="154"/>
    </row>
    <row r="949" spans="2:2" x14ac:dyDescent="0.2">
      <c r="B949" s="154"/>
    </row>
    <row r="950" spans="2:2" x14ac:dyDescent="0.2">
      <c r="B950" s="154"/>
    </row>
    <row r="951" spans="2:2" x14ac:dyDescent="0.2">
      <c r="B951" s="154"/>
    </row>
    <row r="952" spans="2:2" x14ac:dyDescent="0.2">
      <c r="B952" s="154"/>
    </row>
    <row r="953" spans="2:2" x14ac:dyDescent="0.2">
      <c r="B953" s="154"/>
    </row>
    <row r="954" spans="2:2" x14ac:dyDescent="0.2">
      <c r="B954" s="154"/>
    </row>
    <row r="955" spans="2:2" x14ac:dyDescent="0.2">
      <c r="B955" s="154"/>
    </row>
    <row r="956" spans="2:2" x14ac:dyDescent="0.2">
      <c r="B956" s="154"/>
    </row>
    <row r="957" spans="2:2" x14ac:dyDescent="0.2">
      <c r="B957" s="154"/>
    </row>
    <row r="958" spans="2:2" x14ac:dyDescent="0.2">
      <c r="B958" s="154"/>
    </row>
    <row r="959" spans="2:2" x14ac:dyDescent="0.2">
      <c r="B959" s="154"/>
    </row>
    <row r="960" spans="2:2" x14ac:dyDescent="0.2">
      <c r="B960" s="154"/>
    </row>
    <row r="961" spans="2:2" x14ac:dyDescent="0.2">
      <c r="B961" s="154"/>
    </row>
    <row r="962" spans="2:2" x14ac:dyDescent="0.2">
      <c r="B962" s="154"/>
    </row>
    <row r="963" spans="2:2" x14ac:dyDescent="0.2">
      <c r="B963" s="154"/>
    </row>
    <row r="964" spans="2:2" x14ac:dyDescent="0.2">
      <c r="B964" s="154"/>
    </row>
    <row r="965" spans="2:2" x14ac:dyDescent="0.2">
      <c r="B965" s="154"/>
    </row>
    <row r="966" spans="2:2" x14ac:dyDescent="0.2">
      <c r="B966" s="154"/>
    </row>
    <row r="967" spans="2:2" x14ac:dyDescent="0.2">
      <c r="B967" s="154"/>
    </row>
    <row r="968" spans="2:2" x14ac:dyDescent="0.2">
      <c r="B968" s="154"/>
    </row>
    <row r="969" spans="2:2" x14ac:dyDescent="0.2">
      <c r="B969" s="154"/>
    </row>
    <row r="970" spans="2:2" x14ac:dyDescent="0.2">
      <c r="B970" s="154"/>
    </row>
    <row r="971" spans="2:2" x14ac:dyDescent="0.2">
      <c r="B971" s="154"/>
    </row>
    <row r="972" spans="2:2" x14ac:dyDescent="0.2">
      <c r="B972" s="154"/>
    </row>
    <row r="973" spans="2:2" x14ac:dyDescent="0.2">
      <c r="B973" s="154"/>
    </row>
    <row r="974" spans="2:2" x14ac:dyDescent="0.2">
      <c r="B974" s="154"/>
    </row>
    <row r="975" spans="2:2" x14ac:dyDescent="0.2">
      <c r="B975" s="154"/>
    </row>
    <row r="976" spans="2:2" x14ac:dyDescent="0.2">
      <c r="B976" s="154"/>
    </row>
    <row r="977" spans="2:2" x14ac:dyDescent="0.2">
      <c r="B977" s="154"/>
    </row>
    <row r="978" spans="2:2" x14ac:dyDescent="0.2">
      <c r="B978" s="154"/>
    </row>
    <row r="979" spans="2:2" x14ac:dyDescent="0.2">
      <c r="B979" s="154"/>
    </row>
    <row r="980" spans="2:2" x14ac:dyDescent="0.2">
      <c r="B980" s="154"/>
    </row>
    <row r="981" spans="2:2" x14ac:dyDescent="0.2">
      <c r="B981" s="154"/>
    </row>
    <row r="982" spans="2:2" x14ac:dyDescent="0.2">
      <c r="B982" s="154"/>
    </row>
    <row r="983" spans="2:2" x14ac:dyDescent="0.2">
      <c r="B983" s="154"/>
    </row>
    <row r="984" spans="2:2" x14ac:dyDescent="0.2">
      <c r="B984" s="154"/>
    </row>
    <row r="985" spans="2:2" x14ac:dyDescent="0.2">
      <c r="B985" s="154"/>
    </row>
    <row r="986" spans="2:2" x14ac:dyDescent="0.2">
      <c r="B986" s="154"/>
    </row>
    <row r="987" spans="2:2" x14ac:dyDescent="0.2">
      <c r="B987" s="154"/>
    </row>
    <row r="988" spans="2:2" x14ac:dyDescent="0.2">
      <c r="B988" s="154"/>
    </row>
    <row r="989" spans="2:2" x14ac:dyDescent="0.2">
      <c r="B989" s="154"/>
    </row>
    <row r="990" spans="2:2" x14ac:dyDescent="0.2">
      <c r="B990" s="154"/>
    </row>
    <row r="991" spans="2:2" x14ac:dyDescent="0.2">
      <c r="B991" s="154"/>
    </row>
    <row r="992" spans="2:2" x14ac:dyDescent="0.2">
      <c r="B992" s="154"/>
    </row>
    <row r="993" spans="2:2" x14ac:dyDescent="0.2">
      <c r="B993" s="154"/>
    </row>
    <row r="994" spans="2:2" x14ac:dyDescent="0.2">
      <c r="B994" s="154"/>
    </row>
    <row r="995" spans="2:2" x14ac:dyDescent="0.2">
      <c r="B995" s="154"/>
    </row>
    <row r="996" spans="2:2" x14ac:dyDescent="0.2">
      <c r="B996" s="154"/>
    </row>
    <row r="997" spans="2:2" x14ac:dyDescent="0.2">
      <c r="B997" s="154"/>
    </row>
    <row r="998" spans="2:2" x14ac:dyDescent="0.2">
      <c r="B998" s="154"/>
    </row>
    <row r="999" spans="2:2" x14ac:dyDescent="0.2">
      <c r="B999" s="154"/>
    </row>
    <row r="1000" spans="2:2" x14ac:dyDescent="0.2">
      <c r="B1000" s="154"/>
    </row>
    <row r="1001" spans="2:2" x14ac:dyDescent="0.2">
      <c r="B1001" s="154"/>
    </row>
    <row r="1002" spans="2:2" x14ac:dyDescent="0.2">
      <c r="B1002" s="154"/>
    </row>
    <row r="1003" spans="2:2" x14ac:dyDescent="0.2">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heetViews>
  <sheetFormatPr defaultRowHeight="14.25" x14ac:dyDescent="0.2"/>
  <cols>
    <col min="57" max="57" width="0" hidden="1" customWidth="1"/>
  </cols>
  <sheetData>
    <row r="2" spans="1:9" ht="15" x14ac:dyDescent="0.25">
      <c r="A2" s="2" t="s">
        <v>882</v>
      </c>
    </row>
    <row r="3" spans="1:9" x14ac:dyDescent="0.2">
      <c r="A3" s="279" t="s">
        <v>1189</v>
      </c>
    </row>
    <row r="4" spans="1:9" x14ac:dyDescent="0.2">
      <c r="A4" s="9"/>
      <c r="B4" s="9"/>
      <c r="C4" s="9"/>
      <c r="D4" s="9"/>
      <c r="E4" s="9"/>
      <c r="F4" s="9"/>
      <c r="G4" s="9"/>
      <c r="H4" s="9"/>
      <c r="I4" s="9"/>
    </row>
    <row r="5" spans="1:9" ht="15" x14ac:dyDescent="0.25">
      <c r="A5" s="2" t="s">
        <v>27</v>
      </c>
      <c r="C5" s="347" t="s">
        <v>875</v>
      </c>
      <c r="D5" s="348"/>
      <c r="E5" s="348"/>
      <c r="F5" s="348"/>
      <c r="G5" s="349"/>
    </row>
    <row r="7" spans="1:9" ht="15" x14ac:dyDescent="0.25">
      <c r="A7" s="2" t="s">
        <v>28</v>
      </c>
      <c r="C7" s="347" t="s">
        <v>904</v>
      </c>
      <c r="D7" s="348"/>
      <c r="E7" s="348"/>
      <c r="F7" s="348"/>
      <c r="G7" s="349"/>
    </row>
    <row r="8" spans="1:9" x14ac:dyDescent="0.2">
      <c r="A8" s="9"/>
      <c r="B8" s="9"/>
      <c r="C8" s="9"/>
      <c r="D8" s="9"/>
      <c r="E8" s="9"/>
      <c r="F8" s="9"/>
      <c r="G8" s="9"/>
      <c r="H8" s="9"/>
      <c r="I8" s="9"/>
    </row>
    <row r="9" spans="1:9" x14ac:dyDescent="0.2">
      <c r="A9" s="3"/>
      <c r="B9" s="3"/>
      <c r="C9" s="3"/>
      <c r="D9" s="3"/>
      <c r="E9" s="3"/>
      <c r="F9" s="3"/>
      <c r="G9" s="3"/>
      <c r="H9" s="3"/>
      <c r="I9" s="3"/>
    </row>
    <row r="10" spans="1:9" ht="15" x14ac:dyDescent="0.25">
      <c r="A10" s="2" t="s">
        <v>51</v>
      </c>
      <c r="I10" s="4"/>
    </row>
    <row r="11" spans="1:9" x14ac:dyDescent="0.2">
      <c r="A11" s="350" t="s">
        <v>934</v>
      </c>
      <c r="B11" s="350"/>
      <c r="C11" s="350"/>
      <c r="D11" s="350"/>
      <c r="E11" s="350"/>
      <c r="F11" s="350"/>
      <c r="G11" s="350"/>
      <c r="H11" s="350"/>
      <c r="I11" s="212">
        <v>1</v>
      </c>
    </row>
    <row r="12" spans="1:9" x14ac:dyDescent="0.2">
      <c r="I12" s="4"/>
    </row>
    <row r="13" spans="1:9" ht="15" x14ac:dyDescent="0.25">
      <c r="A13" s="350" t="s">
        <v>427</v>
      </c>
      <c r="B13" s="350"/>
      <c r="C13" s="350"/>
      <c r="D13" s="350"/>
      <c r="E13" s="350"/>
      <c r="F13" s="350"/>
      <c r="G13" s="350"/>
      <c r="H13" s="350"/>
      <c r="I13" s="212" t="s">
        <v>22</v>
      </c>
    </row>
    <row r="14" spans="1:9" x14ac:dyDescent="0.2">
      <c r="I14" s="4"/>
    </row>
    <row r="15" spans="1:9" ht="15" x14ac:dyDescent="0.25">
      <c r="A15" s="350" t="s">
        <v>428</v>
      </c>
      <c r="B15" s="350"/>
      <c r="C15" s="350"/>
      <c r="D15" s="350"/>
      <c r="E15" s="350"/>
      <c r="F15" s="350"/>
      <c r="G15" s="350"/>
      <c r="H15" s="350"/>
      <c r="I15" s="212" t="s">
        <v>22</v>
      </c>
    </row>
    <row r="16" spans="1:9" x14ac:dyDescent="0.2">
      <c r="I16" s="4"/>
    </row>
    <row r="17" spans="1:9" x14ac:dyDescent="0.2">
      <c r="A17" s="350" t="s">
        <v>29</v>
      </c>
      <c r="B17" s="350"/>
      <c r="C17" s="350"/>
      <c r="D17" s="350"/>
      <c r="E17" s="350"/>
      <c r="F17" s="350"/>
      <c r="G17" s="350"/>
      <c r="H17" s="350"/>
      <c r="I17" s="212" t="s">
        <v>19</v>
      </c>
    </row>
    <row r="18" spans="1:9" x14ac:dyDescent="0.2">
      <c r="I18" s="4"/>
    </row>
    <row r="19" spans="1:9" x14ac:dyDescent="0.2">
      <c r="A19" s="350" t="s">
        <v>30</v>
      </c>
      <c r="B19" s="350"/>
      <c r="C19" s="350"/>
      <c r="D19" s="350"/>
      <c r="E19" s="350"/>
      <c r="F19" s="350"/>
      <c r="G19" s="350"/>
      <c r="H19" s="350"/>
      <c r="I19" s="212">
        <v>65</v>
      </c>
    </row>
    <row r="21" spans="1:9" x14ac:dyDescent="0.2">
      <c r="A21" t="s">
        <v>65</v>
      </c>
    </row>
    <row r="22" spans="1:9" x14ac:dyDescent="0.2">
      <c r="A22" s="143">
        <v>1</v>
      </c>
      <c r="B22" s="164" t="s">
        <v>59</v>
      </c>
    </row>
    <row r="23" spans="1:9" x14ac:dyDescent="0.2">
      <c r="A23" s="143">
        <v>2</v>
      </c>
      <c r="B23" s="164" t="s">
        <v>60</v>
      </c>
    </row>
    <row r="24" spans="1:9" x14ac:dyDescent="0.2">
      <c r="A24" s="143">
        <v>3</v>
      </c>
      <c r="B24" s="164" t="s">
        <v>61</v>
      </c>
    </row>
    <row r="26" spans="1:9" x14ac:dyDescent="0.2">
      <c r="G26" s="355" t="s">
        <v>935</v>
      </c>
      <c r="H26" s="355"/>
      <c r="I26" s="355"/>
    </row>
    <row r="27" spans="1:9" ht="19.5" customHeight="1" x14ac:dyDescent="0.2">
      <c r="A27" s="351" t="s">
        <v>31</v>
      </c>
      <c r="B27" s="352"/>
      <c r="C27" s="353" t="s">
        <v>32</v>
      </c>
      <c r="D27" s="354"/>
      <c r="E27" s="354"/>
      <c r="F27" s="354"/>
      <c r="G27" s="346">
        <v>0</v>
      </c>
      <c r="H27" s="346"/>
      <c r="I27" s="346"/>
    </row>
    <row r="28" spans="1:9" ht="19.5" hidden="1" customHeight="1" x14ac:dyDescent="0.2">
      <c r="A28" s="351" t="s">
        <v>33</v>
      </c>
      <c r="B28" s="352"/>
      <c r="C28" s="353" t="s">
        <v>34</v>
      </c>
      <c r="D28" s="354"/>
      <c r="E28" s="354"/>
      <c r="F28" s="354"/>
      <c r="G28" s="346">
        <v>0</v>
      </c>
      <c r="H28" s="346"/>
      <c r="I28" s="346"/>
    </row>
    <row r="29" spans="1:9" ht="19.5" hidden="1" customHeight="1" x14ac:dyDescent="0.2">
      <c r="A29" s="351" t="s">
        <v>35</v>
      </c>
      <c r="B29" s="352"/>
      <c r="C29" s="353" t="s">
        <v>36</v>
      </c>
      <c r="D29" s="354"/>
      <c r="E29" s="354"/>
      <c r="F29" s="354"/>
      <c r="G29" s="346">
        <v>0</v>
      </c>
      <c r="H29" s="346"/>
      <c r="I29" s="346"/>
    </row>
    <row r="30" spans="1:9" ht="19.5" hidden="1" customHeight="1" x14ac:dyDescent="0.2">
      <c r="A30" s="351" t="s">
        <v>37</v>
      </c>
      <c r="B30" s="352"/>
      <c r="C30" s="353" t="s">
        <v>38</v>
      </c>
      <c r="D30" s="354"/>
      <c r="E30" s="354"/>
      <c r="F30" s="354"/>
      <c r="G30" s="346">
        <v>0</v>
      </c>
      <c r="H30" s="346"/>
      <c r="I30" s="346"/>
    </row>
    <row r="31" spans="1:9" ht="19.5" hidden="1" customHeight="1" x14ac:dyDescent="0.2">
      <c r="A31" s="351" t="s">
        <v>39</v>
      </c>
      <c r="B31" s="352"/>
      <c r="C31" s="353" t="s">
        <v>40</v>
      </c>
      <c r="D31" s="354"/>
      <c r="E31" s="354"/>
      <c r="F31" s="354"/>
      <c r="G31" s="346">
        <v>0</v>
      </c>
      <c r="H31" s="346"/>
      <c r="I31" s="346"/>
    </row>
    <row r="32" spans="1:9" ht="19.5" hidden="1" customHeight="1" x14ac:dyDescent="0.2">
      <c r="A32" s="351" t="s">
        <v>41</v>
      </c>
      <c r="B32" s="352"/>
      <c r="C32" s="353" t="s">
        <v>42</v>
      </c>
      <c r="D32" s="354"/>
      <c r="E32" s="354"/>
      <c r="F32" s="354"/>
      <c r="G32" s="346">
        <v>0</v>
      </c>
      <c r="H32" s="346"/>
      <c r="I32" s="346"/>
    </row>
    <row r="33" spans="1:9" ht="19.5" hidden="1" customHeight="1" x14ac:dyDescent="0.2">
      <c r="A33" s="351" t="s">
        <v>43</v>
      </c>
      <c r="B33" s="352"/>
      <c r="C33" s="353" t="s">
        <v>44</v>
      </c>
      <c r="D33" s="354"/>
      <c r="E33" s="354"/>
      <c r="F33" s="354"/>
      <c r="G33" s="346">
        <v>0</v>
      </c>
      <c r="H33" s="346"/>
      <c r="I33" s="346"/>
    </row>
    <row r="34" spans="1:9" ht="19.5" hidden="1" customHeight="1" x14ac:dyDescent="0.2">
      <c r="A34" s="351" t="s">
        <v>45</v>
      </c>
      <c r="B34" s="352"/>
      <c r="C34" s="353" t="s">
        <v>46</v>
      </c>
      <c r="D34" s="354"/>
      <c r="E34" s="354"/>
      <c r="F34" s="354"/>
      <c r="G34" s="346">
        <v>0</v>
      </c>
      <c r="H34" s="346"/>
      <c r="I34" s="346"/>
    </row>
    <row r="35" spans="1:9" ht="19.5" hidden="1" customHeight="1" x14ac:dyDescent="0.2">
      <c r="A35" s="351" t="s">
        <v>47</v>
      </c>
      <c r="B35" s="352"/>
      <c r="C35" s="353" t="s">
        <v>48</v>
      </c>
      <c r="D35" s="354"/>
      <c r="E35" s="354"/>
      <c r="F35" s="354"/>
      <c r="G35" s="346">
        <v>0</v>
      </c>
      <c r="H35" s="346"/>
      <c r="I35" s="346"/>
    </row>
    <row r="36" spans="1:9" ht="19.5" hidden="1" customHeight="1" x14ac:dyDescent="0.2">
      <c r="A36" s="351" t="s">
        <v>49</v>
      </c>
      <c r="B36" s="352"/>
      <c r="C36" s="353" t="s">
        <v>50</v>
      </c>
      <c r="D36" s="354"/>
      <c r="E36" s="354"/>
      <c r="F36" s="354"/>
      <c r="G36" s="346">
        <v>0</v>
      </c>
      <c r="H36" s="346"/>
      <c r="I36" s="346"/>
    </row>
  </sheetData>
  <sheetProtection algorithmName="SHA-512" hashValue="yPVG5egJgp0C5QaCvPkjUxAdRPeDIVKsCcELIgEVhAoF+uv0lD4iQ6rUyawOHgXb48jMZtfigsz1nMU66SThBw==" saltValue="8AaW88kC/pu7wiOfqrYYd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H21" sqref="BH21"/>
    </sheetView>
  </sheetViews>
  <sheetFormatPr defaultRowHeight="14.25" x14ac:dyDescent="0.2"/>
  <cols>
    <col min="1" max="1" width="9" hidden="1" customWidth="1"/>
    <col min="2" max="3" width="12.625" customWidth="1"/>
    <col min="4" max="4" width="12.625" hidden="1" customWidth="1"/>
    <col min="5" max="7" width="10.625" customWidth="1"/>
    <col min="8" max="53" width="10.625" hidden="1" customWidth="1"/>
    <col min="54" max="54" width="9" hidden="1" customWidth="1"/>
    <col min="55" max="55" width="9.125" customWidth="1"/>
    <col min="56" max="56" width="9.125" hidden="1" customWidth="1"/>
    <col min="59" max="59" width="9.875" bestFit="1" customWidth="1"/>
  </cols>
  <sheetData>
    <row r="1" spans="1:57" x14ac:dyDescent="0.2">
      <c r="A1" t="s">
        <v>53</v>
      </c>
    </row>
    <row r="2" spans="1:57" x14ac:dyDescent="0.2">
      <c r="B2" t="s">
        <v>105</v>
      </c>
    </row>
    <row r="3" spans="1:57" x14ac:dyDescent="0.2">
      <c r="A3" t="s">
        <v>55</v>
      </c>
      <c r="B3" t="s">
        <v>114</v>
      </c>
    </row>
    <row r="5" spans="1:57" x14ac:dyDescent="0.2">
      <c r="A5" t="s">
        <v>54</v>
      </c>
    </row>
    <row r="6" spans="1:57" x14ac:dyDescent="0.2">
      <c r="A6">
        <f ca="1">MAX(A13:A272)</f>
        <v>1</v>
      </c>
      <c r="B6" t="s">
        <v>68</v>
      </c>
      <c r="C6" s="268"/>
    </row>
    <row r="7" spans="1:57" ht="14.25" hidden="1" customHeight="1" x14ac:dyDescent="0.2">
      <c r="B7" t="s">
        <v>885</v>
      </c>
      <c r="D7" t="s">
        <v>56</v>
      </c>
      <c r="E7" s="164">
        <v>0</v>
      </c>
    </row>
    <row r="10" spans="1:57" x14ac:dyDescent="0.2">
      <c r="B10" s="357" t="s">
        <v>130</v>
      </c>
      <c r="C10" s="357" t="s">
        <v>57</v>
      </c>
      <c r="D10" s="357" t="s">
        <v>1</v>
      </c>
      <c r="E10" s="271" t="str">
        <f ca="1">OFFSET('Control sheet (hide)'!$AA$3,QUOTIENT(COLUMN(Demand!E9)-4,5),0,1,1)</f>
        <v>Modality 1</v>
      </c>
      <c r="F10" s="271"/>
      <c r="G10" s="271"/>
      <c r="H10" s="271"/>
      <c r="I10" s="271"/>
      <c r="J10" s="272" t="str">
        <f ca="1">OFFSET('Control sheet (hide)'!$AA$3,QUOTIENT(COLUMN(Demand!J9)-4,5),0,1,1)</f>
        <v>Modality 2</v>
      </c>
      <c r="K10" s="272"/>
      <c r="L10" s="272"/>
      <c r="M10" s="272"/>
      <c r="N10" s="272"/>
      <c r="O10" s="271" t="str">
        <f ca="1">OFFSET('Control sheet (hide)'!$AA$3,QUOTIENT(COLUMN(Demand!O9)-4,5),0,1,1)</f>
        <v>Modality 3</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56" t="str">
        <f>"Total"&amp;IF(Setup!$I$17&lt;&gt;"Patients","
(Patients)","")</f>
        <v>Total</v>
      </c>
      <c r="BD10" s="356" t="str">
        <f>"Total
("&amp;Setup!$I$17&amp;")"</f>
        <v>Total
(Patients)</v>
      </c>
      <c r="BE10" s="356" t="s">
        <v>113</v>
      </c>
    </row>
    <row r="11" spans="1:57" ht="14.25" hidden="1" customHeight="1" x14ac:dyDescent="0.2">
      <c r="B11" s="357"/>
      <c r="C11" s="357"/>
      <c r="D11" s="357"/>
      <c r="E11" s="7" t="str">
        <f>IF(Setup!$I$17&lt;&gt;"Patients",Setup!$I$17&amp;":","")</f>
        <v/>
      </c>
      <c r="F11" s="270">
        <v>0</v>
      </c>
      <c r="G11" s="7"/>
      <c r="H11" s="7"/>
      <c r="I11" s="7"/>
      <c r="J11" s="6" t="str">
        <f>IF(Setup!$I$17&lt;&gt;"Patients",Setup!$I$17&amp;":","")</f>
        <v/>
      </c>
      <c r="K11" s="270">
        <v>0</v>
      </c>
      <c r="L11" s="6"/>
      <c r="M11" s="6"/>
      <c r="N11" s="6"/>
      <c r="O11" s="7" t="str">
        <f>IF(Setup!$I$17&lt;&gt;"Patients",Setup!$I$17&amp;":","")</f>
        <v/>
      </c>
      <c r="P11" s="270">
        <v>0</v>
      </c>
      <c r="Q11" s="7"/>
      <c r="R11" s="7"/>
      <c r="S11" s="7"/>
      <c r="T11" s="6" t="str">
        <f>IF(Setup!$I$17&lt;&gt;"Patients",Setup!$I$17&amp;":","")</f>
        <v/>
      </c>
      <c r="U11" s="270">
        <v>0</v>
      </c>
      <c r="V11" s="6"/>
      <c r="W11" s="6"/>
      <c r="X11" s="6"/>
      <c r="Y11" s="7" t="str">
        <f>IF(Setup!$I$17&lt;&gt;"Patients",Setup!$I$17&amp;":","")</f>
        <v/>
      </c>
      <c r="Z11" s="270">
        <v>0</v>
      </c>
      <c r="AA11" s="7"/>
      <c r="AB11" s="7"/>
      <c r="AC11" s="7"/>
      <c r="AD11" s="6" t="str">
        <f>IF(Setup!$I$17&lt;&gt;"Patients",Setup!$I$17&amp;":","")</f>
        <v/>
      </c>
      <c r="AE11" s="270">
        <v>0</v>
      </c>
      <c r="AF11" s="6"/>
      <c r="AG11" s="6"/>
      <c r="AH11" s="6"/>
      <c r="AI11" s="7" t="str">
        <f>IF(Setup!$I$17&lt;&gt;"Patients",Setup!$I$17&amp;":","")</f>
        <v/>
      </c>
      <c r="AJ11" s="270">
        <v>0</v>
      </c>
      <c r="AK11" s="7"/>
      <c r="AL11" s="7"/>
      <c r="AM11" s="7"/>
      <c r="AN11" s="6" t="str">
        <f>IF(Setup!$I$17&lt;&gt;"Patients",Setup!$I$17&amp;":","")</f>
        <v/>
      </c>
      <c r="AO11" s="270">
        <v>0</v>
      </c>
      <c r="AP11" s="6"/>
      <c r="AQ11" s="6"/>
      <c r="AR11" s="6"/>
      <c r="AS11" s="7" t="str">
        <f>IF(Setup!$I$17&lt;&gt;"Patients",Setup!$I$17&amp;":","")</f>
        <v/>
      </c>
      <c r="AT11" s="270">
        <v>0</v>
      </c>
      <c r="AU11" s="7"/>
      <c r="AV11" s="7"/>
      <c r="AW11" s="7"/>
      <c r="AX11" s="6" t="str">
        <f>IF(Setup!$I$17&lt;&gt;"Patients",Setup!$I$17&amp;":","")</f>
        <v/>
      </c>
      <c r="AY11" s="270">
        <v>0</v>
      </c>
      <c r="AZ11" s="6"/>
      <c r="BA11" s="6"/>
      <c r="BB11" s="6"/>
      <c r="BC11" s="356"/>
      <c r="BD11" s="356"/>
      <c r="BE11" s="356"/>
    </row>
    <row r="12" spans="1:57" ht="15" thickBot="1" x14ac:dyDescent="0.25">
      <c r="B12" s="357"/>
      <c r="C12" s="357"/>
      <c r="D12" s="357"/>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56"/>
      <c r="BD12" s="356"/>
      <c r="BE12" s="356"/>
    </row>
    <row r="13" spans="1:57" ht="15" x14ac:dyDescent="0.25">
      <c r="A13">
        <v>1</v>
      </c>
      <c r="B13" s="262">
        <f>IF(C6&lt;&gt;"",YEAR(D13),1)</f>
        <v>1</v>
      </c>
      <c r="C13" s="263">
        <f>IF($C$6&lt;&gt;"",WEEKNUM($C$6, 21),1)</f>
        <v>1</v>
      </c>
      <c r="D13" s="263" t="str">
        <f>IF($C$6&lt;&gt;"",$C$6,"")</f>
        <v/>
      </c>
      <c r="E13" s="182"/>
      <c r="F13" s="183"/>
      <c r="G13" s="184"/>
      <c r="H13" s="185"/>
      <c r="I13" s="250" t="str">
        <f>IF(COUNTBLANK(E13:H13)=4,"",SUM(E13:G13)+IF(Setup!$I$15="No",0,H13))</f>
        <v/>
      </c>
      <c r="J13" s="196"/>
      <c r="K13" s="197"/>
      <c r="L13" s="198"/>
      <c r="M13" s="199"/>
      <c r="N13" s="254" t="str">
        <f>IF(COUNTBLANK(J13:M13)=4,"",SUM(J13:L13)+IF(Setup!$I$15="No",0,M13))</f>
        <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t="str">
        <f ca="1">IF('Demand background (hide)'!A4=Num_Modalities,"",SUM(Demand!I13))</f>
        <v/>
      </c>
      <c r="BD13" s="258">
        <f ca="1">IF(AND(A13&lt;=MaxRows,BE13&lt;&gt;"Yes"),'Demand background (hide)'!X4+IF(Setup!$I$15="Yes",'Demand background (hide)'!AJ4,0),"")</f>
        <v>0</v>
      </c>
      <c r="BE13" s="208"/>
    </row>
    <row r="14" spans="1:57" ht="15" x14ac:dyDescent="0.25">
      <c r="A14" t="str">
        <f t="shared" ref="A14:A76" ca="1" si="0">IF(BC14&lt;&gt;"",ROW(A2),"")</f>
        <v/>
      </c>
      <c r="B14" s="262" t="str">
        <f t="shared" ref="B14:B77" ca="1" si="1">IF(A14&lt;=MaxRows,IF($C$6&lt;&gt;"",IF(YEAR(D14)&lt;&gt;YEAR(D13),YEAR(D14)," "),IF(C14&lt;&gt;1,"",OFFSET(B14,-C13,0,1,1)+1))," ")</f>
        <v xml:space="preserve"> </v>
      </c>
      <c r="C14" s="264" t="str">
        <f t="shared" ref="C14:C77" ca="1" si="2">IF(ROW(A2)&lt;=MaxRows,IF($C$6&lt;&gt;"",WEEKNUM(D14,21),IF(MOD((C13+1),52)&gt;0,MOD((C13+1),52),52)),"")</f>
        <v/>
      </c>
      <c r="D14" s="264" t="str">
        <f t="shared" ref="D14:D77" ca="1" si="3">IF(ROW(A2)&lt;=MaxRows,IF($C$6&lt;&gt;"",D13+7,""),"")</f>
        <v/>
      </c>
      <c r="E14" s="186"/>
      <c r="F14" s="187"/>
      <c r="G14" s="188"/>
      <c r="H14" s="189"/>
      <c r="I14" s="251" t="str">
        <f>IF(COUNTBLANK(E14:H14)=4,"",SUM(E14:G14)+IF(Setup!$I$15="No",0,H14))</f>
        <v/>
      </c>
      <c r="J14" s="200"/>
      <c r="K14" s="201"/>
      <c r="L14" s="202"/>
      <c r="M14" s="203"/>
      <c r="N14" s="255" t="str">
        <f>IF(COUNTBLANK(J14:M14)=4,"",SUM(J14:L14)+IF(Setup!$I$15="No",0,M14))</f>
        <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t="str">
        <f ca="1">IF('Demand background (hide)'!A5=Num_Modalities,"",SUM(Demand!I14))</f>
        <v/>
      </c>
      <c r="BD14" s="259" t="str">
        <f ca="1">IF(AND(A14&lt;=MaxRows,BE14&lt;&gt;"Yes"),'Demand background (hide)'!X5+IF(Setup!$I$15="Yes",'Demand background (hide)'!AJ5,0),"")</f>
        <v/>
      </c>
      <c r="BE14" s="209"/>
    </row>
    <row r="15" spans="1:57" ht="15" x14ac:dyDescent="0.25">
      <c r="A15" t="str">
        <f t="shared" ca="1" si="0"/>
        <v/>
      </c>
      <c r="B15" s="262" t="str">
        <f t="shared" ca="1" si="1"/>
        <v xml:space="preserve"> </v>
      </c>
      <c r="C15" s="264" t="str">
        <f t="shared" ca="1" si="2"/>
        <v/>
      </c>
      <c r="D15" s="264" t="str">
        <f t="shared" ca="1" si="3"/>
        <v/>
      </c>
      <c r="E15" s="186"/>
      <c r="F15" s="187"/>
      <c r="G15" s="188"/>
      <c r="H15" s="189"/>
      <c r="I15" s="251" t="str">
        <f>IF(COUNTBLANK(E15:H15)=4,"",SUM(E15:G15)+IF(Setup!$I$15="No",0,H15))</f>
        <v/>
      </c>
      <c r="J15" s="200"/>
      <c r="K15" s="201"/>
      <c r="L15" s="202"/>
      <c r="M15" s="203"/>
      <c r="N15" s="255" t="str">
        <f>IF(COUNTBLANK(J15:M15)=4,"",SUM(J15:L15)+IF(Setup!$I$15="No",0,M15))</f>
        <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t="str">
        <f ca="1">IF('Demand background (hide)'!A6=Num_Modalities,"",SUM(Demand!I15))</f>
        <v/>
      </c>
      <c r="BD15" s="259" t="str">
        <f ca="1">IF(AND(A15&lt;=MaxRows,BE15&lt;&gt;"Yes"),'Demand background (hide)'!X6+IF(Setup!$I$15="Yes",'Demand background (hide)'!AJ6,0),"")</f>
        <v/>
      </c>
      <c r="BE15" s="209"/>
    </row>
    <row r="16" spans="1:57" ht="15" x14ac:dyDescent="0.25">
      <c r="A16" t="str">
        <f t="shared" ca="1" si="0"/>
        <v/>
      </c>
      <c r="B16" s="262" t="str">
        <f t="shared" ca="1" si="1"/>
        <v xml:space="preserve"> </v>
      </c>
      <c r="C16" s="264" t="str">
        <f t="shared" ca="1" si="2"/>
        <v/>
      </c>
      <c r="D16" s="264" t="str">
        <f t="shared" ca="1" si="3"/>
        <v/>
      </c>
      <c r="E16" s="186"/>
      <c r="F16" s="187"/>
      <c r="G16" s="188"/>
      <c r="H16" s="189"/>
      <c r="I16" s="251" t="str">
        <f>IF(COUNTBLANK(E16:H16)=4,"",SUM(E16:G16)+IF(Setup!$I$15="No",0,H16))</f>
        <v/>
      </c>
      <c r="J16" s="200"/>
      <c r="K16" s="201"/>
      <c r="L16" s="202"/>
      <c r="M16" s="203"/>
      <c r="N16" s="255" t="str">
        <f>IF(COUNTBLANK(J16:M16)=4,"",SUM(J16:L16)+IF(Setup!$I$15="No",0,M16))</f>
        <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t="str">
        <f ca="1">IF('Demand background (hide)'!A7=Num_Modalities,"",SUM(Demand!I16))</f>
        <v/>
      </c>
      <c r="BD16" s="259" t="str">
        <f ca="1">IF(AND(A16&lt;=MaxRows,BE16&lt;&gt;"Yes"),'Demand background (hide)'!X7+IF(Setup!$I$15="Yes",'Demand background (hide)'!AJ7,0),"")</f>
        <v/>
      </c>
      <c r="BE16" s="209"/>
    </row>
    <row r="17" spans="1:57" ht="15" x14ac:dyDescent="0.25">
      <c r="A17" t="str">
        <f t="shared" ca="1" si="0"/>
        <v/>
      </c>
      <c r="B17" s="262" t="str">
        <f t="shared" ca="1" si="1"/>
        <v xml:space="preserve"> </v>
      </c>
      <c r="C17" s="264" t="str">
        <f t="shared" ca="1" si="2"/>
        <v/>
      </c>
      <c r="D17" s="264" t="str">
        <f t="shared" ca="1" si="3"/>
        <v/>
      </c>
      <c r="E17" s="186"/>
      <c r="F17" s="187"/>
      <c r="G17" s="188"/>
      <c r="H17" s="189"/>
      <c r="I17" s="251" t="str">
        <f>IF(COUNTBLANK(E17:H17)=4,"",SUM(E17:G17)+IF(Setup!$I$15="No",0,H17))</f>
        <v/>
      </c>
      <c r="J17" s="200"/>
      <c r="K17" s="201"/>
      <c r="L17" s="202"/>
      <c r="M17" s="203"/>
      <c r="N17" s="255" t="str">
        <f>IF(COUNTBLANK(J17:M17)=4,"",SUM(J17:L17)+IF(Setup!$I$15="No",0,M17))</f>
        <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t="str">
        <f ca="1">IF('Demand background (hide)'!A8=Num_Modalities,"",SUM(Demand!I17))</f>
        <v/>
      </c>
      <c r="BD17" s="259" t="str">
        <f ca="1">IF(AND(A17&lt;=MaxRows,BE17&lt;&gt;"Yes"),'Demand background (hide)'!X8+IF(Setup!$I$15="Yes",'Demand background (hide)'!AJ8,0),"")</f>
        <v/>
      </c>
      <c r="BE17" s="209"/>
    </row>
    <row r="18" spans="1:57" ht="15" x14ac:dyDescent="0.25">
      <c r="A18" t="str">
        <f t="shared" ca="1" si="0"/>
        <v/>
      </c>
      <c r="B18" s="262" t="str">
        <f t="shared" ca="1" si="1"/>
        <v xml:space="preserve"> </v>
      </c>
      <c r="C18" s="264" t="str">
        <f t="shared" ca="1" si="2"/>
        <v/>
      </c>
      <c r="D18" s="264" t="str">
        <f t="shared" ca="1" si="3"/>
        <v/>
      </c>
      <c r="E18" s="186"/>
      <c r="F18" s="187"/>
      <c r="G18" s="188"/>
      <c r="H18" s="189"/>
      <c r="I18" s="251" t="str">
        <f>IF(COUNTBLANK(E18:H18)=4,"",SUM(E18:G18)+IF(Setup!$I$15="No",0,H18))</f>
        <v/>
      </c>
      <c r="J18" s="200"/>
      <c r="K18" s="201"/>
      <c r="L18" s="202"/>
      <c r="M18" s="203"/>
      <c r="N18" s="255" t="str">
        <f>IF(COUNTBLANK(J18:M18)=4,"",SUM(J18:L18)+IF(Setup!$I$15="No",0,M18))</f>
        <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t="str">
        <f ca="1">IF('Demand background (hide)'!A9=Num_Modalities,"",SUM(Demand!I18))</f>
        <v/>
      </c>
      <c r="BD18" s="259" t="str">
        <f ca="1">IF(AND(A18&lt;=MaxRows,BE18&lt;&gt;"Yes"),'Demand background (hide)'!X9+IF(Setup!$I$15="Yes",'Demand background (hide)'!AJ9,0),"")</f>
        <v/>
      </c>
      <c r="BE18" s="209"/>
    </row>
    <row r="19" spans="1:57" ht="15" x14ac:dyDescent="0.25">
      <c r="A19" t="str">
        <f t="shared" ca="1" si="0"/>
        <v/>
      </c>
      <c r="B19" s="262" t="str">
        <f t="shared" ca="1" si="1"/>
        <v xml:space="preserve"> </v>
      </c>
      <c r="C19" s="264" t="str">
        <f t="shared" ca="1" si="2"/>
        <v/>
      </c>
      <c r="D19" s="264" t="str">
        <f t="shared" ca="1" si="3"/>
        <v/>
      </c>
      <c r="E19" s="186"/>
      <c r="F19" s="187"/>
      <c r="G19" s="188"/>
      <c r="H19" s="189"/>
      <c r="I19" s="251" t="str">
        <f>IF(COUNTBLANK(E19:H19)=4,"",SUM(E19:G19)+IF(Setup!$I$15="No",0,H19))</f>
        <v/>
      </c>
      <c r="J19" s="200"/>
      <c r="K19" s="201"/>
      <c r="L19" s="202"/>
      <c r="M19" s="203"/>
      <c r="N19" s="255" t="str">
        <f>IF(COUNTBLANK(J19:M19)=4,"",SUM(J19:L19)+IF(Setup!$I$15="No",0,M19))</f>
        <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t="str">
        <f ca="1">IF('Demand background (hide)'!A10=Num_Modalities,"",SUM(Demand!I19))</f>
        <v/>
      </c>
      <c r="BD19" s="259" t="str">
        <f ca="1">IF(AND(A19&lt;=MaxRows,BE19&lt;&gt;"Yes"),'Demand background (hide)'!X10+IF(Setup!$I$15="Yes",'Demand background (hide)'!AJ10,0),"")</f>
        <v/>
      </c>
      <c r="BE19" s="209"/>
    </row>
    <row r="20" spans="1:57" ht="15" x14ac:dyDescent="0.25">
      <c r="A20" t="str">
        <f t="shared" ca="1" si="0"/>
        <v/>
      </c>
      <c r="B20" s="262" t="str">
        <f t="shared" ca="1" si="1"/>
        <v xml:space="preserve"> </v>
      </c>
      <c r="C20" s="264" t="str">
        <f t="shared" ca="1" si="2"/>
        <v/>
      </c>
      <c r="D20" s="264" t="str">
        <f t="shared" ca="1" si="3"/>
        <v/>
      </c>
      <c r="E20" s="186"/>
      <c r="F20" s="187"/>
      <c r="G20" s="188"/>
      <c r="H20" s="189"/>
      <c r="I20" s="251" t="str">
        <f>IF(COUNTBLANK(E20:H20)=4,"",SUM(E20:G20)+IF(Setup!$I$15="No",0,H20))</f>
        <v/>
      </c>
      <c r="J20" s="200"/>
      <c r="K20" s="201"/>
      <c r="L20" s="202"/>
      <c r="M20" s="203"/>
      <c r="N20" s="255" t="str">
        <f>IF(COUNTBLANK(J20:M20)=4,"",SUM(J20:L20)+IF(Setup!$I$15="No",0,M20))</f>
        <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t="str">
        <f ca="1">IF('Demand background (hide)'!A11=Num_Modalities,"",SUM(Demand!I20))</f>
        <v/>
      </c>
      <c r="BD20" s="259" t="str">
        <f ca="1">IF(AND(A20&lt;=MaxRows,BE20&lt;&gt;"Yes"),'Demand background (hide)'!X11+IF(Setup!$I$15="Yes",'Demand background (hide)'!AJ11,0),"")</f>
        <v/>
      </c>
      <c r="BE20" s="209"/>
    </row>
    <row r="21" spans="1:57" ht="15" x14ac:dyDescent="0.25">
      <c r="A21" t="str">
        <f t="shared" ca="1" si="0"/>
        <v/>
      </c>
      <c r="B21" s="262" t="str">
        <f t="shared" ca="1" si="1"/>
        <v xml:space="preserve"> </v>
      </c>
      <c r="C21" s="264" t="str">
        <f t="shared" ca="1" si="2"/>
        <v/>
      </c>
      <c r="D21" s="264" t="str">
        <f t="shared" ca="1" si="3"/>
        <v/>
      </c>
      <c r="E21" s="186"/>
      <c r="F21" s="187"/>
      <c r="G21" s="188"/>
      <c r="H21" s="189"/>
      <c r="I21" s="251" t="str">
        <f>IF(COUNTBLANK(E21:H21)=4,"",SUM(E21:G21)+IF(Setup!$I$15="No",0,H21))</f>
        <v/>
      </c>
      <c r="J21" s="200"/>
      <c r="K21" s="201"/>
      <c r="L21" s="202"/>
      <c r="M21" s="203"/>
      <c r="N21" s="255" t="str">
        <f>IF(COUNTBLANK(J21:M21)=4,"",SUM(J21:L21)+IF(Setup!$I$15="No",0,M21))</f>
        <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t="str">
        <f ca="1">IF('Demand background (hide)'!A12=Num_Modalities,"",SUM(Demand!I21))</f>
        <v/>
      </c>
      <c r="BD21" s="259" t="str">
        <f ca="1">IF(AND(A21&lt;=MaxRows,BE21&lt;&gt;"Yes"),'Demand background (hide)'!X12+IF(Setup!$I$15="Yes",'Demand background (hide)'!AJ12,0),"")</f>
        <v/>
      </c>
      <c r="BE21" s="209"/>
    </row>
    <row r="22" spans="1:57" ht="15" x14ac:dyDescent="0.25">
      <c r="A22" t="str">
        <f t="shared" ca="1" si="0"/>
        <v/>
      </c>
      <c r="B22" s="262" t="str">
        <f t="shared" ca="1" si="1"/>
        <v xml:space="preserve"> </v>
      </c>
      <c r="C22" s="264" t="str">
        <f t="shared" ca="1" si="2"/>
        <v/>
      </c>
      <c r="D22" s="264" t="str">
        <f t="shared" ca="1" si="3"/>
        <v/>
      </c>
      <c r="E22" s="186"/>
      <c r="F22" s="187"/>
      <c r="G22" s="188"/>
      <c r="H22" s="189"/>
      <c r="I22" s="251" t="str">
        <f>IF(COUNTBLANK(E22:H22)=4,"",SUM(E22:G22)+IF(Setup!$I$15="No",0,H22))</f>
        <v/>
      </c>
      <c r="J22" s="200"/>
      <c r="K22" s="201"/>
      <c r="L22" s="202"/>
      <c r="M22" s="203"/>
      <c r="N22" s="255" t="str">
        <f>IF(COUNTBLANK(J22:M22)=4,"",SUM(J22:L22)+IF(Setup!$I$15="No",0,M22))</f>
        <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t="str">
        <f ca="1">IF('Demand background (hide)'!A13=Num_Modalities,"",SUM(Demand!I22))</f>
        <v/>
      </c>
      <c r="BD22" s="259" t="str">
        <f ca="1">IF(AND(A22&lt;=MaxRows,BE22&lt;&gt;"Yes"),'Demand background (hide)'!X13+IF(Setup!$I$15="Yes",'Demand background (hide)'!AJ13,0),"")</f>
        <v/>
      </c>
      <c r="BE22" s="209"/>
    </row>
    <row r="23" spans="1:57" ht="15" x14ac:dyDescent="0.25">
      <c r="A23" t="str">
        <f t="shared" ca="1" si="0"/>
        <v/>
      </c>
      <c r="B23" s="262" t="str">
        <f t="shared" ca="1" si="1"/>
        <v xml:space="preserve"> </v>
      </c>
      <c r="C23" s="264" t="str">
        <f t="shared" ca="1" si="2"/>
        <v/>
      </c>
      <c r="D23" s="264" t="str">
        <f t="shared" ca="1" si="3"/>
        <v/>
      </c>
      <c r="E23" s="186"/>
      <c r="F23" s="187"/>
      <c r="G23" s="188"/>
      <c r="H23" s="189"/>
      <c r="I23" s="251" t="str">
        <f>IF(COUNTBLANK(E23:H23)=4,"",SUM(E23:G23)+IF(Setup!$I$15="No",0,H23))</f>
        <v/>
      </c>
      <c r="J23" s="200"/>
      <c r="K23" s="201"/>
      <c r="L23" s="202"/>
      <c r="M23" s="203"/>
      <c r="N23" s="255" t="str">
        <f>IF(COUNTBLANK(J23:M23)=4,"",SUM(J23:L23)+IF(Setup!$I$15="No",0,M23))</f>
        <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t="str">
        <f ca="1">IF('Demand background (hide)'!A14=Num_Modalities,"",SUM(Demand!I23))</f>
        <v/>
      </c>
      <c r="BD23" s="259" t="str">
        <f ca="1">IF(AND(A23&lt;=MaxRows,BE23&lt;&gt;"Yes"),'Demand background (hide)'!X14+IF(Setup!$I$15="Yes",'Demand background (hide)'!AJ14,0),"")</f>
        <v/>
      </c>
      <c r="BE23" s="209"/>
    </row>
    <row r="24" spans="1:57" ht="15" x14ac:dyDescent="0.25">
      <c r="A24" t="str">
        <f t="shared" ca="1" si="0"/>
        <v/>
      </c>
      <c r="B24" s="262" t="str">
        <f t="shared" ca="1" si="1"/>
        <v xml:space="preserve"> </v>
      </c>
      <c r="C24" s="264" t="str">
        <f t="shared" ca="1" si="2"/>
        <v/>
      </c>
      <c r="D24" s="264" t="str">
        <f t="shared" ca="1" si="3"/>
        <v/>
      </c>
      <c r="E24" s="186"/>
      <c r="F24" s="187"/>
      <c r="G24" s="188"/>
      <c r="H24" s="189"/>
      <c r="I24" s="251" t="str">
        <f>IF(COUNTBLANK(E24:H24)=4,"",SUM(E24:G24)+IF(Setup!$I$15="No",0,H24))</f>
        <v/>
      </c>
      <c r="J24" s="200"/>
      <c r="K24" s="201"/>
      <c r="L24" s="202"/>
      <c r="M24" s="203"/>
      <c r="N24" s="255" t="str">
        <f>IF(COUNTBLANK(J24:M24)=4,"",SUM(J24:L24)+IF(Setup!$I$15="No",0,M24))</f>
        <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t="str">
        <f ca="1">IF('Demand background (hide)'!A15=Num_Modalities,"",SUM(Demand!I24))</f>
        <v/>
      </c>
      <c r="BD24" s="259" t="str">
        <f ca="1">IF(AND(A24&lt;=MaxRows,BE24&lt;&gt;"Yes"),'Demand background (hide)'!X15+IF(Setup!$I$15="Yes",'Demand background (hide)'!AJ15,0),"")</f>
        <v/>
      </c>
      <c r="BE24" s="209"/>
    </row>
    <row r="25" spans="1:57" ht="15" x14ac:dyDescent="0.25">
      <c r="A25" t="str">
        <f t="shared" ca="1" si="0"/>
        <v/>
      </c>
      <c r="B25" s="262" t="str">
        <f t="shared" ca="1" si="1"/>
        <v xml:space="preserve"> </v>
      </c>
      <c r="C25" s="264" t="str">
        <f t="shared" ca="1" si="2"/>
        <v/>
      </c>
      <c r="D25" s="264" t="str">
        <f t="shared" ca="1" si="3"/>
        <v/>
      </c>
      <c r="E25" s="186"/>
      <c r="F25" s="187"/>
      <c r="G25" s="188"/>
      <c r="H25" s="189"/>
      <c r="I25" s="251" t="str">
        <f>IF(COUNTBLANK(E25:H25)=4,"",SUM(E25:G25)+IF(Setup!$I$15="No",0,H25))</f>
        <v/>
      </c>
      <c r="J25" s="200"/>
      <c r="K25" s="201"/>
      <c r="L25" s="202"/>
      <c r="M25" s="203"/>
      <c r="N25" s="255" t="str">
        <f>IF(COUNTBLANK(J25:M25)=4,"",SUM(J25:L25)+IF(Setup!$I$15="No",0,M25))</f>
        <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t="str">
        <f ca="1">IF('Demand background (hide)'!A16=Num_Modalities,"",SUM(Demand!I25))</f>
        <v/>
      </c>
      <c r="BD25" s="259" t="str">
        <f ca="1">IF(AND(A25&lt;=MaxRows,BE25&lt;&gt;"Yes"),'Demand background (hide)'!X16+IF(Setup!$I$15="Yes",'Demand background (hide)'!AJ16,0),"")</f>
        <v/>
      </c>
      <c r="BE25" s="209"/>
    </row>
    <row r="26" spans="1:57" ht="15" x14ac:dyDescent="0.25">
      <c r="A26" t="str">
        <f t="shared" ca="1" si="0"/>
        <v/>
      </c>
      <c r="B26" s="262" t="str">
        <f t="shared" ca="1" si="1"/>
        <v xml:space="preserve"> </v>
      </c>
      <c r="C26" s="264" t="str">
        <f t="shared" ca="1" si="2"/>
        <v/>
      </c>
      <c r="D26" s="264" t="str">
        <f t="shared" ca="1" si="3"/>
        <v/>
      </c>
      <c r="E26" s="186"/>
      <c r="F26" s="187"/>
      <c r="G26" s="188"/>
      <c r="H26" s="189"/>
      <c r="I26" s="251" t="str">
        <f>IF(COUNTBLANK(E26:H26)=4,"",SUM(E26:G26)+IF(Setup!$I$15="No",0,H26))</f>
        <v/>
      </c>
      <c r="J26" s="200"/>
      <c r="K26" s="201"/>
      <c r="L26" s="202"/>
      <c r="M26" s="203"/>
      <c r="N26" s="255" t="str">
        <f>IF(COUNTBLANK(J26:M26)=4,"",SUM(J26:L26)+IF(Setup!$I$15="No",0,M26))</f>
        <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t="str">
        <f ca="1">IF('Demand background (hide)'!A17=Num_Modalities,"",SUM(Demand!I26))</f>
        <v/>
      </c>
      <c r="BD26" s="259" t="str">
        <f ca="1">IF(AND(A26&lt;=MaxRows,BE26&lt;&gt;"Yes"),'Demand background (hide)'!X17+IF(Setup!$I$15="Yes",'Demand background (hide)'!AJ17,0),"")</f>
        <v/>
      </c>
      <c r="BE26" s="209"/>
    </row>
    <row r="27" spans="1:57" ht="15" x14ac:dyDescent="0.25">
      <c r="A27" t="str">
        <f t="shared" ca="1" si="0"/>
        <v/>
      </c>
      <c r="B27" s="262" t="str">
        <f t="shared" ca="1" si="1"/>
        <v xml:space="preserve"> </v>
      </c>
      <c r="C27" s="264" t="str">
        <f t="shared" ca="1" si="2"/>
        <v/>
      </c>
      <c r="D27" s="264" t="str">
        <f t="shared" ca="1" si="3"/>
        <v/>
      </c>
      <c r="E27" s="186"/>
      <c r="F27" s="187"/>
      <c r="G27" s="188"/>
      <c r="H27" s="189"/>
      <c r="I27" s="251" t="str">
        <f>IF(COUNTBLANK(E27:H27)=4,"",SUM(E27:G27)+IF(Setup!$I$15="No",0,H27))</f>
        <v/>
      </c>
      <c r="J27" s="200"/>
      <c r="K27" s="201"/>
      <c r="L27" s="202"/>
      <c r="M27" s="203"/>
      <c r="N27" s="255" t="str">
        <f>IF(COUNTBLANK(J27:M27)=4,"",SUM(J27:L27)+IF(Setup!$I$15="No",0,M27))</f>
        <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t="str">
        <f ca="1">IF('Demand background (hide)'!A18=Num_Modalities,"",SUM(Demand!I27))</f>
        <v/>
      </c>
      <c r="BD27" s="259" t="str">
        <f ca="1">IF(AND(A27&lt;=MaxRows,BE27&lt;&gt;"Yes"),'Demand background (hide)'!X18+IF(Setup!$I$15="Yes",'Demand background (hide)'!AJ18,0),"")</f>
        <v/>
      </c>
      <c r="BE27" s="209"/>
    </row>
    <row r="28" spans="1:57" ht="15" x14ac:dyDescent="0.25">
      <c r="A28" t="str">
        <f t="shared" ca="1" si="0"/>
        <v/>
      </c>
      <c r="B28" s="262" t="str">
        <f t="shared" ca="1" si="1"/>
        <v xml:space="preserve"> </v>
      </c>
      <c r="C28" s="264" t="str">
        <f t="shared" ca="1" si="2"/>
        <v/>
      </c>
      <c r="D28" s="264" t="str">
        <f t="shared" ca="1" si="3"/>
        <v/>
      </c>
      <c r="E28" s="186"/>
      <c r="F28" s="187"/>
      <c r="G28" s="188"/>
      <c r="H28" s="189"/>
      <c r="I28" s="251" t="str">
        <f>IF(COUNTBLANK(E28:H28)=4,"",SUM(E28:G28)+IF(Setup!$I$15="No",0,H28))</f>
        <v/>
      </c>
      <c r="J28" s="200"/>
      <c r="K28" s="201"/>
      <c r="L28" s="202"/>
      <c r="M28" s="203"/>
      <c r="N28" s="255" t="str">
        <f>IF(COUNTBLANK(J28:M28)=4,"",SUM(J28:L28)+IF(Setup!$I$15="No",0,M28))</f>
        <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t="str">
        <f ca="1">IF('Demand background (hide)'!A19=Num_Modalities,"",SUM(Demand!I28))</f>
        <v/>
      </c>
      <c r="BD28" s="259" t="str">
        <f ca="1">IF(AND(A28&lt;=MaxRows,BE28&lt;&gt;"Yes"),'Demand background (hide)'!X19+IF(Setup!$I$15="Yes",'Demand background (hide)'!AJ19,0),"")</f>
        <v/>
      </c>
      <c r="BE28" s="209"/>
    </row>
    <row r="29" spans="1:57" ht="15" x14ac:dyDescent="0.25">
      <c r="A29" t="str">
        <f t="shared" ca="1" si="0"/>
        <v/>
      </c>
      <c r="B29" s="262" t="str">
        <f t="shared" ca="1" si="1"/>
        <v xml:space="preserve"> </v>
      </c>
      <c r="C29" s="264" t="str">
        <f t="shared" ca="1" si="2"/>
        <v/>
      </c>
      <c r="D29" s="264" t="str">
        <f t="shared" ca="1" si="3"/>
        <v/>
      </c>
      <c r="E29" s="186"/>
      <c r="F29" s="187"/>
      <c r="G29" s="188"/>
      <c r="H29" s="189"/>
      <c r="I29" s="251" t="str">
        <f>IF(COUNTBLANK(E29:H29)=4,"",SUM(E29:G29)+IF(Setup!$I$15="No",0,H29))</f>
        <v/>
      </c>
      <c r="J29" s="200"/>
      <c r="K29" s="201"/>
      <c r="L29" s="202"/>
      <c r="M29" s="203"/>
      <c r="N29" s="255" t="str">
        <f>IF(COUNTBLANK(J29:M29)=4,"",SUM(J29:L29)+IF(Setup!$I$15="No",0,M29))</f>
        <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t="str">
        <f ca="1">IF('Demand background (hide)'!A20=Num_Modalities,"",SUM(Demand!I29))</f>
        <v/>
      </c>
      <c r="BD29" s="259" t="str">
        <f ca="1">IF(AND(A29&lt;=MaxRows,BE29&lt;&gt;"Yes"),'Demand background (hide)'!X20+IF(Setup!$I$15="Yes",'Demand background (hide)'!AJ20,0),"")</f>
        <v/>
      </c>
      <c r="BE29" s="209"/>
    </row>
    <row r="30" spans="1:57" ht="15" x14ac:dyDescent="0.25">
      <c r="A30" t="str">
        <f t="shared" ca="1" si="0"/>
        <v/>
      </c>
      <c r="B30" s="262" t="str">
        <f t="shared" ca="1" si="1"/>
        <v xml:space="preserve"> </v>
      </c>
      <c r="C30" s="264" t="str">
        <f t="shared" ca="1" si="2"/>
        <v/>
      </c>
      <c r="D30" s="264" t="str">
        <f t="shared" ca="1" si="3"/>
        <v/>
      </c>
      <c r="E30" s="186"/>
      <c r="F30" s="187"/>
      <c r="G30" s="188"/>
      <c r="H30" s="189"/>
      <c r="I30" s="251" t="str">
        <f>IF(COUNTBLANK(E30:H30)=4,"",SUM(E30:G30)+IF(Setup!$I$15="No",0,H30))</f>
        <v/>
      </c>
      <c r="J30" s="200"/>
      <c r="K30" s="201"/>
      <c r="L30" s="202"/>
      <c r="M30" s="203"/>
      <c r="N30" s="255" t="str">
        <f>IF(COUNTBLANK(J30:M30)=4,"",SUM(J30:L30)+IF(Setup!$I$15="No",0,M30))</f>
        <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t="str">
        <f ca="1">IF('Demand background (hide)'!A21=Num_Modalities,"",SUM(Demand!I30))</f>
        <v/>
      </c>
      <c r="BD30" s="259" t="str">
        <f ca="1">IF(AND(A30&lt;=MaxRows,BE30&lt;&gt;"Yes"),'Demand background (hide)'!X21+IF(Setup!$I$15="Yes",'Demand background (hide)'!AJ21,0),"")</f>
        <v/>
      </c>
      <c r="BE30" s="209"/>
    </row>
    <row r="31" spans="1:57" ht="15" x14ac:dyDescent="0.25">
      <c r="A31" t="str">
        <f t="shared" ca="1" si="0"/>
        <v/>
      </c>
      <c r="B31" s="262" t="str">
        <f t="shared" ca="1" si="1"/>
        <v xml:space="preserve"> </v>
      </c>
      <c r="C31" s="264" t="str">
        <f t="shared" ca="1" si="2"/>
        <v/>
      </c>
      <c r="D31" s="264" t="str">
        <f t="shared" ca="1" si="3"/>
        <v/>
      </c>
      <c r="E31" s="186"/>
      <c r="F31" s="187"/>
      <c r="G31" s="188"/>
      <c r="H31" s="189"/>
      <c r="I31" s="251" t="str">
        <f>IF(COUNTBLANK(E31:H31)=4,"",SUM(E31:G31)+IF(Setup!$I$15="No",0,H31))</f>
        <v/>
      </c>
      <c r="J31" s="200"/>
      <c r="K31" s="201"/>
      <c r="L31" s="202"/>
      <c r="M31" s="203"/>
      <c r="N31" s="255" t="str">
        <f>IF(COUNTBLANK(J31:M31)=4,"",SUM(J31:L31)+IF(Setup!$I$15="No",0,M31))</f>
        <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t="str">
        <f ca="1">IF('Demand background (hide)'!A22=Num_Modalities,"",SUM(Demand!I31))</f>
        <v/>
      </c>
      <c r="BD31" s="259" t="str">
        <f ca="1">IF(AND(A31&lt;=MaxRows,BE31&lt;&gt;"Yes"),'Demand background (hide)'!X22+IF(Setup!$I$15="Yes",'Demand background (hide)'!AJ22,0),"")</f>
        <v/>
      </c>
      <c r="BE31" s="209"/>
    </row>
    <row r="32" spans="1:57" ht="15" x14ac:dyDescent="0.25">
      <c r="A32" t="str">
        <f t="shared" ca="1" si="0"/>
        <v/>
      </c>
      <c r="B32" s="262" t="str">
        <f t="shared" ca="1" si="1"/>
        <v xml:space="preserve"> </v>
      </c>
      <c r="C32" s="264" t="str">
        <f t="shared" ca="1" si="2"/>
        <v/>
      </c>
      <c r="D32" s="264" t="str">
        <f t="shared" ca="1" si="3"/>
        <v/>
      </c>
      <c r="E32" s="186"/>
      <c r="F32" s="187"/>
      <c r="G32" s="188"/>
      <c r="H32" s="189"/>
      <c r="I32" s="251" t="str">
        <f>IF(COUNTBLANK(E32:H32)=4,"",SUM(E32:G32)+IF(Setup!$I$15="No",0,H32))</f>
        <v/>
      </c>
      <c r="J32" s="200"/>
      <c r="K32" s="201"/>
      <c r="L32" s="202"/>
      <c r="M32" s="203"/>
      <c r="N32" s="255" t="str">
        <f>IF(COUNTBLANK(J32:M32)=4,"",SUM(J32:L32)+IF(Setup!$I$15="No",0,M32))</f>
        <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t="str">
        <f ca="1">IF('Demand background (hide)'!A23=Num_Modalities,"",SUM(Demand!I32))</f>
        <v/>
      </c>
      <c r="BD32" s="259" t="str">
        <f ca="1">IF(AND(A32&lt;=MaxRows,BE32&lt;&gt;"Yes"),'Demand background (hide)'!X23+IF(Setup!$I$15="Yes",'Demand background (hide)'!AJ23,0),"")</f>
        <v/>
      </c>
      <c r="BE32" s="209"/>
    </row>
    <row r="33" spans="1:57" ht="15" x14ac:dyDescent="0.25">
      <c r="A33" t="str">
        <f t="shared" ca="1" si="0"/>
        <v/>
      </c>
      <c r="B33" s="262" t="str">
        <f t="shared" ca="1" si="1"/>
        <v xml:space="preserve"> </v>
      </c>
      <c r="C33" s="264" t="str">
        <f t="shared" ca="1" si="2"/>
        <v/>
      </c>
      <c r="D33" s="264" t="str">
        <f t="shared" ca="1" si="3"/>
        <v/>
      </c>
      <c r="E33" s="186"/>
      <c r="F33" s="187"/>
      <c r="G33" s="188"/>
      <c r="H33" s="189"/>
      <c r="I33" s="251" t="str">
        <f>IF(COUNTBLANK(E33:H33)=4,"",SUM(E33:G33)+IF(Setup!$I$15="No",0,H33))</f>
        <v/>
      </c>
      <c r="J33" s="200"/>
      <c r="K33" s="201"/>
      <c r="L33" s="202"/>
      <c r="M33" s="203"/>
      <c r="N33" s="255" t="str">
        <f>IF(COUNTBLANK(J33:M33)=4,"",SUM(J33:L33)+IF(Setup!$I$15="No",0,M33))</f>
        <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t="str">
        <f ca="1">IF('Demand background (hide)'!A24=Num_Modalities,"",SUM(Demand!I33))</f>
        <v/>
      </c>
      <c r="BD33" s="259" t="str">
        <f ca="1">IF(AND(A33&lt;=MaxRows,BE33&lt;&gt;"Yes"),'Demand background (hide)'!X24+IF(Setup!$I$15="Yes",'Demand background (hide)'!AJ24,0),"")</f>
        <v/>
      </c>
      <c r="BE33" s="209"/>
    </row>
    <row r="34" spans="1:57" ht="15" x14ac:dyDescent="0.25">
      <c r="A34" t="str">
        <f t="shared" ca="1" si="0"/>
        <v/>
      </c>
      <c r="B34" s="262" t="str">
        <f t="shared" ca="1" si="1"/>
        <v xml:space="preserve"> </v>
      </c>
      <c r="C34" s="264" t="str">
        <f t="shared" ca="1" si="2"/>
        <v/>
      </c>
      <c r="D34" s="264" t="str">
        <f t="shared" ca="1" si="3"/>
        <v/>
      </c>
      <c r="E34" s="186"/>
      <c r="F34" s="187"/>
      <c r="G34" s="188"/>
      <c r="H34" s="189"/>
      <c r="I34" s="251" t="str">
        <f>IF(COUNTBLANK(E34:H34)=4,"",SUM(E34:G34)+IF(Setup!$I$15="No",0,H34))</f>
        <v/>
      </c>
      <c r="J34" s="200"/>
      <c r="K34" s="201"/>
      <c r="L34" s="202"/>
      <c r="M34" s="203"/>
      <c r="N34" s="255" t="str">
        <f>IF(COUNTBLANK(J34:M34)=4,"",SUM(J34:L34)+IF(Setup!$I$15="No",0,M34))</f>
        <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t="str">
        <f ca="1">IF('Demand background (hide)'!A25=Num_Modalities,"",SUM(Demand!I34))</f>
        <v/>
      </c>
      <c r="BD34" s="259" t="str">
        <f ca="1">IF(AND(A34&lt;=MaxRows,BE34&lt;&gt;"Yes"),'Demand background (hide)'!X25+IF(Setup!$I$15="Yes",'Demand background (hide)'!AJ25,0),"")</f>
        <v/>
      </c>
      <c r="BE34" s="209"/>
    </row>
    <row r="35" spans="1:57" ht="15" x14ac:dyDescent="0.25">
      <c r="A35" t="str">
        <f t="shared" ca="1" si="0"/>
        <v/>
      </c>
      <c r="B35" s="262" t="str">
        <f t="shared" ca="1" si="1"/>
        <v xml:space="preserve"> </v>
      </c>
      <c r="C35" s="264" t="str">
        <f t="shared" ca="1" si="2"/>
        <v/>
      </c>
      <c r="D35" s="264" t="str">
        <f t="shared" ca="1" si="3"/>
        <v/>
      </c>
      <c r="E35" s="186"/>
      <c r="F35" s="187"/>
      <c r="G35" s="188"/>
      <c r="H35" s="189"/>
      <c r="I35" s="251" t="str">
        <f>IF(COUNTBLANK(E35:H35)=4,"",SUM(E35:G35)+IF(Setup!$I$15="No",0,H35))</f>
        <v/>
      </c>
      <c r="J35" s="200"/>
      <c r="K35" s="201"/>
      <c r="L35" s="202"/>
      <c r="M35" s="203"/>
      <c r="N35" s="255" t="str">
        <f>IF(COUNTBLANK(J35:M35)=4,"",SUM(J35:L35)+IF(Setup!$I$15="No",0,M35))</f>
        <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t="str">
        <f ca="1">IF('Demand background (hide)'!A26=Num_Modalities,"",SUM(Demand!I35))</f>
        <v/>
      </c>
      <c r="BD35" s="259" t="str">
        <f ca="1">IF(AND(A35&lt;=MaxRows,BE35&lt;&gt;"Yes"),'Demand background (hide)'!X26+IF(Setup!$I$15="Yes",'Demand background (hide)'!AJ26,0),"")</f>
        <v/>
      </c>
      <c r="BE35" s="209"/>
    </row>
    <row r="36" spans="1:57" ht="15" x14ac:dyDescent="0.25">
      <c r="A36" t="str">
        <f t="shared" ca="1" si="0"/>
        <v/>
      </c>
      <c r="B36" s="262" t="str">
        <f t="shared" ca="1" si="1"/>
        <v xml:space="preserve"> </v>
      </c>
      <c r="C36" s="264" t="str">
        <f t="shared" ca="1" si="2"/>
        <v/>
      </c>
      <c r="D36" s="264" t="str">
        <f t="shared" ca="1" si="3"/>
        <v/>
      </c>
      <c r="E36" s="186"/>
      <c r="F36" s="187"/>
      <c r="G36" s="188"/>
      <c r="H36" s="189"/>
      <c r="I36" s="251" t="str">
        <f>IF(COUNTBLANK(E36:H36)=4,"",SUM(E36:G36)+IF(Setup!$I$15="No",0,H36))</f>
        <v/>
      </c>
      <c r="J36" s="200"/>
      <c r="K36" s="201"/>
      <c r="L36" s="202"/>
      <c r="M36" s="203"/>
      <c r="N36" s="255" t="str">
        <f>IF(COUNTBLANK(J36:M36)=4,"",SUM(J36:L36)+IF(Setup!$I$15="No",0,M36))</f>
        <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t="str">
        <f ca="1">IF('Demand background (hide)'!A27=Num_Modalities,"",SUM(Demand!I36))</f>
        <v/>
      </c>
      <c r="BD36" s="259" t="str">
        <f ca="1">IF(AND(A36&lt;=MaxRows,BE36&lt;&gt;"Yes"),'Demand background (hide)'!X27+IF(Setup!$I$15="Yes",'Demand background (hide)'!AJ27,0),"")</f>
        <v/>
      </c>
      <c r="BE36" s="209"/>
    </row>
    <row r="37" spans="1:57" ht="15" x14ac:dyDescent="0.25">
      <c r="A37" t="str">
        <f t="shared" ca="1" si="0"/>
        <v/>
      </c>
      <c r="B37" s="262" t="str">
        <f t="shared" ca="1" si="1"/>
        <v xml:space="preserve"> </v>
      </c>
      <c r="C37" s="264" t="str">
        <f t="shared" ca="1" si="2"/>
        <v/>
      </c>
      <c r="D37" s="264" t="str">
        <f t="shared" ca="1" si="3"/>
        <v/>
      </c>
      <c r="E37" s="186"/>
      <c r="F37" s="187"/>
      <c r="G37" s="188"/>
      <c r="H37" s="189"/>
      <c r="I37" s="251" t="str">
        <f>IF(COUNTBLANK(E37:H37)=4,"",SUM(E37:G37)+IF(Setup!$I$15="No",0,H37))</f>
        <v/>
      </c>
      <c r="J37" s="200"/>
      <c r="K37" s="201"/>
      <c r="L37" s="202"/>
      <c r="M37" s="203"/>
      <c r="N37" s="255" t="str">
        <f>IF(COUNTBLANK(J37:M37)=4,"",SUM(J37:L37)+IF(Setup!$I$15="No",0,M37))</f>
        <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t="str">
        <f ca="1">IF('Demand background (hide)'!A28=Num_Modalities,"",SUM(Demand!I37))</f>
        <v/>
      </c>
      <c r="BD37" s="259" t="str">
        <f ca="1">IF(AND(A37&lt;=MaxRows,BE37&lt;&gt;"Yes"),'Demand background (hide)'!X28+IF(Setup!$I$15="Yes",'Demand background (hide)'!AJ28,0),"")</f>
        <v/>
      </c>
      <c r="BE37" s="209"/>
    </row>
    <row r="38" spans="1:57" ht="15" x14ac:dyDescent="0.25">
      <c r="A38" t="str">
        <f t="shared" ca="1" si="0"/>
        <v/>
      </c>
      <c r="B38" s="262" t="str">
        <f t="shared" ca="1" si="1"/>
        <v xml:space="preserve"> </v>
      </c>
      <c r="C38" s="264" t="str">
        <f t="shared" ca="1" si="2"/>
        <v/>
      </c>
      <c r="D38" s="264" t="str">
        <f t="shared" ca="1" si="3"/>
        <v/>
      </c>
      <c r="E38" s="186"/>
      <c r="F38" s="187"/>
      <c r="G38" s="188"/>
      <c r="H38" s="189"/>
      <c r="I38" s="251" t="str">
        <f>IF(COUNTBLANK(E38:H38)=4,"",SUM(E38:G38)+IF(Setup!$I$15="No",0,H38))</f>
        <v/>
      </c>
      <c r="J38" s="200"/>
      <c r="K38" s="201"/>
      <c r="L38" s="202"/>
      <c r="M38" s="203"/>
      <c r="N38" s="255" t="str">
        <f>IF(COUNTBLANK(J38:M38)=4,"",SUM(J38:L38)+IF(Setup!$I$15="No",0,M38))</f>
        <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t="str">
        <f ca="1">IF('Demand background (hide)'!A29=Num_Modalities,"",SUM(Demand!I38))</f>
        <v/>
      </c>
      <c r="BD38" s="259" t="str">
        <f ca="1">IF(AND(A38&lt;=MaxRows,BE38&lt;&gt;"Yes"),'Demand background (hide)'!X29+IF(Setup!$I$15="Yes",'Demand background (hide)'!AJ29,0),"")</f>
        <v/>
      </c>
      <c r="BE38" s="209"/>
    </row>
    <row r="39" spans="1:57" ht="15" x14ac:dyDescent="0.25">
      <c r="A39" t="str">
        <f t="shared" ca="1" si="0"/>
        <v/>
      </c>
      <c r="B39" s="262" t="str">
        <f t="shared" ca="1" si="1"/>
        <v xml:space="preserve"> </v>
      </c>
      <c r="C39" s="264" t="str">
        <f t="shared" ca="1" si="2"/>
        <v/>
      </c>
      <c r="D39" s="264" t="str">
        <f t="shared" ca="1" si="3"/>
        <v/>
      </c>
      <c r="E39" s="186"/>
      <c r="F39" s="187"/>
      <c r="G39" s="188"/>
      <c r="H39" s="189"/>
      <c r="I39" s="251" t="str">
        <f>IF(COUNTBLANK(E39:H39)=4,"",SUM(E39:G39)+IF(Setup!$I$15="No",0,H39))</f>
        <v/>
      </c>
      <c r="J39" s="200"/>
      <c r="K39" s="201"/>
      <c r="L39" s="202"/>
      <c r="M39" s="203"/>
      <c r="N39" s="255" t="str">
        <f>IF(COUNTBLANK(J39:M39)=4,"",SUM(J39:L39)+IF(Setup!$I$15="No",0,M39))</f>
        <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t="str">
        <f ca="1">IF('Demand background (hide)'!A30=Num_Modalities,"",SUM(Demand!I39))</f>
        <v/>
      </c>
      <c r="BD39" s="259" t="str">
        <f ca="1">IF(AND(A39&lt;=MaxRows,BE39&lt;&gt;"Yes"),'Demand background (hide)'!X30+IF(Setup!$I$15="Yes",'Demand background (hide)'!AJ30,0),"")</f>
        <v/>
      </c>
      <c r="BE39" s="209"/>
    </row>
    <row r="40" spans="1:57" ht="15" x14ac:dyDescent="0.25">
      <c r="A40" t="str">
        <f t="shared" ca="1" si="0"/>
        <v/>
      </c>
      <c r="B40" s="262" t="str">
        <f t="shared" ca="1" si="1"/>
        <v xml:space="preserve"> </v>
      </c>
      <c r="C40" s="264" t="str">
        <f t="shared" ca="1" si="2"/>
        <v/>
      </c>
      <c r="D40" s="264" t="str">
        <f t="shared" ca="1" si="3"/>
        <v/>
      </c>
      <c r="E40" s="186"/>
      <c r="F40" s="187"/>
      <c r="G40" s="188"/>
      <c r="H40" s="189"/>
      <c r="I40" s="251" t="str">
        <f>IF(COUNTBLANK(E40:H40)=4,"",SUM(E40:G40)+IF(Setup!$I$15="No",0,H40))</f>
        <v/>
      </c>
      <c r="J40" s="200"/>
      <c r="K40" s="201"/>
      <c r="L40" s="202"/>
      <c r="M40" s="203"/>
      <c r="N40" s="255" t="str">
        <f>IF(COUNTBLANK(J40:M40)=4,"",SUM(J40:L40)+IF(Setup!$I$15="No",0,M40))</f>
        <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t="str">
        <f ca="1">IF('Demand background (hide)'!A31=Num_Modalities,"",SUM(Demand!I40))</f>
        <v/>
      </c>
      <c r="BD40" s="259" t="str">
        <f ca="1">IF(AND(A40&lt;=MaxRows,BE40&lt;&gt;"Yes"),'Demand background (hide)'!X31+IF(Setup!$I$15="Yes",'Demand background (hide)'!AJ31,0),"")</f>
        <v/>
      </c>
      <c r="BE40" s="209"/>
    </row>
    <row r="41" spans="1:57" ht="15" x14ac:dyDescent="0.25">
      <c r="A41" t="str">
        <f t="shared" ca="1" si="0"/>
        <v/>
      </c>
      <c r="B41" s="262" t="str">
        <f t="shared" ca="1" si="1"/>
        <v xml:space="preserve"> </v>
      </c>
      <c r="C41" s="264" t="str">
        <f t="shared" ca="1" si="2"/>
        <v/>
      </c>
      <c r="D41" s="264" t="str">
        <f t="shared" ca="1" si="3"/>
        <v/>
      </c>
      <c r="E41" s="186"/>
      <c r="F41" s="187"/>
      <c r="G41" s="188"/>
      <c r="H41" s="189"/>
      <c r="I41" s="251" t="str">
        <f>IF(COUNTBLANK(E41:H41)=4,"",SUM(E41:G41)+IF(Setup!$I$15="No",0,H41))</f>
        <v/>
      </c>
      <c r="J41" s="200"/>
      <c r="K41" s="201"/>
      <c r="L41" s="202"/>
      <c r="M41" s="203"/>
      <c r="N41" s="255" t="str">
        <f>IF(COUNTBLANK(J41:M41)=4,"",SUM(J41:L41)+IF(Setup!$I$15="No",0,M41))</f>
        <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t="str">
        <f ca="1">IF('Demand background (hide)'!A32=Num_Modalities,"",SUM(Demand!I41))</f>
        <v/>
      </c>
      <c r="BD41" s="259" t="str">
        <f ca="1">IF(AND(A41&lt;=MaxRows,BE41&lt;&gt;"Yes"),'Demand background (hide)'!X32+IF(Setup!$I$15="Yes",'Demand background (hide)'!AJ32,0),"")</f>
        <v/>
      </c>
      <c r="BE41" s="209"/>
    </row>
    <row r="42" spans="1:57" ht="15" x14ac:dyDescent="0.25">
      <c r="A42" t="str">
        <f t="shared" ca="1" si="0"/>
        <v/>
      </c>
      <c r="B42" s="262" t="str">
        <f t="shared" ca="1" si="1"/>
        <v xml:space="preserve"> </v>
      </c>
      <c r="C42" s="264" t="str">
        <f t="shared" ca="1" si="2"/>
        <v/>
      </c>
      <c r="D42" s="264" t="str">
        <f t="shared" ca="1" si="3"/>
        <v/>
      </c>
      <c r="E42" s="186"/>
      <c r="F42" s="187"/>
      <c r="G42" s="188"/>
      <c r="H42" s="189"/>
      <c r="I42" s="251" t="str">
        <f>IF(COUNTBLANK(E42:H42)=4,"",SUM(E42:G42)+IF(Setup!$I$15="No",0,H42))</f>
        <v/>
      </c>
      <c r="J42" s="200"/>
      <c r="K42" s="201"/>
      <c r="L42" s="202"/>
      <c r="M42" s="203"/>
      <c r="N42" s="255" t="str">
        <f>IF(COUNTBLANK(J42:M42)=4,"",SUM(J42:L42)+IF(Setup!$I$15="No",0,M42))</f>
        <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t="str">
        <f ca="1">IF('Demand background (hide)'!A33=Num_Modalities,"",SUM(Demand!I42))</f>
        <v/>
      </c>
      <c r="BD42" s="259" t="str">
        <f ca="1">IF(AND(A42&lt;=MaxRows,BE42&lt;&gt;"Yes"),'Demand background (hide)'!X33+IF(Setup!$I$15="Yes",'Demand background (hide)'!AJ33,0),"")</f>
        <v/>
      </c>
      <c r="BE42" s="209"/>
    </row>
    <row r="43" spans="1:57" ht="15" x14ac:dyDescent="0.25">
      <c r="A43" t="str">
        <f t="shared" ca="1" si="0"/>
        <v/>
      </c>
      <c r="B43" s="262" t="str">
        <f t="shared" ca="1" si="1"/>
        <v xml:space="preserve"> </v>
      </c>
      <c r="C43" s="264" t="str">
        <f t="shared" ca="1" si="2"/>
        <v/>
      </c>
      <c r="D43" s="264" t="str">
        <f t="shared" ca="1" si="3"/>
        <v/>
      </c>
      <c r="E43" s="186"/>
      <c r="F43" s="187"/>
      <c r="G43" s="188"/>
      <c r="H43" s="189"/>
      <c r="I43" s="251" t="str">
        <f>IF(COUNTBLANK(E43:H43)=4,"",SUM(E43:G43)+IF(Setup!$I$15="No",0,H43))</f>
        <v/>
      </c>
      <c r="J43" s="200"/>
      <c r="K43" s="201"/>
      <c r="L43" s="202"/>
      <c r="M43" s="203"/>
      <c r="N43" s="255" t="str">
        <f>IF(COUNTBLANK(J43:M43)=4,"",SUM(J43:L43)+IF(Setup!$I$15="No",0,M43))</f>
        <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t="str">
        <f ca="1">IF('Demand background (hide)'!A34=Num_Modalities,"",SUM(Demand!I43))</f>
        <v/>
      </c>
      <c r="BD43" s="259" t="str">
        <f ca="1">IF(AND(A43&lt;=MaxRows,BE43&lt;&gt;"Yes"),'Demand background (hide)'!X34+IF(Setup!$I$15="Yes",'Demand background (hide)'!AJ34,0),"")</f>
        <v/>
      </c>
      <c r="BE43" s="209"/>
    </row>
    <row r="44" spans="1:57" ht="15" x14ac:dyDescent="0.25">
      <c r="A44" t="str">
        <f t="shared" ca="1" si="0"/>
        <v/>
      </c>
      <c r="B44" s="262" t="str">
        <f t="shared" ca="1" si="1"/>
        <v xml:space="preserve"> </v>
      </c>
      <c r="C44" s="264" t="str">
        <f t="shared" ca="1" si="2"/>
        <v/>
      </c>
      <c r="D44" s="264" t="str">
        <f t="shared" ca="1" si="3"/>
        <v/>
      </c>
      <c r="E44" s="186"/>
      <c r="F44" s="187"/>
      <c r="G44" s="188"/>
      <c r="H44" s="189"/>
      <c r="I44" s="251" t="str">
        <f>IF(COUNTBLANK(E44:H44)=4,"",SUM(E44:G44)+IF(Setup!$I$15="No",0,H44))</f>
        <v/>
      </c>
      <c r="J44" s="200"/>
      <c r="K44" s="201"/>
      <c r="L44" s="202"/>
      <c r="M44" s="203"/>
      <c r="N44" s="255" t="str">
        <f>IF(COUNTBLANK(J44:M44)=4,"",SUM(J44:L44)+IF(Setup!$I$15="No",0,M44))</f>
        <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t="str">
        <f ca="1">IF('Demand background (hide)'!A35=Num_Modalities,"",SUM(Demand!I44))</f>
        <v/>
      </c>
      <c r="BD44" s="259" t="str">
        <f ca="1">IF(AND(A44&lt;=MaxRows,BE44&lt;&gt;"Yes"),'Demand background (hide)'!X35+IF(Setup!$I$15="Yes",'Demand background (hide)'!AJ35,0),"")</f>
        <v/>
      </c>
      <c r="BE44" s="209"/>
    </row>
    <row r="45" spans="1:57" ht="15" x14ac:dyDescent="0.25">
      <c r="A45" t="str">
        <f t="shared" ca="1" si="0"/>
        <v/>
      </c>
      <c r="B45" s="262" t="str">
        <f t="shared" ca="1" si="1"/>
        <v xml:space="preserve"> </v>
      </c>
      <c r="C45" s="264" t="str">
        <f t="shared" ca="1" si="2"/>
        <v/>
      </c>
      <c r="D45" s="264" t="str">
        <f t="shared" ca="1" si="3"/>
        <v/>
      </c>
      <c r="E45" s="186"/>
      <c r="F45" s="187"/>
      <c r="G45" s="188"/>
      <c r="H45" s="189"/>
      <c r="I45" s="251" t="str">
        <f>IF(COUNTBLANK(E45:H45)=4,"",SUM(E45:G45)+IF(Setup!$I$15="No",0,H45))</f>
        <v/>
      </c>
      <c r="J45" s="200"/>
      <c r="K45" s="201"/>
      <c r="L45" s="202"/>
      <c r="M45" s="203"/>
      <c r="N45" s="255" t="str">
        <f>IF(COUNTBLANK(J45:M45)=4,"",SUM(J45:L45)+IF(Setup!$I$15="No",0,M45))</f>
        <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t="str">
        <f ca="1">IF('Demand background (hide)'!A36=Num_Modalities,"",SUM(Demand!I45))</f>
        <v/>
      </c>
      <c r="BD45" s="259" t="str">
        <f ca="1">IF(AND(A45&lt;=MaxRows,BE45&lt;&gt;"Yes"),'Demand background (hide)'!X36+IF(Setup!$I$15="Yes",'Demand background (hide)'!AJ36,0),"")</f>
        <v/>
      </c>
      <c r="BE45" s="209"/>
    </row>
    <row r="46" spans="1:57" ht="15" x14ac:dyDescent="0.25">
      <c r="A46" t="str">
        <f t="shared" ca="1" si="0"/>
        <v/>
      </c>
      <c r="B46" s="262" t="str">
        <f t="shared" ca="1" si="1"/>
        <v xml:space="preserve"> </v>
      </c>
      <c r="C46" s="264" t="str">
        <f t="shared" ca="1" si="2"/>
        <v/>
      </c>
      <c r="D46" s="264" t="str">
        <f t="shared" ca="1" si="3"/>
        <v/>
      </c>
      <c r="E46" s="186"/>
      <c r="F46" s="187"/>
      <c r="G46" s="188"/>
      <c r="H46" s="189"/>
      <c r="I46" s="251" t="str">
        <f>IF(COUNTBLANK(E46:H46)=4,"",SUM(E46:G46)+IF(Setup!$I$15="No",0,H46))</f>
        <v/>
      </c>
      <c r="J46" s="200"/>
      <c r="K46" s="201"/>
      <c r="L46" s="202"/>
      <c r="M46" s="203"/>
      <c r="N46" s="255" t="str">
        <f>IF(COUNTBLANK(J46:M46)=4,"",SUM(J46:L46)+IF(Setup!$I$15="No",0,M46))</f>
        <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t="str">
        <f ca="1">IF('Demand background (hide)'!A37=Num_Modalities,"",SUM(Demand!I46))</f>
        <v/>
      </c>
      <c r="BD46" s="259" t="str">
        <f ca="1">IF(AND(A46&lt;=MaxRows,BE46&lt;&gt;"Yes"),'Demand background (hide)'!X37+IF(Setup!$I$15="Yes",'Demand background (hide)'!AJ37,0),"")</f>
        <v/>
      </c>
      <c r="BE46" s="209"/>
    </row>
    <row r="47" spans="1:57" ht="15" x14ac:dyDescent="0.25">
      <c r="A47" t="str">
        <f t="shared" ca="1" si="0"/>
        <v/>
      </c>
      <c r="B47" s="262" t="str">
        <f t="shared" ca="1" si="1"/>
        <v xml:space="preserve"> </v>
      </c>
      <c r="C47" s="264" t="str">
        <f t="shared" ca="1" si="2"/>
        <v/>
      </c>
      <c r="D47" s="264" t="str">
        <f t="shared" ca="1" si="3"/>
        <v/>
      </c>
      <c r="E47" s="186"/>
      <c r="F47" s="187"/>
      <c r="G47" s="188"/>
      <c r="H47" s="189"/>
      <c r="I47" s="251" t="str">
        <f>IF(COUNTBLANK(E47:H47)=4,"",SUM(E47:G47)+IF(Setup!$I$15="No",0,H47))</f>
        <v/>
      </c>
      <c r="J47" s="200"/>
      <c r="K47" s="201"/>
      <c r="L47" s="202"/>
      <c r="M47" s="203"/>
      <c r="N47" s="255" t="str">
        <f>IF(COUNTBLANK(J47:M47)=4,"",SUM(J47:L47)+IF(Setup!$I$15="No",0,M47))</f>
        <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t="str">
        <f ca="1">IF('Demand background (hide)'!A38=Num_Modalities,"",SUM(Demand!I47))</f>
        <v/>
      </c>
      <c r="BD47" s="259" t="str">
        <f ca="1">IF(AND(A47&lt;=MaxRows,BE47&lt;&gt;"Yes"),'Demand background (hide)'!X38+IF(Setup!$I$15="Yes",'Demand background (hide)'!AJ38,0),"")</f>
        <v/>
      </c>
      <c r="BE47" s="209"/>
    </row>
    <row r="48" spans="1:57" ht="15" x14ac:dyDescent="0.25">
      <c r="A48" t="str">
        <f t="shared" ca="1" si="0"/>
        <v/>
      </c>
      <c r="B48" s="262" t="str">
        <f t="shared" ca="1" si="1"/>
        <v xml:space="preserve"> </v>
      </c>
      <c r="C48" s="264" t="str">
        <f t="shared" ca="1" si="2"/>
        <v/>
      </c>
      <c r="D48" s="264" t="str">
        <f t="shared" ca="1" si="3"/>
        <v/>
      </c>
      <c r="E48" s="186"/>
      <c r="F48" s="187"/>
      <c r="G48" s="188"/>
      <c r="H48" s="189"/>
      <c r="I48" s="251" t="str">
        <f>IF(COUNTBLANK(E48:H48)=4,"",SUM(E48:G48)+IF(Setup!$I$15="No",0,H48))</f>
        <v/>
      </c>
      <c r="J48" s="200"/>
      <c r="K48" s="201"/>
      <c r="L48" s="202"/>
      <c r="M48" s="203"/>
      <c r="N48" s="255" t="str">
        <f>IF(COUNTBLANK(J48:M48)=4,"",SUM(J48:L48)+IF(Setup!$I$15="No",0,M48))</f>
        <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t="str">
        <f ca="1">IF('Demand background (hide)'!A39=Num_Modalities,"",SUM(Demand!I48))</f>
        <v/>
      </c>
      <c r="BD48" s="259" t="str">
        <f ca="1">IF(AND(A48&lt;=MaxRows,BE48&lt;&gt;"Yes"),'Demand background (hide)'!X39+IF(Setup!$I$15="Yes",'Demand background (hide)'!AJ39,0),"")</f>
        <v/>
      </c>
      <c r="BE48" s="209"/>
    </row>
    <row r="49" spans="1:57" ht="15" x14ac:dyDescent="0.25">
      <c r="A49" t="str">
        <f t="shared" ca="1" si="0"/>
        <v/>
      </c>
      <c r="B49" s="262" t="str">
        <f t="shared" ca="1" si="1"/>
        <v xml:space="preserve"> </v>
      </c>
      <c r="C49" s="264" t="str">
        <f t="shared" ca="1" si="2"/>
        <v/>
      </c>
      <c r="D49" s="264" t="str">
        <f t="shared" ca="1" si="3"/>
        <v/>
      </c>
      <c r="E49" s="186"/>
      <c r="F49" s="187"/>
      <c r="G49" s="188"/>
      <c r="H49" s="189"/>
      <c r="I49" s="251" t="str">
        <f>IF(COUNTBLANK(E49:H49)=4,"",SUM(E49:G49)+IF(Setup!$I$15="No",0,H49))</f>
        <v/>
      </c>
      <c r="J49" s="200"/>
      <c r="K49" s="201"/>
      <c r="L49" s="202"/>
      <c r="M49" s="203"/>
      <c r="N49" s="255" t="str">
        <f>IF(COUNTBLANK(J49:M49)=4,"",SUM(J49:L49)+IF(Setup!$I$15="No",0,M49))</f>
        <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t="str">
        <f ca="1">IF('Demand background (hide)'!A40=Num_Modalities,"",SUM(Demand!I49))</f>
        <v/>
      </c>
      <c r="BD49" s="259" t="str">
        <f ca="1">IF(AND(A49&lt;=MaxRows,BE49&lt;&gt;"Yes"),'Demand background (hide)'!X40+IF(Setup!$I$15="Yes",'Demand background (hide)'!AJ40,0),"")</f>
        <v/>
      </c>
      <c r="BE49" s="209"/>
    </row>
    <row r="50" spans="1:57" ht="15" x14ac:dyDescent="0.25">
      <c r="A50" t="str">
        <f t="shared" ca="1" si="0"/>
        <v/>
      </c>
      <c r="B50" s="262" t="str">
        <f t="shared" ca="1" si="1"/>
        <v xml:space="preserve"> </v>
      </c>
      <c r="C50" s="264" t="str">
        <f t="shared" ca="1" si="2"/>
        <v/>
      </c>
      <c r="D50" s="264" t="str">
        <f t="shared" ca="1" si="3"/>
        <v/>
      </c>
      <c r="E50" s="186"/>
      <c r="F50" s="187"/>
      <c r="G50" s="188"/>
      <c r="H50" s="189"/>
      <c r="I50" s="251" t="str">
        <f>IF(COUNTBLANK(E50:H50)=4,"",SUM(E50:G50)+IF(Setup!$I$15="No",0,H50))</f>
        <v/>
      </c>
      <c r="J50" s="200"/>
      <c r="K50" s="201"/>
      <c r="L50" s="202"/>
      <c r="M50" s="203"/>
      <c r="N50" s="255" t="str">
        <f>IF(COUNTBLANK(J50:M50)=4,"",SUM(J50:L50)+IF(Setup!$I$15="No",0,M50))</f>
        <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t="str">
        <f ca="1">IF('Demand background (hide)'!A41=Num_Modalities,"",SUM(Demand!I50))</f>
        <v/>
      </c>
      <c r="BD50" s="259" t="str">
        <f ca="1">IF(AND(A50&lt;=MaxRows,BE50&lt;&gt;"Yes"),'Demand background (hide)'!X41+IF(Setup!$I$15="Yes",'Demand background (hide)'!AJ41,0),"")</f>
        <v/>
      </c>
      <c r="BE50" s="209"/>
    </row>
    <row r="51" spans="1:57" ht="15" x14ac:dyDescent="0.25">
      <c r="A51" t="str">
        <f t="shared" ca="1" si="0"/>
        <v/>
      </c>
      <c r="B51" s="262" t="str">
        <f t="shared" ca="1" si="1"/>
        <v xml:space="preserve"> </v>
      </c>
      <c r="C51" s="264" t="str">
        <f t="shared" ca="1" si="2"/>
        <v/>
      </c>
      <c r="D51" s="264" t="str">
        <f t="shared" ca="1" si="3"/>
        <v/>
      </c>
      <c r="E51" s="186"/>
      <c r="F51" s="187"/>
      <c r="G51" s="188"/>
      <c r="H51" s="189"/>
      <c r="I51" s="251" t="str">
        <f>IF(COUNTBLANK(E51:H51)=4,"",SUM(E51:G51)+IF(Setup!$I$15="No",0,H51))</f>
        <v/>
      </c>
      <c r="J51" s="200"/>
      <c r="K51" s="201"/>
      <c r="L51" s="202"/>
      <c r="M51" s="203"/>
      <c r="N51" s="255" t="str">
        <f>IF(COUNTBLANK(J51:M51)=4,"",SUM(J51:L51)+IF(Setup!$I$15="No",0,M51))</f>
        <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t="str">
        <f ca="1">IF('Demand background (hide)'!A42=Num_Modalities,"",SUM(Demand!I51))</f>
        <v/>
      </c>
      <c r="BD51" s="259" t="str">
        <f ca="1">IF(AND(A51&lt;=MaxRows,BE51&lt;&gt;"Yes"),'Demand background (hide)'!X42+IF(Setup!$I$15="Yes",'Demand background (hide)'!AJ42,0),"")</f>
        <v/>
      </c>
      <c r="BE51" s="209"/>
    </row>
    <row r="52" spans="1:57" ht="15" x14ac:dyDescent="0.25">
      <c r="A52" t="str">
        <f t="shared" ca="1" si="0"/>
        <v/>
      </c>
      <c r="B52" s="262" t="str">
        <f t="shared" ca="1" si="1"/>
        <v xml:space="preserve"> </v>
      </c>
      <c r="C52" s="264" t="str">
        <f t="shared" ca="1" si="2"/>
        <v/>
      </c>
      <c r="D52" s="264" t="str">
        <f t="shared" ca="1" si="3"/>
        <v/>
      </c>
      <c r="E52" s="186"/>
      <c r="F52" s="187"/>
      <c r="G52" s="188"/>
      <c r="H52" s="189"/>
      <c r="I52" s="251" t="str">
        <f>IF(COUNTBLANK(E52:H52)=4,"",SUM(E52:G52)+IF(Setup!$I$15="No",0,H52))</f>
        <v/>
      </c>
      <c r="J52" s="200"/>
      <c r="K52" s="201"/>
      <c r="L52" s="202"/>
      <c r="M52" s="203"/>
      <c r="N52" s="255" t="str">
        <f>IF(COUNTBLANK(J52:M52)=4,"",SUM(J52:L52)+IF(Setup!$I$15="No",0,M52))</f>
        <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t="str">
        <f ca="1">IF('Demand background (hide)'!A43=Num_Modalities,"",SUM(Demand!I52))</f>
        <v/>
      </c>
      <c r="BD52" s="259" t="str">
        <f ca="1">IF(AND(A52&lt;=MaxRows,BE52&lt;&gt;"Yes"),'Demand background (hide)'!X43+IF(Setup!$I$15="Yes",'Demand background (hide)'!AJ43,0),"")</f>
        <v/>
      </c>
      <c r="BE52" s="209"/>
    </row>
    <row r="53" spans="1:57" ht="15" x14ac:dyDescent="0.25">
      <c r="A53" t="str">
        <f t="shared" ca="1" si="0"/>
        <v/>
      </c>
      <c r="B53" s="262" t="str">
        <f t="shared" ca="1" si="1"/>
        <v xml:space="preserve"> </v>
      </c>
      <c r="C53" s="264" t="str">
        <f t="shared" ca="1" si="2"/>
        <v/>
      </c>
      <c r="D53" s="264" t="str">
        <f t="shared" ca="1" si="3"/>
        <v/>
      </c>
      <c r="E53" s="186"/>
      <c r="F53" s="187"/>
      <c r="G53" s="188"/>
      <c r="H53" s="189"/>
      <c r="I53" s="251" t="str">
        <f>IF(COUNTBLANK(E53:H53)=4,"",SUM(E53:G53)+IF(Setup!$I$15="No",0,H53))</f>
        <v/>
      </c>
      <c r="J53" s="200"/>
      <c r="K53" s="201"/>
      <c r="L53" s="202"/>
      <c r="M53" s="203"/>
      <c r="N53" s="255" t="str">
        <f>IF(COUNTBLANK(J53:M53)=4,"",SUM(J53:L53)+IF(Setup!$I$15="No",0,M53))</f>
        <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t="str">
        <f ca="1">IF('Demand background (hide)'!A44=Num_Modalities,"",SUM(Demand!I53))</f>
        <v/>
      </c>
      <c r="BD53" s="259" t="str">
        <f ca="1">IF(AND(A53&lt;=MaxRows,BE53&lt;&gt;"Yes"),'Demand background (hide)'!X44+IF(Setup!$I$15="Yes",'Demand background (hide)'!AJ44,0),"")</f>
        <v/>
      </c>
      <c r="BE53" s="209"/>
    </row>
    <row r="54" spans="1:57" ht="15" x14ac:dyDescent="0.25">
      <c r="A54" t="str">
        <f t="shared" ca="1" si="0"/>
        <v/>
      </c>
      <c r="B54" s="262" t="str">
        <f t="shared" ca="1" si="1"/>
        <v xml:space="preserve"> </v>
      </c>
      <c r="C54" s="264" t="str">
        <f t="shared" ca="1" si="2"/>
        <v/>
      </c>
      <c r="D54" s="264" t="str">
        <f t="shared" ca="1" si="3"/>
        <v/>
      </c>
      <c r="E54" s="186"/>
      <c r="F54" s="187"/>
      <c r="G54" s="188"/>
      <c r="H54" s="189"/>
      <c r="I54" s="251" t="str">
        <f>IF(COUNTBLANK(E54:H54)=4,"",SUM(E54:G54)+IF(Setup!$I$15="No",0,H54))</f>
        <v/>
      </c>
      <c r="J54" s="200"/>
      <c r="K54" s="201"/>
      <c r="L54" s="202"/>
      <c r="M54" s="203"/>
      <c r="N54" s="255" t="str">
        <f>IF(COUNTBLANK(J54:M54)=4,"",SUM(J54:L54)+IF(Setup!$I$15="No",0,M54))</f>
        <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t="str">
        <f ca="1">IF('Demand background (hide)'!A45=Num_Modalities,"",SUM(Demand!I54))</f>
        <v/>
      </c>
      <c r="BD54" s="259" t="str">
        <f ca="1">IF(AND(A54&lt;=MaxRows,BE54&lt;&gt;"Yes"),'Demand background (hide)'!X45+IF(Setup!$I$15="Yes",'Demand background (hide)'!AJ45,0),"")</f>
        <v/>
      </c>
      <c r="BE54" s="209"/>
    </row>
    <row r="55" spans="1:57" ht="15" x14ac:dyDescent="0.25">
      <c r="A55" t="str">
        <f t="shared" ca="1" si="0"/>
        <v/>
      </c>
      <c r="B55" s="262" t="str">
        <f t="shared" ca="1" si="1"/>
        <v xml:space="preserve"> </v>
      </c>
      <c r="C55" s="264" t="str">
        <f t="shared" ca="1" si="2"/>
        <v/>
      </c>
      <c r="D55" s="264" t="str">
        <f t="shared" ca="1" si="3"/>
        <v/>
      </c>
      <c r="E55" s="186"/>
      <c r="F55" s="187"/>
      <c r="G55" s="188"/>
      <c r="H55" s="189"/>
      <c r="I55" s="251" t="str">
        <f>IF(COUNTBLANK(E55:H55)=4,"",SUM(E55:G55)+IF(Setup!$I$15="No",0,H55))</f>
        <v/>
      </c>
      <c r="J55" s="200"/>
      <c r="K55" s="201"/>
      <c r="L55" s="202"/>
      <c r="M55" s="203"/>
      <c r="N55" s="255" t="str">
        <f>IF(COUNTBLANK(J55:M55)=4,"",SUM(J55:L55)+IF(Setup!$I$15="No",0,M55))</f>
        <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t="str">
        <f ca="1">IF('Demand background (hide)'!A46=Num_Modalities,"",SUM(Demand!I55))</f>
        <v/>
      </c>
      <c r="BD55" s="259" t="str">
        <f ca="1">IF(AND(A55&lt;=MaxRows,BE55&lt;&gt;"Yes"),'Demand background (hide)'!X46+IF(Setup!$I$15="Yes",'Demand background (hide)'!AJ46,0),"")</f>
        <v/>
      </c>
      <c r="BE55" s="209"/>
    </row>
    <row r="56" spans="1:57" ht="15" x14ac:dyDescent="0.25">
      <c r="A56" t="str">
        <f t="shared" ca="1" si="0"/>
        <v/>
      </c>
      <c r="B56" s="262" t="str">
        <f t="shared" ca="1" si="1"/>
        <v xml:space="preserve"> </v>
      </c>
      <c r="C56" s="264" t="str">
        <f t="shared" ca="1" si="2"/>
        <v/>
      </c>
      <c r="D56" s="264" t="str">
        <f t="shared" ca="1" si="3"/>
        <v/>
      </c>
      <c r="E56" s="186"/>
      <c r="F56" s="187"/>
      <c r="G56" s="188"/>
      <c r="H56" s="189"/>
      <c r="I56" s="251" t="str">
        <f>IF(COUNTBLANK(E56:H56)=4,"",SUM(E56:G56)+IF(Setup!$I$15="No",0,H56))</f>
        <v/>
      </c>
      <c r="J56" s="200"/>
      <c r="K56" s="201"/>
      <c r="L56" s="202"/>
      <c r="M56" s="203"/>
      <c r="N56" s="255" t="str">
        <f>IF(COUNTBLANK(J56:M56)=4,"",SUM(J56:L56)+IF(Setup!$I$15="No",0,M56))</f>
        <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t="str">
        <f ca="1">IF('Demand background (hide)'!A47=Num_Modalities,"",SUM(Demand!I56))</f>
        <v/>
      </c>
      <c r="BD56" s="259" t="str">
        <f ca="1">IF(AND(A56&lt;=MaxRows,BE56&lt;&gt;"Yes"),'Demand background (hide)'!X47+IF(Setup!$I$15="Yes",'Demand background (hide)'!AJ47,0),"")</f>
        <v/>
      </c>
      <c r="BE56" s="209"/>
    </row>
    <row r="57" spans="1:57" ht="15" x14ac:dyDescent="0.25">
      <c r="A57" t="str">
        <f t="shared" ca="1" si="0"/>
        <v/>
      </c>
      <c r="B57" s="262" t="str">
        <f t="shared" ca="1" si="1"/>
        <v xml:space="preserve"> </v>
      </c>
      <c r="C57" s="264" t="str">
        <f t="shared" ca="1" si="2"/>
        <v/>
      </c>
      <c r="D57" s="264" t="str">
        <f t="shared" ca="1" si="3"/>
        <v/>
      </c>
      <c r="E57" s="186"/>
      <c r="F57" s="187"/>
      <c r="G57" s="188"/>
      <c r="H57" s="189"/>
      <c r="I57" s="251" t="str">
        <f>IF(COUNTBLANK(E57:H57)=4,"",SUM(E57:G57)+IF(Setup!$I$15="No",0,H57))</f>
        <v/>
      </c>
      <c r="J57" s="200"/>
      <c r="K57" s="201"/>
      <c r="L57" s="202"/>
      <c r="M57" s="203"/>
      <c r="N57" s="255" t="str">
        <f>IF(COUNTBLANK(J57:M57)=4,"",SUM(J57:L57)+IF(Setup!$I$15="No",0,M57))</f>
        <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t="str">
        <f ca="1">IF('Demand background (hide)'!A48=Num_Modalities,"",SUM(Demand!I57))</f>
        <v/>
      </c>
      <c r="BD57" s="259" t="str">
        <f ca="1">IF(AND(A57&lt;=MaxRows,BE57&lt;&gt;"Yes"),'Demand background (hide)'!X48+IF(Setup!$I$15="Yes",'Demand background (hide)'!AJ48,0),"")</f>
        <v/>
      </c>
      <c r="BE57" s="209"/>
    </row>
    <row r="58" spans="1:57" ht="15" x14ac:dyDescent="0.25">
      <c r="A58" t="str">
        <f t="shared" ca="1" si="0"/>
        <v/>
      </c>
      <c r="B58" s="262" t="str">
        <f t="shared" ca="1" si="1"/>
        <v xml:space="preserve"> </v>
      </c>
      <c r="C58" s="264" t="str">
        <f t="shared" ca="1" si="2"/>
        <v/>
      </c>
      <c r="D58" s="264" t="str">
        <f t="shared" ca="1" si="3"/>
        <v/>
      </c>
      <c r="E58" s="186"/>
      <c r="F58" s="187"/>
      <c r="G58" s="188"/>
      <c r="H58" s="189"/>
      <c r="I58" s="251" t="str">
        <f>IF(COUNTBLANK(E58:H58)=4,"",SUM(E58:G58)+IF(Setup!$I$15="No",0,H58))</f>
        <v/>
      </c>
      <c r="J58" s="200"/>
      <c r="K58" s="201"/>
      <c r="L58" s="202"/>
      <c r="M58" s="203"/>
      <c r="N58" s="255" t="str">
        <f>IF(COUNTBLANK(J58:M58)=4,"",SUM(J58:L58)+IF(Setup!$I$15="No",0,M58))</f>
        <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t="str">
        <f ca="1">IF('Demand background (hide)'!A49=Num_Modalities,"",SUM(Demand!I58))</f>
        <v/>
      </c>
      <c r="BD58" s="259" t="str">
        <f ca="1">IF(AND(A58&lt;=MaxRows,BE58&lt;&gt;"Yes"),'Demand background (hide)'!X49+IF(Setup!$I$15="Yes",'Demand background (hide)'!AJ49,0),"")</f>
        <v/>
      </c>
      <c r="BE58" s="209"/>
    </row>
    <row r="59" spans="1:57" ht="15" x14ac:dyDescent="0.25">
      <c r="A59" t="str">
        <f t="shared" ca="1" si="0"/>
        <v/>
      </c>
      <c r="B59" s="262" t="str">
        <f t="shared" ca="1" si="1"/>
        <v xml:space="preserve"> </v>
      </c>
      <c r="C59" s="264" t="str">
        <f t="shared" ca="1" si="2"/>
        <v/>
      </c>
      <c r="D59" s="264" t="str">
        <f t="shared" ca="1" si="3"/>
        <v/>
      </c>
      <c r="E59" s="186"/>
      <c r="F59" s="187"/>
      <c r="G59" s="188"/>
      <c r="H59" s="189"/>
      <c r="I59" s="251" t="str">
        <f>IF(COUNTBLANK(E59:H59)=4,"",SUM(E59:G59)+IF(Setup!$I$15="No",0,H59))</f>
        <v/>
      </c>
      <c r="J59" s="200"/>
      <c r="K59" s="201"/>
      <c r="L59" s="202"/>
      <c r="M59" s="203"/>
      <c r="N59" s="255" t="str">
        <f>IF(COUNTBLANK(J59:M59)=4,"",SUM(J59:L59)+IF(Setup!$I$15="No",0,M59))</f>
        <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t="str">
        <f ca="1">IF('Demand background (hide)'!A50=Num_Modalities,"",SUM(Demand!I59))</f>
        <v/>
      </c>
      <c r="BD59" s="259" t="str">
        <f ca="1">IF(AND(A59&lt;=MaxRows,BE59&lt;&gt;"Yes"),'Demand background (hide)'!X50+IF(Setup!$I$15="Yes",'Demand background (hide)'!AJ50,0),"")</f>
        <v/>
      </c>
      <c r="BE59" s="209"/>
    </row>
    <row r="60" spans="1:57" ht="15" x14ac:dyDescent="0.25">
      <c r="A60" t="str">
        <f t="shared" ca="1" si="0"/>
        <v/>
      </c>
      <c r="B60" s="262" t="str">
        <f t="shared" ca="1" si="1"/>
        <v xml:space="preserve"> </v>
      </c>
      <c r="C60" s="264" t="str">
        <f t="shared" ca="1" si="2"/>
        <v/>
      </c>
      <c r="D60" s="264" t="str">
        <f t="shared" ca="1" si="3"/>
        <v/>
      </c>
      <c r="E60" s="186"/>
      <c r="F60" s="187"/>
      <c r="G60" s="188"/>
      <c r="H60" s="189"/>
      <c r="I60" s="251" t="str">
        <f>IF(COUNTBLANK(E60:H60)=4,"",SUM(E60:G60)+IF(Setup!$I$15="No",0,H60))</f>
        <v/>
      </c>
      <c r="J60" s="200"/>
      <c r="K60" s="201"/>
      <c r="L60" s="202"/>
      <c r="M60" s="203"/>
      <c r="N60" s="255" t="str">
        <f>IF(COUNTBLANK(J60:M60)=4,"",SUM(J60:L60)+IF(Setup!$I$15="No",0,M60))</f>
        <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t="str">
        <f ca="1">IF('Demand background (hide)'!A51=Num_Modalities,"",SUM(Demand!I60))</f>
        <v/>
      </c>
      <c r="BD60" s="259" t="str">
        <f ca="1">IF(AND(A60&lt;=MaxRows,BE60&lt;&gt;"Yes"),'Demand background (hide)'!X51+IF(Setup!$I$15="Yes",'Demand background (hide)'!AJ51,0),"")</f>
        <v/>
      </c>
      <c r="BE60" s="209"/>
    </row>
    <row r="61" spans="1:57" ht="15" x14ac:dyDescent="0.25">
      <c r="A61" t="str">
        <f t="shared" ca="1" si="0"/>
        <v/>
      </c>
      <c r="B61" s="262" t="str">
        <f t="shared" ca="1" si="1"/>
        <v xml:space="preserve"> </v>
      </c>
      <c r="C61" s="264" t="str">
        <f t="shared" ca="1" si="2"/>
        <v/>
      </c>
      <c r="D61" s="264" t="str">
        <f t="shared" ca="1" si="3"/>
        <v/>
      </c>
      <c r="E61" s="186"/>
      <c r="F61" s="187"/>
      <c r="G61" s="188"/>
      <c r="H61" s="189"/>
      <c r="I61" s="251" t="str">
        <f>IF(COUNTBLANK(E61:H61)=4,"",SUM(E61:G61)+IF(Setup!$I$15="No",0,H61))</f>
        <v/>
      </c>
      <c r="J61" s="200"/>
      <c r="K61" s="201"/>
      <c r="L61" s="202"/>
      <c r="M61" s="203"/>
      <c r="N61" s="255" t="str">
        <f>IF(COUNTBLANK(J61:M61)=4,"",SUM(J61:L61)+IF(Setup!$I$15="No",0,M61))</f>
        <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t="str">
        <f ca="1">IF('Demand background (hide)'!A52=Num_Modalities,"",SUM(Demand!I61))</f>
        <v/>
      </c>
      <c r="BD61" s="259" t="str">
        <f ca="1">IF(AND(A61&lt;=MaxRows,BE61&lt;&gt;"Yes"),'Demand background (hide)'!X52+IF(Setup!$I$15="Yes",'Demand background (hide)'!AJ52,0),"")</f>
        <v/>
      </c>
      <c r="BE61" s="209"/>
    </row>
    <row r="62" spans="1:57" ht="15" x14ac:dyDescent="0.25">
      <c r="A62" t="str">
        <f t="shared" ca="1" si="0"/>
        <v/>
      </c>
      <c r="B62" s="262" t="str">
        <f t="shared" ca="1" si="1"/>
        <v xml:space="preserve"> </v>
      </c>
      <c r="C62" s="264" t="str">
        <f t="shared" ca="1" si="2"/>
        <v/>
      </c>
      <c r="D62" s="264" t="str">
        <f t="shared" ca="1" si="3"/>
        <v/>
      </c>
      <c r="E62" s="186"/>
      <c r="F62" s="187"/>
      <c r="G62" s="188"/>
      <c r="H62" s="189"/>
      <c r="I62" s="251" t="str">
        <f>IF(COUNTBLANK(E62:H62)=4,"",SUM(E62:G62)+IF(Setup!$I$15="No",0,H62))</f>
        <v/>
      </c>
      <c r="J62" s="200"/>
      <c r="K62" s="201"/>
      <c r="L62" s="202"/>
      <c r="M62" s="203"/>
      <c r="N62" s="255" t="str">
        <f>IF(COUNTBLANK(J62:M62)=4,"",SUM(J62:L62)+IF(Setup!$I$15="No",0,M62))</f>
        <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t="str">
        <f ca="1">IF('Demand background (hide)'!A53=Num_Modalities,"",SUM(Demand!I62))</f>
        <v/>
      </c>
      <c r="BD62" s="259" t="str">
        <f ca="1">IF(AND(A62&lt;=MaxRows,BE62&lt;&gt;"Yes"),'Demand background (hide)'!X53+IF(Setup!$I$15="Yes",'Demand background (hide)'!AJ53,0),"")</f>
        <v/>
      </c>
      <c r="BE62" s="209"/>
    </row>
    <row r="63" spans="1:57" ht="15" x14ac:dyDescent="0.25">
      <c r="A63" t="str">
        <f t="shared" ca="1" si="0"/>
        <v/>
      </c>
      <c r="B63" s="262" t="str">
        <f t="shared" ca="1" si="1"/>
        <v xml:space="preserve"> </v>
      </c>
      <c r="C63" s="264" t="str">
        <f t="shared" ca="1" si="2"/>
        <v/>
      </c>
      <c r="D63" s="264" t="str">
        <f t="shared" ca="1" si="3"/>
        <v/>
      </c>
      <c r="E63" s="186"/>
      <c r="F63" s="187"/>
      <c r="G63" s="188"/>
      <c r="H63" s="189"/>
      <c r="I63" s="251" t="str">
        <f>IF(COUNTBLANK(E63:H63)=4,"",SUM(E63:G63)+IF(Setup!$I$15="No",0,H63))</f>
        <v/>
      </c>
      <c r="J63" s="200"/>
      <c r="K63" s="201"/>
      <c r="L63" s="202"/>
      <c r="M63" s="203"/>
      <c r="N63" s="255" t="str">
        <f>IF(COUNTBLANK(J63:M63)=4,"",SUM(J63:L63)+IF(Setup!$I$15="No",0,M63))</f>
        <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t="str">
        <f ca="1">IF('Demand background (hide)'!A54=Num_Modalities,"",SUM(Demand!I63))</f>
        <v/>
      </c>
      <c r="BD63" s="259" t="str">
        <f ca="1">IF(AND(A63&lt;=MaxRows,BE63&lt;&gt;"Yes"),'Demand background (hide)'!X54+IF(Setup!$I$15="Yes",'Demand background (hide)'!AJ54,0),"")</f>
        <v/>
      </c>
      <c r="BE63" s="209"/>
    </row>
    <row r="64" spans="1:57" ht="15.75" thickBot="1" x14ac:dyDescent="0.3">
      <c r="A64" t="str">
        <f t="shared" ca="1" si="0"/>
        <v/>
      </c>
      <c r="B64" s="262" t="str">
        <f t="shared" ca="1" si="1"/>
        <v xml:space="preserve"> </v>
      </c>
      <c r="C64" s="265" t="str">
        <f t="shared" ca="1" si="2"/>
        <v/>
      </c>
      <c r="D64" s="265" t="str">
        <f t="shared" ca="1" si="3"/>
        <v/>
      </c>
      <c r="E64" s="190"/>
      <c r="F64" s="191"/>
      <c r="G64" s="192"/>
      <c r="H64" s="193"/>
      <c r="I64" s="252" t="str">
        <f>IF(COUNTBLANK(E64:H64)=4,"",SUM(E64:G64)+IF(Setup!$I$15="No",0,H64))</f>
        <v/>
      </c>
      <c r="J64" s="204"/>
      <c r="K64" s="205"/>
      <c r="L64" s="206"/>
      <c r="M64" s="207"/>
      <c r="N64" s="256" t="str">
        <f>IF(COUNTBLANK(J64:M64)=4,"",SUM(J64:L64)+IF(Setup!$I$15="No",0,M64))</f>
        <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t="str">
        <f ca="1">IF('Demand background (hide)'!A55=Num_Modalities,"",SUM(Demand!I64))</f>
        <v/>
      </c>
      <c r="BD64" s="260" t="str">
        <f ca="1">IF(AND(A64&lt;=MaxRows,BE64&lt;&gt;"Yes"),'Demand background (hide)'!X55+IF(Setup!$I$15="Yes",'Demand background (hide)'!AJ55,0),"")</f>
        <v/>
      </c>
      <c r="BE64" s="210"/>
    </row>
    <row r="65" spans="1:57" ht="15" x14ac:dyDescent="0.25">
      <c r="A65" t="str">
        <f t="shared" ca="1" si="0"/>
        <v/>
      </c>
      <c r="B65" s="266" t="str">
        <f t="shared" ca="1" si="1"/>
        <v xml:space="preserve"> </v>
      </c>
      <c r="C65" s="267" t="str">
        <f t="shared" ca="1" si="2"/>
        <v/>
      </c>
      <c r="D65" s="267" t="str">
        <f t="shared" ca="1" si="3"/>
        <v/>
      </c>
      <c r="E65" s="194"/>
      <c r="F65" s="194"/>
      <c r="G65" s="195"/>
      <c r="H65" s="194"/>
      <c r="I65" s="253" t="str">
        <f>IF(COUNTBLANK(E65:H65)=4,"",SUM(E65:G65)+IF(Setup!$I$15="No",0,H65))</f>
        <v/>
      </c>
      <c r="J65" s="194"/>
      <c r="K65" s="194"/>
      <c r="L65" s="194"/>
      <c r="M65" s="194"/>
      <c r="N65" s="257" t="str">
        <f>IF(COUNTBLANK(J65:M65)=4,"",SUM(J65:L65)+IF(Setup!$I$15="No",0,M65))</f>
        <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t="str">
        <f ca="1">IF('Demand background (hide)'!A56=Num_Modalities,"",SUM(Demand!I65))</f>
        <v/>
      </c>
      <c r="BD65" s="261" t="str">
        <f ca="1">IF(AND(A65&lt;=MaxRows,BE65&lt;&gt;"Yes"),'Demand background (hide)'!X56+IF(Setup!$I$15="Yes",'Demand background (hide)'!AJ56,0),"")</f>
        <v/>
      </c>
      <c r="BE65" s="211"/>
    </row>
    <row r="66" spans="1:57" ht="15" x14ac:dyDescent="0.25">
      <c r="A66" t="str">
        <f t="shared" ca="1" si="0"/>
        <v/>
      </c>
      <c r="B66" s="266" t="str">
        <f t="shared" ca="1" si="1"/>
        <v xml:space="preserve"> </v>
      </c>
      <c r="C66" s="267" t="str">
        <f t="shared" ca="1" si="2"/>
        <v/>
      </c>
      <c r="D66" s="267" t="str">
        <f t="shared" ca="1" si="3"/>
        <v/>
      </c>
      <c r="E66" s="194"/>
      <c r="F66" s="194"/>
      <c r="G66" s="195"/>
      <c r="H66" s="194"/>
      <c r="I66" s="253" t="str">
        <f>IF(COUNTBLANK(E66:H66)=4,"",SUM(E66:G66)+IF(Setup!$I$15="No",0,H66))</f>
        <v/>
      </c>
      <c r="J66" s="194"/>
      <c r="K66" s="194"/>
      <c r="L66" s="194"/>
      <c r="M66" s="194"/>
      <c r="N66" s="257" t="str">
        <f>IF(COUNTBLANK(J66:M66)=4,"",SUM(J66:L66)+IF(Setup!$I$15="No",0,M66))</f>
        <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t="str">
        <f ca="1">IF('Demand background (hide)'!A57=Num_Modalities,"",SUM(Demand!I66))</f>
        <v/>
      </c>
      <c r="BD66" s="261" t="str">
        <f ca="1">IF(AND(A66&lt;=MaxRows,BE66&lt;&gt;"Yes"),'Demand background (hide)'!X57+IF(Setup!$I$15="Yes",'Demand background (hide)'!AJ57,0),"")</f>
        <v/>
      </c>
      <c r="BE66" s="211"/>
    </row>
    <row r="67" spans="1:57" ht="15" x14ac:dyDescent="0.25">
      <c r="A67" t="str">
        <f t="shared" ca="1" si="0"/>
        <v/>
      </c>
      <c r="B67" s="266" t="str">
        <f t="shared" ca="1" si="1"/>
        <v xml:space="preserve"> </v>
      </c>
      <c r="C67" s="267" t="str">
        <f t="shared" ca="1" si="2"/>
        <v/>
      </c>
      <c r="D67" s="267" t="str">
        <f t="shared" ca="1" si="3"/>
        <v/>
      </c>
      <c r="E67" s="194"/>
      <c r="F67" s="194"/>
      <c r="G67" s="195"/>
      <c r="H67" s="194"/>
      <c r="I67" s="253" t="str">
        <f>IF(COUNTBLANK(E67:H67)=4,"",SUM(E67:G67)+IF(Setup!$I$15="No",0,H67))</f>
        <v/>
      </c>
      <c r="J67" s="194"/>
      <c r="K67" s="194"/>
      <c r="L67" s="194"/>
      <c r="M67" s="194"/>
      <c r="N67" s="257" t="str">
        <f>IF(COUNTBLANK(J67:M67)=4,"",SUM(J67:L67)+IF(Setup!$I$15="No",0,M67))</f>
        <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t="str">
        <f ca="1">IF('Demand background (hide)'!A58=Num_Modalities,"",SUM(Demand!I67))</f>
        <v/>
      </c>
      <c r="BD67" s="261" t="str">
        <f ca="1">IF(AND(A67&lt;=MaxRows,BE67&lt;&gt;"Yes"),'Demand background (hide)'!X58+IF(Setup!$I$15="Yes",'Demand background (hide)'!AJ58,0),"")</f>
        <v/>
      </c>
      <c r="BE67" s="211"/>
    </row>
    <row r="68" spans="1:57" ht="15" x14ac:dyDescent="0.25">
      <c r="A68" t="str">
        <f t="shared" ca="1" si="0"/>
        <v/>
      </c>
      <c r="B68" s="266" t="str">
        <f t="shared" ca="1" si="1"/>
        <v xml:space="preserve"> </v>
      </c>
      <c r="C68" s="267" t="str">
        <f t="shared" ca="1" si="2"/>
        <v/>
      </c>
      <c r="D68" s="267" t="str">
        <f t="shared" ca="1" si="3"/>
        <v/>
      </c>
      <c r="E68" s="194"/>
      <c r="F68" s="194"/>
      <c r="G68" s="195"/>
      <c r="H68" s="194"/>
      <c r="I68" s="253" t="str">
        <f>IF(COUNTBLANK(E68:H68)=4,"",SUM(E68:G68)+IF(Setup!$I$15="No",0,H68))</f>
        <v/>
      </c>
      <c r="J68" s="194"/>
      <c r="K68" s="194"/>
      <c r="L68" s="194"/>
      <c r="M68" s="194"/>
      <c r="N68" s="257" t="str">
        <f>IF(COUNTBLANK(J68:M68)=4,"",SUM(J68:L68)+IF(Setup!$I$15="No",0,M68))</f>
        <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t="str">
        <f ca="1">IF('Demand background (hide)'!A59=Num_Modalities,"",SUM(Demand!I68))</f>
        <v/>
      </c>
      <c r="BD68" s="261" t="str">
        <f ca="1">IF(AND(A68&lt;=MaxRows,BE68&lt;&gt;"Yes"),'Demand background (hide)'!X59+IF(Setup!$I$15="Yes",'Demand background (hide)'!AJ59,0),"")</f>
        <v/>
      </c>
      <c r="BE68" s="211"/>
    </row>
    <row r="69" spans="1:57" ht="15" x14ac:dyDescent="0.25">
      <c r="A69" t="str">
        <f t="shared" ca="1" si="0"/>
        <v/>
      </c>
      <c r="B69" s="266" t="str">
        <f t="shared" ca="1" si="1"/>
        <v xml:space="preserve"> </v>
      </c>
      <c r="C69" s="267" t="str">
        <f t="shared" ca="1" si="2"/>
        <v/>
      </c>
      <c r="D69" s="267" t="str">
        <f t="shared" ca="1" si="3"/>
        <v/>
      </c>
      <c r="E69" s="194"/>
      <c r="F69" s="194"/>
      <c r="G69" s="195"/>
      <c r="H69" s="194"/>
      <c r="I69" s="253" t="str">
        <f>IF(COUNTBLANK(E69:H69)=4,"",SUM(E69:G69)+IF(Setup!$I$15="No",0,H69))</f>
        <v/>
      </c>
      <c r="J69" s="194"/>
      <c r="K69" s="194"/>
      <c r="L69" s="194"/>
      <c r="M69" s="194"/>
      <c r="N69" s="257" t="str">
        <f>IF(COUNTBLANK(J69:M69)=4,"",SUM(J69:L69)+IF(Setup!$I$15="No",0,M69))</f>
        <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t="str">
        <f ca="1">IF('Demand background (hide)'!A60=Num_Modalities,"",SUM(Demand!I69))</f>
        <v/>
      </c>
      <c r="BD69" s="261" t="str">
        <f ca="1">IF(AND(A69&lt;=MaxRows,BE69&lt;&gt;"Yes"),'Demand background (hide)'!X60+IF(Setup!$I$15="Yes",'Demand background (hide)'!AJ60,0),"")</f>
        <v/>
      </c>
      <c r="BE69" s="211"/>
    </row>
    <row r="70" spans="1:57" ht="15" x14ac:dyDescent="0.25">
      <c r="A70" t="str">
        <f t="shared" ca="1" si="0"/>
        <v/>
      </c>
      <c r="B70" s="266" t="str">
        <f t="shared" ca="1" si="1"/>
        <v xml:space="preserve"> </v>
      </c>
      <c r="C70" s="267" t="str">
        <f t="shared" ca="1" si="2"/>
        <v/>
      </c>
      <c r="D70" s="267" t="str">
        <f t="shared" ca="1" si="3"/>
        <v/>
      </c>
      <c r="E70" s="194"/>
      <c r="F70" s="194"/>
      <c r="G70" s="195"/>
      <c r="H70" s="194"/>
      <c r="I70" s="253" t="str">
        <f>IF(COUNTBLANK(E70:H70)=4,"",SUM(E70:G70)+IF(Setup!$I$15="No",0,H70))</f>
        <v/>
      </c>
      <c r="J70" s="194"/>
      <c r="K70" s="194"/>
      <c r="L70" s="194"/>
      <c r="M70" s="194"/>
      <c r="N70" s="257" t="str">
        <f>IF(COUNTBLANK(J70:M70)=4,"",SUM(J70:L70)+IF(Setup!$I$15="No",0,M70))</f>
        <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t="str">
        <f ca="1">IF('Demand background (hide)'!A61=Num_Modalities,"",SUM(Demand!I70))</f>
        <v/>
      </c>
      <c r="BD70" s="261" t="str">
        <f ca="1">IF(AND(A70&lt;=MaxRows,BE70&lt;&gt;"Yes"),'Demand background (hide)'!X61+IF(Setup!$I$15="Yes",'Demand background (hide)'!AJ61,0),"")</f>
        <v/>
      </c>
      <c r="BE70" s="211"/>
    </row>
    <row r="71" spans="1:57" ht="15" x14ac:dyDescent="0.25">
      <c r="A71" t="str">
        <f t="shared" ca="1" si="0"/>
        <v/>
      </c>
      <c r="B71" s="266" t="str">
        <f t="shared" ca="1" si="1"/>
        <v xml:space="preserve"> </v>
      </c>
      <c r="C71" s="267" t="str">
        <f t="shared" ca="1" si="2"/>
        <v/>
      </c>
      <c r="D71" s="267" t="str">
        <f t="shared" ca="1" si="3"/>
        <v/>
      </c>
      <c r="E71" s="194"/>
      <c r="F71" s="194"/>
      <c r="G71" s="195"/>
      <c r="H71" s="194"/>
      <c r="I71" s="253" t="str">
        <f>IF(COUNTBLANK(E71:H71)=4,"",SUM(E71:G71)+IF(Setup!$I$15="No",0,H71))</f>
        <v/>
      </c>
      <c r="J71" s="194"/>
      <c r="K71" s="194"/>
      <c r="L71" s="194"/>
      <c r="M71" s="194"/>
      <c r="N71" s="257" t="str">
        <f>IF(COUNTBLANK(J71:M71)=4,"",SUM(J71:L71)+IF(Setup!$I$15="No",0,M71))</f>
        <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t="str">
        <f ca="1">IF('Demand background (hide)'!A62=Num_Modalities,"",SUM(Demand!I71))</f>
        <v/>
      </c>
      <c r="BD71" s="261" t="str">
        <f ca="1">IF(AND(A71&lt;=MaxRows,BE71&lt;&gt;"Yes"),'Demand background (hide)'!X62+IF(Setup!$I$15="Yes",'Demand background (hide)'!AJ62,0),"")</f>
        <v/>
      </c>
      <c r="BE71" s="211"/>
    </row>
    <row r="72" spans="1:57" ht="15" x14ac:dyDescent="0.25">
      <c r="A72" t="str">
        <f t="shared" ca="1" si="0"/>
        <v/>
      </c>
      <c r="B72" s="266" t="str">
        <f t="shared" ca="1" si="1"/>
        <v xml:space="preserve"> </v>
      </c>
      <c r="C72" s="267" t="str">
        <f t="shared" ca="1" si="2"/>
        <v/>
      </c>
      <c r="D72" s="267" t="str">
        <f t="shared" ca="1" si="3"/>
        <v/>
      </c>
      <c r="E72" s="194"/>
      <c r="F72" s="194"/>
      <c r="G72" s="195"/>
      <c r="H72" s="194"/>
      <c r="I72" s="253" t="str">
        <f>IF(COUNTBLANK(E72:H72)=4,"",SUM(E72:G72)+IF(Setup!$I$15="No",0,H72))</f>
        <v/>
      </c>
      <c r="J72" s="194"/>
      <c r="K72" s="194"/>
      <c r="L72" s="194"/>
      <c r="M72" s="194"/>
      <c r="N72" s="257" t="str">
        <f>IF(COUNTBLANK(J72:M72)=4,"",SUM(J72:L72)+IF(Setup!$I$15="No",0,M72))</f>
        <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t="str">
        <f ca="1">IF('Demand background (hide)'!A63=Num_Modalities,"",SUM(Demand!I72))</f>
        <v/>
      </c>
      <c r="BD72" s="261" t="str">
        <f ca="1">IF(AND(A72&lt;=MaxRows,BE72&lt;&gt;"Yes"),'Demand background (hide)'!X63+IF(Setup!$I$15="Yes",'Demand background (hide)'!AJ63,0),"")</f>
        <v/>
      </c>
      <c r="BE72" s="211"/>
    </row>
    <row r="73" spans="1:57" ht="15" x14ac:dyDescent="0.25">
      <c r="A73" t="str">
        <f t="shared" ca="1" si="0"/>
        <v/>
      </c>
      <c r="B73" s="266" t="str">
        <f t="shared" ca="1" si="1"/>
        <v xml:space="preserve"> </v>
      </c>
      <c r="C73" s="267" t="str">
        <f t="shared" ca="1" si="2"/>
        <v/>
      </c>
      <c r="D73" s="267" t="str">
        <f t="shared" ca="1" si="3"/>
        <v/>
      </c>
      <c r="E73" s="194"/>
      <c r="F73" s="194"/>
      <c r="G73" s="195"/>
      <c r="H73" s="194"/>
      <c r="I73" s="253" t="str">
        <f>IF(COUNTBLANK(E73:H73)=4,"",SUM(E73:G73)+IF(Setup!$I$15="No",0,H73))</f>
        <v/>
      </c>
      <c r="J73" s="194"/>
      <c r="K73" s="194"/>
      <c r="L73" s="194"/>
      <c r="M73" s="194"/>
      <c r="N73" s="257" t="str">
        <f>IF(COUNTBLANK(J73:M73)=4,"",SUM(J73:L73)+IF(Setup!$I$15="No",0,M73))</f>
        <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t="str">
        <f ca="1">IF('Demand background (hide)'!A64=Num_Modalities,"",SUM(Demand!I73))</f>
        <v/>
      </c>
      <c r="BD73" s="261" t="str">
        <f ca="1">IF(AND(A73&lt;=MaxRows,BE73&lt;&gt;"Yes"),'Demand background (hide)'!X64+IF(Setup!$I$15="Yes",'Demand background (hide)'!AJ64,0),"")</f>
        <v/>
      </c>
      <c r="BE73" s="211"/>
    </row>
    <row r="74" spans="1:57" ht="15" x14ac:dyDescent="0.25">
      <c r="A74" t="str">
        <f t="shared" ca="1" si="0"/>
        <v/>
      </c>
      <c r="B74" s="266" t="str">
        <f t="shared" ca="1" si="1"/>
        <v xml:space="preserve"> </v>
      </c>
      <c r="C74" s="267" t="str">
        <f t="shared" ca="1" si="2"/>
        <v/>
      </c>
      <c r="D74" s="267" t="str">
        <f t="shared" ca="1" si="3"/>
        <v/>
      </c>
      <c r="E74" s="194"/>
      <c r="F74" s="194"/>
      <c r="G74" s="195"/>
      <c r="H74" s="194"/>
      <c r="I74" s="253" t="str">
        <f>IF(COUNTBLANK(E74:H74)=4,"",SUM(E74:G74)+IF(Setup!$I$15="No",0,H74))</f>
        <v/>
      </c>
      <c r="J74" s="194"/>
      <c r="K74" s="194"/>
      <c r="L74" s="194"/>
      <c r="M74" s="194"/>
      <c r="N74" s="257" t="str">
        <f>IF(COUNTBLANK(J74:M74)=4,"",SUM(J74:L74)+IF(Setup!$I$15="No",0,M74))</f>
        <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t="str">
        <f ca="1">IF('Demand background (hide)'!A65=Num_Modalities,"",SUM(Demand!I74))</f>
        <v/>
      </c>
      <c r="BD74" s="261" t="str">
        <f ca="1">IF(AND(A74&lt;=MaxRows,BE74&lt;&gt;"Yes"),'Demand background (hide)'!X65+IF(Setup!$I$15="Yes",'Demand background (hide)'!AJ65,0),"")</f>
        <v/>
      </c>
      <c r="BE74" s="211"/>
    </row>
    <row r="75" spans="1:57" ht="15" x14ac:dyDescent="0.25">
      <c r="A75" t="str">
        <f t="shared" ca="1" si="0"/>
        <v/>
      </c>
      <c r="B75" s="266" t="str">
        <f t="shared" ca="1" si="1"/>
        <v xml:space="preserve"> </v>
      </c>
      <c r="C75" s="267" t="str">
        <f t="shared" ca="1" si="2"/>
        <v/>
      </c>
      <c r="D75" s="267" t="str">
        <f t="shared" ca="1" si="3"/>
        <v/>
      </c>
      <c r="E75" s="194"/>
      <c r="F75" s="194"/>
      <c r="G75" s="195"/>
      <c r="H75" s="194"/>
      <c r="I75" s="253" t="str">
        <f>IF(COUNTBLANK(E75:H75)=4,"",SUM(E75:G75)+IF(Setup!$I$15="No",0,H75))</f>
        <v/>
      </c>
      <c r="J75" s="194"/>
      <c r="K75" s="194"/>
      <c r="L75" s="194"/>
      <c r="M75" s="194"/>
      <c r="N75" s="257" t="str">
        <f>IF(COUNTBLANK(J75:M75)=4,"",SUM(J75:L75)+IF(Setup!$I$15="No",0,M75))</f>
        <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t="str">
        <f ca="1">IF('Demand background (hide)'!A66=Num_Modalities,"",SUM(Demand!I75))</f>
        <v/>
      </c>
      <c r="BD75" s="261" t="str">
        <f ca="1">IF(AND(A75&lt;=MaxRows,BE75&lt;&gt;"Yes"),'Demand background (hide)'!X66+IF(Setup!$I$15="Yes",'Demand background (hide)'!AJ66,0),"")</f>
        <v/>
      </c>
      <c r="BE75" s="211"/>
    </row>
    <row r="76" spans="1:57" ht="15" x14ac:dyDescent="0.25">
      <c r="A76" t="str">
        <f t="shared" ca="1" si="0"/>
        <v/>
      </c>
      <c r="B76" s="266" t="str">
        <f t="shared" ca="1" si="1"/>
        <v xml:space="preserve"> </v>
      </c>
      <c r="C76" s="267" t="str">
        <f t="shared" ca="1" si="2"/>
        <v/>
      </c>
      <c r="D76" s="267" t="str">
        <f t="shared" ca="1" si="3"/>
        <v/>
      </c>
      <c r="E76" s="194"/>
      <c r="F76" s="194"/>
      <c r="G76" s="195"/>
      <c r="H76" s="194"/>
      <c r="I76" s="253" t="str">
        <f>IF(COUNTBLANK(E76:H76)=4,"",SUM(E76:G76)+IF(Setup!$I$15="No",0,H76))</f>
        <v/>
      </c>
      <c r="J76" s="194"/>
      <c r="K76" s="194"/>
      <c r="L76" s="194"/>
      <c r="M76" s="194"/>
      <c r="N76" s="257" t="str">
        <f>IF(COUNTBLANK(J76:M76)=4,"",SUM(J76:L76)+IF(Setup!$I$15="No",0,M76))</f>
        <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t="str">
        <f ca="1">IF('Demand background (hide)'!A67=Num_Modalities,"",SUM(Demand!I76))</f>
        <v/>
      </c>
      <c r="BD76" s="261" t="str">
        <f ca="1">IF(AND(A76&lt;=MaxRows,BE76&lt;&gt;"Yes"),'Demand background (hide)'!X67+IF(Setup!$I$15="Yes",'Demand background (hide)'!AJ67,0),"")</f>
        <v/>
      </c>
      <c r="BE76" s="211"/>
    </row>
    <row r="77" spans="1:57" ht="15" x14ac:dyDescent="0.25">
      <c r="A77" t="str">
        <f t="shared" ref="A77:A140" ca="1" si="4">IF(BC77&lt;&gt;"",ROW(A65),"")</f>
        <v/>
      </c>
      <c r="B77" s="266" t="str">
        <f t="shared" ca="1" si="1"/>
        <v xml:space="preserve"> </v>
      </c>
      <c r="C77" s="267" t="str">
        <f t="shared" ca="1" si="2"/>
        <v/>
      </c>
      <c r="D77" s="267" t="str">
        <f t="shared" ca="1" si="3"/>
        <v/>
      </c>
      <c r="E77" s="194"/>
      <c r="F77" s="194"/>
      <c r="G77" s="195"/>
      <c r="H77" s="194"/>
      <c r="I77" s="253" t="str">
        <f>IF(COUNTBLANK(E77:H77)=4,"",SUM(E77:G77)+IF(Setup!$I$15="No",0,H77))</f>
        <v/>
      </c>
      <c r="J77" s="194"/>
      <c r="K77" s="194"/>
      <c r="L77" s="194"/>
      <c r="M77" s="194"/>
      <c r="N77" s="257" t="str">
        <f>IF(COUNTBLANK(J77:M77)=4,"",SUM(J77:L77)+IF(Setup!$I$15="No",0,M77))</f>
        <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t="str">
        <f ca="1">IF('Demand background (hide)'!A68=Num_Modalities,"",SUM(Demand!I77))</f>
        <v/>
      </c>
      <c r="BD77" s="261" t="str">
        <f ca="1">IF(AND(A77&lt;=MaxRows,BE77&lt;&gt;"Yes"),'Demand background (hide)'!X68+IF(Setup!$I$15="Yes",'Demand background (hide)'!AJ68,0),"")</f>
        <v/>
      </c>
      <c r="BE77" s="211"/>
    </row>
    <row r="78" spans="1:57" ht="15" x14ac:dyDescent="0.25">
      <c r="A78" t="str">
        <f t="shared" ca="1" si="4"/>
        <v/>
      </c>
      <c r="B78" s="266" t="str">
        <f t="shared" ref="B78:B141" ca="1" si="5">IF(A78&lt;=MaxRows,IF($C$6&lt;&gt;"",IF(YEAR(D78)&lt;&gt;YEAR(D77),YEAR(D78)," "),IF(C78&lt;&gt;1,"",OFFSET(B78,-C77,0,1,1)+1))," ")</f>
        <v xml:space="preserve"> </v>
      </c>
      <c r="C78" s="267" t="str">
        <f t="shared" ref="C78:C141" ca="1" si="6">IF(ROW(A66)&lt;=MaxRows,IF($C$6&lt;&gt;"",WEEKNUM(D78,21),IF(MOD((C77+1),52)&gt;0,MOD((C77+1),52),52)),"")</f>
        <v/>
      </c>
      <c r="D78" s="267" t="str">
        <f t="shared" ref="D78:D141" ca="1" si="7">IF(ROW(A66)&lt;=MaxRows,IF($C$6&lt;&gt;"",D77+7,""),"")</f>
        <v/>
      </c>
      <c r="E78" s="194"/>
      <c r="F78" s="194"/>
      <c r="G78" s="195"/>
      <c r="H78" s="194"/>
      <c r="I78" s="253" t="str">
        <f>IF(COUNTBLANK(E78:H78)=4,"",SUM(E78:G78)+IF(Setup!$I$15="No",0,H78))</f>
        <v/>
      </c>
      <c r="J78" s="194"/>
      <c r="K78" s="194"/>
      <c r="L78" s="194"/>
      <c r="M78" s="194"/>
      <c r="N78" s="257" t="str">
        <f>IF(COUNTBLANK(J78:M78)=4,"",SUM(J78:L78)+IF(Setup!$I$15="No",0,M78))</f>
        <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t="str">
        <f ca="1">IF('Demand background (hide)'!A69=Num_Modalities,"",SUM(Demand!I78))</f>
        <v/>
      </c>
      <c r="BD78" s="261" t="str">
        <f ca="1">IF(AND(A78&lt;=MaxRows,BE78&lt;&gt;"Yes"),'Demand background (hide)'!X69+IF(Setup!$I$15="Yes",'Demand background (hide)'!AJ69,0),"")</f>
        <v/>
      </c>
      <c r="BE78" s="211"/>
    </row>
    <row r="79" spans="1:57" ht="15" x14ac:dyDescent="0.25">
      <c r="A79" t="str">
        <f t="shared" ca="1" si="4"/>
        <v/>
      </c>
      <c r="B79" s="266" t="str">
        <f t="shared" ca="1" si="5"/>
        <v xml:space="preserve"> </v>
      </c>
      <c r="C79" s="267" t="str">
        <f t="shared" ca="1" si="6"/>
        <v/>
      </c>
      <c r="D79" s="267" t="str">
        <f t="shared" ca="1" si="7"/>
        <v/>
      </c>
      <c r="E79" s="194"/>
      <c r="F79" s="194"/>
      <c r="G79" s="195"/>
      <c r="H79" s="194"/>
      <c r="I79" s="253" t="str">
        <f>IF(COUNTBLANK(E79:H79)=4,"",SUM(E79:G79)+IF(Setup!$I$15="No",0,H79))</f>
        <v/>
      </c>
      <c r="J79" s="194"/>
      <c r="K79" s="194"/>
      <c r="L79" s="194"/>
      <c r="M79" s="194"/>
      <c r="N79" s="257" t="str">
        <f>IF(COUNTBLANK(J79:M79)=4,"",SUM(J79:L79)+IF(Setup!$I$15="No",0,M79))</f>
        <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t="str">
        <f ca="1">IF('Demand background (hide)'!A70=Num_Modalities,"",SUM(Demand!I79))</f>
        <v/>
      </c>
      <c r="BD79" s="261" t="str">
        <f ca="1">IF(AND(A79&lt;=MaxRows,BE79&lt;&gt;"Yes"),'Demand background (hide)'!X70+IF(Setup!$I$15="Yes",'Demand background (hide)'!AJ70,0),"")</f>
        <v/>
      </c>
      <c r="BE79" s="211"/>
    </row>
    <row r="80" spans="1:57" ht="15" x14ac:dyDescent="0.25">
      <c r="A80" t="str">
        <f t="shared" ca="1" si="4"/>
        <v/>
      </c>
      <c r="B80" s="266" t="str">
        <f t="shared" ca="1" si="5"/>
        <v xml:space="preserve"> </v>
      </c>
      <c r="C80" s="267" t="str">
        <f t="shared" ca="1" si="6"/>
        <v/>
      </c>
      <c r="D80" s="267" t="str">
        <f t="shared" ca="1" si="7"/>
        <v/>
      </c>
      <c r="E80" s="194"/>
      <c r="F80" s="194"/>
      <c r="G80" s="195"/>
      <c r="H80" s="194"/>
      <c r="I80" s="253" t="str">
        <f>IF(COUNTBLANK(E80:H80)=4,"",SUM(E80:G80)+IF(Setup!$I$15="No",0,H80))</f>
        <v/>
      </c>
      <c r="J80" s="194"/>
      <c r="K80" s="194"/>
      <c r="L80" s="194"/>
      <c r="M80" s="194"/>
      <c r="N80" s="257" t="str">
        <f>IF(COUNTBLANK(J80:M80)=4,"",SUM(J80:L80)+IF(Setup!$I$15="No",0,M80))</f>
        <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t="str">
        <f ca="1">IF('Demand background (hide)'!A71=Num_Modalities,"",SUM(Demand!I80))</f>
        <v/>
      </c>
      <c r="BD80" s="261" t="str">
        <f ca="1">IF(AND(A80&lt;=MaxRows,BE80&lt;&gt;"Yes"),'Demand background (hide)'!X71+IF(Setup!$I$15="Yes",'Demand background (hide)'!AJ71,0),"")</f>
        <v/>
      </c>
      <c r="BE80" s="211"/>
    </row>
    <row r="81" spans="1:57" ht="15" x14ac:dyDescent="0.25">
      <c r="A81" t="str">
        <f t="shared" ca="1" si="4"/>
        <v/>
      </c>
      <c r="B81" s="266" t="str">
        <f t="shared" ca="1" si="5"/>
        <v xml:space="preserve"> </v>
      </c>
      <c r="C81" s="267" t="str">
        <f t="shared" ca="1" si="6"/>
        <v/>
      </c>
      <c r="D81" s="267" t="str">
        <f t="shared" ca="1" si="7"/>
        <v/>
      </c>
      <c r="E81" s="194"/>
      <c r="F81" s="194"/>
      <c r="G81" s="195"/>
      <c r="H81" s="194"/>
      <c r="I81" s="253" t="str">
        <f>IF(COUNTBLANK(E81:H81)=4,"",SUM(E81:G81)+IF(Setup!$I$15="No",0,H81))</f>
        <v/>
      </c>
      <c r="J81" s="194"/>
      <c r="K81" s="194"/>
      <c r="L81" s="194"/>
      <c r="M81" s="194"/>
      <c r="N81" s="257" t="str">
        <f>IF(COUNTBLANK(J81:M81)=4,"",SUM(J81:L81)+IF(Setup!$I$15="No",0,M81))</f>
        <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t="str">
        <f ca="1">IF('Demand background (hide)'!A72=Num_Modalities,"",SUM(Demand!I81))</f>
        <v/>
      </c>
      <c r="BD81" s="261" t="str">
        <f ca="1">IF(AND(A81&lt;=MaxRows,BE81&lt;&gt;"Yes"),'Demand background (hide)'!X72+IF(Setup!$I$15="Yes",'Demand background (hide)'!AJ72,0),"")</f>
        <v/>
      </c>
      <c r="BE81" s="211"/>
    </row>
    <row r="82" spans="1:57" ht="15" x14ac:dyDescent="0.25">
      <c r="A82" t="str">
        <f t="shared" ca="1" si="4"/>
        <v/>
      </c>
      <c r="B82" s="266" t="str">
        <f t="shared" ca="1" si="5"/>
        <v xml:space="preserve"> </v>
      </c>
      <c r="C82" s="267" t="str">
        <f t="shared" ca="1" si="6"/>
        <v/>
      </c>
      <c r="D82" s="267" t="str">
        <f t="shared" ca="1" si="7"/>
        <v/>
      </c>
      <c r="E82" s="194"/>
      <c r="F82" s="194"/>
      <c r="G82" s="195"/>
      <c r="H82" s="194"/>
      <c r="I82" s="253" t="str">
        <f>IF(COUNTBLANK(E82:H82)=4,"",SUM(E82:G82)+IF(Setup!$I$15="No",0,H82))</f>
        <v/>
      </c>
      <c r="J82" s="194"/>
      <c r="K82" s="194"/>
      <c r="L82" s="194"/>
      <c r="M82" s="194"/>
      <c r="N82" s="257" t="str">
        <f>IF(COUNTBLANK(J82:M82)=4,"",SUM(J82:L82)+IF(Setup!$I$15="No",0,M82))</f>
        <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t="str">
        <f ca="1">IF('Demand background (hide)'!A73=Num_Modalities,"",SUM(Demand!I82))</f>
        <v/>
      </c>
      <c r="BD82" s="261" t="str">
        <f ca="1">IF(AND(A82&lt;=MaxRows,BE82&lt;&gt;"Yes"),'Demand background (hide)'!X73+IF(Setup!$I$15="Yes",'Demand background (hide)'!AJ73,0),"")</f>
        <v/>
      </c>
      <c r="BE82" s="211"/>
    </row>
    <row r="83" spans="1:57" ht="15" x14ac:dyDescent="0.25">
      <c r="A83" t="str">
        <f t="shared" ca="1" si="4"/>
        <v/>
      </c>
      <c r="B83" s="266" t="str">
        <f t="shared" ca="1" si="5"/>
        <v xml:space="preserve"> </v>
      </c>
      <c r="C83" s="267" t="str">
        <f t="shared" ca="1" si="6"/>
        <v/>
      </c>
      <c r="D83" s="267" t="str">
        <f t="shared" ca="1" si="7"/>
        <v/>
      </c>
      <c r="E83" s="194"/>
      <c r="F83" s="194"/>
      <c r="G83" s="195"/>
      <c r="H83" s="194"/>
      <c r="I83" s="253" t="str">
        <f>IF(COUNTBLANK(E83:H83)=4,"",SUM(E83:G83)+IF(Setup!$I$15="No",0,H83))</f>
        <v/>
      </c>
      <c r="J83" s="194"/>
      <c r="K83" s="194"/>
      <c r="L83" s="194"/>
      <c r="M83" s="194"/>
      <c r="N83" s="257" t="str">
        <f>IF(COUNTBLANK(J83:M83)=4,"",SUM(J83:L83)+IF(Setup!$I$15="No",0,M83))</f>
        <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t="str">
        <f ca="1">IF('Demand background (hide)'!A74=Num_Modalities,"",SUM(Demand!I83))</f>
        <v/>
      </c>
      <c r="BD83" s="261" t="str">
        <f ca="1">IF(AND(A83&lt;=MaxRows,BE83&lt;&gt;"Yes"),'Demand background (hide)'!X74+IF(Setup!$I$15="Yes",'Demand background (hide)'!AJ74,0),"")</f>
        <v/>
      </c>
      <c r="BE83" s="211"/>
    </row>
    <row r="84" spans="1:57" ht="15" x14ac:dyDescent="0.25">
      <c r="A84" t="str">
        <f t="shared" ca="1" si="4"/>
        <v/>
      </c>
      <c r="B84" s="266" t="str">
        <f t="shared" ca="1" si="5"/>
        <v xml:space="preserve"> </v>
      </c>
      <c r="C84" s="267" t="str">
        <f t="shared" ca="1" si="6"/>
        <v/>
      </c>
      <c r="D84" s="267" t="str">
        <f t="shared" ca="1" si="7"/>
        <v/>
      </c>
      <c r="E84" s="194"/>
      <c r="F84" s="194"/>
      <c r="G84" s="195"/>
      <c r="H84" s="194"/>
      <c r="I84" s="253" t="str">
        <f>IF(COUNTBLANK(E84:H84)=4,"",SUM(E84:G84)+IF(Setup!$I$15="No",0,H84))</f>
        <v/>
      </c>
      <c r="J84" s="194"/>
      <c r="K84" s="194"/>
      <c r="L84" s="194"/>
      <c r="M84" s="194"/>
      <c r="N84" s="257" t="str">
        <f>IF(COUNTBLANK(J84:M84)=4,"",SUM(J84:L84)+IF(Setup!$I$15="No",0,M84))</f>
        <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t="str">
        <f ca="1">IF('Demand background (hide)'!A75=Num_Modalities,"",SUM(Demand!I84))</f>
        <v/>
      </c>
      <c r="BD84" s="261" t="str">
        <f ca="1">IF(AND(A84&lt;=MaxRows,BE84&lt;&gt;"Yes"),'Demand background (hide)'!X75+IF(Setup!$I$15="Yes",'Demand background (hide)'!AJ75,0),"")</f>
        <v/>
      </c>
      <c r="BE84" s="211"/>
    </row>
    <row r="85" spans="1:57" ht="15" x14ac:dyDescent="0.25">
      <c r="A85" t="str">
        <f t="shared" ca="1" si="4"/>
        <v/>
      </c>
      <c r="B85" s="266" t="str">
        <f t="shared" ca="1" si="5"/>
        <v xml:space="preserve"> </v>
      </c>
      <c r="C85" s="267" t="str">
        <f t="shared" ca="1" si="6"/>
        <v/>
      </c>
      <c r="D85" s="267" t="str">
        <f t="shared" ca="1" si="7"/>
        <v/>
      </c>
      <c r="E85" s="194"/>
      <c r="F85" s="194"/>
      <c r="G85" s="195"/>
      <c r="H85" s="194"/>
      <c r="I85" s="253" t="str">
        <f>IF(COUNTBLANK(E85:H85)=4,"",SUM(E85:G85)+IF(Setup!$I$15="No",0,H85))</f>
        <v/>
      </c>
      <c r="J85" s="194"/>
      <c r="K85" s="194"/>
      <c r="L85" s="194"/>
      <c r="M85" s="194"/>
      <c r="N85" s="257" t="str">
        <f>IF(COUNTBLANK(J85:M85)=4,"",SUM(J85:L85)+IF(Setup!$I$15="No",0,M85))</f>
        <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t="str">
        <f ca="1">IF('Demand background (hide)'!A76=Num_Modalities,"",SUM(Demand!I85))</f>
        <v/>
      </c>
      <c r="BD85" s="261" t="str">
        <f ca="1">IF(AND(A85&lt;=MaxRows,BE85&lt;&gt;"Yes"),'Demand background (hide)'!X76+IF(Setup!$I$15="Yes",'Demand background (hide)'!AJ76,0),"")</f>
        <v/>
      </c>
      <c r="BE85" s="211"/>
    </row>
    <row r="86" spans="1:57" ht="15" x14ac:dyDescent="0.25">
      <c r="A86" t="str">
        <f t="shared" ca="1" si="4"/>
        <v/>
      </c>
      <c r="B86" s="266" t="str">
        <f t="shared" ca="1" si="5"/>
        <v xml:space="preserve"> </v>
      </c>
      <c r="C86" s="267" t="str">
        <f t="shared" ca="1" si="6"/>
        <v/>
      </c>
      <c r="D86" s="267" t="str">
        <f t="shared" ca="1" si="7"/>
        <v/>
      </c>
      <c r="E86" s="194"/>
      <c r="F86" s="194"/>
      <c r="G86" s="195"/>
      <c r="H86" s="194"/>
      <c r="I86" s="253" t="str">
        <f>IF(COUNTBLANK(E86:H86)=4,"",SUM(E86:G86)+IF(Setup!$I$15="No",0,H86))</f>
        <v/>
      </c>
      <c r="J86" s="194"/>
      <c r="K86" s="194"/>
      <c r="L86" s="194"/>
      <c r="M86" s="194"/>
      <c r="N86" s="257" t="str">
        <f>IF(COUNTBLANK(J86:M86)=4,"",SUM(J86:L86)+IF(Setup!$I$15="No",0,M86))</f>
        <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t="str">
        <f ca="1">IF('Demand background (hide)'!A77=Num_Modalities,"",SUM(Demand!I86))</f>
        <v/>
      </c>
      <c r="BD86" s="261" t="str">
        <f ca="1">IF(AND(A86&lt;=MaxRows,BE86&lt;&gt;"Yes"),'Demand background (hide)'!X77+IF(Setup!$I$15="Yes",'Demand background (hide)'!AJ77,0),"")</f>
        <v/>
      </c>
      <c r="BE86" s="211"/>
    </row>
    <row r="87" spans="1:57" ht="15" x14ac:dyDescent="0.25">
      <c r="A87" t="str">
        <f t="shared" ca="1" si="4"/>
        <v/>
      </c>
      <c r="B87" s="266" t="str">
        <f t="shared" ca="1" si="5"/>
        <v xml:space="preserve"> </v>
      </c>
      <c r="C87" s="267" t="str">
        <f t="shared" ca="1" si="6"/>
        <v/>
      </c>
      <c r="D87" s="267" t="str">
        <f t="shared" ca="1" si="7"/>
        <v/>
      </c>
      <c r="E87" s="194"/>
      <c r="F87" s="194"/>
      <c r="G87" s="195"/>
      <c r="H87" s="194"/>
      <c r="I87" s="253" t="str">
        <f>IF(COUNTBLANK(E87:H87)=4,"",SUM(E87:G87)+IF(Setup!$I$15="No",0,H87))</f>
        <v/>
      </c>
      <c r="J87" s="194"/>
      <c r="K87" s="194"/>
      <c r="L87" s="194"/>
      <c r="M87" s="194"/>
      <c r="N87" s="257" t="str">
        <f>IF(COUNTBLANK(J87:M87)=4,"",SUM(J87:L87)+IF(Setup!$I$15="No",0,M87))</f>
        <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t="str">
        <f ca="1">IF('Demand background (hide)'!A78=Num_Modalities,"",SUM(Demand!I87))</f>
        <v/>
      </c>
      <c r="BD87" s="261" t="str">
        <f ca="1">IF(AND(A87&lt;=MaxRows,BE87&lt;&gt;"Yes"),'Demand background (hide)'!X78+IF(Setup!$I$15="Yes",'Demand background (hide)'!AJ78,0),"")</f>
        <v/>
      </c>
      <c r="BE87" s="211"/>
    </row>
    <row r="88" spans="1:57" ht="15" x14ac:dyDescent="0.25">
      <c r="A88" t="str">
        <f t="shared" ca="1" si="4"/>
        <v/>
      </c>
      <c r="B88" s="266" t="str">
        <f t="shared" ca="1" si="5"/>
        <v xml:space="preserve"> </v>
      </c>
      <c r="C88" s="267" t="str">
        <f t="shared" ca="1" si="6"/>
        <v/>
      </c>
      <c r="D88" s="267" t="str">
        <f t="shared" ca="1" si="7"/>
        <v/>
      </c>
      <c r="E88" s="194"/>
      <c r="F88" s="194"/>
      <c r="G88" s="195"/>
      <c r="H88" s="194"/>
      <c r="I88" s="253" t="str">
        <f>IF(COUNTBLANK(E88:H88)=4,"",SUM(E88:G88)+IF(Setup!$I$15="No",0,H88))</f>
        <v/>
      </c>
      <c r="J88" s="194"/>
      <c r="K88" s="194"/>
      <c r="L88" s="194"/>
      <c r="M88" s="194"/>
      <c r="N88" s="257" t="str">
        <f>IF(COUNTBLANK(J88:M88)=4,"",SUM(J88:L88)+IF(Setup!$I$15="No",0,M88))</f>
        <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t="str">
        <f ca="1">IF('Demand background (hide)'!A79=Num_Modalities,"",SUM(Demand!I88))</f>
        <v/>
      </c>
      <c r="BD88" s="261" t="str">
        <f ca="1">IF(AND(A88&lt;=MaxRows,BE88&lt;&gt;"Yes"),'Demand background (hide)'!X79+IF(Setup!$I$15="Yes",'Demand background (hide)'!AJ79,0),"")</f>
        <v/>
      </c>
      <c r="BE88" s="211"/>
    </row>
    <row r="89" spans="1:57" ht="15" x14ac:dyDescent="0.25">
      <c r="A89" t="str">
        <f t="shared" ca="1" si="4"/>
        <v/>
      </c>
      <c r="B89" s="266" t="str">
        <f t="shared" ca="1" si="5"/>
        <v xml:space="preserve"> </v>
      </c>
      <c r="C89" s="267" t="str">
        <f t="shared" ca="1" si="6"/>
        <v/>
      </c>
      <c r="D89" s="267" t="str">
        <f t="shared" ca="1" si="7"/>
        <v/>
      </c>
      <c r="E89" s="194"/>
      <c r="F89" s="194"/>
      <c r="G89" s="195"/>
      <c r="H89" s="194"/>
      <c r="I89" s="253" t="str">
        <f>IF(COUNTBLANK(E89:H89)=4,"",SUM(E89:G89)+IF(Setup!$I$15="No",0,H89))</f>
        <v/>
      </c>
      <c r="J89" s="194"/>
      <c r="K89" s="194"/>
      <c r="L89" s="194"/>
      <c r="M89" s="194"/>
      <c r="N89" s="257" t="str">
        <f>IF(COUNTBLANK(J89:M89)=4,"",SUM(J89:L89)+IF(Setup!$I$15="No",0,M89))</f>
        <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t="str">
        <f ca="1">IF('Demand background (hide)'!A80=Num_Modalities,"",SUM(Demand!I89))</f>
        <v/>
      </c>
      <c r="BD89" s="261" t="str">
        <f ca="1">IF(AND(A89&lt;=MaxRows,BE89&lt;&gt;"Yes"),'Demand background (hide)'!X80+IF(Setup!$I$15="Yes",'Demand background (hide)'!AJ80,0),"")</f>
        <v/>
      </c>
      <c r="BE89" s="211"/>
    </row>
    <row r="90" spans="1:57" ht="15" x14ac:dyDescent="0.25">
      <c r="A90" t="str">
        <f t="shared" ca="1" si="4"/>
        <v/>
      </c>
      <c r="B90" s="266" t="str">
        <f t="shared" ca="1" si="5"/>
        <v xml:space="preserve"> </v>
      </c>
      <c r="C90" s="267" t="str">
        <f t="shared" ca="1" si="6"/>
        <v/>
      </c>
      <c r="D90" s="267" t="str">
        <f t="shared" ca="1" si="7"/>
        <v/>
      </c>
      <c r="E90" s="194"/>
      <c r="F90" s="194"/>
      <c r="G90" s="195"/>
      <c r="H90" s="194"/>
      <c r="I90" s="253" t="str">
        <f>IF(COUNTBLANK(E90:H90)=4,"",SUM(E90:G90)+IF(Setup!$I$15="No",0,H90))</f>
        <v/>
      </c>
      <c r="J90" s="194"/>
      <c r="K90" s="194"/>
      <c r="L90" s="194"/>
      <c r="M90" s="194"/>
      <c r="N90" s="257" t="str">
        <f>IF(COUNTBLANK(J90:M90)=4,"",SUM(J90:L90)+IF(Setup!$I$15="No",0,M90))</f>
        <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t="str">
        <f ca="1">IF('Demand background (hide)'!A81=Num_Modalities,"",SUM(Demand!I90))</f>
        <v/>
      </c>
      <c r="BD90" s="261" t="str">
        <f ca="1">IF(AND(A90&lt;=MaxRows,BE90&lt;&gt;"Yes"),'Demand background (hide)'!X81+IF(Setup!$I$15="Yes",'Demand background (hide)'!AJ81,0),"")</f>
        <v/>
      </c>
      <c r="BE90" s="211"/>
    </row>
    <row r="91" spans="1:57" ht="15" x14ac:dyDescent="0.25">
      <c r="A91" t="str">
        <f t="shared" ca="1" si="4"/>
        <v/>
      </c>
      <c r="B91" s="266" t="str">
        <f t="shared" ca="1" si="5"/>
        <v xml:space="preserve"> </v>
      </c>
      <c r="C91" s="267" t="str">
        <f t="shared" ca="1" si="6"/>
        <v/>
      </c>
      <c r="D91" s="267" t="str">
        <f t="shared" ca="1" si="7"/>
        <v/>
      </c>
      <c r="E91" s="194"/>
      <c r="F91" s="194"/>
      <c r="G91" s="195"/>
      <c r="H91" s="194"/>
      <c r="I91" s="253" t="str">
        <f>IF(COUNTBLANK(E91:H91)=4,"",SUM(E91:G91)+IF(Setup!$I$15="No",0,H91))</f>
        <v/>
      </c>
      <c r="J91" s="194"/>
      <c r="K91" s="194"/>
      <c r="L91" s="194"/>
      <c r="M91" s="194"/>
      <c r="N91" s="257" t="str">
        <f>IF(COUNTBLANK(J91:M91)=4,"",SUM(J91:L91)+IF(Setup!$I$15="No",0,M91))</f>
        <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t="str">
        <f ca="1">IF('Demand background (hide)'!A82=Num_Modalities,"",SUM(Demand!I91))</f>
        <v/>
      </c>
      <c r="BD91" s="261" t="str">
        <f ca="1">IF(AND(A91&lt;=MaxRows,BE91&lt;&gt;"Yes"),'Demand background (hide)'!X82+IF(Setup!$I$15="Yes",'Demand background (hide)'!AJ82,0),"")</f>
        <v/>
      </c>
      <c r="BE91" s="211"/>
    </row>
    <row r="92" spans="1:57" ht="15" x14ac:dyDescent="0.25">
      <c r="A92" t="str">
        <f t="shared" ca="1" si="4"/>
        <v/>
      </c>
      <c r="B92" s="266" t="str">
        <f t="shared" ca="1" si="5"/>
        <v xml:space="preserve"> </v>
      </c>
      <c r="C92" s="267" t="str">
        <f t="shared" ca="1" si="6"/>
        <v/>
      </c>
      <c r="D92" s="267" t="str">
        <f t="shared" ca="1" si="7"/>
        <v/>
      </c>
      <c r="E92" s="194"/>
      <c r="F92" s="194"/>
      <c r="G92" s="195"/>
      <c r="H92" s="194"/>
      <c r="I92" s="253" t="str">
        <f>IF(COUNTBLANK(E92:H92)=4,"",SUM(E92:G92)+IF(Setup!$I$15="No",0,H92))</f>
        <v/>
      </c>
      <c r="J92" s="194"/>
      <c r="K92" s="194"/>
      <c r="L92" s="194"/>
      <c r="M92" s="194"/>
      <c r="N92" s="257" t="str">
        <f>IF(COUNTBLANK(J92:M92)=4,"",SUM(J92:L92)+IF(Setup!$I$15="No",0,M92))</f>
        <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t="str">
        <f ca="1">IF('Demand background (hide)'!A83=Num_Modalities,"",SUM(Demand!I92))</f>
        <v/>
      </c>
      <c r="BD92" s="261" t="str">
        <f ca="1">IF(AND(A92&lt;=MaxRows,BE92&lt;&gt;"Yes"),'Demand background (hide)'!X83+IF(Setup!$I$15="Yes",'Demand background (hide)'!AJ83,0),"")</f>
        <v/>
      </c>
      <c r="BE92" s="211"/>
    </row>
    <row r="93" spans="1:57" ht="15" x14ac:dyDescent="0.25">
      <c r="A93" t="str">
        <f t="shared" ca="1" si="4"/>
        <v/>
      </c>
      <c r="B93" s="266" t="str">
        <f t="shared" ca="1" si="5"/>
        <v xml:space="preserve"> </v>
      </c>
      <c r="C93" s="267" t="str">
        <f t="shared" ca="1" si="6"/>
        <v/>
      </c>
      <c r="D93" s="267" t="str">
        <f t="shared" ca="1" si="7"/>
        <v/>
      </c>
      <c r="E93" s="194"/>
      <c r="F93" s="194"/>
      <c r="G93" s="195"/>
      <c r="H93" s="194"/>
      <c r="I93" s="253" t="str">
        <f>IF(COUNTBLANK(E93:H93)=4,"",SUM(E93:G93)+IF(Setup!$I$15="No",0,H93))</f>
        <v/>
      </c>
      <c r="J93" s="194"/>
      <c r="K93" s="194"/>
      <c r="L93" s="194"/>
      <c r="M93" s="194"/>
      <c r="N93" s="257" t="str">
        <f>IF(COUNTBLANK(J93:M93)=4,"",SUM(J93:L93)+IF(Setup!$I$15="No",0,M93))</f>
        <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t="str">
        <f ca="1">IF('Demand background (hide)'!A84=Num_Modalities,"",SUM(Demand!I93))</f>
        <v/>
      </c>
      <c r="BD93" s="261" t="str">
        <f ca="1">IF(AND(A93&lt;=MaxRows,BE93&lt;&gt;"Yes"),'Demand background (hide)'!X84+IF(Setup!$I$15="Yes",'Demand background (hide)'!AJ84,0),"")</f>
        <v/>
      </c>
      <c r="BE93" s="211"/>
    </row>
    <row r="94" spans="1:57" ht="15" x14ac:dyDescent="0.25">
      <c r="A94" t="str">
        <f t="shared" ca="1" si="4"/>
        <v/>
      </c>
      <c r="B94" s="266" t="str">
        <f t="shared" ca="1" si="5"/>
        <v xml:space="preserve"> </v>
      </c>
      <c r="C94" s="267" t="str">
        <f t="shared" ca="1" si="6"/>
        <v/>
      </c>
      <c r="D94" s="267" t="str">
        <f t="shared" ca="1" si="7"/>
        <v/>
      </c>
      <c r="E94" s="194"/>
      <c r="F94" s="194"/>
      <c r="G94" s="195"/>
      <c r="H94" s="194"/>
      <c r="I94" s="253" t="str">
        <f>IF(COUNTBLANK(E94:H94)=4,"",SUM(E94:G94)+IF(Setup!$I$15="No",0,H94))</f>
        <v/>
      </c>
      <c r="J94" s="194"/>
      <c r="K94" s="194"/>
      <c r="L94" s="194"/>
      <c r="M94" s="194"/>
      <c r="N94" s="257" t="str">
        <f>IF(COUNTBLANK(J94:M94)=4,"",SUM(J94:L94)+IF(Setup!$I$15="No",0,M94))</f>
        <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t="str">
        <f ca="1">IF('Demand background (hide)'!A85=Num_Modalities,"",SUM(Demand!I94))</f>
        <v/>
      </c>
      <c r="BD94" s="261" t="str">
        <f ca="1">IF(AND(A94&lt;=MaxRows,BE94&lt;&gt;"Yes"),'Demand background (hide)'!X85+IF(Setup!$I$15="Yes",'Demand background (hide)'!AJ85,0),"")</f>
        <v/>
      </c>
      <c r="BE94" s="211"/>
    </row>
    <row r="95" spans="1:57" ht="15" x14ac:dyDescent="0.25">
      <c r="A95" t="str">
        <f t="shared" ca="1" si="4"/>
        <v/>
      </c>
      <c r="B95" s="266" t="str">
        <f t="shared" ca="1" si="5"/>
        <v xml:space="preserve"> </v>
      </c>
      <c r="C95" s="267" t="str">
        <f t="shared" ca="1" si="6"/>
        <v/>
      </c>
      <c r="D95" s="267" t="str">
        <f t="shared" ca="1" si="7"/>
        <v/>
      </c>
      <c r="E95" s="194"/>
      <c r="F95" s="194"/>
      <c r="G95" s="195"/>
      <c r="H95" s="194"/>
      <c r="I95" s="253" t="str">
        <f>IF(COUNTBLANK(E95:H95)=4,"",SUM(E95:G95)+IF(Setup!$I$15="No",0,H95))</f>
        <v/>
      </c>
      <c r="J95" s="194"/>
      <c r="K95" s="194"/>
      <c r="L95" s="194"/>
      <c r="M95" s="194"/>
      <c r="N95" s="257" t="str">
        <f>IF(COUNTBLANK(J95:M95)=4,"",SUM(J95:L95)+IF(Setup!$I$15="No",0,M95))</f>
        <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t="str">
        <f ca="1">IF('Demand background (hide)'!A86=Num_Modalities,"",SUM(Demand!I95))</f>
        <v/>
      </c>
      <c r="BD95" s="261" t="str">
        <f ca="1">IF(AND(A95&lt;=MaxRows,BE95&lt;&gt;"Yes"),'Demand background (hide)'!X86+IF(Setup!$I$15="Yes",'Demand background (hide)'!AJ86,0),"")</f>
        <v/>
      </c>
      <c r="BE95" s="211"/>
    </row>
    <row r="96" spans="1:57" ht="15" x14ac:dyDescent="0.25">
      <c r="A96" t="str">
        <f t="shared" ca="1" si="4"/>
        <v/>
      </c>
      <c r="B96" s="266" t="str">
        <f t="shared" ca="1" si="5"/>
        <v xml:space="preserve"> </v>
      </c>
      <c r="C96" s="267" t="str">
        <f t="shared" ca="1" si="6"/>
        <v/>
      </c>
      <c r="D96" s="267" t="str">
        <f t="shared" ca="1" si="7"/>
        <v/>
      </c>
      <c r="E96" s="194"/>
      <c r="F96" s="194"/>
      <c r="G96" s="195"/>
      <c r="H96" s="194"/>
      <c r="I96" s="253" t="str">
        <f>IF(COUNTBLANK(E96:H96)=4,"",SUM(E96:G96)+IF(Setup!$I$15="No",0,H96))</f>
        <v/>
      </c>
      <c r="J96" s="194"/>
      <c r="K96" s="194"/>
      <c r="L96" s="194"/>
      <c r="M96" s="194"/>
      <c r="N96" s="257" t="str">
        <f>IF(COUNTBLANK(J96:M96)=4,"",SUM(J96:L96)+IF(Setup!$I$15="No",0,M96))</f>
        <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t="str">
        <f ca="1">IF('Demand background (hide)'!A87=Num_Modalities,"",SUM(Demand!I96))</f>
        <v/>
      </c>
      <c r="BD96" s="261" t="str">
        <f ca="1">IF(AND(A96&lt;=MaxRows,BE96&lt;&gt;"Yes"),'Demand background (hide)'!X87+IF(Setup!$I$15="Yes",'Demand background (hide)'!AJ87,0),"")</f>
        <v/>
      </c>
      <c r="BE96" s="211"/>
    </row>
    <row r="97" spans="1:57" ht="15" x14ac:dyDescent="0.25">
      <c r="A97" t="str">
        <f t="shared" ca="1" si="4"/>
        <v/>
      </c>
      <c r="B97" s="266" t="str">
        <f t="shared" ca="1" si="5"/>
        <v xml:space="preserve"> </v>
      </c>
      <c r="C97" s="267" t="str">
        <f t="shared" ca="1" si="6"/>
        <v/>
      </c>
      <c r="D97" s="267" t="str">
        <f t="shared" ca="1" si="7"/>
        <v/>
      </c>
      <c r="E97" s="194"/>
      <c r="F97" s="194"/>
      <c r="G97" s="195"/>
      <c r="H97" s="194"/>
      <c r="I97" s="253" t="str">
        <f>IF(COUNTBLANK(E97:H97)=4,"",SUM(E97:G97)+IF(Setup!$I$15="No",0,H97))</f>
        <v/>
      </c>
      <c r="J97" s="194"/>
      <c r="K97" s="194"/>
      <c r="L97" s="194"/>
      <c r="M97" s="194"/>
      <c r="N97" s="257" t="str">
        <f>IF(COUNTBLANK(J97:M97)=4,"",SUM(J97:L97)+IF(Setup!$I$15="No",0,M97))</f>
        <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t="str">
        <f ca="1">IF('Demand background (hide)'!A88=Num_Modalities,"",SUM(Demand!I97))</f>
        <v/>
      </c>
      <c r="BD97" s="261" t="str">
        <f ca="1">IF(AND(A97&lt;=MaxRows,BE97&lt;&gt;"Yes"),'Demand background (hide)'!X88+IF(Setup!$I$15="Yes",'Demand background (hide)'!AJ88,0),"")</f>
        <v/>
      </c>
      <c r="BE97" s="211"/>
    </row>
    <row r="98" spans="1:57" ht="15" x14ac:dyDescent="0.25">
      <c r="A98" t="str">
        <f t="shared" ca="1" si="4"/>
        <v/>
      </c>
      <c r="B98" s="266" t="str">
        <f t="shared" ca="1" si="5"/>
        <v xml:space="preserve"> </v>
      </c>
      <c r="C98" s="267" t="str">
        <f t="shared" ca="1" si="6"/>
        <v/>
      </c>
      <c r="D98" s="267" t="str">
        <f t="shared" ca="1" si="7"/>
        <v/>
      </c>
      <c r="E98" s="194"/>
      <c r="F98" s="194"/>
      <c r="G98" s="195"/>
      <c r="H98" s="194"/>
      <c r="I98" s="253" t="str">
        <f>IF(COUNTBLANK(E98:H98)=4,"",SUM(E98:G98)+IF(Setup!$I$15="No",0,H98))</f>
        <v/>
      </c>
      <c r="J98" s="194"/>
      <c r="K98" s="194"/>
      <c r="L98" s="194"/>
      <c r="M98" s="194"/>
      <c r="N98" s="257" t="str">
        <f>IF(COUNTBLANK(J98:M98)=4,"",SUM(J98:L98)+IF(Setup!$I$15="No",0,M98))</f>
        <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t="str">
        <f ca="1">IF('Demand background (hide)'!A89=Num_Modalities,"",SUM(Demand!I98))</f>
        <v/>
      </c>
      <c r="BD98" s="261" t="str">
        <f ca="1">IF(AND(A98&lt;=MaxRows,BE98&lt;&gt;"Yes"),'Demand background (hide)'!X89+IF(Setup!$I$15="Yes",'Demand background (hide)'!AJ89,0),"")</f>
        <v/>
      </c>
      <c r="BE98" s="211"/>
    </row>
    <row r="99" spans="1:57" ht="15" x14ac:dyDescent="0.25">
      <c r="A99" t="str">
        <f t="shared" ca="1" si="4"/>
        <v/>
      </c>
      <c r="B99" s="266" t="str">
        <f t="shared" ca="1" si="5"/>
        <v xml:space="preserve"> </v>
      </c>
      <c r="C99" s="267" t="str">
        <f t="shared" ca="1" si="6"/>
        <v/>
      </c>
      <c r="D99" s="267" t="str">
        <f t="shared" ca="1" si="7"/>
        <v/>
      </c>
      <c r="E99" s="194"/>
      <c r="F99" s="194"/>
      <c r="G99" s="195"/>
      <c r="H99" s="194"/>
      <c r="I99" s="253" t="str">
        <f>IF(COUNTBLANK(E99:H99)=4,"",SUM(E99:G99)+IF(Setup!$I$15="No",0,H99))</f>
        <v/>
      </c>
      <c r="J99" s="194"/>
      <c r="K99" s="194"/>
      <c r="L99" s="194"/>
      <c r="M99" s="194"/>
      <c r="N99" s="257" t="str">
        <f>IF(COUNTBLANK(J99:M99)=4,"",SUM(J99:L99)+IF(Setup!$I$15="No",0,M99))</f>
        <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t="str">
        <f ca="1">IF('Demand background (hide)'!A90=Num_Modalities,"",SUM(Demand!I99))</f>
        <v/>
      </c>
      <c r="BD99" s="261" t="str">
        <f ca="1">IF(AND(A99&lt;=MaxRows,BE99&lt;&gt;"Yes"),'Demand background (hide)'!X90+IF(Setup!$I$15="Yes",'Demand background (hide)'!AJ90,0),"")</f>
        <v/>
      </c>
      <c r="BE99" s="211"/>
    </row>
    <row r="100" spans="1:57" ht="15" x14ac:dyDescent="0.25">
      <c r="A100" t="str">
        <f t="shared" ca="1" si="4"/>
        <v/>
      </c>
      <c r="B100" s="266" t="str">
        <f t="shared" ca="1" si="5"/>
        <v xml:space="preserve"> </v>
      </c>
      <c r="C100" s="267" t="str">
        <f t="shared" ca="1" si="6"/>
        <v/>
      </c>
      <c r="D100" s="267" t="str">
        <f t="shared" ca="1" si="7"/>
        <v/>
      </c>
      <c r="E100" s="194"/>
      <c r="F100" s="194"/>
      <c r="G100" s="195"/>
      <c r="H100" s="194"/>
      <c r="I100" s="253" t="str">
        <f>IF(COUNTBLANK(E100:H100)=4,"",SUM(E100:G100)+IF(Setup!$I$15="No",0,H100))</f>
        <v/>
      </c>
      <c r="J100" s="194"/>
      <c r="K100" s="194"/>
      <c r="L100" s="194"/>
      <c r="M100" s="194"/>
      <c r="N100" s="257" t="str">
        <f>IF(COUNTBLANK(J100:M100)=4,"",SUM(J100:L100)+IF(Setup!$I$15="No",0,M100))</f>
        <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t="str">
        <f ca="1">IF('Demand background (hide)'!A91=Num_Modalities,"",SUM(Demand!I100))</f>
        <v/>
      </c>
      <c r="BD100" s="261" t="str">
        <f ca="1">IF(AND(A100&lt;=MaxRows,BE100&lt;&gt;"Yes"),'Demand background (hide)'!X91+IF(Setup!$I$15="Yes",'Demand background (hide)'!AJ91,0),"")</f>
        <v/>
      </c>
      <c r="BE100" s="211"/>
    </row>
    <row r="101" spans="1:57" ht="15" x14ac:dyDescent="0.25">
      <c r="A101" t="str">
        <f t="shared" ca="1" si="4"/>
        <v/>
      </c>
      <c r="B101" s="266" t="str">
        <f t="shared" ca="1" si="5"/>
        <v xml:space="preserve"> </v>
      </c>
      <c r="C101" s="267" t="str">
        <f t="shared" ca="1" si="6"/>
        <v/>
      </c>
      <c r="D101" s="267" t="str">
        <f t="shared" ca="1" si="7"/>
        <v/>
      </c>
      <c r="E101" s="194"/>
      <c r="F101" s="194"/>
      <c r="G101" s="195"/>
      <c r="H101" s="194"/>
      <c r="I101" s="253" t="str">
        <f>IF(COUNTBLANK(E101:H101)=4,"",SUM(E101:G101)+IF(Setup!$I$15="No",0,H101))</f>
        <v/>
      </c>
      <c r="J101" s="194"/>
      <c r="K101" s="194"/>
      <c r="L101" s="194"/>
      <c r="M101" s="194"/>
      <c r="N101" s="257" t="str">
        <f>IF(COUNTBLANK(J101:M101)=4,"",SUM(J101:L101)+IF(Setup!$I$15="No",0,M101))</f>
        <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t="str">
        <f ca="1">IF('Demand background (hide)'!A92=Num_Modalities,"",SUM(Demand!I101))</f>
        <v/>
      </c>
      <c r="BD101" s="261" t="str">
        <f ca="1">IF(AND(A101&lt;=MaxRows,BE101&lt;&gt;"Yes"),'Demand background (hide)'!X92+IF(Setup!$I$15="Yes",'Demand background (hide)'!AJ92,0),"")</f>
        <v/>
      </c>
      <c r="BE101" s="211"/>
    </row>
    <row r="102" spans="1:57" ht="15" x14ac:dyDescent="0.25">
      <c r="A102" t="str">
        <f t="shared" ca="1" si="4"/>
        <v/>
      </c>
      <c r="B102" s="266" t="str">
        <f t="shared" ca="1" si="5"/>
        <v xml:space="preserve"> </v>
      </c>
      <c r="C102" s="267" t="str">
        <f t="shared" ca="1" si="6"/>
        <v/>
      </c>
      <c r="D102" s="267" t="str">
        <f t="shared" ca="1" si="7"/>
        <v/>
      </c>
      <c r="E102" s="194"/>
      <c r="F102" s="194"/>
      <c r="G102" s="195"/>
      <c r="H102" s="194"/>
      <c r="I102" s="253" t="str">
        <f>IF(COUNTBLANK(E102:H102)=4,"",SUM(E102:G102)+IF(Setup!$I$15="No",0,H102))</f>
        <v/>
      </c>
      <c r="J102" s="194"/>
      <c r="K102" s="194"/>
      <c r="L102" s="194"/>
      <c r="M102" s="194"/>
      <c r="N102" s="257" t="str">
        <f>IF(COUNTBLANK(J102:M102)=4,"",SUM(J102:L102)+IF(Setup!$I$15="No",0,M102))</f>
        <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t="str">
        <f ca="1">IF('Demand background (hide)'!A93=Num_Modalities,"",SUM(Demand!I102))</f>
        <v/>
      </c>
      <c r="BD102" s="261" t="str">
        <f ca="1">IF(AND(A102&lt;=MaxRows,BE102&lt;&gt;"Yes"),'Demand background (hide)'!X93+IF(Setup!$I$15="Yes",'Demand background (hide)'!AJ93,0),"")</f>
        <v/>
      </c>
      <c r="BE102" s="211"/>
    </row>
    <row r="103" spans="1:57" ht="15" x14ac:dyDescent="0.25">
      <c r="A103" t="str">
        <f t="shared" ca="1" si="4"/>
        <v/>
      </c>
      <c r="B103" s="266" t="str">
        <f t="shared" ca="1" si="5"/>
        <v xml:space="preserve"> </v>
      </c>
      <c r="C103" s="267" t="str">
        <f t="shared" ca="1" si="6"/>
        <v/>
      </c>
      <c r="D103" s="267" t="str">
        <f t="shared" ca="1" si="7"/>
        <v/>
      </c>
      <c r="E103" s="194"/>
      <c r="F103" s="194"/>
      <c r="G103" s="195"/>
      <c r="H103" s="194"/>
      <c r="I103" s="253" t="str">
        <f>IF(COUNTBLANK(E103:H103)=4,"",SUM(E103:G103)+IF(Setup!$I$15="No",0,H103))</f>
        <v/>
      </c>
      <c r="J103" s="194"/>
      <c r="K103" s="194"/>
      <c r="L103" s="194"/>
      <c r="M103" s="194"/>
      <c r="N103" s="257" t="str">
        <f>IF(COUNTBLANK(J103:M103)=4,"",SUM(J103:L103)+IF(Setup!$I$15="No",0,M103))</f>
        <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t="str">
        <f ca="1">IF('Demand background (hide)'!A94=Num_Modalities,"",SUM(Demand!I103))</f>
        <v/>
      </c>
      <c r="BD103" s="261" t="str">
        <f ca="1">IF(AND(A103&lt;=MaxRows,BE103&lt;&gt;"Yes"),'Demand background (hide)'!X94+IF(Setup!$I$15="Yes",'Demand background (hide)'!AJ94,0),"")</f>
        <v/>
      </c>
      <c r="BE103" s="211"/>
    </row>
    <row r="104" spans="1:57" ht="15" x14ac:dyDescent="0.25">
      <c r="A104" t="str">
        <f t="shared" ca="1" si="4"/>
        <v/>
      </c>
      <c r="B104" s="266" t="str">
        <f t="shared" ca="1" si="5"/>
        <v xml:space="preserve"> </v>
      </c>
      <c r="C104" s="267" t="str">
        <f t="shared" ca="1" si="6"/>
        <v/>
      </c>
      <c r="D104" s="267" t="str">
        <f t="shared" ca="1" si="7"/>
        <v/>
      </c>
      <c r="E104" s="194"/>
      <c r="F104" s="194"/>
      <c r="G104" s="195"/>
      <c r="H104" s="194"/>
      <c r="I104" s="253" t="str">
        <f>IF(COUNTBLANK(E104:H104)=4,"",SUM(E104:G104)+IF(Setup!$I$15="No",0,H104))</f>
        <v/>
      </c>
      <c r="J104" s="194"/>
      <c r="K104" s="194"/>
      <c r="L104" s="194"/>
      <c r="M104" s="194"/>
      <c r="N104" s="257" t="str">
        <f>IF(COUNTBLANK(J104:M104)=4,"",SUM(J104:L104)+IF(Setup!$I$15="No",0,M104))</f>
        <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t="str">
        <f ca="1">IF('Demand background (hide)'!A95=Num_Modalities,"",SUM(Demand!I104))</f>
        <v/>
      </c>
      <c r="BD104" s="261" t="str">
        <f ca="1">IF(AND(A104&lt;=MaxRows,BE104&lt;&gt;"Yes"),'Demand background (hide)'!X95+IF(Setup!$I$15="Yes",'Demand background (hide)'!AJ95,0),"")</f>
        <v/>
      </c>
      <c r="BE104" s="211"/>
    </row>
    <row r="105" spans="1:57" ht="15" x14ac:dyDescent="0.25">
      <c r="A105" t="str">
        <f t="shared" ca="1" si="4"/>
        <v/>
      </c>
      <c r="B105" s="266" t="str">
        <f t="shared" ca="1" si="5"/>
        <v xml:space="preserve"> </v>
      </c>
      <c r="C105" s="267" t="str">
        <f t="shared" ca="1" si="6"/>
        <v/>
      </c>
      <c r="D105" s="267" t="str">
        <f t="shared" ca="1" si="7"/>
        <v/>
      </c>
      <c r="E105" s="194"/>
      <c r="F105" s="194"/>
      <c r="G105" s="195"/>
      <c r="H105" s="194"/>
      <c r="I105" s="253" t="str">
        <f>IF(COUNTBLANK(E105:H105)=4,"",SUM(E105:G105)+IF(Setup!$I$15="No",0,H105))</f>
        <v/>
      </c>
      <c r="J105" s="194"/>
      <c r="K105" s="194"/>
      <c r="L105" s="194"/>
      <c r="M105" s="194"/>
      <c r="N105" s="257" t="str">
        <f>IF(COUNTBLANK(J105:M105)=4,"",SUM(J105:L105)+IF(Setup!$I$15="No",0,M105))</f>
        <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t="str">
        <f ca="1">IF('Demand background (hide)'!A96=Num_Modalities,"",SUM(Demand!I105))</f>
        <v/>
      </c>
      <c r="BD105" s="261" t="str">
        <f ca="1">IF(AND(A105&lt;=MaxRows,BE105&lt;&gt;"Yes"),'Demand background (hide)'!X96+IF(Setup!$I$15="Yes",'Demand background (hide)'!AJ96,0),"")</f>
        <v/>
      </c>
      <c r="BE105" s="211"/>
    </row>
    <row r="106" spans="1:57" ht="15" x14ac:dyDescent="0.25">
      <c r="A106" t="str">
        <f t="shared" ca="1" si="4"/>
        <v/>
      </c>
      <c r="B106" s="266" t="str">
        <f t="shared" ca="1" si="5"/>
        <v xml:space="preserve"> </v>
      </c>
      <c r="C106" s="267" t="str">
        <f t="shared" ca="1" si="6"/>
        <v/>
      </c>
      <c r="D106" s="267" t="str">
        <f t="shared" ca="1" si="7"/>
        <v/>
      </c>
      <c r="E106" s="194"/>
      <c r="F106" s="194"/>
      <c r="G106" s="195"/>
      <c r="H106" s="194"/>
      <c r="I106" s="253" t="str">
        <f>IF(COUNTBLANK(E106:H106)=4,"",SUM(E106:G106)+IF(Setup!$I$15="No",0,H106))</f>
        <v/>
      </c>
      <c r="J106" s="194"/>
      <c r="K106" s="194"/>
      <c r="L106" s="194"/>
      <c r="M106" s="194"/>
      <c r="N106" s="257" t="str">
        <f>IF(COUNTBLANK(J106:M106)=4,"",SUM(J106:L106)+IF(Setup!$I$15="No",0,M106))</f>
        <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t="str">
        <f ca="1">IF('Demand background (hide)'!A97=Num_Modalities,"",SUM(Demand!I106))</f>
        <v/>
      </c>
      <c r="BD106" s="261" t="str">
        <f ca="1">IF(AND(A106&lt;=MaxRows,BE106&lt;&gt;"Yes"),'Demand background (hide)'!X97+IF(Setup!$I$15="Yes",'Demand background (hide)'!AJ97,0),"")</f>
        <v/>
      </c>
      <c r="BE106" s="211"/>
    </row>
    <row r="107" spans="1:57" ht="15" x14ac:dyDescent="0.25">
      <c r="A107" t="str">
        <f t="shared" ca="1" si="4"/>
        <v/>
      </c>
      <c r="B107" s="266" t="str">
        <f t="shared" ca="1" si="5"/>
        <v xml:space="preserve"> </v>
      </c>
      <c r="C107" s="267" t="str">
        <f t="shared" ca="1" si="6"/>
        <v/>
      </c>
      <c r="D107" s="267" t="str">
        <f t="shared" ca="1" si="7"/>
        <v/>
      </c>
      <c r="E107" s="194"/>
      <c r="F107" s="194"/>
      <c r="G107" s="195"/>
      <c r="H107" s="194"/>
      <c r="I107" s="253" t="str">
        <f>IF(COUNTBLANK(E107:H107)=4,"",SUM(E107:G107)+IF(Setup!$I$15="No",0,H107))</f>
        <v/>
      </c>
      <c r="J107" s="194"/>
      <c r="K107" s="194"/>
      <c r="L107" s="194"/>
      <c r="M107" s="194"/>
      <c r="N107" s="257" t="str">
        <f>IF(COUNTBLANK(J107:M107)=4,"",SUM(J107:L107)+IF(Setup!$I$15="No",0,M107))</f>
        <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t="str">
        <f ca="1">IF('Demand background (hide)'!A98=Num_Modalities,"",SUM(Demand!I107))</f>
        <v/>
      </c>
      <c r="BD107" s="261" t="str">
        <f ca="1">IF(AND(A107&lt;=MaxRows,BE107&lt;&gt;"Yes"),'Demand background (hide)'!X98+IF(Setup!$I$15="Yes",'Demand background (hide)'!AJ98,0),"")</f>
        <v/>
      </c>
      <c r="BE107" s="211"/>
    </row>
    <row r="108" spans="1:57" ht="15" x14ac:dyDescent="0.25">
      <c r="A108" t="str">
        <f t="shared" ca="1" si="4"/>
        <v/>
      </c>
      <c r="B108" s="266" t="str">
        <f t="shared" ca="1" si="5"/>
        <v xml:space="preserve"> </v>
      </c>
      <c r="C108" s="267" t="str">
        <f t="shared" ca="1" si="6"/>
        <v/>
      </c>
      <c r="D108" s="267" t="str">
        <f t="shared" ca="1" si="7"/>
        <v/>
      </c>
      <c r="E108" s="194"/>
      <c r="F108" s="194"/>
      <c r="G108" s="195"/>
      <c r="H108" s="194"/>
      <c r="I108" s="253" t="str">
        <f>IF(COUNTBLANK(E108:H108)=4,"",SUM(E108:G108)+IF(Setup!$I$15="No",0,H108))</f>
        <v/>
      </c>
      <c r="J108" s="194"/>
      <c r="K108" s="194"/>
      <c r="L108" s="194"/>
      <c r="M108" s="194"/>
      <c r="N108" s="257" t="str">
        <f>IF(COUNTBLANK(J108:M108)=4,"",SUM(J108:L108)+IF(Setup!$I$15="No",0,M108))</f>
        <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t="str">
        <f ca="1">IF('Demand background (hide)'!A99=Num_Modalities,"",SUM(Demand!I108))</f>
        <v/>
      </c>
      <c r="BD108" s="261" t="str">
        <f ca="1">IF(AND(A108&lt;=MaxRows,BE108&lt;&gt;"Yes"),'Demand background (hide)'!X99+IF(Setup!$I$15="Yes",'Demand background (hide)'!AJ99,0),"")</f>
        <v/>
      </c>
      <c r="BE108" s="211"/>
    </row>
    <row r="109" spans="1:57" ht="15" x14ac:dyDescent="0.25">
      <c r="A109" t="str">
        <f t="shared" ca="1" si="4"/>
        <v/>
      </c>
      <c r="B109" s="266" t="str">
        <f t="shared" ca="1" si="5"/>
        <v xml:space="preserve"> </v>
      </c>
      <c r="C109" s="267" t="str">
        <f t="shared" ca="1" si="6"/>
        <v/>
      </c>
      <c r="D109" s="267" t="str">
        <f t="shared" ca="1" si="7"/>
        <v/>
      </c>
      <c r="E109" s="194"/>
      <c r="F109" s="194"/>
      <c r="G109" s="195"/>
      <c r="H109" s="194"/>
      <c r="I109" s="253" t="str">
        <f>IF(COUNTBLANK(E109:H109)=4,"",SUM(E109:G109)+IF(Setup!$I$15="No",0,H109))</f>
        <v/>
      </c>
      <c r="J109" s="194"/>
      <c r="K109" s="194"/>
      <c r="L109" s="194"/>
      <c r="M109" s="194"/>
      <c r="N109" s="257" t="str">
        <f>IF(COUNTBLANK(J109:M109)=4,"",SUM(J109:L109)+IF(Setup!$I$15="No",0,M109))</f>
        <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t="str">
        <f ca="1">IF('Demand background (hide)'!A100=Num_Modalities,"",SUM(Demand!I109))</f>
        <v/>
      </c>
      <c r="BD109" s="261" t="str">
        <f ca="1">IF(AND(A109&lt;=MaxRows,BE109&lt;&gt;"Yes"),'Demand background (hide)'!X100+IF(Setup!$I$15="Yes",'Demand background (hide)'!AJ100,0),"")</f>
        <v/>
      </c>
      <c r="BE109" s="211"/>
    </row>
    <row r="110" spans="1:57" ht="15" x14ac:dyDescent="0.25">
      <c r="A110" t="str">
        <f t="shared" ca="1" si="4"/>
        <v/>
      </c>
      <c r="B110" s="266" t="str">
        <f t="shared" ca="1" si="5"/>
        <v xml:space="preserve"> </v>
      </c>
      <c r="C110" s="267" t="str">
        <f t="shared" ca="1" si="6"/>
        <v/>
      </c>
      <c r="D110" s="267" t="str">
        <f t="shared" ca="1" si="7"/>
        <v/>
      </c>
      <c r="E110" s="194"/>
      <c r="F110" s="194"/>
      <c r="G110" s="195"/>
      <c r="H110" s="194"/>
      <c r="I110" s="253" t="str">
        <f>IF(COUNTBLANK(E110:H110)=4,"",SUM(E110:G110)+IF(Setup!$I$15="No",0,H110))</f>
        <v/>
      </c>
      <c r="J110" s="194"/>
      <c r="K110" s="194"/>
      <c r="L110" s="194"/>
      <c r="M110" s="194"/>
      <c r="N110" s="257" t="str">
        <f>IF(COUNTBLANK(J110:M110)=4,"",SUM(J110:L110)+IF(Setup!$I$15="No",0,M110))</f>
        <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t="str">
        <f ca="1">IF('Demand background (hide)'!A101=Num_Modalities,"",SUM(Demand!I110))</f>
        <v/>
      </c>
      <c r="BD110" s="261" t="str">
        <f ca="1">IF(AND(A110&lt;=MaxRows,BE110&lt;&gt;"Yes"),'Demand background (hide)'!X101+IF(Setup!$I$15="Yes",'Demand background (hide)'!AJ101,0),"")</f>
        <v/>
      </c>
      <c r="BE110" s="211"/>
    </row>
    <row r="111" spans="1:57" ht="15" x14ac:dyDescent="0.25">
      <c r="A111" t="str">
        <f t="shared" ca="1" si="4"/>
        <v/>
      </c>
      <c r="B111" s="266" t="str">
        <f t="shared" ca="1" si="5"/>
        <v xml:space="preserve"> </v>
      </c>
      <c r="C111" s="267" t="str">
        <f t="shared" ca="1" si="6"/>
        <v/>
      </c>
      <c r="D111" s="267" t="str">
        <f t="shared" ca="1" si="7"/>
        <v/>
      </c>
      <c r="E111" s="194"/>
      <c r="F111" s="194"/>
      <c r="G111" s="195"/>
      <c r="H111" s="194"/>
      <c r="I111" s="253" t="str">
        <f>IF(COUNTBLANK(E111:H111)=4,"",SUM(E111:G111)+IF(Setup!$I$15="No",0,H111))</f>
        <v/>
      </c>
      <c r="J111" s="194"/>
      <c r="K111" s="194"/>
      <c r="L111" s="194"/>
      <c r="M111" s="194"/>
      <c r="N111" s="257" t="str">
        <f>IF(COUNTBLANK(J111:M111)=4,"",SUM(J111:L111)+IF(Setup!$I$15="No",0,M111))</f>
        <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t="str">
        <f ca="1">IF('Demand background (hide)'!A102=Num_Modalities,"",SUM(Demand!I111))</f>
        <v/>
      </c>
      <c r="BD111" s="261" t="str">
        <f ca="1">IF(AND(A111&lt;=MaxRows,BE111&lt;&gt;"Yes"),'Demand background (hide)'!X102+IF(Setup!$I$15="Yes",'Demand background (hide)'!AJ102,0),"")</f>
        <v/>
      </c>
      <c r="BE111" s="211"/>
    </row>
    <row r="112" spans="1:57" ht="15" x14ac:dyDescent="0.25">
      <c r="A112" t="str">
        <f t="shared" ca="1" si="4"/>
        <v/>
      </c>
      <c r="B112" s="266" t="str">
        <f t="shared" ca="1" si="5"/>
        <v xml:space="preserve"> </v>
      </c>
      <c r="C112" s="267" t="str">
        <f t="shared" ca="1" si="6"/>
        <v/>
      </c>
      <c r="D112" s="267" t="str">
        <f t="shared" ca="1" si="7"/>
        <v/>
      </c>
      <c r="E112" s="194"/>
      <c r="F112" s="194"/>
      <c r="G112" s="195"/>
      <c r="H112" s="194"/>
      <c r="I112" s="253" t="str">
        <f>IF(COUNTBLANK(E112:H112)=4,"",SUM(E112:G112)+IF(Setup!$I$15="No",0,H112))</f>
        <v/>
      </c>
      <c r="J112" s="194"/>
      <c r="K112" s="194"/>
      <c r="L112" s="194"/>
      <c r="M112" s="194"/>
      <c r="N112" s="257" t="str">
        <f>IF(COUNTBLANK(J112:M112)=4,"",SUM(J112:L112)+IF(Setup!$I$15="No",0,M112))</f>
        <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t="str">
        <f ca="1">IF('Demand background (hide)'!A103=Num_Modalities,"",SUM(Demand!I112))</f>
        <v/>
      </c>
      <c r="BD112" s="261" t="str">
        <f ca="1">IF(AND(A112&lt;=MaxRows,BE112&lt;&gt;"Yes"),'Demand background (hide)'!X103+IF(Setup!$I$15="Yes",'Demand background (hide)'!AJ103,0),"")</f>
        <v/>
      </c>
      <c r="BE112" s="211"/>
    </row>
    <row r="113" spans="1:59" ht="15" x14ac:dyDescent="0.25">
      <c r="A113" t="str">
        <f t="shared" ca="1" si="4"/>
        <v/>
      </c>
      <c r="B113" s="266" t="str">
        <f t="shared" ca="1" si="5"/>
        <v xml:space="preserve"> </v>
      </c>
      <c r="C113" s="267" t="str">
        <f t="shared" ca="1" si="6"/>
        <v/>
      </c>
      <c r="D113" s="267" t="str">
        <f t="shared" ca="1" si="7"/>
        <v/>
      </c>
      <c r="E113" s="194"/>
      <c r="F113" s="194"/>
      <c r="G113" s="195"/>
      <c r="H113" s="194"/>
      <c r="I113" s="253" t="str">
        <f>IF(COUNTBLANK(E113:H113)=4,"",SUM(E113:G113)+IF(Setup!$I$15="No",0,H113))</f>
        <v/>
      </c>
      <c r="J113" s="194"/>
      <c r="K113" s="194"/>
      <c r="L113" s="194"/>
      <c r="M113" s="194"/>
      <c r="N113" s="257" t="str">
        <f>IF(COUNTBLANK(J113:M113)=4,"",SUM(J113:L113)+IF(Setup!$I$15="No",0,M113))</f>
        <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t="str">
        <f ca="1">IF('Demand background (hide)'!A104=Num_Modalities,"",SUM(Demand!I113))</f>
        <v/>
      </c>
      <c r="BD113" s="261" t="str">
        <f ca="1">IF(AND(A113&lt;=MaxRows,BE113&lt;&gt;"Yes"),'Demand background (hide)'!X104+IF(Setup!$I$15="Yes",'Demand background (hide)'!AJ104,0),"")</f>
        <v/>
      </c>
      <c r="BE113" s="211"/>
    </row>
    <row r="114" spans="1:59" ht="15" x14ac:dyDescent="0.25">
      <c r="A114" t="str">
        <f t="shared" ca="1" si="4"/>
        <v/>
      </c>
      <c r="B114" s="266" t="str">
        <f t="shared" ca="1" si="5"/>
        <v xml:space="preserve"> </v>
      </c>
      <c r="C114" s="267" t="str">
        <f t="shared" ca="1" si="6"/>
        <v/>
      </c>
      <c r="D114" s="267" t="str">
        <f t="shared" ca="1" si="7"/>
        <v/>
      </c>
      <c r="E114" s="194"/>
      <c r="F114" s="194"/>
      <c r="G114" s="195"/>
      <c r="H114" s="194"/>
      <c r="I114" s="253" t="str">
        <f>IF(COUNTBLANK(E114:H114)=4,"",SUM(E114:G114)+IF(Setup!$I$15="No",0,H114))</f>
        <v/>
      </c>
      <c r="J114" s="194"/>
      <c r="K114" s="194"/>
      <c r="L114" s="194"/>
      <c r="M114" s="194"/>
      <c r="N114" s="257" t="str">
        <f>IF(COUNTBLANK(J114:M114)=4,"",SUM(J114:L114)+IF(Setup!$I$15="No",0,M114))</f>
        <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t="str">
        <f ca="1">IF('Demand background (hide)'!A105=Num_Modalities,"",SUM(Demand!I114))</f>
        <v/>
      </c>
      <c r="BD114" s="261" t="str">
        <f ca="1">IF(AND(A114&lt;=MaxRows,BE114&lt;&gt;"Yes"),'Demand background (hide)'!X105+IF(Setup!$I$15="Yes",'Demand background (hide)'!AJ105,0),"")</f>
        <v/>
      </c>
      <c r="BE114" s="211"/>
    </row>
    <row r="115" spans="1:59" ht="15" x14ac:dyDescent="0.25">
      <c r="A115" t="str">
        <f t="shared" ca="1" si="4"/>
        <v/>
      </c>
      <c r="B115" s="266" t="str">
        <f t="shared" ca="1" si="5"/>
        <v xml:space="preserve"> </v>
      </c>
      <c r="C115" s="267" t="str">
        <f t="shared" ca="1" si="6"/>
        <v/>
      </c>
      <c r="D115" s="267" t="str">
        <f t="shared" ca="1" si="7"/>
        <v/>
      </c>
      <c r="E115" s="194"/>
      <c r="F115" s="194"/>
      <c r="G115" s="195"/>
      <c r="H115" s="194"/>
      <c r="I115" s="253" t="str">
        <f>IF(COUNTBLANK(E115:H115)=4,"",SUM(E115:G115)+IF(Setup!$I$15="No",0,H115))</f>
        <v/>
      </c>
      <c r="J115" s="194"/>
      <c r="K115" s="194"/>
      <c r="L115" s="194"/>
      <c r="M115" s="194"/>
      <c r="N115" s="257" t="str">
        <f>IF(COUNTBLANK(J115:M115)=4,"",SUM(J115:L115)+IF(Setup!$I$15="No",0,M115))</f>
        <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t="str">
        <f ca="1">IF('Demand background (hide)'!A106=Num_Modalities,"",SUM(Demand!I115))</f>
        <v/>
      </c>
      <c r="BD115" s="261" t="str">
        <f ca="1">IF(AND(A115&lt;=MaxRows,BE115&lt;&gt;"Yes"),'Demand background (hide)'!X106+IF(Setup!$I$15="Yes",'Demand background (hide)'!AJ106,0),"")</f>
        <v/>
      </c>
      <c r="BE115" s="211"/>
    </row>
    <row r="116" spans="1:59" ht="15" x14ac:dyDescent="0.25">
      <c r="A116" t="str">
        <f t="shared" ca="1" si="4"/>
        <v/>
      </c>
      <c r="B116" s="266" t="str">
        <f t="shared" ca="1" si="5"/>
        <v xml:space="preserve"> </v>
      </c>
      <c r="C116" s="267" t="str">
        <f t="shared" ca="1" si="6"/>
        <v/>
      </c>
      <c r="D116" s="267" t="str">
        <f t="shared" ca="1" si="7"/>
        <v/>
      </c>
      <c r="E116" s="194"/>
      <c r="F116" s="194"/>
      <c r="G116" s="195"/>
      <c r="H116" s="194"/>
      <c r="I116" s="253" t="str">
        <f>IF(COUNTBLANK(E116:H116)=4,"",SUM(E116:G116)+IF(Setup!$I$15="No",0,H116))</f>
        <v/>
      </c>
      <c r="J116" s="194"/>
      <c r="K116" s="194"/>
      <c r="L116" s="194"/>
      <c r="M116" s="194"/>
      <c r="N116" s="257" t="str">
        <f>IF(COUNTBLANK(J116:M116)=4,"",SUM(J116:L116)+IF(Setup!$I$15="No",0,M116))</f>
        <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t="str">
        <f ca="1">IF('Demand background (hide)'!A107=Num_Modalities,"",SUM(Demand!I116))</f>
        <v/>
      </c>
      <c r="BD116" s="261" t="str">
        <f ca="1">IF(AND(A116&lt;=MaxRows,BE116&lt;&gt;"Yes"),'Demand background (hide)'!X107+IF(Setup!$I$15="Yes",'Demand background (hide)'!AJ107,0),"")</f>
        <v/>
      </c>
      <c r="BE116" s="211"/>
    </row>
    <row r="117" spans="1:59" ht="15" x14ac:dyDescent="0.25">
      <c r="A117" t="str">
        <f t="shared" ca="1" si="4"/>
        <v/>
      </c>
      <c r="B117" s="266" t="str">
        <f t="shared" ca="1" si="5"/>
        <v xml:space="preserve"> </v>
      </c>
      <c r="C117" s="267" t="str">
        <f t="shared" ca="1" si="6"/>
        <v/>
      </c>
      <c r="D117" s="267" t="str">
        <f t="shared" ca="1" si="7"/>
        <v/>
      </c>
      <c r="E117" s="194"/>
      <c r="F117" s="194"/>
      <c r="G117" s="194"/>
      <c r="H117" s="194"/>
      <c r="I117" s="253" t="str">
        <f>IF(COUNTBLANK(E117:H117)=4,"",SUM(E117:G117)+IF(Setup!$I$15="No",0,H117))</f>
        <v/>
      </c>
      <c r="J117" s="194"/>
      <c r="K117" s="194"/>
      <c r="L117" s="194"/>
      <c r="M117" s="194"/>
      <c r="N117" s="257" t="str">
        <f>IF(COUNTBLANK(J117:M117)=4,"",SUM(J117:L117)+IF(Setup!$I$15="No",0,M117))</f>
        <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t="str">
        <f ca="1">IF('Demand background (hide)'!A108=Num_Modalities,"",SUM(Demand!I117))</f>
        <v/>
      </c>
      <c r="BD117" s="261" t="str">
        <f ca="1">IF(AND(A117&lt;=MaxRows,BE117&lt;&gt;"Yes"),'Demand background (hide)'!X108+IF(Setup!$I$15="Yes",'Demand background (hide)'!AJ108,0),"")</f>
        <v/>
      </c>
      <c r="BE117" s="211"/>
      <c r="BG117" s="51"/>
    </row>
    <row r="118" spans="1:59" ht="15" x14ac:dyDescent="0.25">
      <c r="A118" t="str">
        <f t="shared" ca="1" si="4"/>
        <v/>
      </c>
      <c r="B118" s="266" t="str">
        <f t="shared" ca="1" si="5"/>
        <v xml:space="preserve"> </v>
      </c>
      <c r="C118" s="267" t="str">
        <f t="shared" ca="1" si="6"/>
        <v/>
      </c>
      <c r="D118" s="267" t="str">
        <f t="shared" ca="1" si="7"/>
        <v/>
      </c>
      <c r="E118" s="194"/>
      <c r="F118" s="194"/>
      <c r="G118" s="194"/>
      <c r="H118" s="194"/>
      <c r="I118" s="253" t="str">
        <f>IF(COUNTBLANK(E118:H118)=4,"",SUM(E118:G118)+IF(Setup!$I$15="No",0,H118))</f>
        <v/>
      </c>
      <c r="J118" s="194"/>
      <c r="K118" s="194"/>
      <c r="L118" s="194"/>
      <c r="M118" s="194"/>
      <c r="N118" s="257" t="str">
        <f>IF(COUNTBLANK(J118:M118)=4,"",SUM(J118:L118)+IF(Setup!$I$15="No",0,M118))</f>
        <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t="str">
        <f ca="1">IF('Demand background (hide)'!A109=Num_Modalities,"",SUM(Demand!I118))</f>
        <v/>
      </c>
      <c r="BD118" s="261" t="str">
        <f ca="1">IF(AND(A118&lt;=MaxRows,BE118&lt;&gt;"Yes"),'Demand background (hide)'!X109+IF(Setup!$I$15="Yes",'Demand background (hide)'!AJ109,0),"")</f>
        <v/>
      </c>
      <c r="BE118" s="211"/>
    </row>
    <row r="119" spans="1:59" ht="15" x14ac:dyDescent="0.25">
      <c r="A119" t="str">
        <f t="shared" ca="1" si="4"/>
        <v/>
      </c>
      <c r="B119" s="266" t="str">
        <f t="shared" ca="1" si="5"/>
        <v xml:space="preserve"> </v>
      </c>
      <c r="C119" s="267" t="str">
        <f t="shared" ca="1" si="6"/>
        <v/>
      </c>
      <c r="D119" s="267" t="str">
        <f t="shared" ca="1" si="7"/>
        <v/>
      </c>
      <c r="E119" s="194"/>
      <c r="F119" s="194"/>
      <c r="G119" s="194"/>
      <c r="H119" s="194"/>
      <c r="I119" s="253" t="str">
        <f>IF(COUNTBLANK(E119:H119)=4,"",SUM(E119:G119)+IF(Setup!$I$15="No",0,H119))</f>
        <v/>
      </c>
      <c r="J119" s="194"/>
      <c r="K119" s="194"/>
      <c r="L119" s="194"/>
      <c r="M119" s="194"/>
      <c r="N119" s="257" t="str">
        <f>IF(COUNTBLANK(J119:M119)=4,"",SUM(J119:L119)+IF(Setup!$I$15="No",0,M119))</f>
        <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t="str">
        <f ca="1">IF('Demand background (hide)'!A110=Num_Modalities,"",SUM(Demand!I119))</f>
        <v/>
      </c>
      <c r="BD119" s="261" t="str">
        <f ca="1">IF(AND(A119&lt;=MaxRows,BE119&lt;&gt;"Yes"),'Demand background (hide)'!X110+IF(Setup!$I$15="Yes",'Demand background (hide)'!AJ110,0),"")</f>
        <v/>
      </c>
      <c r="BE119" s="211"/>
    </row>
    <row r="120" spans="1:59" ht="15" x14ac:dyDescent="0.25">
      <c r="A120" t="str">
        <f t="shared" ca="1" si="4"/>
        <v/>
      </c>
      <c r="B120" s="266" t="str">
        <f t="shared" ca="1" si="5"/>
        <v xml:space="preserve"> </v>
      </c>
      <c r="C120" s="267" t="str">
        <f t="shared" ca="1" si="6"/>
        <v/>
      </c>
      <c r="D120" s="267" t="str">
        <f t="shared" ca="1" si="7"/>
        <v/>
      </c>
      <c r="E120" s="194"/>
      <c r="F120" s="194"/>
      <c r="G120" s="194"/>
      <c r="H120" s="194"/>
      <c r="I120" s="253" t="str">
        <f>IF(COUNTBLANK(E120:H120)=4,"",SUM(E120:G120)+IF(Setup!$I$15="No",0,H120))</f>
        <v/>
      </c>
      <c r="J120" s="194"/>
      <c r="K120" s="194"/>
      <c r="L120" s="194"/>
      <c r="M120" s="194"/>
      <c r="N120" s="257" t="str">
        <f>IF(COUNTBLANK(J120:M120)=4,"",SUM(J120:L120)+IF(Setup!$I$15="No",0,M120))</f>
        <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t="str">
        <f ca="1">IF('Demand background (hide)'!A111=Num_Modalities,"",SUM(Demand!I120))</f>
        <v/>
      </c>
      <c r="BD120" s="261" t="str">
        <f ca="1">IF(AND(A120&lt;=MaxRows,BE120&lt;&gt;"Yes"),'Demand background (hide)'!X111+IF(Setup!$I$15="Yes",'Demand background (hide)'!AJ111,0),"")</f>
        <v/>
      </c>
      <c r="BE120" s="211"/>
    </row>
    <row r="121" spans="1:59" ht="15" x14ac:dyDescent="0.25">
      <c r="A121" t="str">
        <f t="shared" ca="1" si="4"/>
        <v/>
      </c>
      <c r="B121" s="266" t="str">
        <f t="shared" ca="1" si="5"/>
        <v xml:space="preserve"> </v>
      </c>
      <c r="C121" s="267" t="str">
        <f t="shared" ca="1" si="6"/>
        <v/>
      </c>
      <c r="D121" s="267" t="str">
        <f t="shared" ca="1" si="7"/>
        <v/>
      </c>
      <c r="E121" s="194"/>
      <c r="F121" s="194"/>
      <c r="G121" s="194"/>
      <c r="H121" s="194"/>
      <c r="I121" s="253" t="str">
        <f>IF(COUNTBLANK(E121:H121)=4,"",SUM(E121:G121)+IF(Setup!$I$15="No",0,H121))</f>
        <v/>
      </c>
      <c r="J121" s="194"/>
      <c r="K121" s="194"/>
      <c r="L121" s="194"/>
      <c r="M121" s="194"/>
      <c r="N121" s="257" t="str">
        <f>IF(COUNTBLANK(J121:M121)=4,"",SUM(J121:L121)+IF(Setup!$I$15="No",0,M121))</f>
        <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t="str">
        <f ca="1">IF('Demand background (hide)'!A112=Num_Modalities,"",SUM(Demand!I121))</f>
        <v/>
      </c>
      <c r="BD121" s="261" t="str">
        <f ca="1">IF(AND(A121&lt;=MaxRows,BE121&lt;&gt;"Yes"),'Demand background (hide)'!X112+IF(Setup!$I$15="Yes",'Demand background (hide)'!AJ112,0),"")</f>
        <v/>
      </c>
      <c r="BE121" s="211"/>
    </row>
    <row r="122" spans="1:59" ht="15" x14ac:dyDescent="0.25">
      <c r="A122" t="str">
        <f t="shared" ca="1" si="4"/>
        <v/>
      </c>
      <c r="B122" s="266" t="str">
        <f t="shared" ca="1" si="5"/>
        <v xml:space="preserve"> </v>
      </c>
      <c r="C122" s="267" t="str">
        <f t="shared" ca="1" si="6"/>
        <v/>
      </c>
      <c r="D122" s="267" t="str">
        <f t="shared" ca="1" si="7"/>
        <v/>
      </c>
      <c r="E122" s="194"/>
      <c r="F122" s="194"/>
      <c r="G122" s="194"/>
      <c r="H122" s="194"/>
      <c r="I122" s="253" t="str">
        <f>IF(COUNTBLANK(E122:H122)=4,"",SUM(E122:G122)+IF(Setup!$I$15="No",0,H122))</f>
        <v/>
      </c>
      <c r="J122" s="194"/>
      <c r="K122" s="194"/>
      <c r="L122" s="194"/>
      <c r="M122" s="194"/>
      <c r="N122" s="257" t="str">
        <f>IF(COUNTBLANK(J122:M122)=4,"",SUM(J122:L122)+IF(Setup!$I$15="No",0,M122))</f>
        <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t="str">
        <f ca="1">IF('Demand background (hide)'!A113=Num_Modalities,"",SUM(Demand!I122))</f>
        <v/>
      </c>
      <c r="BD122" s="261" t="str">
        <f ca="1">IF(AND(A122&lt;=MaxRows,BE122&lt;&gt;"Yes"),'Demand background (hide)'!X113+IF(Setup!$I$15="Yes",'Demand background (hide)'!AJ113,0),"")</f>
        <v/>
      </c>
      <c r="BE122" s="211"/>
    </row>
    <row r="123" spans="1:59" ht="15" x14ac:dyDescent="0.25">
      <c r="A123" t="str">
        <f t="shared" ca="1" si="4"/>
        <v/>
      </c>
      <c r="B123" s="266" t="str">
        <f t="shared" ca="1" si="5"/>
        <v xml:space="preserve"> </v>
      </c>
      <c r="C123" s="267" t="str">
        <f t="shared" ca="1" si="6"/>
        <v/>
      </c>
      <c r="D123" s="267" t="str">
        <f t="shared" ca="1" si="7"/>
        <v/>
      </c>
      <c r="E123" s="194"/>
      <c r="F123" s="194"/>
      <c r="G123" s="194"/>
      <c r="H123" s="194"/>
      <c r="I123" s="253" t="str">
        <f>IF(COUNTBLANK(E123:H123)=4,"",SUM(E123:G123)+IF(Setup!$I$15="No",0,H123))</f>
        <v/>
      </c>
      <c r="J123" s="194"/>
      <c r="K123" s="194"/>
      <c r="L123" s="194"/>
      <c r="M123" s="194"/>
      <c r="N123" s="257" t="str">
        <f>IF(COUNTBLANK(J123:M123)=4,"",SUM(J123:L123)+IF(Setup!$I$15="No",0,M123))</f>
        <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t="str">
        <f ca="1">IF('Demand background (hide)'!A114=Num_Modalities,"",SUM(Demand!I123))</f>
        <v/>
      </c>
      <c r="BD123" s="261" t="str">
        <f ca="1">IF(AND(A123&lt;=MaxRows,BE123&lt;&gt;"Yes"),'Demand background (hide)'!X114+IF(Setup!$I$15="Yes",'Demand background (hide)'!AJ114,0),"")</f>
        <v/>
      </c>
      <c r="BE123" s="211"/>
    </row>
    <row r="124" spans="1:59" ht="15" x14ac:dyDescent="0.25">
      <c r="A124" t="str">
        <f t="shared" ca="1" si="4"/>
        <v/>
      </c>
      <c r="B124" s="266" t="str">
        <f t="shared" ca="1" si="5"/>
        <v xml:space="preserve"> </v>
      </c>
      <c r="C124" s="267" t="str">
        <f t="shared" ca="1" si="6"/>
        <v/>
      </c>
      <c r="D124" s="267" t="str">
        <f t="shared" ca="1" si="7"/>
        <v/>
      </c>
      <c r="E124" s="194"/>
      <c r="F124" s="194"/>
      <c r="G124" s="194"/>
      <c r="H124" s="194"/>
      <c r="I124" s="253" t="str">
        <f>IF(COUNTBLANK(E124:H124)=4,"",SUM(E124:G124)+IF(Setup!$I$15="No",0,H124))</f>
        <v/>
      </c>
      <c r="J124" s="194"/>
      <c r="K124" s="194"/>
      <c r="L124" s="194"/>
      <c r="M124" s="194"/>
      <c r="N124" s="257" t="str">
        <f>IF(COUNTBLANK(J124:M124)=4,"",SUM(J124:L124)+IF(Setup!$I$15="No",0,M124))</f>
        <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t="str">
        <f ca="1">IF('Demand background (hide)'!A115=Num_Modalities,"",SUM(Demand!I124))</f>
        <v/>
      </c>
      <c r="BD124" s="261" t="str">
        <f ca="1">IF(AND(A124&lt;=MaxRows,BE124&lt;&gt;"Yes"),'Demand background (hide)'!X115+IF(Setup!$I$15="Yes",'Demand background (hide)'!AJ115,0),"")</f>
        <v/>
      </c>
      <c r="BE124" s="211"/>
    </row>
    <row r="125" spans="1:59" ht="15" x14ac:dyDescent="0.25">
      <c r="A125" t="str">
        <f t="shared" ca="1" si="4"/>
        <v/>
      </c>
      <c r="B125" s="266" t="str">
        <f t="shared" ca="1" si="5"/>
        <v xml:space="preserve"> </v>
      </c>
      <c r="C125" s="267" t="str">
        <f t="shared" ca="1" si="6"/>
        <v/>
      </c>
      <c r="D125" s="267" t="str">
        <f t="shared" ca="1" si="7"/>
        <v/>
      </c>
      <c r="E125" s="194"/>
      <c r="F125" s="194"/>
      <c r="G125" s="194"/>
      <c r="H125" s="194"/>
      <c r="I125" s="253" t="str">
        <f>IF(COUNTBLANK(E125:H125)=4,"",SUM(E125:G125)+IF(Setup!$I$15="No",0,H125))</f>
        <v/>
      </c>
      <c r="J125" s="194"/>
      <c r="K125" s="194"/>
      <c r="L125" s="194"/>
      <c r="M125" s="194"/>
      <c r="N125" s="257" t="str">
        <f>IF(COUNTBLANK(J125:M125)=4,"",SUM(J125:L125)+IF(Setup!$I$15="No",0,M125))</f>
        <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t="str">
        <f ca="1">IF('Demand background (hide)'!A116=Num_Modalities,"",SUM(Demand!I125))</f>
        <v/>
      </c>
      <c r="BD125" s="261" t="str">
        <f ca="1">IF(AND(A125&lt;=MaxRows,BE125&lt;&gt;"Yes"),'Demand background (hide)'!X116+IF(Setup!$I$15="Yes",'Demand background (hide)'!AJ116,0),"")</f>
        <v/>
      </c>
      <c r="BE125" s="211"/>
    </row>
    <row r="126" spans="1:59" ht="15" x14ac:dyDescent="0.25">
      <c r="A126" t="str">
        <f t="shared" ca="1" si="4"/>
        <v/>
      </c>
      <c r="B126" s="266" t="str">
        <f t="shared" ca="1" si="5"/>
        <v xml:space="preserve"> </v>
      </c>
      <c r="C126" s="267" t="str">
        <f t="shared" ca="1" si="6"/>
        <v/>
      </c>
      <c r="D126" s="267" t="str">
        <f t="shared" ca="1" si="7"/>
        <v/>
      </c>
      <c r="E126" s="194"/>
      <c r="F126" s="194"/>
      <c r="G126" s="194"/>
      <c r="H126" s="194"/>
      <c r="I126" s="253" t="str">
        <f>IF(COUNTBLANK(E126:H126)=4,"",SUM(E126:G126)+IF(Setup!$I$15="No",0,H126))</f>
        <v/>
      </c>
      <c r="J126" s="194"/>
      <c r="K126" s="194"/>
      <c r="L126" s="194"/>
      <c r="M126" s="194"/>
      <c r="N126" s="257" t="str">
        <f>IF(COUNTBLANK(J126:M126)=4,"",SUM(J126:L126)+IF(Setup!$I$15="No",0,M126))</f>
        <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t="str">
        <f ca="1">IF('Demand background (hide)'!A117=Num_Modalities,"",SUM(Demand!I126))</f>
        <v/>
      </c>
      <c r="BD126" s="261" t="str">
        <f ca="1">IF(AND(A126&lt;=MaxRows,BE126&lt;&gt;"Yes"),'Demand background (hide)'!X117+IF(Setup!$I$15="Yes",'Demand background (hide)'!AJ117,0),"")</f>
        <v/>
      </c>
      <c r="BE126" s="211"/>
    </row>
    <row r="127" spans="1:59" ht="15" x14ac:dyDescent="0.25">
      <c r="A127" t="str">
        <f t="shared" ca="1" si="4"/>
        <v/>
      </c>
      <c r="B127" s="266" t="str">
        <f t="shared" ca="1" si="5"/>
        <v xml:space="preserve"> </v>
      </c>
      <c r="C127" s="267" t="str">
        <f t="shared" ca="1" si="6"/>
        <v/>
      </c>
      <c r="D127" s="267" t="str">
        <f t="shared" ca="1" si="7"/>
        <v/>
      </c>
      <c r="E127" s="194"/>
      <c r="F127" s="194"/>
      <c r="G127" s="194"/>
      <c r="H127" s="194"/>
      <c r="I127" s="253" t="str">
        <f>IF(COUNTBLANK(E127:H127)=4,"",SUM(E127:G127)+IF(Setup!$I$15="No",0,H127))</f>
        <v/>
      </c>
      <c r="J127" s="194"/>
      <c r="K127" s="194"/>
      <c r="L127" s="194"/>
      <c r="M127" s="194"/>
      <c r="N127" s="257" t="str">
        <f>IF(COUNTBLANK(J127:M127)=4,"",SUM(J127:L127)+IF(Setup!$I$15="No",0,M127))</f>
        <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t="str">
        <f ca="1">IF('Demand background (hide)'!A118=Num_Modalities,"",SUM(Demand!I127))</f>
        <v/>
      </c>
      <c r="BD127" s="261" t="str">
        <f ca="1">IF(AND(A127&lt;=MaxRows,BE127&lt;&gt;"Yes"),'Demand background (hide)'!X118+IF(Setup!$I$15="Yes",'Demand background (hide)'!AJ118,0),"")</f>
        <v/>
      </c>
      <c r="BE127" s="211"/>
    </row>
    <row r="128" spans="1:59" ht="15" x14ac:dyDescent="0.25">
      <c r="A128" t="str">
        <f t="shared" ca="1" si="4"/>
        <v/>
      </c>
      <c r="B128" s="266" t="str">
        <f t="shared" ca="1" si="5"/>
        <v xml:space="preserve"> </v>
      </c>
      <c r="C128" s="267" t="str">
        <f t="shared" ca="1" si="6"/>
        <v/>
      </c>
      <c r="D128" s="267" t="str">
        <f t="shared" ca="1" si="7"/>
        <v/>
      </c>
      <c r="E128" s="194"/>
      <c r="F128" s="194"/>
      <c r="G128" s="194"/>
      <c r="H128" s="194"/>
      <c r="I128" s="253" t="str">
        <f>IF(COUNTBLANK(E128:H128)=4,"",SUM(E128:G128)+IF(Setup!$I$15="No",0,H128))</f>
        <v/>
      </c>
      <c r="J128" s="194"/>
      <c r="K128" s="194"/>
      <c r="L128" s="194"/>
      <c r="M128" s="194"/>
      <c r="N128" s="257" t="str">
        <f>IF(COUNTBLANK(J128:M128)=4,"",SUM(J128:L128)+IF(Setup!$I$15="No",0,M128))</f>
        <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t="str">
        <f ca="1">IF('Demand background (hide)'!A119=Num_Modalities,"",SUM(Demand!I128))</f>
        <v/>
      </c>
      <c r="BD128" s="261" t="str">
        <f ca="1">IF(AND(A128&lt;=MaxRows,BE128&lt;&gt;"Yes"),'Demand background (hide)'!X119+IF(Setup!$I$15="Yes",'Demand background (hide)'!AJ119,0),"")</f>
        <v/>
      </c>
      <c r="BE128" s="211"/>
    </row>
    <row r="129" spans="1:57" ht="15" x14ac:dyDescent="0.25">
      <c r="A129" t="str">
        <f t="shared" ca="1" si="4"/>
        <v/>
      </c>
      <c r="B129" s="266" t="str">
        <f t="shared" ca="1" si="5"/>
        <v xml:space="preserve"> </v>
      </c>
      <c r="C129" s="267" t="str">
        <f t="shared" ca="1" si="6"/>
        <v/>
      </c>
      <c r="D129" s="267" t="str">
        <f t="shared" ca="1" si="7"/>
        <v/>
      </c>
      <c r="E129" s="194"/>
      <c r="F129" s="194"/>
      <c r="G129" s="194"/>
      <c r="H129" s="194"/>
      <c r="I129" s="253" t="str">
        <f>IF(COUNTBLANK(E129:H129)=4,"",SUM(E129:G129)+IF(Setup!$I$15="No",0,H129))</f>
        <v/>
      </c>
      <c r="J129" s="194"/>
      <c r="K129" s="194"/>
      <c r="L129" s="194"/>
      <c r="M129" s="194"/>
      <c r="N129" s="257" t="str">
        <f>IF(COUNTBLANK(J129:M129)=4,"",SUM(J129:L129)+IF(Setup!$I$15="No",0,M129))</f>
        <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t="str">
        <f ca="1">IF('Demand background (hide)'!A120=Num_Modalities,"",SUM(Demand!I129))</f>
        <v/>
      </c>
      <c r="BD129" s="261" t="str">
        <f ca="1">IF(AND(A129&lt;=MaxRows,BE129&lt;&gt;"Yes"),'Demand background (hide)'!X120+IF(Setup!$I$15="Yes",'Demand background (hide)'!AJ120,0),"")</f>
        <v/>
      </c>
      <c r="BE129" s="211"/>
    </row>
    <row r="130" spans="1:57" ht="15" x14ac:dyDescent="0.25">
      <c r="A130" t="str">
        <f t="shared" ca="1" si="4"/>
        <v/>
      </c>
      <c r="B130" s="266" t="str">
        <f t="shared" ca="1" si="5"/>
        <v xml:space="preserve"> </v>
      </c>
      <c r="C130" s="267" t="str">
        <f t="shared" ca="1" si="6"/>
        <v/>
      </c>
      <c r="D130" s="267" t="str">
        <f t="shared" ca="1" si="7"/>
        <v/>
      </c>
      <c r="E130" s="194"/>
      <c r="F130" s="194"/>
      <c r="G130" s="194"/>
      <c r="H130" s="194"/>
      <c r="I130" s="253" t="str">
        <f>IF(COUNTBLANK(E130:H130)=4,"",SUM(E130:G130)+IF(Setup!$I$15="No",0,H130))</f>
        <v/>
      </c>
      <c r="J130" s="194"/>
      <c r="K130" s="194"/>
      <c r="L130" s="194"/>
      <c r="M130" s="194"/>
      <c r="N130" s="257" t="str">
        <f>IF(COUNTBLANK(J130:M130)=4,"",SUM(J130:L130)+IF(Setup!$I$15="No",0,M130))</f>
        <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t="str">
        <f ca="1">IF('Demand background (hide)'!A121=Num_Modalities,"",SUM(Demand!I130))</f>
        <v/>
      </c>
      <c r="BD130" s="261" t="str">
        <f ca="1">IF(AND(A130&lt;=MaxRows,BE130&lt;&gt;"Yes"),'Demand background (hide)'!X121+IF(Setup!$I$15="Yes",'Demand background (hide)'!AJ121,0),"")</f>
        <v/>
      </c>
      <c r="BE130" s="211"/>
    </row>
    <row r="131" spans="1:57" ht="15" x14ac:dyDescent="0.25">
      <c r="A131" t="str">
        <f t="shared" ca="1" si="4"/>
        <v/>
      </c>
      <c r="B131" s="266" t="str">
        <f t="shared" ca="1" si="5"/>
        <v xml:space="preserve"> </v>
      </c>
      <c r="C131" s="267" t="str">
        <f t="shared" ca="1" si="6"/>
        <v/>
      </c>
      <c r="D131" s="267" t="str">
        <f t="shared" ca="1" si="7"/>
        <v/>
      </c>
      <c r="E131" s="194"/>
      <c r="F131" s="194"/>
      <c r="G131" s="194"/>
      <c r="H131" s="194"/>
      <c r="I131" s="253" t="str">
        <f>IF(COUNTBLANK(E131:H131)=4,"",SUM(E131:G131)+IF(Setup!$I$15="No",0,H131))</f>
        <v/>
      </c>
      <c r="J131" s="194"/>
      <c r="K131" s="194"/>
      <c r="L131" s="194"/>
      <c r="M131" s="194"/>
      <c r="N131" s="257" t="str">
        <f>IF(COUNTBLANK(J131:M131)=4,"",SUM(J131:L131)+IF(Setup!$I$15="No",0,M131))</f>
        <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t="str">
        <f ca="1">IF('Demand background (hide)'!A122=Num_Modalities,"",SUM(Demand!I131))</f>
        <v/>
      </c>
      <c r="BD131" s="261" t="str">
        <f ca="1">IF(AND(A131&lt;=MaxRows,BE131&lt;&gt;"Yes"),'Demand background (hide)'!X122+IF(Setup!$I$15="Yes",'Demand background (hide)'!AJ122,0),"")</f>
        <v/>
      </c>
      <c r="BE131" s="211"/>
    </row>
    <row r="132" spans="1:57" ht="15" x14ac:dyDescent="0.25">
      <c r="A132" t="str">
        <f t="shared" ca="1" si="4"/>
        <v/>
      </c>
      <c r="B132" s="266" t="str">
        <f t="shared" ca="1" si="5"/>
        <v xml:space="preserve"> </v>
      </c>
      <c r="C132" s="267" t="str">
        <f t="shared" ca="1" si="6"/>
        <v/>
      </c>
      <c r="D132" s="267" t="str">
        <f t="shared" ca="1" si="7"/>
        <v/>
      </c>
      <c r="E132" s="194"/>
      <c r="F132" s="194"/>
      <c r="G132" s="194"/>
      <c r="H132" s="194"/>
      <c r="I132" s="253" t="str">
        <f>IF(COUNTBLANK(E132:H132)=4,"",SUM(E132:G132)+IF(Setup!$I$15="No",0,H132))</f>
        <v/>
      </c>
      <c r="J132" s="194"/>
      <c r="K132" s="194"/>
      <c r="L132" s="194"/>
      <c r="M132" s="194"/>
      <c r="N132" s="257" t="str">
        <f>IF(COUNTBLANK(J132:M132)=4,"",SUM(J132:L132)+IF(Setup!$I$15="No",0,M132))</f>
        <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t="str">
        <f ca="1">IF('Demand background (hide)'!A123=Num_Modalities,"",SUM(Demand!I132))</f>
        <v/>
      </c>
      <c r="BD132" s="261" t="str">
        <f ca="1">IF(AND(A132&lt;=MaxRows,BE132&lt;&gt;"Yes"),'Demand background (hide)'!X123+IF(Setup!$I$15="Yes",'Demand background (hide)'!AJ123,0),"")</f>
        <v/>
      </c>
      <c r="BE132" s="211"/>
    </row>
    <row r="133" spans="1:57" ht="15" x14ac:dyDescent="0.25">
      <c r="A133" t="str">
        <f t="shared" ca="1" si="4"/>
        <v/>
      </c>
      <c r="B133" s="266" t="str">
        <f t="shared" ca="1" si="5"/>
        <v xml:space="preserve"> </v>
      </c>
      <c r="C133" s="267" t="str">
        <f t="shared" ca="1" si="6"/>
        <v/>
      </c>
      <c r="D133" s="267" t="str">
        <f t="shared" ca="1" si="7"/>
        <v/>
      </c>
      <c r="E133" s="194"/>
      <c r="F133" s="194"/>
      <c r="G133" s="194"/>
      <c r="H133" s="194"/>
      <c r="I133" s="253" t="str">
        <f>IF(COUNTBLANK(E133:H133)=4,"",SUM(E133:G133)+IF(Setup!$I$15="No",0,H133))</f>
        <v/>
      </c>
      <c r="J133" s="194"/>
      <c r="K133" s="194"/>
      <c r="L133" s="194"/>
      <c r="M133" s="194"/>
      <c r="N133" s="257" t="str">
        <f>IF(COUNTBLANK(J133:M133)=4,"",SUM(J133:L133)+IF(Setup!$I$15="No",0,M133))</f>
        <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t="str">
        <f ca="1">IF('Demand background (hide)'!A124=Num_Modalities,"",SUM(Demand!I133))</f>
        <v/>
      </c>
      <c r="BD133" s="261" t="str">
        <f ca="1">IF(AND(A133&lt;=MaxRows,BE133&lt;&gt;"Yes"),'Demand background (hide)'!X124+IF(Setup!$I$15="Yes",'Demand background (hide)'!AJ124,0),"")</f>
        <v/>
      </c>
      <c r="BE133" s="211"/>
    </row>
    <row r="134" spans="1:57" ht="15" x14ac:dyDescent="0.25">
      <c r="A134" t="str">
        <f t="shared" ca="1" si="4"/>
        <v/>
      </c>
      <c r="B134" s="266" t="str">
        <f t="shared" ca="1" si="5"/>
        <v xml:space="preserve"> </v>
      </c>
      <c r="C134" s="267" t="str">
        <f t="shared" ca="1" si="6"/>
        <v/>
      </c>
      <c r="D134" s="267" t="str">
        <f t="shared" ca="1" si="7"/>
        <v/>
      </c>
      <c r="E134" s="194"/>
      <c r="F134" s="194"/>
      <c r="G134" s="194"/>
      <c r="H134" s="194"/>
      <c r="I134" s="253" t="str">
        <f>IF(COUNTBLANK(E134:H134)=4,"",SUM(E134:G134)+IF(Setup!$I$15="No",0,H134))</f>
        <v/>
      </c>
      <c r="J134" s="194"/>
      <c r="K134" s="194"/>
      <c r="L134" s="194"/>
      <c r="M134" s="194"/>
      <c r="N134" s="257" t="str">
        <f>IF(COUNTBLANK(J134:M134)=4,"",SUM(J134:L134)+IF(Setup!$I$15="No",0,M134))</f>
        <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t="str">
        <f ca="1">IF('Demand background (hide)'!A125=Num_Modalities,"",SUM(Demand!I134))</f>
        <v/>
      </c>
      <c r="BD134" s="261" t="str">
        <f ca="1">IF(AND(A134&lt;=MaxRows,BE134&lt;&gt;"Yes"),'Demand background (hide)'!X125+IF(Setup!$I$15="Yes",'Demand background (hide)'!AJ125,0),"")</f>
        <v/>
      </c>
      <c r="BE134" s="211"/>
    </row>
    <row r="135" spans="1:57" ht="15" x14ac:dyDescent="0.25">
      <c r="A135" t="str">
        <f t="shared" ca="1" si="4"/>
        <v/>
      </c>
      <c r="B135" s="266" t="str">
        <f t="shared" ca="1" si="5"/>
        <v xml:space="preserve"> </v>
      </c>
      <c r="C135" s="267" t="str">
        <f t="shared" ca="1" si="6"/>
        <v/>
      </c>
      <c r="D135" s="267" t="str">
        <f t="shared" ca="1" si="7"/>
        <v/>
      </c>
      <c r="E135" s="194"/>
      <c r="F135" s="194"/>
      <c r="G135" s="194"/>
      <c r="H135" s="194"/>
      <c r="I135" s="253" t="str">
        <f>IF(COUNTBLANK(E135:H135)=4,"",SUM(E135:G135)+IF(Setup!$I$15="No",0,H135))</f>
        <v/>
      </c>
      <c r="J135" s="194"/>
      <c r="K135" s="194"/>
      <c r="L135" s="194"/>
      <c r="M135" s="194"/>
      <c r="N135" s="257" t="str">
        <f>IF(COUNTBLANK(J135:M135)=4,"",SUM(J135:L135)+IF(Setup!$I$15="No",0,M135))</f>
        <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t="str">
        <f ca="1">IF('Demand background (hide)'!A126=Num_Modalities,"",SUM(Demand!I135))</f>
        <v/>
      </c>
      <c r="BD135" s="261" t="str">
        <f ca="1">IF(AND(A135&lt;=MaxRows,BE135&lt;&gt;"Yes"),'Demand background (hide)'!X126+IF(Setup!$I$15="Yes",'Demand background (hide)'!AJ126,0),"")</f>
        <v/>
      </c>
      <c r="BE135" s="211"/>
    </row>
    <row r="136" spans="1:57" ht="15" x14ac:dyDescent="0.25">
      <c r="A136" t="str">
        <f t="shared" ca="1" si="4"/>
        <v/>
      </c>
      <c r="B136" s="266" t="str">
        <f t="shared" ca="1" si="5"/>
        <v xml:space="preserve"> </v>
      </c>
      <c r="C136" s="267" t="str">
        <f t="shared" ca="1" si="6"/>
        <v/>
      </c>
      <c r="D136" s="267" t="str">
        <f t="shared" ca="1" si="7"/>
        <v/>
      </c>
      <c r="E136" s="194"/>
      <c r="F136" s="194"/>
      <c r="G136" s="194"/>
      <c r="H136" s="194"/>
      <c r="I136" s="253" t="str">
        <f>IF(COUNTBLANK(E136:H136)=4,"",SUM(E136:G136)+IF(Setup!$I$15="No",0,H136))</f>
        <v/>
      </c>
      <c r="J136" s="194"/>
      <c r="K136" s="194"/>
      <c r="L136" s="194"/>
      <c r="M136" s="194"/>
      <c r="N136" s="257" t="str">
        <f>IF(COUNTBLANK(J136:M136)=4,"",SUM(J136:L136)+IF(Setup!$I$15="No",0,M136))</f>
        <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t="str">
        <f ca="1">IF('Demand background (hide)'!A127=Num_Modalities,"",SUM(Demand!I136))</f>
        <v/>
      </c>
      <c r="BD136" s="261" t="str">
        <f ca="1">IF(AND(A136&lt;=MaxRows,BE136&lt;&gt;"Yes"),'Demand background (hide)'!X127+IF(Setup!$I$15="Yes",'Demand background (hide)'!AJ127,0),"")</f>
        <v/>
      </c>
      <c r="BE136" s="211"/>
    </row>
    <row r="137" spans="1:57" ht="15" x14ac:dyDescent="0.25">
      <c r="A137" t="str">
        <f t="shared" ca="1" si="4"/>
        <v/>
      </c>
      <c r="B137" s="266" t="str">
        <f t="shared" ca="1" si="5"/>
        <v xml:space="preserve"> </v>
      </c>
      <c r="C137" s="267" t="str">
        <f t="shared" ca="1" si="6"/>
        <v/>
      </c>
      <c r="D137" s="267" t="str">
        <f t="shared" ca="1" si="7"/>
        <v/>
      </c>
      <c r="E137" s="194"/>
      <c r="F137" s="194"/>
      <c r="G137" s="194"/>
      <c r="H137" s="194"/>
      <c r="I137" s="253" t="str">
        <f>IF(COUNTBLANK(E137:H137)=4,"",SUM(E137:G137)+IF(Setup!$I$15="No",0,H137))</f>
        <v/>
      </c>
      <c r="J137" s="194"/>
      <c r="K137" s="194"/>
      <c r="L137" s="194"/>
      <c r="M137" s="194"/>
      <c r="N137" s="257" t="str">
        <f>IF(COUNTBLANK(J137:M137)=4,"",SUM(J137:L137)+IF(Setup!$I$15="No",0,M137))</f>
        <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t="str">
        <f ca="1">IF('Demand background (hide)'!A128=Num_Modalities,"",SUM(Demand!I137))</f>
        <v/>
      </c>
      <c r="BD137" s="261" t="str">
        <f ca="1">IF(AND(A137&lt;=MaxRows,BE137&lt;&gt;"Yes"),'Demand background (hide)'!X128+IF(Setup!$I$15="Yes",'Demand background (hide)'!AJ128,0),"")</f>
        <v/>
      </c>
      <c r="BE137" s="211"/>
    </row>
    <row r="138" spans="1:57" ht="15" x14ac:dyDescent="0.25">
      <c r="A138" t="str">
        <f t="shared" ca="1" si="4"/>
        <v/>
      </c>
      <c r="B138" s="266" t="str">
        <f t="shared" ca="1" si="5"/>
        <v xml:space="preserve"> </v>
      </c>
      <c r="C138" s="267" t="str">
        <f t="shared" ca="1" si="6"/>
        <v/>
      </c>
      <c r="D138" s="267" t="str">
        <f t="shared" ca="1" si="7"/>
        <v/>
      </c>
      <c r="E138" s="194"/>
      <c r="F138" s="194"/>
      <c r="G138" s="194"/>
      <c r="H138" s="194"/>
      <c r="I138" s="253" t="str">
        <f>IF(COUNTBLANK(E138:H138)=4,"",SUM(E138:G138)+IF(Setup!$I$15="No",0,H138))</f>
        <v/>
      </c>
      <c r="J138" s="194"/>
      <c r="K138" s="194"/>
      <c r="L138" s="194"/>
      <c r="M138" s="194"/>
      <c r="N138" s="257" t="str">
        <f>IF(COUNTBLANK(J138:M138)=4,"",SUM(J138:L138)+IF(Setup!$I$15="No",0,M138))</f>
        <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t="str">
        <f ca="1">IF('Demand background (hide)'!A129=Num_Modalities,"",SUM(Demand!I138))</f>
        <v/>
      </c>
      <c r="BD138" s="261" t="str">
        <f ca="1">IF(AND(A138&lt;=MaxRows,BE138&lt;&gt;"Yes"),'Demand background (hide)'!X129+IF(Setup!$I$15="Yes",'Demand background (hide)'!AJ129,0),"")</f>
        <v/>
      </c>
      <c r="BE138" s="211"/>
    </row>
    <row r="139" spans="1:57" ht="15" x14ac:dyDescent="0.25">
      <c r="A139" t="str">
        <f t="shared" ca="1" si="4"/>
        <v/>
      </c>
      <c r="B139" s="266" t="str">
        <f t="shared" ca="1" si="5"/>
        <v xml:space="preserve"> </v>
      </c>
      <c r="C139" s="267" t="str">
        <f t="shared" ca="1" si="6"/>
        <v/>
      </c>
      <c r="D139" s="267" t="str">
        <f t="shared" ca="1" si="7"/>
        <v/>
      </c>
      <c r="E139" s="194"/>
      <c r="F139" s="194"/>
      <c r="G139" s="194"/>
      <c r="H139" s="194"/>
      <c r="I139" s="253" t="str">
        <f>IF(COUNTBLANK(E139:H139)=4,"",SUM(E139:G139)+IF(Setup!$I$15="No",0,H139))</f>
        <v/>
      </c>
      <c r="J139" s="194"/>
      <c r="K139" s="194"/>
      <c r="L139" s="194"/>
      <c r="M139" s="194"/>
      <c r="N139" s="257" t="str">
        <f>IF(COUNTBLANK(J139:M139)=4,"",SUM(J139:L139)+IF(Setup!$I$15="No",0,M139))</f>
        <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t="str">
        <f ca="1">IF('Demand background (hide)'!A130=Num_Modalities,"",SUM(Demand!I139))</f>
        <v/>
      </c>
      <c r="BD139" s="261" t="str">
        <f ca="1">IF(AND(A139&lt;=MaxRows,BE139&lt;&gt;"Yes"),'Demand background (hide)'!X130+IF(Setup!$I$15="Yes",'Demand background (hide)'!AJ130,0),"")</f>
        <v/>
      </c>
      <c r="BE139" s="211"/>
    </row>
    <row r="140" spans="1:57" ht="15" x14ac:dyDescent="0.25">
      <c r="A140" t="str">
        <f t="shared" ca="1" si="4"/>
        <v/>
      </c>
      <c r="B140" s="266" t="str">
        <f t="shared" ca="1" si="5"/>
        <v xml:space="preserve"> </v>
      </c>
      <c r="C140" s="267" t="str">
        <f t="shared" ca="1" si="6"/>
        <v/>
      </c>
      <c r="D140" s="267" t="str">
        <f t="shared" ca="1" si="7"/>
        <v/>
      </c>
      <c r="E140" s="194"/>
      <c r="F140" s="194"/>
      <c r="G140" s="194"/>
      <c r="H140" s="194"/>
      <c r="I140" s="253" t="str">
        <f>IF(COUNTBLANK(E140:H140)=4,"",SUM(E140:G140)+IF(Setup!$I$15="No",0,H140))</f>
        <v/>
      </c>
      <c r="J140" s="194"/>
      <c r="K140" s="194"/>
      <c r="L140" s="194"/>
      <c r="M140" s="194"/>
      <c r="N140" s="257" t="str">
        <f>IF(COUNTBLANK(J140:M140)=4,"",SUM(J140:L140)+IF(Setup!$I$15="No",0,M140))</f>
        <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t="str">
        <f ca="1">IF('Demand background (hide)'!A131=Num_Modalities,"",SUM(Demand!I140))</f>
        <v/>
      </c>
      <c r="BD140" s="261" t="str">
        <f ca="1">IF(AND(A140&lt;=MaxRows,BE140&lt;&gt;"Yes"),'Demand background (hide)'!X131+IF(Setup!$I$15="Yes",'Demand background (hide)'!AJ131,0),"")</f>
        <v/>
      </c>
      <c r="BE140" s="211"/>
    </row>
    <row r="141" spans="1:57" ht="15" x14ac:dyDescent="0.25">
      <c r="A141" t="str">
        <f t="shared" ref="A141:A204" ca="1" si="8">IF(BC141&lt;&gt;"",ROW(A129),"")</f>
        <v/>
      </c>
      <c r="B141" s="266" t="str">
        <f t="shared" ca="1" si="5"/>
        <v xml:space="preserve"> </v>
      </c>
      <c r="C141" s="267" t="str">
        <f t="shared" ca="1" si="6"/>
        <v/>
      </c>
      <c r="D141" s="267" t="str">
        <f t="shared" ca="1" si="7"/>
        <v/>
      </c>
      <c r="E141" s="194"/>
      <c r="F141" s="194"/>
      <c r="G141" s="194"/>
      <c r="H141" s="194"/>
      <c r="I141" s="253" t="str">
        <f>IF(COUNTBLANK(E141:H141)=4,"",SUM(E141:G141)+IF(Setup!$I$15="No",0,H141))</f>
        <v/>
      </c>
      <c r="J141" s="194"/>
      <c r="K141" s="194"/>
      <c r="L141" s="194"/>
      <c r="M141" s="194"/>
      <c r="N141" s="257" t="str">
        <f>IF(COUNTBLANK(J141:M141)=4,"",SUM(J141:L141)+IF(Setup!$I$15="No",0,M141))</f>
        <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t="str">
        <f ca="1">IF('Demand background (hide)'!A132=Num_Modalities,"",SUM(Demand!I141))</f>
        <v/>
      </c>
      <c r="BD141" s="261" t="str">
        <f ca="1">IF(AND(A141&lt;=MaxRows,BE141&lt;&gt;"Yes"),'Demand background (hide)'!X132+IF(Setup!$I$15="Yes",'Demand background (hide)'!AJ132,0),"")</f>
        <v/>
      </c>
      <c r="BE141" s="211"/>
    </row>
    <row r="142" spans="1:57" ht="15" x14ac:dyDescent="0.25">
      <c r="A142" t="str">
        <f t="shared" ca="1" si="8"/>
        <v/>
      </c>
      <c r="B142" s="266" t="str">
        <f t="shared" ref="B142:B205" ca="1" si="9">IF(A142&lt;=MaxRows,IF($C$6&lt;&gt;"",IF(YEAR(D142)&lt;&gt;YEAR(D141),YEAR(D142)," "),IF(C142&lt;&gt;1,"",OFFSET(B142,-C141,0,1,1)+1))," ")</f>
        <v xml:space="preserve"> </v>
      </c>
      <c r="C142" s="267" t="str">
        <f t="shared" ref="C142:C205" ca="1" si="10">IF(ROW(A130)&lt;=MaxRows,IF($C$6&lt;&gt;"",WEEKNUM(D142,21),IF(MOD((C141+1),52)&gt;0,MOD((C141+1),52),52)),"")</f>
        <v/>
      </c>
      <c r="D142" s="267" t="str">
        <f t="shared" ref="D142:D205" ca="1" si="11">IF(ROW(A130)&lt;=MaxRows,IF($C$6&lt;&gt;"",D141+7,""),"")</f>
        <v/>
      </c>
      <c r="E142" s="194"/>
      <c r="F142" s="194"/>
      <c r="G142" s="194"/>
      <c r="H142" s="194"/>
      <c r="I142" s="253" t="str">
        <f>IF(COUNTBLANK(E142:H142)=4,"",SUM(E142:G142)+IF(Setup!$I$15="No",0,H142))</f>
        <v/>
      </c>
      <c r="J142" s="194"/>
      <c r="K142" s="194"/>
      <c r="L142" s="194"/>
      <c r="M142" s="194"/>
      <c r="N142" s="257" t="str">
        <f>IF(COUNTBLANK(J142:M142)=4,"",SUM(J142:L142)+IF(Setup!$I$15="No",0,M142))</f>
        <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t="str">
        <f ca="1">IF('Demand background (hide)'!A133=Num_Modalities,"",SUM(Demand!I142))</f>
        <v/>
      </c>
      <c r="BD142" s="261" t="str">
        <f ca="1">IF(AND(A142&lt;=MaxRows,BE142&lt;&gt;"Yes"),'Demand background (hide)'!X133+IF(Setup!$I$15="Yes",'Demand background (hide)'!AJ133,0),"")</f>
        <v/>
      </c>
      <c r="BE142" s="211"/>
    </row>
    <row r="143" spans="1:57" ht="15" x14ac:dyDescent="0.25">
      <c r="A143" t="str">
        <f t="shared" ca="1" si="8"/>
        <v/>
      </c>
      <c r="B143" s="266" t="str">
        <f t="shared" ca="1" si="9"/>
        <v xml:space="preserve"> </v>
      </c>
      <c r="C143" s="267" t="str">
        <f t="shared" ca="1" si="10"/>
        <v/>
      </c>
      <c r="D143" s="267" t="str">
        <f t="shared" ca="1" si="11"/>
        <v/>
      </c>
      <c r="E143" s="194"/>
      <c r="F143" s="194"/>
      <c r="G143" s="194"/>
      <c r="H143" s="194"/>
      <c r="I143" s="253" t="str">
        <f>IF(COUNTBLANK(E143:H143)=4,"",SUM(E143:G143)+IF(Setup!$I$15="No",0,H143))</f>
        <v/>
      </c>
      <c r="J143" s="194"/>
      <c r="K143" s="194"/>
      <c r="L143" s="194"/>
      <c r="M143" s="194"/>
      <c r="N143" s="257" t="str">
        <f>IF(COUNTBLANK(J143:M143)=4,"",SUM(J143:L143)+IF(Setup!$I$15="No",0,M143))</f>
        <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t="str">
        <f ca="1">IF('Demand background (hide)'!A134=Num_Modalities,"",SUM(Demand!I143))</f>
        <v/>
      </c>
      <c r="BD143" s="261" t="str">
        <f ca="1">IF(AND(A143&lt;=MaxRows,BE143&lt;&gt;"Yes"),'Demand background (hide)'!X134+IF(Setup!$I$15="Yes",'Demand background (hide)'!AJ134,0),"")</f>
        <v/>
      </c>
      <c r="BE143" s="211"/>
    </row>
    <row r="144" spans="1:57" ht="15" x14ac:dyDescent="0.25">
      <c r="A144" t="str">
        <f t="shared" ca="1" si="8"/>
        <v/>
      </c>
      <c r="B144" s="266" t="str">
        <f t="shared" ca="1" si="9"/>
        <v xml:space="preserve"> </v>
      </c>
      <c r="C144" s="267" t="str">
        <f t="shared" ca="1" si="10"/>
        <v/>
      </c>
      <c r="D144" s="267" t="str">
        <f t="shared" ca="1" si="11"/>
        <v/>
      </c>
      <c r="E144" s="194"/>
      <c r="F144" s="194"/>
      <c r="G144" s="194"/>
      <c r="H144" s="194"/>
      <c r="I144" s="253" t="str">
        <f>IF(COUNTBLANK(E144:H144)=4,"",SUM(E144:G144)+IF(Setup!$I$15="No",0,H144))</f>
        <v/>
      </c>
      <c r="J144" s="194"/>
      <c r="K144" s="194"/>
      <c r="L144" s="194"/>
      <c r="M144" s="194"/>
      <c r="N144" s="257" t="str">
        <f>IF(COUNTBLANK(J144:M144)=4,"",SUM(J144:L144)+IF(Setup!$I$15="No",0,M144))</f>
        <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t="str">
        <f ca="1">IF('Demand background (hide)'!A135=Num_Modalities,"",SUM(Demand!I144))</f>
        <v/>
      </c>
      <c r="BD144" s="261" t="str">
        <f ca="1">IF(AND(A144&lt;=MaxRows,BE144&lt;&gt;"Yes"),'Demand background (hide)'!X135+IF(Setup!$I$15="Yes",'Demand background (hide)'!AJ135,0),"")</f>
        <v/>
      </c>
      <c r="BE144" s="211"/>
    </row>
    <row r="145" spans="1:57" ht="15" x14ac:dyDescent="0.25">
      <c r="A145" t="str">
        <f t="shared" ca="1" si="8"/>
        <v/>
      </c>
      <c r="B145" s="266" t="str">
        <f t="shared" ca="1" si="9"/>
        <v xml:space="preserve"> </v>
      </c>
      <c r="C145" s="267" t="str">
        <f t="shared" ca="1" si="10"/>
        <v/>
      </c>
      <c r="D145" s="267" t="str">
        <f t="shared" ca="1" si="11"/>
        <v/>
      </c>
      <c r="E145" s="194"/>
      <c r="F145" s="194"/>
      <c r="G145" s="194"/>
      <c r="H145" s="194"/>
      <c r="I145" s="253" t="str">
        <f>IF(COUNTBLANK(E145:H145)=4,"",SUM(E145:G145)+IF(Setup!$I$15="No",0,H145))</f>
        <v/>
      </c>
      <c r="J145" s="194"/>
      <c r="K145" s="194"/>
      <c r="L145" s="194"/>
      <c r="M145" s="194"/>
      <c r="N145" s="257" t="str">
        <f>IF(COUNTBLANK(J145:M145)=4,"",SUM(J145:L145)+IF(Setup!$I$15="No",0,M145))</f>
        <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t="str">
        <f ca="1">IF('Demand background (hide)'!A136=Num_Modalities,"",SUM(Demand!I145))</f>
        <v/>
      </c>
      <c r="BD145" s="261" t="str">
        <f ca="1">IF(AND(A145&lt;=MaxRows,BE145&lt;&gt;"Yes"),'Demand background (hide)'!X136+IF(Setup!$I$15="Yes",'Demand background (hide)'!AJ136,0),"")</f>
        <v/>
      </c>
      <c r="BE145" s="211"/>
    </row>
    <row r="146" spans="1:57" ht="15" x14ac:dyDescent="0.25">
      <c r="A146" t="str">
        <f t="shared" ca="1" si="8"/>
        <v/>
      </c>
      <c r="B146" s="266" t="str">
        <f t="shared" ca="1" si="9"/>
        <v xml:space="preserve"> </v>
      </c>
      <c r="C146" s="267" t="str">
        <f t="shared" ca="1" si="10"/>
        <v/>
      </c>
      <c r="D146" s="267" t="str">
        <f t="shared" ca="1" si="11"/>
        <v/>
      </c>
      <c r="E146" s="194"/>
      <c r="F146" s="194"/>
      <c r="G146" s="194"/>
      <c r="H146" s="194"/>
      <c r="I146" s="253" t="str">
        <f>IF(COUNTBLANK(E146:H146)=4,"",SUM(E146:G146)+IF(Setup!$I$15="No",0,H146))</f>
        <v/>
      </c>
      <c r="J146" s="194"/>
      <c r="K146" s="194"/>
      <c r="L146" s="194"/>
      <c r="M146" s="194"/>
      <c r="N146" s="257" t="str">
        <f>IF(COUNTBLANK(J146:M146)=4,"",SUM(J146:L146)+IF(Setup!$I$15="No",0,M146))</f>
        <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t="str">
        <f ca="1">IF('Demand background (hide)'!A137=Num_Modalities,"",SUM(Demand!I146))</f>
        <v/>
      </c>
      <c r="BD146" s="261" t="str">
        <f ca="1">IF(AND(A146&lt;=MaxRows,BE146&lt;&gt;"Yes"),'Demand background (hide)'!X137+IF(Setup!$I$15="Yes",'Demand background (hide)'!AJ137,0),"")</f>
        <v/>
      </c>
      <c r="BE146" s="211"/>
    </row>
    <row r="147" spans="1:57" ht="15" x14ac:dyDescent="0.25">
      <c r="A147" t="str">
        <f t="shared" ca="1" si="8"/>
        <v/>
      </c>
      <c r="B147" s="266" t="str">
        <f t="shared" ca="1" si="9"/>
        <v xml:space="preserve"> </v>
      </c>
      <c r="C147" s="267" t="str">
        <f t="shared" ca="1" si="10"/>
        <v/>
      </c>
      <c r="D147" s="267" t="str">
        <f t="shared" ca="1" si="11"/>
        <v/>
      </c>
      <c r="E147" s="194"/>
      <c r="F147" s="194"/>
      <c r="G147" s="194"/>
      <c r="H147" s="194"/>
      <c r="I147" s="253" t="str">
        <f>IF(COUNTBLANK(E147:H147)=4,"",SUM(E147:G147)+IF(Setup!$I$15="No",0,H147))</f>
        <v/>
      </c>
      <c r="J147" s="194"/>
      <c r="K147" s="194"/>
      <c r="L147" s="194"/>
      <c r="M147" s="194"/>
      <c r="N147" s="257" t="str">
        <f>IF(COUNTBLANK(J147:M147)=4,"",SUM(J147:L147)+IF(Setup!$I$15="No",0,M147))</f>
        <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t="str">
        <f ca="1">IF('Demand background (hide)'!A138=Num_Modalities,"",SUM(Demand!I147))</f>
        <v/>
      </c>
      <c r="BD147" s="261" t="str">
        <f ca="1">IF(AND(A147&lt;=MaxRows,BE147&lt;&gt;"Yes"),'Demand background (hide)'!X138+IF(Setup!$I$15="Yes",'Demand background (hide)'!AJ138,0),"")</f>
        <v/>
      </c>
      <c r="BE147" s="211"/>
    </row>
    <row r="148" spans="1:57" ht="15" x14ac:dyDescent="0.25">
      <c r="A148" t="str">
        <f t="shared" ca="1" si="8"/>
        <v/>
      </c>
      <c r="B148" s="266" t="str">
        <f t="shared" ca="1" si="9"/>
        <v xml:space="preserve"> </v>
      </c>
      <c r="C148" s="267" t="str">
        <f t="shared" ca="1" si="10"/>
        <v/>
      </c>
      <c r="D148" s="267" t="str">
        <f t="shared" ca="1" si="11"/>
        <v/>
      </c>
      <c r="E148" s="194"/>
      <c r="F148" s="194"/>
      <c r="G148" s="194"/>
      <c r="H148" s="194"/>
      <c r="I148" s="253" t="str">
        <f>IF(COUNTBLANK(E148:H148)=4,"",SUM(E148:G148)+IF(Setup!$I$15="No",0,H148))</f>
        <v/>
      </c>
      <c r="J148" s="194"/>
      <c r="K148" s="194"/>
      <c r="L148" s="194"/>
      <c r="M148" s="194"/>
      <c r="N148" s="257" t="str">
        <f>IF(COUNTBLANK(J148:M148)=4,"",SUM(J148:L148)+IF(Setup!$I$15="No",0,M148))</f>
        <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t="str">
        <f ca="1">IF('Demand background (hide)'!A139=Num_Modalities,"",SUM(Demand!I148))</f>
        <v/>
      </c>
      <c r="BD148" s="261" t="str">
        <f ca="1">IF(AND(A148&lt;=MaxRows,BE148&lt;&gt;"Yes"),'Demand background (hide)'!X139+IF(Setup!$I$15="Yes",'Demand background (hide)'!AJ139,0),"")</f>
        <v/>
      </c>
      <c r="BE148" s="211"/>
    </row>
    <row r="149" spans="1:57" ht="15" x14ac:dyDescent="0.25">
      <c r="A149" t="str">
        <f t="shared" ca="1" si="8"/>
        <v/>
      </c>
      <c r="B149" s="266" t="str">
        <f t="shared" ca="1" si="9"/>
        <v xml:space="preserve"> </v>
      </c>
      <c r="C149" s="267" t="str">
        <f t="shared" ca="1" si="10"/>
        <v/>
      </c>
      <c r="D149" s="267" t="str">
        <f t="shared" ca="1" si="11"/>
        <v/>
      </c>
      <c r="E149" s="194"/>
      <c r="F149" s="194"/>
      <c r="G149" s="194"/>
      <c r="H149" s="194"/>
      <c r="I149" s="253" t="str">
        <f>IF(COUNTBLANK(E149:H149)=4,"",SUM(E149:G149)+IF(Setup!$I$15="No",0,H149))</f>
        <v/>
      </c>
      <c r="J149" s="194"/>
      <c r="K149" s="194"/>
      <c r="L149" s="194"/>
      <c r="M149" s="194"/>
      <c r="N149" s="257" t="str">
        <f>IF(COUNTBLANK(J149:M149)=4,"",SUM(J149:L149)+IF(Setup!$I$15="No",0,M149))</f>
        <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t="str">
        <f ca="1">IF('Demand background (hide)'!A140=Num_Modalities,"",SUM(Demand!I149))</f>
        <v/>
      </c>
      <c r="BD149" s="261" t="str">
        <f ca="1">IF(AND(A149&lt;=MaxRows,BE149&lt;&gt;"Yes"),'Demand background (hide)'!X140+IF(Setup!$I$15="Yes",'Demand background (hide)'!AJ140,0),"")</f>
        <v/>
      </c>
      <c r="BE149" s="211"/>
    </row>
    <row r="150" spans="1:57" ht="15" x14ac:dyDescent="0.25">
      <c r="A150" t="str">
        <f t="shared" ca="1" si="8"/>
        <v/>
      </c>
      <c r="B150" s="266" t="str">
        <f t="shared" ca="1" si="9"/>
        <v xml:space="preserve"> </v>
      </c>
      <c r="C150" s="267" t="str">
        <f t="shared" ca="1" si="10"/>
        <v/>
      </c>
      <c r="D150" s="267" t="str">
        <f t="shared" ca="1" si="11"/>
        <v/>
      </c>
      <c r="E150" s="194"/>
      <c r="F150" s="194"/>
      <c r="G150" s="194"/>
      <c r="H150" s="194"/>
      <c r="I150" s="253" t="str">
        <f>IF(COUNTBLANK(E150:H150)=4,"",SUM(E150:G150)+IF(Setup!$I$15="No",0,H150))</f>
        <v/>
      </c>
      <c r="J150" s="194"/>
      <c r="K150" s="194"/>
      <c r="L150" s="194"/>
      <c r="M150" s="194"/>
      <c r="N150" s="257" t="str">
        <f>IF(COUNTBLANK(J150:M150)=4,"",SUM(J150:L150)+IF(Setup!$I$15="No",0,M150))</f>
        <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t="str">
        <f ca="1">IF('Demand background (hide)'!A141=Num_Modalities,"",SUM(Demand!I150))</f>
        <v/>
      </c>
      <c r="BD150" s="261" t="str">
        <f ca="1">IF(AND(A150&lt;=MaxRows,BE150&lt;&gt;"Yes"),'Demand background (hide)'!X141+IF(Setup!$I$15="Yes",'Demand background (hide)'!AJ141,0),"")</f>
        <v/>
      </c>
      <c r="BE150" s="211"/>
    </row>
    <row r="151" spans="1:57" ht="15" x14ac:dyDescent="0.25">
      <c r="A151" t="str">
        <f t="shared" ca="1" si="8"/>
        <v/>
      </c>
      <c r="B151" s="266" t="str">
        <f t="shared" ca="1" si="9"/>
        <v xml:space="preserve"> </v>
      </c>
      <c r="C151" s="267" t="str">
        <f t="shared" ca="1" si="10"/>
        <v/>
      </c>
      <c r="D151" s="267" t="str">
        <f t="shared" ca="1" si="11"/>
        <v/>
      </c>
      <c r="E151" s="194"/>
      <c r="F151" s="194"/>
      <c r="G151" s="194"/>
      <c r="H151" s="194"/>
      <c r="I151" s="253" t="str">
        <f>IF(COUNTBLANK(E151:H151)=4,"",SUM(E151:G151)+IF(Setup!$I$15="No",0,H151))</f>
        <v/>
      </c>
      <c r="J151" s="194"/>
      <c r="K151" s="194"/>
      <c r="L151" s="194"/>
      <c r="M151" s="194"/>
      <c r="N151" s="257" t="str">
        <f>IF(COUNTBLANK(J151:M151)=4,"",SUM(J151:L151)+IF(Setup!$I$15="No",0,M151))</f>
        <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t="str">
        <f ca="1">IF('Demand background (hide)'!A142=Num_Modalities,"",SUM(Demand!I151))</f>
        <v/>
      </c>
      <c r="BD151" s="261" t="str">
        <f ca="1">IF(AND(A151&lt;=MaxRows,BE151&lt;&gt;"Yes"),'Demand background (hide)'!X142+IF(Setup!$I$15="Yes",'Demand background (hide)'!AJ142,0),"")</f>
        <v/>
      </c>
      <c r="BE151" s="211"/>
    </row>
    <row r="152" spans="1:57" ht="15" x14ac:dyDescent="0.25">
      <c r="A152" t="str">
        <f t="shared" ca="1" si="8"/>
        <v/>
      </c>
      <c r="B152" s="266" t="str">
        <f t="shared" ca="1" si="9"/>
        <v xml:space="preserve"> </v>
      </c>
      <c r="C152" s="267" t="str">
        <f t="shared" ca="1" si="10"/>
        <v/>
      </c>
      <c r="D152" s="267" t="str">
        <f t="shared" ca="1" si="11"/>
        <v/>
      </c>
      <c r="E152" s="194"/>
      <c r="F152" s="194"/>
      <c r="G152" s="194"/>
      <c r="H152" s="194"/>
      <c r="I152" s="253" t="str">
        <f>IF(COUNTBLANK(E152:H152)=4,"",SUM(E152:G152)+IF(Setup!$I$15="No",0,H152))</f>
        <v/>
      </c>
      <c r="J152" s="194"/>
      <c r="K152" s="194"/>
      <c r="L152" s="194"/>
      <c r="M152" s="194"/>
      <c r="N152" s="257" t="str">
        <f>IF(COUNTBLANK(J152:M152)=4,"",SUM(J152:L152)+IF(Setup!$I$15="No",0,M152))</f>
        <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t="str">
        <f ca="1">IF('Demand background (hide)'!A143=Num_Modalities,"",SUM(Demand!I152))</f>
        <v/>
      </c>
      <c r="BD152" s="261" t="str">
        <f ca="1">IF(AND(A152&lt;=MaxRows,BE152&lt;&gt;"Yes"),'Demand background (hide)'!X143+IF(Setup!$I$15="Yes",'Demand background (hide)'!AJ143,0),"")</f>
        <v/>
      </c>
      <c r="BE152" s="211"/>
    </row>
    <row r="153" spans="1:57" ht="15" x14ac:dyDescent="0.25">
      <c r="A153" t="str">
        <f t="shared" ca="1" si="8"/>
        <v/>
      </c>
      <c r="B153" s="266" t="str">
        <f t="shared" ca="1" si="9"/>
        <v xml:space="preserve"> </v>
      </c>
      <c r="C153" s="267" t="str">
        <f t="shared" ca="1" si="10"/>
        <v/>
      </c>
      <c r="D153" s="267" t="str">
        <f t="shared" ca="1" si="11"/>
        <v/>
      </c>
      <c r="E153" s="194"/>
      <c r="F153" s="194"/>
      <c r="G153" s="194"/>
      <c r="H153" s="194"/>
      <c r="I153" s="253" t="str">
        <f>IF(COUNTBLANK(E153:H153)=4,"",SUM(E153:G153)+IF(Setup!$I$15="No",0,H153))</f>
        <v/>
      </c>
      <c r="J153" s="194"/>
      <c r="K153" s="194"/>
      <c r="L153" s="194"/>
      <c r="M153" s="194"/>
      <c r="N153" s="257" t="str">
        <f>IF(COUNTBLANK(J153:M153)=4,"",SUM(J153:L153)+IF(Setup!$I$15="No",0,M153))</f>
        <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t="str">
        <f ca="1">IF('Demand background (hide)'!A144=Num_Modalities,"",SUM(Demand!I153))</f>
        <v/>
      </c>
      <c r="BD153" s="261" t="str">
        <f ca="1">IF(AND(A153&lt;=MaxRows,BE153&lt;&gt;"Yes"),'Demand background (hide)'!X144+IF(Setup!$I$15="Yes",'Demand background (hide)'!AJ144,0),"")</f>
        <v/>
      </c>
      <c r="BE153" s="211"/>
    </row>
    <row r="154" spans="1:57" ht="15" x14ac:dyDescent="0.25">
      <c r="A154" t="str">
        <f t="shared" ca="1" si="8"/>
        <v/>
      </c>
      <c r="B154" s="266" t="str">
        <f t="shared" ca="1" si="9"/>
        <v xml:space="preserve"> </v>
      </c>
      <c r="C154" s="267" t="str">
        <f t="shared" ca="1" si="10"/>
        <v/>
      </c>
      <c r="D154" s="267" t="str">
        <f t="shared" ca="1" si="11"/>
        <v/>
      </c>
      <c r="E154" s="194"/>
      <c r="F154" s="194"/>
      <c r="G154" s="194"/>
      <c r="H154" s="194"/>
      <c r="I154" s="253" t="str">
        <f>IF(COUNTBLANK(E154:H154)=4,"",SUM(E154:G154)+IF(Setup!$I$15="No",0,H154))</f>
        <v/>
      </c>
      <c r="J154" s="194"/>
      <c r="K154" s="194"/>
      <c r="L154" s="194"/>
      <c r="M154" s="194"/>
      <c r="N154" s="257" t="str">
        <f>IF(COUNTBLANK(J154:M154)=4,"",SUM(J154:L154)+IF(Setup!$I$15="No",0,M154))</f>
        <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t="str">
        <f ca="1">IF('Demand background (hide)'!A145=Num_Modalities,"",SUM(Demand!I154))</f>
        <v/>
      </c>
      <c r="BD154" s="261" t="str">
        <f ca="1">IF(AND(A154&lt;=MaxRows,BE154&lt;&gt;"Yes"),'Demand background (hide)'!X145+IF(Setup!$I$15="Yes",'Demand background (hide)'!AJ145,0),"")</f>
        <v/>
      </c>
      <c r="BE154" s="211"/>
    </row>
    <row r="155" spans="1:57" ht="15" x14ac:dyDescent="0.25">
      <c r="A155" t="str">
        <f t="shared" ca="1" si="8"/>
        <v/>
      </c>
      <c r="B155" s="266" t="str">
        <f t="shared" ca="1" si="9"/>
        <v xml:space="preserve"> </v>
      </c>
      <c r="C155" s="267" t="str">
        <f t="shared" ca="1" si="10"/>
        <v/>
      </c>
      <c r="D155" s="267" t="str">
        <f t="shared" ca="1" si="11"/>
        <v/>
      </c>
      <c r="E155" s="194"/>
      <c r="F155" s="194"/>
      <c r="G155" s="194"/>
      <c r="H155" s="194"/>
      <c r="I155" s="253" t="str">
        <f>IF(COUNTBLANK(E155:H155)=4,"",SUM(E155:G155)+IF(Setup!$I$15="No",0,H155))</f>
        <v/>
      </c>
      <c r="J155" s="194"/>
      <c r="K155" s="194"/>
      <c r="L155" s="194"/>
      <c r="M155" s="194"/>
      <c r="N155" s="257" t="str">
        <f>IF(COUNTBLANK(J155:M155)=4,"",SUM(J155:L155)+IF(Setup!$I$15="No",0,M155))</f>
        <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t="str">
        <f ca="1">IF('Demand background (hide)'!A146=Num_Modalities,"",SUM(Demand!I155))</f>
        <v/>
      </c>
      <c r="BD155" s="261" t="str">
        <f ca="1">IF(AND(A155&lt;=MaxRows,BE155&lt;&gt;"Yes"),'Demand background (hide)'!X146+IF(Setup!$I$15="Yes",'Demand background (hide)'!AJ146,0),"")</f>
        <v/>
      </c>
      <c r="BE155" s="211"/>
    </row>
    <row r="156" spans="1:57" ht="15" x14ac:dyDescent="0.25">
      <c r="A156" t="str">
        <f t="shared" ca="1" si="8"/>
        <v/>
      </c>
      <c r="B156" s="266" t="str">
        <f t="shared" ca="1" si="9"/>
        <v xml:space="preserve"> </v>
      </c>
      <c r="C156" s="267" t="str">
        <f t="shared" ca="1" si="10"/>
        <v/>
      </c>
      <c r="D156" s="267" t="str">
        <f t="shared" ca="1" si="11"/>
        <v/>
      </c>
      <c r="E156" s="194"/>
      <c r="F156" s="194"/>
      <c r="G156" s="194"/>
      <c r="H156" s="194"/>
      <c r="I156" s="253" t="str">
        <f>IF(COUNTBLANK(E156:H156)=4,"",SUM(E156:G156)+IF(Setup!$I$15="No",0,H156))</f>
        <v/>
      </c>
      <c r="J156" s="194"/>
      <c r="K156" s="194"/>
      <c r="L156" s="194"/>
      <c r="M156" s="194"/>
      <c r="N156" s="257" t="str">
        <f>IF(COUNTBLANK(J156:M156)=4,"",SUM(J156:L156)+IF(Setup!$I$15="No",0,M156))</f>
        <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t="str">
        <f ca="1">IF('Demand background (hide)'!A147=Num_Modalities,"",SUM(Demand!I156))</f>
        <v/>
      </c>
      <c r="BD156" s="261" t="str">
        <f ca="1">IF(AND(A156&lt;=MaxRows,BE156&lt;&gt;"Yes"),'Demand background (hide)'!X147+IF(Setup!$I$15="Yes",'Demand background (hide)'!AJ147,0),"")</f>
        <v/>
      </c>
      <c r="BE156" s="211"/>
    </row>
    <row r="157" spans="1:57" ht="15" x14ac:dyDescent="0.25">
      <c r="A157" t="str">
        <f t="shared" ca="1" si="8"/>
        <v/>
      </c>
      <c r="B157" s="266" t="str">
        <f t="shared" ca="1" si="9"/>
        <v xml:space="preserve"> </v>
      </c>
      <c r="C157" s="267" t="str">
        <f t="shared" ca="1" si="10"/>
        <v/>
      </c>
      <c r="D157" s="267" t="str">
        <f t="shared" ca="1" si="11"/>
        <v/>
      </c>
      <c r="E157" s="194"/>
      <c r="F157" s="194"/>
      <c r="G157" s="194"/>
      <c r="H157" s="194"/>
      <c r="I157" s="253" t="str">
        <f>IF(COUNTBLANK(E157:H157)=4,"",SUM(E157:G157)+IF(Setup!$I$15="No",0,H157))</f>
        <v/>
      </c>
      <c r="J157" s="194"/>
      <c r="K157" s="194"/>
      <c r="L157" s="194"/>
      <c r="M157" s="194"/>
      <c r="N157" s="257" t="str">
        <f>IF(COUNTBLANK(J157:M157)=4,"",SUM(J157:L157)+IF(Setup!$I$15="No",0,M157))</f>
        <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t="str">
        <f ca="1">IF('Demand background (hide)'!A148=Num_Modalities,"",SUM(Demand!I157))</f>
        <v/>
      </c>
      <c r="BD157" s="261" t="str">
        <f ca="1">IF(AND(A157&lt;=MaxRows,BE157&lt;&gt;"Yes"),'Demand background (hide)'!X148+IF(Setup!$I$15="Yes",'Demand background (hide)'!AJ148,0),"")</f>
        <v/>
      </c>
      <c r="BE157" s="211"/>
    </row>
    <row r="158" spans="1:57" ht="15" x14ac:dyDescent="0.25">
      <c r="A158" t="str">
        <f t="shared" ca="1" si="8"/>
        <v/>
      </c>
      <c r="B158" s="266" t="str">
        <f t="shared" ca="1" si="9"/>
        <v xml:space="preserve"> </v>
      </c>
      <c r="C158" s="267" t="str">
        <f t="shared" ca="1" si="10"/>
        <v/>
      </c>
      <c r="D158" s="267" t="str">
        <f t="shared" ca="1" si="11"/>
        <v/>
      </c>
      <c r="E158" s="194"/>
      <c r="F158" s="194"/>
      <c r="G158" s="194"/>
      <c r="H158" s="194"/>
      <c r="I158" s="253" t="str">
        <f>IF(COUNTBLANK(E158:H158)=4,"",SUM(E158:G158)+IF(Setup!$I$15="No",0,H158))</f>
        <v/>
      </c>
      <c r="J158" s="194"/>
      <c r="K158" s="194"/>
      <c r="L158" s="194"/>
      <c r="M158" s="194"/>
      <c r="N158" s="257" t="str">
        <f>IF(COUNTBLANK(J158:M158)=4,"",SUM(J158:L158)+IF(Setup!$I$15="No",0,M158))</f>
        <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t="str">
        <f ca="1">IF('Demand background (hide)'!A149=Num_Modalities,"",SUM(Demand!I158))</f>
        <v/>
      </c>
      <c r="BD158" s="261" t="str">
        <f ca="1">IF(AND(A158&lt;=MaxRows,BE158&lt;&gt;"Yes"),'Demand background (hide)'!X149+IF(Setup!$I$15="Yes",'Demand background (hide)'!AJ149,0),"")</f>
        <v/>
      </c>
      <c r="BE158" s="211"/>
    </row>
    <row r="159" spans="1:57" ht="15" x14ac:dyDescent="0.25">
      <c r="A159" t="str">
        <f t="shared" ca="1" si="8"/>
        <v/>
      </c>
      <c r="B159" s="266" t="str">
        <f t="shared" ca="1" si="9"/>
        <v xml:space="preserve"> </v>
      </c>
      <c r="C159" s="267" t="str">
        <f t="shared" ca="1" si="10"/>
        <v/>
      </c>
      <c r="D159" s="267" t="str">
        <f t="shared" ca="1" si="11"/>
        <v/>
      </c>
      <c r="E159" s="194"/>
      <c r="F159" s="194"/>
      <c r="G159" s="194"/>
      <c r="H159" s="194"/>
      <c r="I159" s="253" t="str">
        <f>IF(COUNTBLANK(E159:H159)=4,"",SUM(E159:G159)+IF(Setup!$I$15="No",0,H159))</f>
        <v/>
      </c>
      <c r="J159" s="194"/>
      <c r="K159" s="194"/>
      <c r="L159" s="194"/>
      <c r="M159" s="194"/>
      <c r="N159" s="257" t="str">
        <f>IF(COUNTBLANK(J159:M159)=4,"",SUM(J159:L159)+IF(Setup!$I$15="No",0,M159))</f>
        <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t="str">
        <f ca="1">IF('Demand background (hide)'!A150=Num_Modalities,"",SUM(Demand!I159))</f>
        <v/>
      </c>
      <c r="BD159" s="261" t="str">
        <f ca="1">IF(AND(A159&lt;=MaxRows,BE159&lt;&gt;"Yes"),'Demand background (hide)'!X150+IF(Setup!$I$15="Yes",'Demand background (hide)'!AJ150,0),"")</f>
        <v/>
      </c>
      <c r="BE159" s="211"/>
    </row>
    <row r="160" spans="1:57" ht="15" x14ac:dyDescent="0.25">
      <c r="A160" t="str">
        <f t="shared" ca="1" si="8"/>
        <v/>
      </c>
      <c r="B160" s="266" t="str">
        <f t="shared" ca="1" si="9"/>
        <v xml:space="preserve"> </v>
      </c>
      <c r="C160" s="267" t="str">
        <f t="shared" ca="1" si="10"/>
        <v/>
      </c>
      <c r="D160" s="267" t="str">
        <f t="shared" ca="1" si="11"/>
        <v/>
      </c>
      <c r="E160" s="194"/>
      <c r="F160" s="194"/>
      <c r="G160" s="194"/>
      <c r="H160" s="194"/>
      <c r="I160" s="253" t="str">
        <f>IF(COUNTBLANK(E160:H160)=4,"",SUM(E160:G160)+IF(Setup!$I$15="No",0,H160))</f>
        <v/>
      </c>
      <c r="J160" s="194"/>
      <c r="K160" s="194"/>
      <c r="L160" s="194"/>
      <c r="M160" s="194"/>
      <c r="N160" s="257" t="str">
        <f>IF(COUNTBLANK(J160:M160)=4,"",SUM(J160:L160)+IF(Setup!$I$15="No",0,M160))</f>
        <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t="str">
        <f ca="1">IF('Demand background (hide)'!A151=Num_Modalities,"",SUM(Demand!I160))</f>
        <v/>
      </c>
      <c r="BD160" s="261" t="str">
        <f ca="1">IF(AND(A160&lt;=MaxRows,BE160&lt;&gt;"Yes"),'Demand background (hide)'!X151+IF(Setup!$I$15="Yes",'Demand background (hide)'!AJ151,0),"")</f>
        <v/>
      </c>
      <c r="BE160" s="211"/>
    </row>
    <row r="161" spans="1:57" ht="15" x14ac:dyDescent="0.25">
      <c r="A161" t="str">
        <f t="shared" ca="1" si="8"/>
        <v/>
      </c>
      <c r="B161" s="266" t="str">
        <f t="shared" ca="1" si="9"/>
        <v xml:space="preserve"> </v>
      </c>
      <c r="C161" s="267" t="str">
        <f t="shared" ca="1" si="10"/>
        <v/>
      </c>
      <c r="D161" s="267" t="str">
        <f t="shared" ca="1" si="11"/>
        <v/>
      </c>
      <c r="E161" s="194"/>
      <c r="F161" s="194"/>
      <c r="G161" s="194"/>
      <c r="H161" s="194"/>
      <c r="I161" s="253" t="str">
        <f>IF(COUNTBLANK(E161:H161)=4,"",SUM(E161:G161)+IF(Setup!$I$15="No",0,H161))</f>
        <v/>
      </c>
      <c r="J161" s="194"/>
      <c r="K161" s="194"/>
      <c r="L161" s="194"/>
      <c r="M161" s="194"/>
      <c r="N161" s="257" t="str">
        <f>IF(COUNTBLANK(J161:M161)=4,"",SUM(J161:L161)+IF(Setup!$I$15="No",0,M161))</f>
        <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t="str">
        <f ca="1">IF('Demand background (hide)'!A152=Num_Modalities,"",SUM(Demand!I161))</f>
        <v/>
      </c>
      <c r="BD161" s="261" t="str">
        <f ca="1">IF(AND(A161&lt;=MaxRows,BE161&lt;&gt;"Yes"),'Demand background (hide)'!X152+IF(Setup!$I$15="Yes",'Demand background (hide)'!AJ152,0),"")</f>
        <v/>
      </c>
      <c r="BE161" s="211"/>
    </row>
    <row r="162" spans="1:57" ht="15" x14ac:dyDescent="0.25">
      <c r="A162" t="str">
        <f t="shared" ca="1" si="8"/>
        <v/>
      </c>
      <c r="B162" s="266" t="str">
        <f t="shared" ca="1" si="9"/>
        <v xml:space="preserve"> </v>
      </c>
      <c r="C162" s="267" t="str">
        <f t="shared" ca="1" si="10"/>
        <v/>
      </c>
      <c r="D162" s="267" t="str">
        <f t="shared" ca="1" si="11"/>
        <v/>
      </c>
      <c r="E162" s="194"/>
      <c r="F162" s="194"/>
      <c r="G162" s="194"/>
      <c r="H162" s="194"/>
      <c r="I162" s="253" t="str">
        <f>IF(COUNTBLANK(E162:H162)=4,"",SUM(E162:G162)+IF(Setup!$I$15="No",0,H162))</f>
        <v/>
      </c>
      <c r="J162" s="194"/>
      <c r="K162" s="194"/>
      <c r="L162" s="194"/>
      <c r="M162" s="194"/>
      <c r="N162" s="257" t="str">
        <f>IF(COUNTBLANK(J162:M162)=4,"",SUM(J162:L162)+IF(Setup!$I$15="No",0,M162))</f>
        <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t="str">
        <f ca="1">IF('Demand background (hide)'!A153=Num_Modalities,"",SUM(Demand!I162))</f>
        <v/>
      </c>
      <c r="BD162" s="261" t="str">
        <f ca="1">IF(AND(A162&lt;=MaxRows,BE162&lt;&gt;"Yes"),'Demand background (hide)'!X153+IF(Setup!$I$15="Yes",'Demand background (hide)'!AJ153,0),"")</f>
        <v/>
      </c>
      <c r="BE162" s="211"/>
    </row>
    <row r="163" spans="1:57" ht="15" x14ac:dyDescent="0.25">
      <c r="A163" t="str">
        <f t="shared" ca="1" si="8"/>
        <v/>
      </c>
      <c r="B163" s="266" t="str">
        <f t="shared" ca="1" si="9"/>
        <v xml:space="preserve"> </v>
      </c>
      <c r="C163" s="267" t="str">
        <f t="shared" ca="1" si="10"/>
        <v/>
      </c>
      <c r="D163" s="267" t="str">
        <f t="shared" ca="1" si="11"/>
        <v/>
      </c>
      <c r="E163" s="194"/>
      <c r="F163" s="194"/>
      <c r="G163" s="194"/>
      <c r="H163" s="194"/>
      <c r="I163" s="253" t="str">
        <f>IF(COUNTBLANK(E163:H163)=4,"",SUM(E163:G163)+IF(Setup!$I$15="No",0,H163))</f>
        <v/>
      </c>
      <c r="J163" s="194"/>
      <c r="K163" s="194"/>
      <c r="L163" s="194"/>
      <c r="M163" s="194"/>
      <c r="N163" s="257" t="str">
        <f>IF(COUNTBLANK(J163:M163)=4,"",SUM(J163:L163)+IF(Setup!$I$15="No",0,M163))</f>
        <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t="str">
        <f ca="1">IF('Demand background (hide)'!A154=Num_Modalities,"",SUM(Demand!I163))</f>
        <v/>
      </c>
      <c r="BD163" s="261" t="str">
        <f ca="1">IF(AND(A163&lt;=MaxRows,BE163&lt;&gt;"Yes"),'Demand background (hide)'!X154+IF(Setup!$I$15="Yes",'Demand background (hide)'!AJ154,0),"")</f>
        <v/>
      </c>
      <c r="BE163" s="211"/>
    </row>
    <row r="164" spans="1:57" ht="15" x14ac:dyDescent="0.25">
      <c r="A164" t="str">
        <f t="shared" ca="1" si="8"/>
        <v/>
      </c>
      <c r="B164" s="266" t="str">
        <f t="shared" ca="1" si="9"/>
        <v xml:space="preserve"> </v>
      </c>
      <c r="C164" s="267" t="str">
        <f t="shared" ca="1" si="10"/>
        <v/>
      </c>
      <c r="D164" s="267"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f>
        <v/>
      </c>
      <c r="BD164" s="261" t="str">
        <f ca="1">IF(AND(A164&lt;=MaxRows,BE164&lt;&gt;"Yes"),'Demand background (hide)'!X155+IF(Setup!$I$15="Yes",'Demand background (hide)'!AJ155,0),"")</f>
        <v/>
      </c>
      <c r="BE164" s="211"/>
    </row>
    <row r="165" spans="1:57" ht="15" x14ac:dyDescent="0.25">
      <c r="A165" t="str">
        <f t="shared" ca="1" si="8"/>
        <v/>
      </c>
      <c r="B165" s="266" t="str">
        <f t="shared" ca="1" si="9"/>
        <v xml:space="preserve"> </v>
      </c>
      <c r="C165" s="267" t="str">
        <f t="shared" ca="1" si="10"/>
        <v/>
      </c>
      <c r="D165" s="267"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f>
        <v/>
      </c>
      <c r="BD165" s="261" t="str">
        <f ca="1">IF(AND(A165&lt;=MaxRows,BE165&lt;&gt;"Yes"),'Demand background (hide)'!X156+IF(Setup!$I$15="Yes",'Demand background (hide)'!AJ156,0),"")</f>
        <v/>
      </c>
      <c r="BE165" s="211"/>
    </row>
    <row r="166" spans="1:57" ht="15" x14ac:dyDescent="0.25">
      <c r="A166" t="str">
        <f t="shared" ca="1" si="8"/>
        <v/>
      </c>
      <c r="B166" s="266" t="str">
        <f t="shared" ca="1" si="9"/>
        <v xml:space="preserve"> </v>
      </c>
      <c r="C166" s="267" t="str">
        <f t="shared" ca="1" si="10"/>
        <v/>
      </c>
      <c r="D166" s="267"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f>
        <v/>
      </c>
      <c r="BD166" s="261" t="str">
        <f ca="1">IF(AND(A166&lt;=MaxRows,BE166&lt;&gt;"Yes"),'Demand background (hide)'!X157+IF(Setup!$I$15="Yes",'Demand background (hide)'!AJ157,0),"")</f>
        <v/>
      </c>
      <c r="BE166" s="211"/>
    </row>
    <row r="167" spans="1:57" ht="15" x14ac:dyDescent="0.25">
      <c r="A167" t="str">
        <f t="shared" ca="1" si="8"/>
        <v/>
      </c>
      <c r="B167" s="266" t="str">
        <f t="shared" ca="1" si="9"/>
        <v xml:space="preserve"> </v>
      </c>
      <c r="C167" s="267" t="str">
        <f t="shared" ca="1" si="10"/>
        <v/>
      </c>
      <c r="D167" s="267"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f>
        <v/>
      </c>
      <c r="BD167" s="261" t="str">
        <f ca="1">IF(AND(A167&lt;=MaxRows,BE167&lt;&gt;"Yes"),'Demand background (hide)'!X158+IF(Setup!$I$15="Yes",'Demand background (hide)'!AJ158,0),"")</f>
        <v/>
      </c>
      <c r="BE167" s="211"/>
    </row>
    <row r="168" spans="1:57" ht="15" x14ac:dyDescent="0.25">
      <c r="A168" t="str">
        <f t="shared" ca="1" si="8"/>
        <v/>
      </c>
      <c r="B168" s="266" t="str">
        <f t="shared" ca="1" si="9"/>
        <v xml:space="preserve"> </v>
      </c>
      <c r="C168" s="267" t="str">
        <f t="shared" ca="1" si="10"/>
        <v/>
      </c>
      <c r="D168" s="267"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f>
        <v/>
      </c>
      <c r="BD168" s="261" t="str">
        <f ca="1">IF(AND(A168&lt;=MaxRows,BE168&lt;&gt;"Yes"),'Demand background (hide)'!X159+IF(Setup!$I$15="Yes",'Demand background (hide)'!AJ159,0),"")</f>
        <v/>
      </c>
      <c r="BE168" s="211"/>
    </row>
    <row r="169" spans="1:57" ht="15" x14ac:dyDescent="0.25">
      <c r="A169" t="str">
        <f t="shared" ca="1" si="8"/>
        <v/>
      </c>
      <c r="B169" s="266" t="str">
        <f t="shared" ca="1" si="9"/>
        <v xml:space="preserve"> </v>
      </c>
      <c r="C169" s="267" t="str">
        <f t="shared" ca="1" si="10"/>
        <v/>
      </c>
      <c r="D169" s="267"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f>
        <v/>
      </c>
      <c r="BD169" s="261" t="str">
        <f ca="1">IF(AND(A169&lt;=MaxRows,BE169&lt;&gt;"Yes"),'Demand background (hide)'!X160+IF(Setup!$I$15="Yes",'Demand background (hide)'!AJ160,0),"")</f>
        <v/>
      </c>
      <c r="BE169" s="211"/>
    </row>
    <row r="170" spans="1:57" ht="15" x14ac:dyDescent="0.25">
      <c r="A170" t="str">
        <f t="shared" ca="1" si="8"/>
        <v/>
      </c>
      <c r="B170" s="266" t="str">
        <f t="shared" ca="1" si="9"/>
        <v xml:space="preserve"> </v>
      </c>
      <c r="C170" s="267" t="str">
        <f t="shared" ca="1" si="10"/>
        <v/>
      </c>
      <c r="D170" s="267"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f>
        <v/>
      </c>
      <c r="BD170" s="261" t="str">
        <f ca="1">IF(AND(A170&lt;=MaxRows,BE170&lt;&gt;"Yes"),'Demand background (hide)'!X161+IF(Setup!$I$15="Yes",'Demand background (hide)'!AJ161,0),"")</f>
        <v/>
      </c>
      <c r="BE170" s="211"/>
    </row>
    <row r="171" spans="1:57" ht="15" x14ac:dyDescent="0.25">
      <c r="A171" t="str">
        <f t="shared" ca="1" si="8"/>
        <v/>
      </c>
      <c r="B171" s="266" t="str">
        <f t="shared" ca="1" si="9"/>
        <v xml:space="preserve"> </v>
      </c>
      <c r="C171" s="267" t="str">
        <f t="shared" ca="1" si="10"/>
        <v/>
      </c>
      <c r="D171" s="267"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f>
        <v/>
      </c>
      <c r="BD171" s="261" t="str">
        <f ca="1">IF(AND(A171&lt;=MaxRows,BE171&lt;&gt;"Yes"),'Demand background (hide)'!X162+IF(Setup!$I$15="Yes",'Demand background (hide)'!AJ162,0),"")</f>
        <v/>
      </c>
      <c r="BE171" s="211"/>
    </row>
    <row r="172" spans="1:57" ht="15" x14ac:dyDescent="0.25">
      <c r="A172" t="str">
        <f t="shared" ca="1" si="8"/>
        <v/>
      </c>
      <c r="B172" s="266" t="str">
        <f t="shared" ca="1" si="9"/>
        <v xml:space="preserve"> </v>
      </c>
      <c r="C172" s="267" t="str">
        <f t="shared" ca="1" si="10"/>
        <v/>
      </c>
      <c r="D172" s="267"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f>
        <v/>
      </c>
      <c r="BD172" s="261" t="str">
        <f ca="1">IF(AND(A172&lt;=MaxRows,BE172&lt;&gt;"Yes"),'Demand background (hide)'!X163+IF(Setup!$I$15="Yes",'Demand background (hide)'!AJ163,0),"")</f>
        <v/>
      </c>
      <c r="BE172" s="211"/>
    </row>
    <row r="173" spans="1:57" ht="15" x14ac:dyDescent="0.25">
      <c r="A173" t="str">
        <f t="shared" ca="1" si="8"/>
        <v/>
      </c>
      <c r="B173" s="266" t="str">
        <f t="shared" ca="1" si="9"/>
        <v xml:space="preserve"> </v>
      </c>
      <c r="C173" s="267" t="str">
        <f t="shared" ca="1" si="10"/>
        <v/>
      </c>
      <c r="D173" s="267"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f>
        <v/>
      </c>
      <c r="BD173" s="261" t="str">
        <f ca="1">IF(AND(A173&lt;=MaxRows,BE173&lt;&gt;"Yes"),'Demand background (hide)'!X164+IF(Setup!$I$15="Yes",'Demand background (hide)'!AJ164,0),"")</f>
        <v/>
      </c>
      <c r="BE173" s="211"/>
    </row>
    <row r="174" spans="1:57" ht="15" x14ac:dyDescent="0.25">
      <c r="A174" t="str">
        <f t="shared" ca="1" si="8"/>
        <v/>
      </c>
      <c r="B174" s="266" t="str">
        <f t="shared" ca="1" si="9"/>
        <v xml:space="preserve"> </v>
      </c>
      <c r="C174" s="267" t="str">
        <f t="shared" ca="1" si="10"/>
        <v/>
      </c>
      <c r="D174" s="267"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f>
        <v/>
      </c>
      <c r="BD174" s="261" t="str">
        <f ca="1">IF(AND(A174&lt;=MaxRows,BE174&lt;&gt;"Yes"),'Demand background (hide)'!X165+IF(Setup!$I$15="Yes",'Demand background (hide)'!AJ165,0),"")</f>
        <v/>
      </c>
      <c r="BE174" s="211"/>
    </row>
    <row r="175" spans="1:57" ht="15" x14ac:dyDescent="0.25">
      <c r="A175" t="str">
        <f t="shared" ca="1" si="8"/>
        <v/>
      </c>
      <c r="B175" s="266" t="str">
        <f t="shared" ca="1" si="9"/>
        <v xml:space="preserve"> </v>
      </c>
      <c r="C175" s="267" t="str">
        <f t="shared" ca="1" si="10"/>
        <v/>
      </c>
      <c r="D175" s="267"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f>
        <v/>
      </c>
      <c r="BD175" s="261" t="str">
        <f ca="1">IF(AND(A175&lt;=MaxRows,BE175&lt;&gt;"Yes"),'Demand background (hide)'!X166+IF(Setup!$I$15="Yes",'Demand background (hide)'!AJ166,0),"")</f>
        <v/>
      </c>
      <c r="BE175" s="211"/>
    </row>
    <row r="176" spans="1:57" ht="15" x14ac:dyDescent="0.25">
      <c r="A176" t="str">
        <f t="shared" ca="1" si="8"/>
        <v/>
      </c>
      <c r="B176" s="266" t="str">
        <f t="shared" ca="1" si="9"/>
        <v xml:space="preserve"> </v>
      </c>
      <c r="C176" s="267" t="str">
        <f t="shared" ca="1" si="10"/>
        <v/>
      </c>
      <c r="D176" s="267"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f>
        <v/>
      </c>
      <c r="BD176" s="261" t="str">
        <f ca="1">IF(AND(A176&lt;=MaxRows,BE176&lt;&gt;"Yes"),'Demand background (hide)'!X167+IF(Setup!$I$15="Yes",'Demand background (hide)'!AJ167,0),"")</f>
        <v/>
      </c>
      <c r="BE176" s="211"/>
    </row>
    <row r="177" spans="1:57" ht="15" x14ac:dyDescent="0.25">
      <c r="A177" t="str">
        <f t="shared" ca="1" si="8"/>
        <v/>
      </c>
      <c r="B177" s="266" t="str">
        <f t="shared" ca="1" si="9"/>
        <v xml:space="preserve"> </v>
      </c>
      <c r="C177" s="267" t="str">
        <f t="shared" ca="1" si="10"/>
        <v/>
      </c>
      <c r="D177" s="267"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f>
        <v/>
      </c>
      <c r="BD177" s="261" t="str">
        <f ca="1">IF(AND(A177&lt;=MaxRows,BE177&lt;&gt;"Yes"),'Demand background (hide)'!X168+IF(Setup!$I$15="Yes",'Demand background (hide)'!AJ168,0),"")</f>
        <v/>
      </c>
      <c r="BE177" s="211"/>
    </row>
    <row r="178" spans="1:57" ht="15" x14ac:dyDescent="0.25">
      <c r="A178" t="str">
        <f t="shared" ca="1" si="8"/>
        <v/>
      </c>
      <c r="B178" s="266" t="str">
        <f t="shared" ca="1" si="9"/>
        <v xml:space="preserve"> </v>
      </c>
      <c r="C178" s="267" t="str">
        <f t="shared" ca="1" si="10"/>
        <v/>
      </c>
      <c r="D178" s="267"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f>
        <v/>
      </c>
      <c r="BD178" s="261" t="str">
        <f ca="1">IF(AND(A178&lt;=MaxRows,BE178&lt;&gt;"Yes"),'Demand background (hide)'!X169+IF(Setup!$I$15="Yes",'Demand background (hide)'!AJ169,0),"")</f>
        <v/>
      </c>
      <c r="BE178" s="211"/>
    </row>
    <row r="179" spans="1:57" ht="15" x14ac:dyDescent="0.25">
      <c r="A179" t="str">
        <f t="shared" ca="1" si="8"/>
        <v/>
      </c>
      <c r="B179" s="266" t="str">
        <f t="shared" ca="1" si="9"/>
        <v xml:space="preserve"> </v>
      </c>
      <c r="C179" s="267" t="str">
        <f t="shared" ca="1" si="10"/>
        <v/>
      </c>
      <c r="D179" s="267"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f>
        <v/>
      </c>
      <c r="BD179" s="261" t="str">
        <f ca="1">IF(AND(A179&lt;=MaxRows,BE179&lt;&gt;"Yes"),'Demand background (hide)'!X170+IF(Setup!$I$15="Yes",'Demand background (hide)'!AJ170,0),"")</f>
        <v/>
      </c>
      <c r="BE179" s="211"/>
    </row>
    <row r="180" spans="1:57" ht="15" x14ac:dyDescent="0.25">
      <c r="A180" t="str">
        <f t="shared" ca="1" si="8"/>
        <v/>
      </c>
      <c r="B180" s="266" t="str">
        <f t="shared" ca="1" si="9"/>
        <v xml:space="preserve"> </v>
      </c>
      <c r="C180" s="267" t="str">
        <f t="shared" ca="1" si="10"/>
        <v/>
      </c>
      <c r="D180" s="267"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f>
        <v/>
      </c>
      <c r="BD180" s="261" t="str">
        <f ca="1">IF(AND(A180&lt;=MaxRows,BE180&lt;&gt;"Yes"),'Demand background (hide)'!X171+IF(Setup!$I$15="Yes",'Demand background (hide)'!AJ171,0),"")</f>
        <v/>
      </c>
      <c r="BE180" s="211"/>
    </row>
    <row r="181" spans="1:57" ht="15" x14ac:dyDescent="0.25">
      <c r="A181" t="str">
        <f t="shared" ca="1" si="8"/>
        <v/>
      </c>
      <c r="B181" s="266" t="str">
        <f t="shared" ca="1" si="9"/>
        <v xml:space="preserve"> </v>
      </c>
      <c r="C181" s="267" t="str">
        <f t="shared" ca="1" si="10"/>
        <v/>
      </c>
      <c r="D181" s="267"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f>
        <v/>
      </c>
      <c r="BD181" s="261" t="str">
        <f ca="1">IF(AND(A181&lt;=MaxRows,BE181&lt;&gt;"Yes"),'Demand background (hide)'!X172+IF(Setup!$I$15="Yes",'Demand background (hide)'!AJ172,0),"")</f>
        <v/>
      </c>
      <c r="BE181" s="211"/>
    </row>
    <row r="182" spans="1:57" ht="15" x14ac:dyDescent="0.25">
      <c r="A182" t="str">
        <f t="shared" ca="1" si="8"/>
        <v/>
      </c>
      <c r="B182" s="266" t="str">
        <f t="shared" ca="1" si="9"/>
        <v xml:space="preserve"> </v>
      </c>
      <c r="C182" s="267" t="str">
        <f t="shared" ca="1" si="10"/>
        <v/>
      </c>
      <c r="D182" s="267"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f>
        <v/>
      </c>
      <c r="BD182" s="261" t="str">
        <f ca="1">IF(AND(A182&lt;=MaxRows,BE182&lt;&gt;"Yes"),'Demand background (hide)'!X173+IF(Setup!$I$15="Yes",'Demand background (hide)'!AJ173,0),"")</f>
        <v/>
      </c>
      <c r="BE182" s="211"/>
    </row>
    <row r="183" spans="1:57" ht="15" x14ac:dyDescent="0.25">
      <c r="A183" t="str">
        <f t="shared" ca="1" si="8"/>
        <v/>
      </c>
      <c r="B183" s="266" t="str">
        <f t="shared" ca="1" si="9"/>
        <v xml:space="preserve"> </v>
      </c>
      <c r="C183" s="267" t="str">
        <f t="shared" ca="1" si="10"/>
        <v/>
      </c>
      <c r="D183" s="267"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f>
        <v/>
      </c>
      <c r="BD183" s="261" t="str">
        <f ca="1">IF(AND(A183&lt;=MaxRows,BE183&lt;&gt;"Yes"),'Demand background (hide)'!X174+IF(Setup!$I$15="Yes",'Demand background (hide)'!AJ174,0),"")</f>
        <v/>
      </c>
      <c r="BE183" s="211"/>
    </row>
    <row r="184" spans="1:57" ht="15" x14ac:dyDescent="0.25">
      <c r="A184" t="str">
        <f t="shared" ca="1" si="8"/>
        <v/>
      </c>
      <c r="B184" s="266" t="str">
        <f t="shared" ca="1" si="9"/>
        <v xml:space="preserve"> </v>
      </c>
      <c r="C184" s="267" t="str">
        <f t="shared" ca="1" si="10"/>
        <v/>
      </c>
      <c r="D184" s="267"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f>
        <v/>
      </c>
      <c r="BD184" s="261" t="str">
        <f ca="1">IF(AND(A184&lt;=MaxRows,BE184&lt;&gt;"Yes"),'Demand background (hide)'!X175+IF(Setup!$I$15="Yes",'Demand background (hide)'!AJ175,0),"")</f>
        <v/>
      </c>
      <c r="BE184" s="211"/>
    </row>
    <row r="185" spans="1:57" ht="15" x14ac:dyDescent="0.25">
      <c r="A185" t="str">
        <f t="shared" ca="1" si="8"/>
        <v/>
      </c>
      <c r="B185" s="266" t="str">
        <f t="shared" ca="1" si="9"/>
        <v xml:space="preserve"> </v>
      </c>
      <c r="C185" s="267" t="str">
        <f t="shared" ca="1" si="10"/>
        <v/>
      </c>
      <c r="D185" s="267"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f>
        <v/>
      </c>
      <c r="BD185" s="261" t="str">
        <f ca="1">IF(AND(A185&lt;=MaxRows,BE185&lt;&gt;"Yes"),'Demand background (hide)'!X176+IF(Setup!$I$15="Yes",'Demand background (hide)'!AJ176,0),"")</f>
        <v/>
      </c>
      <c r="BE185" s="211"/>
    </row>
    <row r="186" spans="1:57" ht="15" x14ac:dyDescent="0.25">
      <c r="A186" t="str">
        <f t="shared" ca="1" si="8"/>
        <v/>
      </c>
      <c r="B186" s="266" t="str">
        <f t="shared" ca="1" si="9"/>
        <v xml:space="preserve"> </v>
      </c>
      <c r="C186" s="267" t="str">
        <f t="shared" ca="1" si="10"/>
        <v/>
      </c>
      <c r="D186" s="267"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f>
        <v/>
      </c>
      <c r="BD186" s="261" t="str">
        <f ca="1">IF(AND(A186&lt;=MaxRows,BE186&lt;&gt;"Yes"),'Demand background (hide)'!X177+IF(Setup!$I$15="Yes",'Demand background (hide)'!AJ177,0),"")</f>
        <v/>
      </c>
      <c r="BE186" s="211"/>
    </row>
    <row r="187" spans="1:57" ht="15" x14ac:dyDescent="0.25">
      <c r="A187" t="str">
        <f t="shared" ca="1" si="8"/>
        <v/>
      </c>
      <c r="B187" s="266" t="str">
        <f t="shared" ca="1" si="9"/>
        <v xml:space="preserve"> </v>
      </c>
      <c r="C187" s="267" t="str">
        <f t="shared" ca="1" si="10"/>
        <v/>
      </c>
      <c r="D187" s="267"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f>
        <v/>
      </c>
      <c r="BD187" s="261" t="str">
        <f ca="1">IF(AND(A187&lt;=MaxRows,BE187&lt;&gt;"Yes"),'Demand background (hide)'!X178+IF(Setup!$I$15="Yes",'Demand background (hide)'!AJ178,0),"")</f>
        <v/>
      </c>
      <c r="BE187" s="211"/>
    </row>
    <row r="188" spans="1:57" ht="15" x14ac:dyDescent="0.25">
      <c r="A188" t="str">
        <f t="shared" ca="1" si="8"/>
        <v/>
      </c>
      <c r="B188" s="266" t="str">
        <f t="shared" ca="1" si="9"/>
        <v xml:space="preserve"> </v>
      </c>
      <c r="C188" s="267" t="str">
        <f t="shared" ca="1" si="10"/>
        <v/>
      </c>
      <c r="D188" s="267"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f>
        <v/>
      </c>
      <c r="BD188" s="261" t="str">
        <f ca="1">IF(AND(A188&lt;=MaxRows,BE188&lt;&gt;"Yes"),'Demand background (hide)'!X179+IF(Setup!$I$15="Yes",'Demand background (hide)'!AJ179,0),"")</f>
        <v/>
      </c>
      <c r="BE188" s="211"/>
    </row>
    <row r="189" spans="1:57" ht="15" x14ac:dyDescent="0.25">
      <c r="A189" t="str">
        <f t="shared" ca="1" si="8"/>
        <v/>
      </c>
      <c r="B189" s="266" t="str">
        <f t="shared" ca="1" si="9"/>
        <v xml:space="preserve"> </v>
      </c>
      <c r="C189" s="267" t="str">
        <f t="shared" ca="1" si="10"/>
        <v/>
      </c>
      <c r="D189" s="267"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f>
        <v/>
      </c>
      <c r="BD189" s="261" t="str">
        <f ca="1">IF(AND(A189&lt;=MaxRows,BE189&lt;&gt;"Yes"),'Demand background (hide)'!X180+IF(Setup!$I$15="Yes",'Demand background (hide)'!AJ180,0),"")</f>
        <v/>
      </c>
      <c r="BE189" s="211"/>
    </row>
    <row r="190" spans="1:57" ht="15" x14ac:dyDescent="0.25">
      <c r="A190" t="str">
        <f t="shared" ca="1" si="8"/>
        <v/>
      </c>
      <c r="B190" s="266" t="str">
        <f t="shared" ca="1" si="9"/>
        <v xml:space="preserve"> </v>
      </c>
      <c r="C190" s="267" t="str">
        <f t="shared" ca="1" si="10"/>
        <v/>
      </c>
      <c r="D190" s="267"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f>
        <v/>
      </c>
      <c r="BD190" s="261" t="str">
        <f ca="1">IF(AND(A190&lt;=MaxRows,BE190&lt;&gt;"Yes"),'Demand background (hide)'!X181+IF(Setup!$I$15="Yes",'Demand background (hide)'!AJ181,0),"")</f>
        <v/>
      </c>
      <c r="BE190" s="211"/>
    </row>
    <row r="191" spans="1:57" ht="15" x14ac:dyDescent="0.25">
      <c r="A191" t="str">
        <f t="shared" ca="1" si="8"/>
        <v/>
      </c>
      <c r="B191" s="266" t="str">
        <f t="shared" ca="1" si="9"/>
        <v xml:space="preserve"> </v>
      </c>
      <c r="C191" s="267" t="str">
        <f t="shared" ca="1" si="10"/>
        <v/>
      </c>
      <c r="D191" s="267"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f>
        <v/>
      </c>
      <c r="BD191" s="261" t="str">
        <f ca="1">IF(AND(A191&lt;=MaxRows,BE191&lt;&gt;"Yes"),'Demand background (hide)'!X182+IF(Setup!$I$15="Yes",'Demand background (hide)'!AJ182,0),"")</f>
        <v/>
      </c>
      <c r="BE191" s="211"/>
    </row>
    <row r="192" spans="1:57" ht="15" x14ac:dyDescent="0.25">
      <c r="A192" t="str">
        <f t="shared" ca="1" si="8"/>
        <v/>
      </c>
      <c r="B192" s="266" t="str">
        <f t="shared" ca="1" si="9"/>
        <v xml:space="preserve"> </v>
      </c>
      <c r="C192" s="267" t="str">
        <f t="shared" ca="1" si="10"/>
        <v/>
      </c>
      <c r="D192" s="267"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f>
        <v/>
      </c>
      <c r="BD192" s="261" t="str">
        <f ca="1">IF(AND(A192&lt;=MaxRows,BE192&lt;&gt;"Yes"),'Demand background (hide)'!X183+IF(Setup!$I$15="Yes",'Demand background (hide)'!AJ183,0),"")</f>
        <v/>
      </c>
      <c r="BE192" s="211"/>
    </row>
    <row r="193" spans="1:57" ht="15" x14ac:dyDescent="0.25">
      <c r="A193" t="str">
        <f t="shared" ca="1" si="8"/>
        <v/>
      </c>
      <c r="B193" s="266" t="str">
        <f t="shared" ca="1" si="9"/>
        <v xml:space="preserve"> </v>
      </c>
      <c r="C193" s="267" t="str">
        <f t="shared" ca="1" si="10"/>
        <v/>
      </c>
      <c r="D193" s="267"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f>
        <v/>
      </c>
      <c r="BD193" s="261" t="str">
        <f ca="1">IF(AND(A193&lt;=MaxRows,BE193&lt;&gt;"Yes"),'Demand background (hide)'!X184+IF(Setup!$I$15="Yes",'Demand background (hide)'!AJ184,0),"")</f>
        <v/>
      </c>
      <c r="BE193" s="211"/>
    </row>
    <row r="194" spans="1:57" ht="15" x14ac:dyDescent="0.25">
      <c r="A194" t="str">
        <f t="shared" ca="1" si="8"/>
        <v/>
      </c>
      <c r="B194" s="266" t="str">
        <f t="shared" ca="1" si="9"/>
        <v xml:space="preserve"> </v>
      </c>
      <c r="C194" s="267" t="str">
        <f t="shared" ca="1" si="10"/>
        <v/>
      </c>
      <c r="D194" s="267"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f>
        <v/>
      </c>
      <c r="BD194" s="261" t="str">
        <f ca="1">IF(AND(A194&lt;=MaxRows,BE194&lt;&gt;"Yes"),'Demand background (hide)'!X185+IF(Setup!$I$15="Yes",'Demand background (hide)'!AJ185,0),"")</f>
        <v/>
      </c>
      <c r="BE194" s="211"/>
    </row>
    <row r="195" spans="1:57" ht="15" x14ac:dyDescent="0.25">
      <c r="A195" t="str">
        <f t="shared" ca="1" si="8"/>
        <v/>
      </c>
      <c r="B195" s="266" t="str">
        <f t="shared" ca="1" si="9"/>
        <v xml:space="preserve"> </v>
      </c>
      <c r="C195" s="267" t="str">
        <f t="shared" ca="1" si="10"/>
        <v/>
      </c>
      <c r="D195" s="267"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f>
        <v/>
      </c>
      <c r="BD195" s="261" t="str">
        <f ca="1">IF(AND(A195&lt;=MaxRows,BE195&lt;&gt;"Yes"),'Demand background (hide)'!X186+IF(Setup!$I$15="Yes",'Demand background (hide)'!AJ186,0),"")</f>
        <v/>
      </c>
      <c r="BE195" s="211"/>
    </row>
    <row r="196" spans="1:57" ht="15" x14ac:dyDescent="0.25">
      <c r="A196" t="str">
        <f t="shared" ca="1" si="8"/>
        <v/>
      </c>
      <c r="B196" s="266" t="str">
        <f t="shared" ca="1" si="9"/>
        <v xml:space="preserve"> </v>
      </c>
      <c r="C196" s="267" t="str">
        <f t="shared" ca="1" si="10"/>
        <v/>
      </c>
      <c r="D196" s="267"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f>
        <v/>
      </c>
      <c r="BD196" s="261" t="str">
        <f ca="1">IF(AND(A196&lt;=MaxRows,BE196&lt;&gt;"Yes"),'Demand background (hide)'!X187+IF(Setup!$I$15="Yes",'Demand background (hide)'!AJ187,0),"")</f>
        <v/>
      </c>
      <c r="BE196" s="211"/>
    </row>
    <row r="197" spans="1:57" ht="15" x14ac:dyDescent="0.25">
      <c r="A197" t="str">
        <f t="shared" ca="1" si="8"/>
        <v/>
      </c>
      <c r="B197" s="266" t="str">
        <f t="shared" ca="1" si="9"/>
        <v xml:space="preserve"> </v>
      </c>
      <c r="C197" s="267" t="str">
        <f t="shared" ca="1" si="10"/>
        <v/>
      </c>
      <c r="D197" s="267"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f>
        <v/>
      </c>
      <c r="BD197" s="261" t="str">
        <f ca="1">IF(AND(A197&lt;=MaxRows,BE197&lt;&gt;"Yes"),'Demand background (hide)'!X188+IF(Setup!$I$15="Yes",'Demand background (hide)'!AJ188,0),"")</f>
        <v/>
      </c>
      <c r="BE197" s="211"/>
    </row>
    <row r="198" spans="1:57" ht="15" x14ac:dyDescent="0.25">
      <c r="A198" t="str">
        <f t="shared" ca="1" si="8"/>
        <v/>
      </c>
      <c r="B198" s="266" t="str">
        <f t="shared" ca="1" si="9"/>
        <v xml:space="preserve"> </v>
      </c>
      <c r="C198" s="267" t="str">
        <f t="shared" ca="1" si="10"/>
        <v/>
      </c>
      <c r="D198" s="267"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f>
        <v/>
      </c>
      <c r="BD198" s="261" t="str">
        <f ca="1">IF(AND(A198&lt;=MaxRows,BE198&lt;&gt;"Yes"),'Demand background (hide)'!X189+IF(Setup!$I$15="Yes",'Demand background (hide)'!AJ189,0),"")</f>
        <v/>
      </c>
      <c r="BE198" s="211"/>
    </row>
    <row r="199" spans="1:57" ht="15" x14ac:dyDescent="0.25">
      <c r="A199" t="str">
        <f t="shared" ca="1" si="8"/>
        <v/>
      </c>
      <c r="B199" s="266" t="str">
        <f t="shared" ca="1" si="9"/>
        <v xml:space="preserve"> </v>
      </c>
      <c r="C199" s="267" t="str">
        <f t="shared" ca="1" si="10"/>
        <v/>
      </c>
      <c r="D199" s="267"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f>
        <v/>
      </c>
      <c r="BD199" s="261" t="str">
        <f ca="1">IF(AND(A199&lt;=MaxRows,BE199&lt;&gt;"Yes"),'Demand background (hide)'!X190+IF(Setup!$I$15="Yes",'Demand background (hide)'!AJ190,0),"")</f>
        <v/>
      </c>
      <c r="BE199" s="211"/>
    </row>
    <row r="200" spans="1:57" ht="15" x14ac:dyDescent="0.25">
      <c r="A200" t="str">
        <f t="shared" ca="1" si="8"/>
        <v/>
      </c>
      <c r="B200" s="266" t="str">
        <f t="shared" ca="1" si="9"/>
        <v xml:space="preserve"> </v>
      </c>
      <c r="C200" s="267" t="str">
        <f t="shared" ca="1" si="10"/>
        <v/>
      </c>
      <c r="D200" s="267"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f>
        <v/>
      </c>
      <c r="BD200" s="261" t="str">
        <f ca="1">IF(AND(A200&lt;=MaxRows,BE200&lt;&gt;"Yes"),'Demand background (hide)'!X191+IF(Setup!$I$15="Yes",'Demand background (hide)'!AJ191,0),"")</f>
        <v/>
      </c>
      <c r="BE200" s="211"/>
    </row>
    <row r="201" spans="1:57" ht="15" x14ac:dyDescent="0.25">
      <c r="A201" t="str">
        <f t="shared" ca="1" si="8"/>
        <v/>
      </c>
      <c r="B201" s="266" t="str">
        <f t="shared" ca="1" si="9"/>
        <v xml:space="preserve"> </v>
      </c>
      <c r="C201" s="267" t="str">
        <f t="shared" ca="1" si="10"/>
        <v/>
      </c>
      <c r="D201" s="267"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f>
        <v/>
      </c>
      <c r="BD201" s="261" t="str">
        <f ca="1">IF(AND(A201&lt;=MaxRows,BE201&lt;&gt;"Yes"),'Demand background (hide)'!X192+IF(Setup!$I$15="Yes",'Demand background (hide)'!AJ192,0),"")</f>
        <v/>
      </c>
      <c r="BE201" s="211"/>
    </row>
    <row r="202" spans="1:57" ht="15" x14ac:dyDescent="0.25">
      <c r="A202" t="str">
        <f t="shared" ca="1" si="8"/>
        <v/>
      </c>
      <c r="B202" s="266" t="str">
        <f t="shared" ca="1" si="9"/>
        <v xml:space="preserve"> </v>
      </c>
      <c r="C202" s="267" t="str">
        <f t="shared" ca="1" si="10"/>
        <v/>
      </c>
      <c r="D202" s="267"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f>
        <v/>
      </c>
      <c r="BD202" s="261" t="str">
        <f ca="1">IF(AND(A202&lt;=MaxRows,BE202&lt;&gt;"Yes"),'Demand background (hide)'!X193+IF(Setup!$I$15="Yes",'Demand background (hide)'!AJ193,0),"")</f>
        <v/>
      </c>
      <c r="BE202" s="211"/>
    </row>
    <row r="203" spans="1:57" ht="15" x14ac:dyDescent="0.25">
      <c r="A203" t="str">
        <f t="shared" ca="1" si="8"/>
        <v/>
      </c>
      <c r="B203" s="266" t="str">
        <f t="shared" ca="1" si="9"/>
        <v xml:space="preserve"> </v>
      </c>
      <c r="C203" s="267" t="str">
        <f t="shared" ca="1" si="10"/>
        <v/>
      </c>
      <c r="D203" s="267"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f>
        <v/>
      </c>
      <c r="BD203" s="261" t="str">
        <f ca="1">IF(AND(A203&lt;=MaxRows,BE203&lt;&gt;"Yes"),'Demand background (hide)'!X194+IF(Setup!$I$15="Yes",'Demand background (hide)'!AJ194,0),"")</f>
        <v/>
      </c>
      <c r="BE203" s="211"/>
    </row>
    <row r="204" spans="1:57" ht="15" x14ac:dyDescent="0.25">
      <c r="A204" t="str">
        <f t="shared" ca="1" si="8"/>
        <v/>
      </c>
      <c r="B204" s="266" t="str">
        <f t="shared" ca="1" si="9"/>
        <v xml:space="preserve"> </v>
      </c>
      <c r="C204" s="267" t="str">
        <f t="shared" ca="1" si="10"/>
        <v/>
      </c>
      <c r="D204" s="267"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f>
        <v/>
      </c>
      <c r="BD204" s="261" t="str">
        <f ca="1">IF(AND(A204&lt;=MaxRows,BE204&lt;&gt;"Yes"),'Demand background (hide)'!X195+IF(Setup!$I$15="Yes",'Demand background (hide)'!AJ195,0),"")</f>
        <v/>
      </c>
      <c r="BE204" s="211"/>
    </row>
    <row r="205" spans="1:57" ht="15" x14ac:dyDescent="0.25">
      <c r="A205" t="str">
        <f t="shared" ref="A205:A268" ca="1" si="12">IF(BC205&lt;&gt;"",ROW(A193),"")</f>
        <v/>
      </c>
      <c r="B205" s="266" t="str">
        <f t="shared" ca="1" si="9"/>
        <v xml:space="preserve"> </v>
      </c>
      <c r="C205" s="267" t="str">
        <f t="shared" ca="1" si="10"/>
        <v/>
      </c>
      <c r="D205" s="267"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f>
        <v/>
      </c>
      <c r="BD205" s="261" t="str">
        <f ca="1">IF(AND(A205&lt;=MaxRows,BE205&lt;&gt;"Yes"),'Demand background (hide)'!X196+IF(Setup!$I$15="Yes",'Demand background (hide)'!AJ196,0),"")</f>
        <v/>
      </c>
      <c r="BE205" s="211"/>
    </row>
    <row r="206" spans="1:57" ht="15" x14ac:dyDescent="0.2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267"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f>
        <v/>
      </c>
      <c r="BD206" s="261" t="str">
        <f ca="1">IF(AND(A206&lt;=MaxRows,BE206&lt;&gt;"Yes"),'Demand background (hide)'!X197+IF(Setup!$I$15="Yes",'Demand background (hide)'!AJ197,0),"")</f>
        <v/>
      </c>
      <c r="BE206" s="211"/>
    </row>
    <row r="207" spans="1:57" ht="15" x14ac:dyDescent="0.25">
      <c r="A207" t="str">
        <f t="shared" ca="1" si="12"/>
        <v/>
      </c>
      <c r="B207" s="266" t="str">
        <f t="shared" ca="1" si="13"/>
        <v xml:space="preserve"> </v>
      </c>
      <c r="C207" s="267" t="str">
        <f t="shared" ca="1" si="14"/>
        <v/>
      </c>
      <c r="D207" s="267"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f>
        <v/>
      </c>
      <c r="BD207" s="261" t="str">
        <f ca="1">IF(AND(A207&lt;=MaxRows,BE207&lt;&gt;"Yes"),'Demand background (hide)'!X198+IF(Setup!$I$15="Yes",'Demand background (hide)'!AJ198,0),"")</f>
        <v/>
      </c>
      <c r="BE207" s="211"/>
    </row>
    <row r="208" spans="1:57" ht="15" x14ac:dyDescent="0.25">
      <c r="A208" t="str">
        <f t="shared" ca="1" si="12"/>
        <v/>
      </c>
      <c r="B208" s="266" t="str">
        <f t="shared" ca="1" si="13"/>
        <v xml:space="preserve"> </v>
      </c>
      <c r="C208" s="267" t="str">
        <f t="shared" ca="1" si="14"/>
        <v/>
      </c>
      <c r="D208" s="267"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f>
        <v/>
      </c>
      <c r="BD208" s="261" t="str">
        <f ca="1">IF(AND(A208&lt;=MaxRows,BE208&lt;&gt;"Yes"),'Demand background (hide)'!X199+IF(Setup!$I$15="Yes",'Demand background (hide)'!AJ199,0),"")</f>
        <v/>
      </c>
      <c r="BE208" s="211"/>
    </row>
    <row r="209" spans="1:57" ht="15" x14ac:dyDescent="0.25">
      <c r="A209" t="str">
        <f t="shared" ca="1" si="12"/>
        <v/>
      </c>
      <c r="B209" s="266" t="str">
        <f t="shared" ca="1" si="13"/>
        <v xml:space="preserve"> </v>
      </c>
      <c r="C209" s="267" t="str">
        <f t="shared" ca="1" si="14"/>
        <v/>
      </c>
      <c r="D209" s="267"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f>
        <v/>
      </c>
      <c r="BD209" s="261" t="str">
        <f ca="1">IF(AND(A209&lt;=MaxRows,BE209&lt;&gt;"Yes"),'Demand background (hide)'!X200+IF(Setup!$I$15="Yes",'Demand background (hide)'!AJ200,0),"")</f>
        <v/>
      </c>
      <c r="BE209" s="211"/>
    </row>
    <row r="210" spans="1:57" ht="15" x14ac:dyDescent="0.25">
      <c r="A210" t="str">
        <f t="shared" ca="1" si="12"/>
        <v/>
      </c>
      <c r="B210" s="266" t="str">
        <f t="shared" ca="1" si="13"/>
        <v xml:space="preserve"> </v>
      </c>
      <c r="C210" s="267" t="str">
        <f t="shared" ca="1" si="14"/>
        <v/>
      </c>
      <c r="D210" s="267"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f>
        <v/>
      </c>
      <c r="BD210" s="261" t="str">
        <f ca="1">IF(AND(A210&lt;=MaxRows,BE210&lt;&gt;"Yes"),'Demand background (hide)'!X201+IF(Setup!$I$15="Yes",'Demand background (hide)'!AJ201,0),"")</f>
        <v/>
      </c>
      <c r="BE210" s="211"/>
    </row>
    <row r="211" spans="1:57" ht="15" x14ac:dyDescent="0.25">
      <c r="A211" t="str">
        <f t="shared" ca="1" si="12"/>
        <v/>
      </c>
      <c r="B211" s="266" t="str">
        <f t="shared" ca="1" si="13"/>
        <v xml:space="preserve"> </v>
      </c>
      <c r="C211" s="267" t="str">
        <f t="shared" ca="1" si="14"/>
        <v/>
      </c>
      <c r="D211" s="267"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f>
        <v/>
      </c>
      <c r="BD211" s="261" t="str">
        <f ca="1">IF(AND(A211&lt;=MaxRows,BE211&lt;&gt;"Yes"),'Demand background (hide)'!X202+IF(Setup!$I$15="Yes",'Demand background (hide)'!AJ202,0),"")</f>
        <v/>
      </c>
      <c r="BE211" s="211"/>
    </row>
    <row r="212" spans="1:57" ht="15" x14ac:dyDescent="0.25">
      <c r="A212" t="str">
        <f t="shared" ca="1" si="12"/>
        <v/>
      </c>
      <c r="B212" s="266" t="str">
        <f t="shared" ca="1" si="13"/>
        <v xml:space="preserve"> </v>
      </c>
      <c r="C212" s="267" t="str">
        <f t="shared" ca="1" si="14"/>
        <v/>
      </c>
      <c r="D212" s="267"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f>
        <v/>
      </c>
      <c r="BD212" s="261" t="str">
        <f ca="1">IF(AND(A212&lt;=MaxRows,BE212&lt;&gt;"Yes"),'Demand background (hide)'!X203+IF(Setup!$I$15="Yes",'Demand background (hide)'!AJ203,0),"")</f>
        <v/>
      </c>
      <c r="BE212" s="211"/>
    </row>
    <row r="213" spans="1:57" ht="15" x14ac:dyDescent="0.25">
      <c r="A213" t="str">
        <f t="shared" ca="1" si="12"/>
        <v/>
      </c>
      <c r="B213" s="266" t="str">
        <f t="shared" ca="1" si="13"/>
        <v xml:space="preserve"> </v>
      </c>
      <c r="C213" s="267" t="str">
        <f t="shared" ca="1" si="14"/>
        <v/>
      </c>
      <c r="D213" s="267"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f>
        <v/>
      </c>
      <c r="BD213" s="261" t="str">
        <f ca="1">IF(AND(A213&lt;=MaxRows,BE213&lt;&gt;"Yes"),'Demand background (hide)'!X204+IF(Setup!$I$15="Yes",'Demand background (hide)'!AJ204,0),"")</f>
        <v/>
      </c>
      <c r="BE213" s="211"/>
    </row>
    <row r="214" spans="1:57" ht="15" x14ac:dyDescent="0.25">
      <c r="A214" t="str">
        <f t="shared" ca="1" si="12"/>
        <v/>
      </c>
      <c r="B214" s="266" t="str">
        <f t="shared" ca="1" si="13"/>
        <v xml:space="preserve"> </v>
      </c>
      <c r="C214" s="267" t="str">
        <f t="shared" ca="1" si="14"/>
        <v/>
      </c>
      <c r="D214" s="267"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f>
        <v/>
      </c>
      <c r="BD214" s="261" t="str">
        <f ca="1">IF(AND(A214&lt;=MaxRows,BE214&lt;&gt;"Yes"),'Demand background (hide)'!X205+IF(Setup!$I$15="Yes",'Demand background (hide)'!AJ205,0),"")</f>
        <v/>
      </c>
      <c r="BE214" s="211"/>
    </row>
    <row r="215" spans="1:57" ht="15" x14ac:dyDescent="0.25">
      <c r="A215" t="str">
        <f t="shared" ca="1" si="12"/>
        <v/>
      </c>
      <c r="B215" s="266" t="str">
        <f t="shared" ca="1" si="13"/>
        <v xml:space="preserve"> </v>
      </c>
      <c r="C215" s="267" t="str">
        <f t="shared" ca="1" si="14"/>
        <v/>
      </c>
      <c r="D215" s="267"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f>
        <v/>
      </c>
      <c r="BD215" s="261" t="str">
        <f ca="1">IF(AND(A215&lt;=MaxRows,BE215&lt;&gt;"Yes"),'Demand background (hide)'!X206+IF(Setup!$I$15="Yes",'Demand background (hide)'!AJ206,0),"")</f>
        <v/>
      </c>
      <c r="BE215" s="211"/>
    </row>
    <row r="216" spans="1:57" ht="15" x14ac:dyDescent="0.25">
      <c r="A216" t="str">
        <f t="shared" ca="1" si="12"/>
        <v/>
      </c>
      <c r="B216" s="266" t="str">
        <f t="shared" ca="1" si="13"/>
        <v xml:space="preserve"> </v>
      </c>
      <c r="C216" s="267" t="str">
        <f t="shared" ca="1" si="14"/>
        <v/>
      </c>
      <c r="D216" s="267"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f>
        <v/>
      </c>
      <c r="BD216" s="261" t="str">
        <f ca="1">IF(AND(A216&lt;=MaxRows,BE216&lt;&gt;"Yes"),'Demand background (hide)'!X207+IF(Setup!$I$15="Yes",'Demand background (hide)'!AJ207,0),"")</f>
        <v/>
      </c>
      <c r="BE216" s="211"/>
    </row>
    <row r="217" spans="1:57" ht="15" x14ac:dyDescent="0.25">
      <c r="A217" t="str">
        <f t="shared" ca="1" si="12"/>
        <v/>
      </c>
      <c r="B217" s="266" t="str">
        <f t="shared" ca="1" si="13"/>
        <v xml:space="preserve"> </v>
      </c>
      <c r="C217" s="267" t="str">
        <f t="shared" ca="1" si="14"/>
        <v/>
      </c>
      <c r="D217" s="267"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f>
        <v/>
      </c>
      <c r="BD217" s="261" t="str">
        <f ca="1">IF(AND(A217&lt;=MaxRows,BE217&lt;&gt;"Yes"),'Demand background (hide)'!X208+IF(Setup!$I$15="Yes",'Demand background (hide)'!AJ208,0),"")</f>
        <v/>
      </c>
      <c r="BE217" s="211"/>
    </row>
    <row r="218" spans="1:57" ht="15" x14ac:dyDescent="0.25">
      <c r="A218" t="str">
        <f t="shared" ca="1" si="12"/>
        <v/>
      </c>
      <c r="B218" s="266" t="str">
        <f t="shared" ca="1" si="13"/>
        <v xml:space="preserve"> </v>
      </c>
      <c r="C218" s="267" t="str">
        <f t="shared" ca="1" si="14"/>
        <v/>
      </c>
      <c r="D218" s="267"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f>
        <v/>
      </c>
      <c r="BD218" s="261" t="str">
        <f ca="1">IF(AND(A218&lt;=MaxRows,BE218&lt;&gt;"Yes"),'Demand background (hide)'!X209+IF(Setup!$I$15="Yes",'Demand background (hide)'!AJ209,0),"")</f>
        <v/>
      </c>
      <c r="BE218" s="211"/>
    </row>
    <row r="219" spans="1:57" ht="15" x14ac:dyDescent="0.25">
      <c r="A219" t="str">
        <f t="shared" ca="1" si="12"/>
        <v/>
      </c>
      <c r="B219" s="266" t="str">
        <f t="shared" ca="1" si="13"/>
        <v xml:space="preserve"> </v>
      </c>
      <c r="C219" s="267" t="str">
        <f t="shared" ca="1" si="14"/>
        <v/>
      </c>
      <c r="D219" s="267"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f>
        <v/>
      </c>
      <c r="BD219" s="261" t="str">
        <f ca="1">IF(AND(A219&lt;=MaxRows,BE219&lt;&gt;"Yes"),'Demand background (hide)'!X210+IF(Setup!$I$15="Yes",'Demand background (hide)'!AJ210,0),"")</f>
        <v/>
      </c>
      <c r="BE219" s="211"/>
    </row>
    <row r="220" spans="1:57" ht="15" x14ac:dyDescent="0.25">
      <c r="A220" t="str">
        <f t="shared" ca="1" si="12"/>
        <v/>
      </c>
      <c r="B220" s="266" t="str">
        <f t="shared" ca="1" si="13"/>
        <v xml:space="preserve"> </v>
      </c>
      <c r="C220" s="267" t="str">
        <f t="shared" ca="1" si="14"/>
        <v/>
      </c>
      <c r="D220" s="267"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f>
        <v/>
      </c>
      <c r="BD220" s="261" t="str">
        <f ca="1">IF(AND(A220&lt;=MaxRows,BE220&lt;&gt;"Yes"),'Demand background (hide)'!X211+IF(Setup!$I$15="Yes",'Demand background (hide)'!AJ211,0),"")</f>
        <v/>
      </c>
      <c r="BE220" s="211"/>
    </row>
    <row r="221" spans="1:57" ht="15" x14ac:dyDescent="0.25">
      <c r="A221" t="str">
        <f t="shared" ca="1" si="12"/>
        <v/>
      </c>
      <c r="B221" s="266" t="str">
        <f t="shared" ca="1" si="13"/>
        <v xml:space="preserve"> </v>
      </c>
      <c r="C221" s="267" t="str">
        <f t="shared" ca="1" si="14"/>
        <v/>
      </c>
      <c r="D221" s="267"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f>
        <v/>
      </c>
      <c r="BD221" s="261" t="str">
        <f ca="1">IF(AND(A221&lt;=MaxRows,BE221&lt;&gt;"Yes"),'Demand background (hide)'!X212+IF(Setup!$I$15="Yes",'Demand background (hide)'!AJ212,0),"")</f>
        <v/>
      </c>
      <c r="BE221" s="211"/>
    </row>
    <row r="222" spans="1:57" ht="15" x14ac:dyDescent="0.25">
      <c r="A222" t="str">
        <f t="shared" ca="1" si="12"/>
        <v/>
      </c>
      <c r="B222" s="266" t="str">
        <f t="shared" ca="1" si="13"/>
        <v xml:space="preserve"> </v>
      </c>
      <c r="C222" s="267" t="str">
        <f t="shared" ca="1" si="14"/>
        <v/>
      </c>
      <c r="D222" s="267"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f>
        <v/>
      </c>
      <c r="BD222" s="261" t="str">
        <f ca="1">IF(AND(A222&lt;=MaxRows,BE222&lt;&gt;"Yes"),'Demand background (hide)'!X213+IF(Setup!$I$15="Yes",'Demand background (hide)'!AJ213,0),"")</f>
        <v/>
      </c>
      <c r="BE222" s="211"/>
    </row>
    <row r="223" spans="1:57" ht="15" x14ac:dyDescent="0.25">
      <c r="A223" t="str">
        <f t="shared" ca="1" si="12"/>
        <v/>
      </c>
      <c r="B223" s="266" t="str">
        <f t="shared" ca="1" si="13"/>
        <v xml:space="preserve"> </v>
      </c>
      <c r="C223" s="267" t="str">
        <f t="shared" ca="1" si="14"/>
        <v/>
      </c>
      <c r="D223" s="267"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f>
        <v/>
      </c>
      <c r="BD223" s="261" t="str">
        <f ca="1">IF(AND(A223&lt;=MaxRows,BE223&lt;&gt;"Yes"),'Demand background (hide)'!X214+IF(Setup!$I$15="Yes",'Demand background (hide)'!AJ214,0),"")</f>
        <v/>
      </c>
      <c r="BE223" s="211"/>
    </row>
    <row r="224" spans="1:57" ht="15" x14ac:dyDescent="0.25">
      <c r="A224" t="str">
        <f t="shared" ca="1" si="12"/>
        <v/>
      </c>
      <c r="B224" s="266" t="str">
        <f t="shared" ca="1" si="13"/>
        <v xml:space="preserve"> </v>
      </c>
      <c r="C224" s="267" t="str">
        <f t="shared" ca="1" si="14"/>
        <v/>
      </c>
      <c r="D224" s="267"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f>
        <v/>
      </c>
      <c r="BD224" s="261" t="str">
        <f ca="1">IF(AND(A224&lt;=MaxRows,BE224&lt;&gt;"Yes"),'Demand background (hide)'!X215+IF(Setup!$I$15="Yes",'Demand background (hide)'!AJ215,0),"")</f>
        <v/>
      </c>
      <c r="BE224" s="211"/>
    </row>
    <row r="225" spans="1:57" ht="15" x14ac:dyDescent="0.25">
      <c r="A225" t="str">
        <f t="shared" ca="1" si="12"/>
        <v/>
      </c>
      <c r="B225" s="266" t="str">
        <f t="shared" ca="1" si="13"/>
        <v xml:space="preserve"> </v>
      </c>
      <c r="C225" s="267" t="str">
        <f t="shared" ca="1" si="14"/>
        <v/>
      </c>
      <c r="D225" s="267"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f>
        <v/>
      </c>
      <c r="BD225" s="261" t="str">
        <f ca="1">IF(AND(A225&lt;=MaxRows,BE225&lt;&gt;"Yes"),'Demand background (hide)'!X216+IF(Setup!$I$15="Yes",'Demand background (hide)'!AJ216,0),"")</f>
        <v/>
      </c>
      <c r="BE225" s="211"/>
    </row>
    <row r="226" spans="1:57" ht="15" x14ac:dyDescent="0.25">
      <c r="A226" t="str">
        <f t="shared" ca="1" si="12"/>
        <v/>
      </c>
      <c r="B226" s="266" t="str">
        <f t="shared" ca="1" si="13"/>
        <v xml:space="preserve"> </v>
      </c>
      <c r="C226" s="267" t="str">
        <f t="shared" ca="1" si="14"/>
        <v/>
      </c>
      <c r="D226" s="267"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f>
        <v/>
      </c>
      <c r="BD226" s="261" t="str">
        <f ca="1">IF(AND(A226&lt;=MaxRows,BE226&lt;&gt;"Yes"),'Demand background (hide)'!X217+IF(Setup!$I$15="Yes",'Demand background (hide)'!AJ217,0),"")</f>
        <v/>
      </c>
      <c r="BE226" s="211"/>
    </row>
    <row r="227" spans="1:57" ht="15" x14ac:dyDescent="0.25">
      <c r="A227" t="str">
        <f t="shared" ca="1" si="12"/>
        <v/>
      </c>
      <c r="B227" s="266" t="str">
        <f t="shared" ca="1" si="13"/>
        <v xml:space="preserve"> </v>
      </c>
      <c r="C227" s="267" t="str">
        <f t="shared" ca="1" si="14"/>
        <v/>
      </c>
      <c r="D227" s="267"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f>
        <v/>
      </c>
      <c r="BD227" s="261" t="str">
        <f ca="1">IF(AND(A227&lt;=MaxRows,BE227&lt;&gt;"Yes"),'Demand background (hide)'!X218+IF(Setup!$I$15="Yes",'Demand background (hide)'!AJ218,0),"")</f>
        <v/>
      </c>
      <c r="BE227" s="211"/>
    </row>
    <row r="228" spans="1:57" ht="15" x14ac:dyDescent="0.25">
      <c r="A228" t="str">
        <f t="shared" ca="1" si="12"/>
        <v/>
      </c>
      <c r="B228" s="266" t="str">
        <f t="shared" ca="1" si="13"/>
        <v xml:space="preserve"> </v>
      </c>
      <c r="C228" s="267" t="str">
        <f t="shared" ca="1" si="14"/>
        <v/>
      </c>
      <c r="D228" s="267"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f>
        <v/>
      </c>
      <c r="BD228" s="261" t="str">
        <f ca="1">IF(AND(A228&lt;=MaxRows,BE228&lt;&gt;"Yes"),'Demand background (hide)'!X219+IF(Setup!$I$15="Yes",'Demand background (hide)'!AJ219,0),"")</f>
        <v/>
      </c>
      <c r="BE228" s="211"/>
    </row>
    <row r="229" spans="1:57" ht="15" x14ac:dyDescent="0.25">
      <c r="A229" t="str">
        <f t="shared" ca="1" si="12"/>
        <v/>
      </c>
      <c r="B229" s="266" t="str">
        <f t="shared" ca="1" si="13"/>
        <v xml:space="preserve"> </v>
      </c>
      <c r="C229" s="267" t="str">
        <f t="shared" ca="1" si="14"/>
        <v/>
      </c>
      <c r="D229" s="267"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f>
        <v/>
      </c>
      <c r="BD229" s="261" t="str">
        <f ca="1">IF(AND(A229&lt;=MaxRows,BE229&lt;&gt;"Yes"),'Demand background (hide)'!X220+IF(Setup!$I$15="Yes",'Demand background (hide)'!AJ220,0),"")</f>
        <v/>
      </c>
      <c r="BE229" s="211"/>
    </row>
    <row r="230" spans="1:57" ht="15" x14ac:dyDescent="0.25">
      <c r="A230" t="str">
        <f t="shared" ca="1" si="12"/>
        <v/>
      </c>
      <c r="B230" s="266" t="str">
        <f t="shared" ca="1" si="13"/>
        <v xml:space="preserve"> </v>
      </c>
      <c r="C230" s="267" t="str">
        <f t="shared" ca="1" si="14"/>
        <v/>
      </c>
      <c r="D230" s="267"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f>
        <v/>
      </c>
      <c r="BD230" s="261" t="str">
        <f ca="1">IF(AND(A230&lt;=MaxRows,BE230&lt;&gt;"Yes"),'Demand background (hide)'!X221+IF(Setup!$I$15="Yes",'Demand background (hide)'!AJ221,0),"")</f>
        <v/>
      </c>
      <c r="BE230" s="211"/>
    </row>
    <row r="231" spans="1:57" ht="15" x14ac:dyDescent="0.25">
      <c r="A231" t="str">
        <f t="shared" ca="1" si="12"/>
        <v/>
      </c>
      <c r="B231" s="266" t="str">
        <f t="shared" ca="1" si="13"/>
        <v xml:space="preserve"> </v>
      </c>
      <c r="C231" s="267" t="str">
        <f t="shared" ca="1" si="14"/>
        <v/>
      </c>
      <c r="D231" s="267"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f>
        <v/>
      </c>
      <c r="BD231" s="261" t="str">
        <f ca="1">IF(AND(A231&lt;=MaxRows,BE231&lt;&gt;"Yes"),'Demand background (hide)'!X222+IF(Setup!$I$15="Yes",'Demand background (hide)'!AJ222,0),"")</f>
        <v/>
      </c>
      <c r="BE231" s="211"/>
    </row>
    <row r="232" spans="1:57" ht="15" x14ac:dyDescent="0.25">
      <c r="A232" t="str">
        <f t="shared" ca="1" si="12"/>
        <v/>
      </c>
      <c r="B232" s="266" t="str">
        <f t="shared" ca="1" si="13"/>
        <v xml:space="preserve"> </v>
      </c>
      <c r="C232" s="267" t="str">
        <f t="shared" ca="1" si="14"/>
        <v/>
      </c>
      <c r="D232" s="267"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f>
        <v/>
      </c>
      <c r="BD232" s="261" t="str">
        <f ca="1">IF(AND(A232&lt;=MaxRows,BE232&lt;&gt;"Yes"),'Demand background (hide)'!X223+IF(Setup!$I$15="Yes",'Demand background (hide)'!AJ223,0),"")</f>
        <v/>
      </c>
      <c r="BE232" s="211"/>
    </row>
    <row r="233" spans="1:57" ht="15" x14ac:dyDescent="0.25">
      <c r="A233" t="str">
        <f t="shared" ca="1" si="12"/>
        <v/>
      </c>
      <c r="B233" s="266" t="str">
        <f t="shared" ca="1" si="13"/>
        <v xml:space="preserve"> </v>
      </c>
      <c r="C233" s="267" t="str">
        <f t="shared" ca="1" si="14"/>
        <v/>
      </c>
      <c r="D233" s="267"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f>
        <v/>
      </c>
      <c r="BD233" s="261" t="str">
        <f ca="1">IF(AND(A233&lt;=MaxRows,BE233&lt;&gt;"Yes"),'Demand background (hide)'!X224+IF(Setup!$I$15="Yes",'Demand background (hide)'!AJ224,0),"")</f>
        <v/>
      </c>
      <c r="BE233" s="211"/>
    </row>
    <row r="234" spans="1:57" ht="15" x14ac:dyDescent="0.25">
      <c r="A234" t="str">
        <f t="shared" ca="1" si="12"/>
        <v/>
      </c>
      <c r="B234" s="266" t="str">
        <f t="shared" ca="1" si="13"/>
        <v xml:space="preserve"> </v>
      </c>
      <c r="C234" s="267" t="str">
        <f t="shared" ca="1" si="14"/>
        <v/>
      </c>
      <c r="D234" s="267"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f>
        <v/>
      </c>
      <c r="BD234" s="261" t="str">
        <f ca="1">IF(AND(A234&lt;=MaxRows,BE234&lt;&gt;"Yes"),'Demand background (hide)'!X225+IF(Setup!$I$15="Yes",'Demand background (hide)'!AJ225,0),"")</f>
        <v/>
      </c>
      <c r="BE234" s="211"/>
    </row>
    <row r="235" spans="1:57" ht="15" x14ac:dyDescent="0.25">
      <c r="A235" t="str">
        <f t="shared" ca="1" si="12"/>
        <v/>
      </c>
      <c r="B235" s="266" t="str">
        <f t="shared" ca="1" si="13"/>
        <v xml:space="preserve"> </v>
      </c>
      <c r="C235" s="267" t="str">
        <f t="shared" ca="1" si="14"/>
        <v/>
      </c>
      <c r="D235" s="267"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f>
        <v/>
      </c>
      <c r="BD235" s="261" t="str">
        <f ca="1">IF(AND(A235&lt;=MaxRows,BE235&lt;&gt;"Yes"),'Demand background (hide)'!X226+IF(Setup!$I$15="Yes",'Demand background (hide)'!AJ226,0),"")</f>
        <v/>
      </c>
      <c r="BE235" s="211"/>
    </row>
    <row r="236" spans="1:57" ht="15" x14ac:dyDescent="0.25">
      <c r="A236" t="str">
        <f t="shared" ca="1" si="12"/>
        <v/>
      </c>
      <c r="B236" s="266" t="str">
        <f t="shared" ca="1" si="13"/>
        <v xml:space="preserve"> </v>
      </c>
      <c r="C236" s="267" t="str">
        <f t="shared" ca="1" si="14"/>
        <v/>
      </c>
      <c r="D236" s="267"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f>
        <v/>
      </c>
      <c r="BD236" s="261" t="str">
        <f ca="1">IF(AND(A236&lt;=MaxRows,BE236&lt;&gt;"Yes"),'Demand background (hide)'!X227+IF(Setup!$I$15="Yes",'Demand background (hide)'!AJ227,0),"")</f>
        <v/>
      </c>
      <c r="BE236" s="211"/>
    </row>
    <row r="237" spans="1:57" ht="15" x14ac:dyDescent="0.25">
      <c r="A237" t="str">
        <f t="shared" ca="1" si="12"/>
        <v/>
      </c>
      <c r="B237" s="266" t="str">
        <f t="shared" ca="1" si="13"/>
        <v xml:space="preserve"> </v>
      </c>
      <c r="C237" s="267" t="str">
        <f t="shared" ca="1" si="14"/>
        <v/>
      </c>
      <c r="D237" s="267"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f>
        <v/>
      </c>
      <c r="BD237" s="261" t="str">
        <f ca="1">IF(AND(A237&lt;=MaxRows,BE237&lt;&gt;"Yes"),'Demand background (hide)'!X228+IF(Setup!$I$15="Yes",'Demand background (hide)'!AJ228,0),"")</f>
        <v/>
      </c>
      <c r="BE237" s="211"/>
    </row>
    <row r="238" spans="1:57" ht="15" x14ac:dyDescent="0.25">
      <c r="A238" t="str">
        <f t="shared" ca="1" si="12"/>
        <v/>
      </c>
      <c r="B238" s="266" t="str">
        <f t="shared" ca="1" si="13"/>
        <v xml:space="preserve"> </v>
      </c>
      <c r="C238" s="267" t="str">
        <f t="shared" ca="1" si="14"/>
        <v/>
      </c>
      <c r="D238" s="267"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f>
        <v/>
      </c>
      <c r="BD238" s="261" t="str">
        <f ca="1">IF(AND(A238&lt;=MaxRows,BE238&lt;&gt;"Yes"),'Demand background (hide)'!X229+IF(Setup!$I$15="Yes",'Demand background (hide)'!AJ229,0),"")</f>
        <v/>
      </c>
      <c r="BE238" s="211"/>
    </row>
    <row r="239" spans="1:57" ht="15" x14ac:dyDescent="0.25">
      <c r="A239" t="str">
        <f t="shared" ca="1" si="12"/>
        <v/>
      </c>
      <c r="B239" s="266" t="str">
        <f t="shared" ca="1" si="13"/>
        <v xml:space="preserve"> </v>
      </c>
      <c r="C239" s="267" t="str">
        <f t="shared" ca="1" si="14"/>
        <v/>
      </c>
      <c r="D239" s="267"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f>
        <v/>
      </c>
      <c r="BD239" s="261" t="str">
        <f ca="1">IF(AND(A239&lt;=MaxRows,BE239&lt;&gt;"Yes"),'Demand background (hide)'!X230+IF(Setup!$I$15="Yes",'Demand background (hide)'!AJ230,0),"")</f>
        <v/>
      </c>
      <c r="BE239" s="211"/>
    </row>
    <row r="240" spans="1:57" ht="15" x14ac:dyDescent="0.25">
      <c r="A240" t="str">
        <f t="shared" ca="1" si="12"/>
        <v/>
      </c>
      <c r="B240" s="266" t="str">
        <f t="shared" ca="1" si="13"/>
        <v xml:space="preserve"> </v>
      </c>
      <c r="C240" s="267" t="str">
        <f t="shared" ca="1" si="14"/>
        <v/>
      </c>
      <c r="D240" s="267"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f>
        <v/>
      </c>
      <c r="BD240" s="261" t="str">
        <f ca="1">IF(AND(A240&lt;=MaxRows,BE240&lt;&gt;"Yes"),'Demand background (hide)'!X231+IF(Setup!$I$15="Yes",'Demand background (hide)'!AJ231,0),"")</f>
        <v/>
      </c>
      <c r="BE240" s="211"/>
    </row>
    <row r="241" spans="1:57" ht="15" x14ac:dyDescent="0.25">
      <c r="A241" t="str">
        <f t="shared" ca="1" si="12"/>
        <v/>
      </c>
      <c r="B241" s="266" t="str">
        <f t="shared" ca="1" si="13"/>
        <v xml:space="preserve"> </v>
      </c>
      <c r="C241" s="267" t="str">
        <f t="shared" ca="1" si="14"/>
        <v/>
      </c>
      <c r="D241" s="267"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f>
        <v/>
      </c>
      <c r="BD241" s="261" t="str">
        <f ca="1">IF(AND(A241&lt;=MaxRows,BE241&lt;&gt;"Yes"),'Demand background (hide)'!X232+IF(Setup!$I$15="Yes",'Demand background (hide)'!AJ232,0),"")</f>
        <v/>
      </c>
      <c r="BE241" s="211"/>
    </row>
    <row r="242" spans="1:57" ht="15" x14ac:dyDescent="0.25">
      <c r="A242" t="str">
        <f t="shared" ca="1" si="12"/>
        <v/>
      </c>
      <c r="B242" s="266" t="str">
        <f t="shared" ca="1" si="13"/>
        <v xml:space="preserve"> </v>
      </c>
      <c r="C242" s="267" t="str">
        <f t="shared" ca="1" si="14"/>
        <v/>
      </c>
      <c r="D242" s="267"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f>
        <v/>
      </c>
      <c r="BD242" s="261" t="str">
        <f ca="1">IF(AND(A242&lt;=MaxRows,BE242&lt;&gt;"Yes"),'Demand background (hide)'!X233+IF(Setup!$I$15="Yes",'Demand background (hide)'!AJ233,0),"")</f>
        <v/>
      </c>
      <c r="BE242" s="211"/>
    </row>
    <row r="243" spans="1:57" ht="15" x14ac:dyDescent="0.25">
      <c r="A243" t="str">
        <f t="shared" ca="1" si="12"/>
        <v/>
      </c>
      <c r="B243" s="266" t="str">
        <f t="shared" ca="1" si="13"/>
        <v xml:space="preserve"> </v>
      </c>
      <c r="C243" s="267" t="str">
        <f t="shared" ca="1" si="14"/>
        <v/>
      </c>
      <c r="D243" s="267"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f>
        <v/>
      </c>
      <c r="BD243" s="261" t="str">
        <f ca="1">IF(AND(A243&lt;=MaxRows,BE243&lt;&gt;"Yes"),'Demand background (hide)'!X234+IF(Setup!$I$15="Yes",'Demand background (hide)'!AJ234,0),"")</f>
        <v/>
      </c>
      <c r="BE243" s="211"/>
    </row>
    <row r="244" spans="1:57" ht="15" x14ac:dyDescent="0.25">
      <c r="A244" t="str">
        <f t="shared" ca="1" si="12"/>
        <v/>
      </c>
      <c r="B244" s="266" t="str">
        <f t="shared" ca="1" si="13"/>
        <v xml:space="preserve"> </v>
      </c>
      <c r="C244" s="267" t="str">
        <f t="shared" ca="1" si="14"/>
        <v/>
      </c>
      <c r="D244" s="267"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f>
        <v/>
      </c>
      <c r="BD244" s="261" t="str">
        <f ca="1">IF(AND(A244&lt;=MaxRows,BE244&lt;&gt;"Yes"),'Demand background (hide)'!X235+IF(Setup!$I$15="Yes",'Demand background (hide)'!AJ235,0),"")</f>
        <v/>
      </c>
      <c r="BE244" s="211"/>
    </row>
    <row r="245" spans="1:57" ht="15" x14ac:dyDescent="0.25">
      <c r="A245" t="str">
        <f t="shared" ca="1" si="12"/>
        <v/>
      </c>
      <c r="B245" s="266" t="str">
        <f t="shared" ca="1" si="13"/>
        <v xml:space="preserve"> </v>
      </c>
      <c r="C245" s="267" t="str">
        <f t="shared" ca="1" si="14"/>
        <v/>
      </c>
      <c r="D245" s="267"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f>
        <v/>
      </c>
      <c r="BD245" s="261" t="str">
        <f ca="1">IF(AND(A245&lt;=MaxRows,BE245&lt;&gt;"Yes"),'Demand background (hide)'!X236+IF(Setup!$I$15="Yes",'Demand background (hide)'!AJ236,0),"")</f>
        <v/>
      </c>
      <c r="BE245" s="211"/>
    </row>
    <row r="246" spans="1:57" ht="15" x14ac:dyDescent="0.25">
      <c r="A246" t="str">
        <f t="shared" ca="1" si="12"/>
        <v/>
      </c>
      <c r="B246" s="266" t="str">
        <f t="shared" ca="1" si="13"/>
        <v xml:space="preserve"> </v>
      </c>
      <c r="C246" s="267" t="str">
        <f t="shared" ca="1" si="14"/>
        <v/>
      </c>
      <c r="D246" s="267"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f>
        <v/>
      </c>
      <c r="BD246" s="261" t="str">
        <f ca="1">IF(AND(A246&lt;=MaxRows,BE246&lt;&gt;"Yes"),'Demand background (hide)'!X237+IF(Setup!$I$15="Yes",'Demand background (hide)'!AJ237,0),"")</f>
        <v/>
      </c>
      <c r="BE246" s="211"/>
    </row>
    <row r="247" spans="1:57" ht="15" x14ac:dyDescent="0.25">
      <c r="A247" t="str">
        <f t="shared" ca="1" si="12"/>
        <v/>
      </c>
      <c r="B247" s="266" t="str">
        <f t="shared" ca="1" si="13"/>
        <v xml:space="preserve"> </v>
      </c>
      <c r="C247" s="267" t="str">
        <f t="shared" ca="1" si="14"/>
        <v/>
      </c>
      <c r="D247" s="267"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f>
        <v/>
      </c>
      <c r="BD247" s="261" t="str">
        <f ca="1">IF(AND(A247&lt;=MaxRows,BE247&lt;&gt;"Yes"),'Demand background (hide)'!X238+IF(Setup!$I$15="Yes",'Demand background (hide)'!AJ238,0),"")</f>
        <v/>
      </c>
      <c r="BE247" s="211"/>
    </row>
    <row r="248" spans="1:57" ht="15" x14ac:dyDescent="0.25">
      <c r="A248" t="str">
        <f t="shared" ca="1" si="12"/>
        <v/>
      </c>
      <c r="B248" s="266" t="str">
        <f t="shared" ca="1" si="13"/>
        <v xml:space="preserve"> </v>
      </c>
      <c r="C248" s="267" t="str">
        <f t="shared" ca="1" si="14"/>
        <v/>
      </c>
      <c r="D248" s="267"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f>
        <v/>
      </c>
      <c r="BD248" s="261" t="str">
        <f ca="1">IF(AND(A248&lt;=MaxRows,BE248&lt;&gt;"Yes"),'Demand background (hide)'!X239+IF(Setup!$I$15="Yes",'Demand background (hide)'!AJ239,0),"")</f>
        <v/>
      </c>
      <c r="BE248" s="211"/>
    </row>
    <row r="249" spans="1:57" ht="15" x14ac:dyDescent="0.25">
      <c r="A249" t="str">
        <f t="shared" ca="1" si="12"/>
        <v/>
      </c>
      <c r="B249" s="266" t="str">
        <f t="shared" ca="1" si="13"/>
        <v xml:space="preserve"> </v>
      </c>
      <c r="C249" s="267" t="str">
        <f t="shared" ca="1" si="14"/>
        <v/>
      </c>
      <c r="D249" s="267"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f>
        <v/>
      </c>
      <c r="BD249" s="261" t="str">
        <f ca="1">IF(AND(A249&lt;=MaxRows,BE249&lt;&gt;"Yes"),'Demand background (hide)'!X240+IF(Setup!$I$15="Yes",'Demand background (hide)'!AJ240,0),"")</f>
        <v/>
      </c>
      <c r="BE249" s="211"/>
    </row>
    <row r="250" spans="1:57" ht="15" x14ac:dyDescent="0.25">
      <c r="A250" t="str">
        <f t="shared" ca="1" si="12"/>
        <v/>
      </c>
      <c r="B250" s="266" t="str">
        <f t="shared" ca="1" si="13"/>
        <v xml:space="preserve"> </v>
      </c>
      <c r="C250" s="267" t="str">
        <f t="shared" ca="1" si="14"/>
        <v/>
      </c>
      <c r="D250" s="267"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f>
        <v/>
      </c>
      <c r="BD250" s="261" t="str">
        <f ca="1">IF(AND(A250&lt;=MaxRows,BE250&lt;&gt;"Yes"),'Demand background (hide)'!X241+IF(Setup!$I$15="Yes",'Demand background (hide)'!AJ241,0),"")</f>
        <v/>
      </c>
      <c r="BE250" s="211"/>
    </row>
    <row r="251" spans="1:57" ht="15" x14ac:dyDescent="0.25">
      <c r="A251" t="str">
        <f t="shared" ca="1" si="12"/>
        <v/>
      </c>
      <c r="B251" s="266" t="str">
        <f t="shared" ca="1" si="13"/>
        <v xml:space="preserve"> </v>
      </c>
      <c r="C251" s="267" t="str">
        <f t="shared" ca="1" si="14"/>
        <v/>
      </c>
      <c r="D251" s="267"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f>
        <v/>
      </c>
      <c r="BD251" s="261" t="str">
        <f ca="1">IF(AND(A251&lt;=MaxRows,BE251&lt;&gt;"Yes"),'Demand background (hide)'!X242+IF(Setup!$I$15="Yes",'Demand background (hide)'!AJ242,0),"")</f>
        <v/>
      </c>
      <c r="BE251" s="211"/>
    </row>
    <row r="252" spans="1:57" ht="15" x14ac:dyDescent="0.25">
      <c r="A252" t="str">
        <f t="shared" ca="1" si="12"/>
        <v/>
      </c>
      <c r="B252" s="266" t="str">
        <f t="shared" ca="1" si="13"/>
        <v xml:space="preserve"> </v>
      </c>
      <c r="C252" s="267" t="str">
        <f t="shared" ca="1" si="14"/>
        <v/>
      </c>
      <c r="D252" s="267"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f>
        <v/>
      </c>
      <c r="BD252" s="261" t="str">
        <f ca="1">IF(AND(A252&lt;=MaxRows,BE252&lt;&gt;"Yes"),'Demand background (hide)'!X243+IF(Setup!$I$15="Yes",'Demand background (hide)'!AJ243,0),"")</f>
        <v/>
      </c>
      <c r="BE252" s="211"/>
    </row>
    <row r="253" spans="1:57" ht="15" x14ac:dyDescent="0.25">
      <c r="A253" t="str">
        <f t="shared" ca="1" si="12"/>
        <v/>
      </c>
      <c r="B253" s="266" t="str">
        <f t="shared" ca="1" si="13"/>
        <v xml:space="preserve"> </v>
      </c>
      <c r="C253" s="267" t="str">
        <f t="shared" ca="1" si="14"/>
        <v/>
      </c>
      <c r="D253" s="267"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f>
        <v/>
      </c>
      <c r="BD253" s="261" t="str">
        <f ca="1">IF(AND(A253&lt;=MaxRows,BE253&lt;&gt;"Yes"),'Demand background (hide)'!X244+IF(Setup!$I$15="Yes",'Demand background (hide)'!AJ244,0),"")</f>
        <v/>
      </c>
      <c r="BE253" s="211"/>
    </row>
    <row r="254" spans="1:57" ht="15" x14ac:dyDescent="0.25">
      <c r="A254" t="str">
        <f t="shared" ca="1" si="12"/>
        <v/>
      </c>
      <c r="B254" s="266" t="str">
        <f t="shared" ca="1" si="13"/>
        <v xml:space="preserve"> </v>
      </c>
      <c r="C254" s="267" t="str">
        <f t="shared" ca="1" si="14"/>
        <v/>
      </c>
      <c r="D254" s="267"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f>
        <v/>
      </c>
      <c r="BD254" s="261" t="str">
        <f ca="1">IF(AND(A254&lt;=MaxRows,BE254&lt;&gt;"Yes"),'Demand background (hide)'!X245+IF(Setup!$I$15="Yes",'Demand background (hide)'!AJ245,0),"")</f>
        <v/>
      </c>
      <c r="BE254" s="211"/>
    </row>
    <row r="255" spans="1:57" ht="15" x14ac:dyDescent="0.25">
      <c r="A255" t="str">
        <f t="shared" ca="1" si="12"/>
        <v/>
      </c>
      <c r="B255" s="266" t="str">
        <f t="shared" ca="1" si="13"/>
        <v xml:space="preserve"> </v>
      </c>
      <c r="C255" s="267" t="str">
        <f t="shared" ca="1" si="14"/>
        <v/>
      </c>
      <c r="D255" s="267"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f>
        <v/>
      </c>
      <c r="BD255" s="261" t="str">
        <f ca="1">IF(AND(A255&lt;=MaxRows,BE255&lt;&gt;"Yes"),'Demand background (hide)'!X246+IF(Setup!$I$15="Yes",'Demand background (hide)'!AJ246,0),"")</f>
        <v/>
      </c>
      <c r="BE255" s="211"/>
    </row>
    <row r="256" spans="1:57" ht="15" x14ac:dyDescent="0.25">
      <c r="A256" t="str">
        <f t="shared" ca="1" si="12"/>
        <v/>
      </c>
      <c r="B256" s="266" t="str">
        <f t="shared" ca="1" si="13"/>
        <v xml:space="preserve"> </v>
      </c>
      <c r="C256" s="267" t="str">
        <f t="shared" ca="1" si="14"/>
        <v/>
      </c>
      <c r="D256" s="267"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f>
        <v/>
      </c>
      <c r="BD256" s="261" t="str">
        <f ca="1">IF(AND(A256&lt;=MaxRows,BE256&lt;&gt;"Yes"),'Demand background (hide)'!X247+IF(Setup!$I$15="Yes",'Demand background (hide)'!AJ247,0),"")</f>
        <v/>
      </c>
      <c r="BE256" s="211"/>
    </row>
    <row r="257" spans="1:57" ht="15" x14ac:dyDescent="0.25">
      <c r="A257" t="str">
        <f t="shared" ca="1" si="12"/>
        <v/>
      </c>
      <c r="B257" s="266" t="str">
        <f t="shared" ca="1" si="13"/>
        <v xml:space="preserve"> </v>
      </c>
      <c r="C257" s="267" t="str">
        <f t="shared" ca="1" si="14"/>
        <v/>
      </c>
      <c r="D257" s="267"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f>
        <v/>
      </c>
      <c r="BD257" s="261" t="str">
        <f ca="1">IF(AND(A257&lt;=MaxRows,BE257&lt;&gt;"Yes"),'Demand background (hide)'!X248+IF(Setup!$I$15="Yes",'Demand background (hide)'!AJ248,0),"")</f>
        <v/>
      </c>
      <c r="BE257" s="211"/>
    </row>
    <row r="258" spans="1:57" ht="15" x14ac:dyDescent="0.25">
      <c r="A258" t="str">
        <f t="shared" ca="1" si="12"/>
        <v/>
      </c>
      <c r="B258" s="266" t="str">
        <f t="shared" ca="1" si="13"/>
        <v xml:space="preserve"> </v>
      </c>
      <c r="C258" s="267" t="str">
        <f t="shared" ca="1" si="14"/>
        <v/>
      </c>
      <c r="D258" s="267"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f>
        <v/>
      </c>
      <c r="BD258" s="261" t="str">
        <f ca="1">IF(AND(A258&lt;=MaxRows,BE258&lt;&gt;"Yes"),'Demand background (hide)'!X249+IF(Setup!$I$15="Yes",'Demand background (hide)'!AJ249,0),"")</f>
        <v/>
      </c>
      <c r="BE258" s="211"/>
    </row>
    <row r="259" spans="1:57" ht="15" x14ac:dyDescent="0.25">
      <c r="A259" t="str">
        <f t="shared" ca="1" si="12"/>
        <v/>
      </c>
      <c r="B259" s="266" t="str">
        <f t="shared" ca="1" si="13"/>
        <v xml:space="preserve"> </v>
      </c>
      <c r="C259" s="267" t="str">
        <f t="shared" ca="1" si="14"/>
        <v/>
      </c>
      <c r="D259" s="267"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f>
        <v/>
      </c>
      <c r="BD259" s="261" t="str">
        <f ca="1">IF(AND(A259&lt;=MaxRows,BE259&lt;&gt;"Yes"),'Demand background (hide)'!X250+IF(Setup!$I$15="Yes",'Demand background (hide)'!AJ250,0),"")</f>
        <v/>
      </c>
      <c r="BE259" s="211"/>
    </row>
    <row r="260" spans="1:57" ht="15" x14ac:dyDescent="0.25">
      <c r="A260" t="str">
        <f t="shared" ca="1" si="12"/>
        <v/>
      </c>
      <c r="B260" s="266" t="str">
        <f t="shared" ca="1" si="13"/>
        <v xml:space="preserve"> </v>
      </c>
      <c r="C260" s="267" t="str">
        <f t="shared" ca="1" si="14"/>
        <v/>
      </c>
      <c r="D260" s="267"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f>
        <v/>
      </c>
      <c r="BD260" s="261" t="str">
        <f ca="1">IF(AND(A260&lt;=MaxRows,BE260&lt;&gt;"Yes"),'Demand background (hide)'!X251+IF(Setup!$I$15="Yes",'Demand background (hide)'!AJ251,0),"")</f>
        <v/>
      </c>
      <c r="BE260" s="211"/>
    </row>
    <row r="261" spans="1:57" ht="15" x14ac:dyDescent="0.25">
      <c r="A261" t="str">
        <f t="shared" ca="1" si="12"/>
        <v/>
      </c>
      <c r="B261" s="266" t="str">
        <f t="shared" ca="1" si="13"/>
        <v xml:space="preserve"> </v>
      </c>
      <c r="C261" s="267" t="str">
        <f t="shared" ca="1" si="14"/>
        <v/>
      </c>
      <c r="D261" s="267"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f>
        <v/>
      </c>
      <c r="BD261" s="261" t="str">
        <f ca="1">IF(AND(A261&lt;=MaxRows,BE261&lt;&gt;"Yes"),'Demand background (hide)'!X252+IF(Setup!$I$15="Yes",'Demand background (hide)'!AJ252,0),"")</f>
        <v/>
      </c>
      <c r="BE261" s="211"/>
    </row>
    <row r="262" spans="1:57" ht="15" x14ac:dyDescent="0.25">
      <c r="A262" t="str">
        <f t="shared" ca="1" si="12"/>
        <v/>
      </c>
      <c r="B262" s="266" t="str">
        <f t="shared" ca="1" si="13"/>
        <v xml:space="preserve"> </v>
      </c>
      <c r="C262" s="267" t="str">
        <f t="shared" ca="1" si="14"/>
        <v/>
      </c>
      <c r="D262" s="267"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f>
        <v/>
      </c>
      <c r="BD262" s="261" t="str">
        <f ca="1">IF(AND(A262&lt;=MaxRows,BE262&lt;&gt;"Yes"),'Demand background (hide)'!X253+IF(Setup!$I$15="Yes",'Demand background (hide)'!AJ253,0),"")</f>
        <v/>
      </c>
      <c r="BE262" s="211"/>
    </row>
    <row r="263" spans="1:57" ht="15" x14ac:dyDescent="0.25">
      <c r="A263" t="str">
        <f t="shared" ca="1" si="12"/>
        <v/>
      </c>
      <c r="B263" s="266" t="str">
        <f t="shared" ca="1" si="13"/>
        <v xml:space="preserve"> </v>
      </c>
      <c r="C263" s="267" t="str">
        <f t="shared" ca="1" si="14"/>
        <v/>
      </c>
      <c r="D263" s="267"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f>
        <v/>
      </c>
      <c r="BD263" s="261" t="str">
        <f ca="1">IF(AND(A263&lt;=MaxRows,BE263&lt;&gt;"Yes"),'Demand background (hide)'!X254+IF(Setup!$I$15="Yes",'Demand background (hide)'!AJ254,0),"")</f>
        <v/>
      </c>
      <c r="BE263" s="211"/>
    </row>
    <row r="264" spans="1:57" ht="15" x14ac:dyDescent="0.25">
      <c r="A264" t="str">
        <f t="shared" ca="1" si="12"/>
        <v/>
      </c>
      <c r="B264" s="266" t="str">
        <f t="shared" ca="1" si="13"/>
        <v xml:space="preserve"> </v>
      </c>
      <c r="C264" s="267" t="str">
        <f t="shared" ca="1" si="14"/>
        <v/>
      </c>
      <c r="D264" s="267"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f>
        <v/>
      </c>
      <c r="BD264" s="261" t="str">
        <f ca="1">IF(AND(A264&lt;=MaxRows,BE264&lt;&gt;"Yes"),'Demand background (hide)'!X255+IF(Setup!$I$15="Yes",'Demand background (hide)'!AJ255,0),"")</f>
        <v/>
      </c>
      <c r="BE264" s="211"/>
    </row>
    <row r="265" spans="1:57" ht="15" x14ac:dyDescent="0.25">
      <c r="A265" t="str">
        <f t="shared" ca="1" si="12"/>
        <v/>
      </c>
      <c r="B265" s="266" t="str">
        <f t="shared" ca="1" si="13"/>
        <v xml:space="preserve"> </v>
      </c>
      <c r="C265" s="267" t="str">
        <f t="shared" ca="1" si="14"/>
        <v/>
      </c>
      <c r="D265" s="267"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f>
        <v/>
      </c>
      <c r="BD265" s="261" t="str">
        <f ca="1">IF(AND(A265&lt;=MaxRows,BE265&lt;&gt;"Yes"),'Demand background (hide)'!X256+IF(Setup!$I$15="Yes",'Demand background (hide)'!AJ256,0),"")</f>
        <v/>
      </c>
      <c r="BE265" s="211"/>
    </row>
    <row r="266" spans="1:57" ht="15" x14ac:dyDescent="0.25">
      <c r="A266" t="str">
        <f t="shared" ca="1" si="12"/>
        <v/>
      </c>
      <c r="B266" s="266" t="str">
        <f t="shared" ca="1" si="13"/>
        <v xml:space="preserve"> </v>
      </c>
      <c r="C266" s="267" t="str">
        <f t="shared" ca="1" si="14"/>
        <v/>
      </c>
      <c r="D266" s="267"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f>
        <v/>
      </c>
      <c r="BD266" s="261" t="str">
        <f ca="1">IF(AND(A266&lt;=MaxRows,BE266&lt;&gt;"Yes"),'Demand background (hide)'!X257+IF(Setup!$I$15="Yes",'Demand background (hide)'!AJ257,0),"")</f>
        <v/>
      </c>
      <c r="BE266" s="211"/>
    </row>
    <row r="267" spans="1:57" ht="15" x14ac:dyDescent="0.25">
      <c r="A267" t="str">
        <f t="shared" ca="1" si="12"/>
        <v/>
      </c>
      <c r="B267" s="266" t="str">
        <f t="shared" ca="1" si="13"/>
        <v xml:space="preserve"> </v>
      </c>
      <c r="C267" s="267" t="str">
        <f t="shared" ca="1" si="14"/>
        <v/>
      </c>
      <c r="D267" s="267"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f>
        <v/>
      </c>
      <c r="BD267" s="261" t="str">
        <f ca="1">IF(AND(A267&lt;=MaxRows,BE267&lt;&gt;"Yes"),'Demand background (hide)'!X258+IF(Setup!$I$15="Yes",'Demand background (hide)'!AJ258,0),"")</f>
        <v/>
      </c>
      <c r="BE267" s="211"/>
    </row>
    <row r="268" spans="1:57" ht="15" x14ac:dyDescent="0.25">
      <c r="A268" t="str">
        <f t="shared" ca="1" si="12"/>
        <v/>
      </c>
      <c r="B268" s="266" t="str">
        <f t="shared" ca="1" si="13"/>
        <v xml:space="preserve"> </v>
      </c>
      <c r="C268" s="267" t="str">
        <f t="shared" ca="1" si="14"/>
        <v/>
      </c>
      <c r="D268" s="267"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f>
        <v/>
      </c>
      <c r="BD268" s="261" t="str">
        <f ca="1">IF(AND(A268&lt;=MaxRows,BE268&lt;&gt;"Yes"),'Demand background (hide)'!X259+IF(Setup!$I$15="Yes",'Demand background (hide)'!AJ259,0),"")</f>
        <v/>
      </c>
      <c r="BE268" s="211"/>
    </row>
    <row r="269" spans="1:57" ht="15" x14ac:dyDescent="0.25">
      <c r="A269" t="str">
        <f t="shared" ref="A269:A272" ca="1" si="16">IF(BC269&lt;&gt;"",ROW(A257),"")</f>
        <v/>
      </c>
      <c r="B269" s="266" t="str">
        <f t="shared" ca="1" si="13"/>
        <v xml:space="preserve"> </v>
      </c>
      <c r="C269" s="267" t="str">
        <f t="shared" ca="1" si="14"/>
        <v/>
      </c>
      <c r="D269" s="267"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f>
        <v/>
      </c>
      <c r="BD269" s="261" t="str">
        <f ca="1">IF(AND(A269&lt;=MaxRows,BE269&lt;&gt;"Yes"),'Demand background (hide)'!X260+IF(Setup!$I$15="Yes",'Demand background (hide)'!AJ260,0),"")</f>
        <v/>
      </c>
      <c r="BE269" s="211"/>
    </row>
    <row r="270" spans="1:57" ht="15" x14ac:dyDescent="0.2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267"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f>
        <v/>
      </c>
      <c r="BD270" s="261" t="str">
        <f ca="1">IF(AND(A270&lt;=MaxRows,BE270&lt;&gt;"Yes"),'Demand background (hide)'!X261+IF(Setup!$I$15="Yes",'Demand background (hide)'!AJ261,0),"")</f>
        <v/>
      </c>
      <c r="BE270" s="211"/>
    </row>
    <row r="271" spans="1:57" ht="15" x14ac:dyDescent="0.25">
      <c r="A271" t="str">
        <f t="shared" ca="1" si="16"/>
        <v/>
      </c>
      <c r="B271" s="266" t="str">
        <f t="shared" ca="1" si="17"/>
        <v xml:space="preserve"> </v>
      </c>
      <c r="C271" s="267" t="str">
        <f t="shared" ca="1" si="18"/>
        <v/>
      </c>
      <c r="D271" s="267"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f>
        <v/>
      </c>
      <c r="BD271" s="261" t="str">
        <f ca="1">IF(AND(A271&lt;=MaxRows,BE271&lt;&gt;"Yes"),'Demand background (hide)'!X262+IF(Setup!$I$15="Yes",'Demand background (hide)'!AJ262,0),"")</f>
        <v/>
      </c>
      <c r="BE271" s="211"/>
    </row>
    <row r="272" spans="1:57" ht="15" x14ac:dyDescent="0.25">
      <c r="A272" t="str">
        <f t="shared" ca="1" si="16"/>
        <v/>
      </c>
      <c r="B272" s="266" t="str">
        <f t="shared" ca="1" si="17"/>
        <v xml:space="preserve"> </v>
      </c>
      <c r="C272" s="267" t="str">
        <f t="shared" ca="1" si="18"/>
        <v/>
      </c>
      <c r="D272" s="267"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f>
        <v/>
      </c>
      <c r="BD272" s="261" t="str">
        <f ca="1">IF(AND(A272&lt;=MaxRows,BE272&lt;&gt;"Yes"),'Demand background (hide)'!X263+IF(Setup!$I$15="Yes",'Demand background (hide)'!AJ263,0),"")</f>
        <v/>
      </c>
      <c r="BE272" s="211"/>
    </row>
  </sheetData>
  <sheetProtection algorithmName="SHA-512" hashValue="N4rjPDqlFwhZtUlghvLrvtFqhidVgh0U3iensIjbadMDbPOadshtGJRg3ClUHbChyq5vGJZefUD7CWKdezKsQQ==" saltValue="zFFRLTzZWZ0ymXulHTKK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defaultRowHeight="14.25" x14ac:dyDescent="0.2"/>
  <cols>
    <col min="1" max="11" width="11.25" customWidth="1"/>
    <col min="14" max="18" width="9.375" bestFit="1" customWidth="1"/>
    <col min="19" max="19" width="9" customWidth="1"/>
    <col min="20" max="24" width="9.375" bestFit="1" customWidth="1"/>
    <col min="38" max="38" width="16.625" customWidth="1"/>
    <col min="39" max="39" width="10.25" bestFit="1" customWidth="1"/>
    <col min="40" max="41" width="10.25" customWidth="1"/>
    <col min="42" max="42" width="10.25" style="37" customWidth="1"/>
    <col min="43" max="45" width="10.25" customWidth="1"/>
    <col min="46" max="46" width="12.375" bestFit="1" customWidth="1"/>
    <col min="103" max="103" width="10.125" customWidth="1"/>
  </cols>
  <sheetData>
    <row r="1" spans="1:114" x14ac:dyDescent="0.2">
      <c r="B1" t="s">
        <v>63</v>
      </c>
      <c r="M1" t="s">
        <v>66</v>
      </c>
      <c r="N1" t="str">
        <f>"Modifier: "&amp;Setup!$I$17</f>
        <v>Modifier: Patients</v>
      </c>
      <c r="Z1" t="s">
        <v>67</v>
      </c>
      <c r="AL1" t="s">
        <v>287</v>
      </c>
      <c r="AP1" s="37" t="s">
        <v>131</v>
      </c>
      <c r="BQ1" t="s">
        <v>435</v>
      </c>
      <c r="CV1" t="s">
        <v>217</v>
      </c>
      <c r="CW1" t="s">
        <v>218</v>
      </c>
    </row>
    <row r="2" spans="1:114" x14ac:dyDescent="0.2">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2">
      <c r="A3" t="s">
        <v>64</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0</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2">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7">
        <f>Demand!B13</f>
        <v>1</v>
      </c>
      <c r="AQ4" s="5" t="str">
        <f>TEXT(Demand!D13,"MMM")</f>
        <v/>
      </c>
      <c r="AV4" s="5" t="s">
        <v>73</v>
      </c>
      <c r="AW4" s="45" t="e">
        <f ca="1">AVERAGE(OFFSET($AT$4,'SPC background (hide)'!$C$4-1,0,'SPC background (hide)'!$H$5,1))</f>
        <v>#DIV/0!</v>
      </c>
      <c r="BB4"/>
      <c r="BC4"/>
      <c r="BD4"/>
      <c r="BE4"/>
      <c r="BF4" t="s">
        <v>201</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2">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0</v>
      </c>
      <c r="AM5" s="5">
        <f t="shared" ref="AM5:AM68" ca="1" si="8">IF(AN5&lt;&gt;"","",AJ5)</f>
        <v>0</v>
      </c>
      <c r="AN5" s="5" t="str">
        <f>IF(Demand!BE14="Yes","Yes","")</f>
        <v/>
      </c>
      <c r="AP5" s="37" t="str">
        <f ca="1">Demand!B14</f>
        <v xml:space="preserve"> </v>
      </c>
      <c r="AQ5" s="5" t="str">
        <f ca="1">IF(TEXT(Demand!D14,"MMM")&lt;&gt;TEXT(Demand!D13,"MMM"),TEXT(Demand!D14,"MMM"),"")</f>
        <v/>
      </c>
      <c r="AT5" s="5">
        <f ca="1">IF(OR(AL5="",AL4=""),"",ABS(AL5-AL4))</f>
        <v>0</v>
      </c>
      <c r="AV5" s="5" t="s">
        <v>72</v>
      </c>
      <c r="AW5" s="45" t="e">
        <f ca="1">AW4/1.128</f>
        <v>#DIV/0!</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2">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0</v>
      </c>
      <c r="AM6" s="5">
        <f t="shared" ca="1" si="8"/>
        <v>0</v>
      </c>
      <c r="AN6" s="5" t="str">
        <f>IF(Demand!BE15="Yes","Yes","")</f>
        <v/>
      </c>
      <c r="AP6" s="37" t="str">
        <f ca="1">Demand!B15</f>
        <v xml:space="preserve"> </v>
      </c>
      <c r="AQ6" s="5" t="str">
        <f ca="1">IF(TEXT(Demand!D15,"MMM")&lt;&gt;TEXT(Demand!D14,"MMM"),TEXT(Demand!D15,"MMM"),"")</f>
        <v/>
      </c>
      <c r="AT6" s="5">
        <f t="shared" ref="AT6:AT69" ca="1" si="10">IF(OR(AL6="",AL5=""),"",ABS(AL6-AL5))</f>
        <v>0</v>
      </c>
      <c r="AV6" s="5" t="s">
        <v>139</v>
      </c>
      <c r="AW6" s="45">
        <f ca="1">PERCENTILE(OFFSET(AL$4,'SPC background (hide)'!$C$4-1,0,'SPC background (hide)'!$H$5,1),'Control sheet (hide)'!$I$9)</f>
        <v>0</v>
      </c>
      <c r="AX6" s="5">
        <f ca="1">PERCENTILE(OFFSET(AM$4,'SPC background (hide)'!$C$4-1,0,'SPC background (hide)'!$H$5,1),'Control sheet (hide)'!$I$9)</f>
        <v>0</v>
      </c>
      <c r="BB6" t="str">
        <f>'Control sheet (hide)'!AA3</f>
        <v>Modality 1</v>
      </c>
      <c r="BC6" s="47" t="str">
        <f t="shared" ref="BC6:BC15" ca="1" si="11">IFERROR(IF(ROW(A1)&lt;=Num_Modalities,BJ6/$BM6,""),"")</f>
        <v/>
      </c>
      <c r="BD6" s="47" t="str">
        <f t="shared" ref="BD6:BD15" ca="1" si="12">IFERROR(IF(ROW(B1)&lt;=Num_Modalities,BK6/$BM6,""),"")</f>
        <v/>
      </c>
      <c r="BE6" s="47" t="str">
        <f t="shared" ref="BE6:BE15" ca="1" si="13">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4">BG6*OFFSET($N$2,0,ROW(B1)-1,1,1)</f>
        <v>0</v>
      </c>
      <c r="BL6" s="5">
        <f t="shared" ca="1" si="14"/>
        <v>0</v>
      </c>
      <c r="BM6" s="5">
        <f ca="1">SUM(BJ6:BL6)</f>
        <v>0</v>
      </c>
      <c r="BN6" s="5">
        <f ca="1">OFFSET($N$2,0,ROW(A1)-1,1,1)</f>
        <v>1</v>
      </c>
      <c r="BO6" s="85"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2">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0</v>
      </c>
      <c r="AM7" s="5">
        <f t="shared" ca="1" si="8"/>
        <v>0</v>
      </c>
      <c r="AN7" s="5" t="str">
        <f>IF(Demand!BE16="Yes","Yes","")</f>
        <v/>
      </c>
      <c r="AP7" s="37" t="str">
        <f ca="1">Demand!B16</f>
        <v xml:space="preserve"> </v>
      </c>
      <c r="AQ7" s="5" t="str">
        <f ca="1">IF(TEXT(Demand!D16,"MMM")&lt;&gt;TEXT(Demand!D15,"MMM"),TEXT(Demand!D16,"MMM"),"")</f>
        <v/>
      </c>
      <c r="AT7" s="5">
        <f t="shared" ca="1" si="10"/>
        <v>0</v>
      </c>
      <c r="AV7" s="5" t="s">
        <v>140</v>
      </c>
      <c r="AW7" s="45">
        <f ca="1">PERCENTILE(OFFSET(AL$4,'SPC background (hide)'!$C$4-1,0,'SPC background (hide)'!$H$5,1),'Control sheet (hide)'!$I$10)</f>
        <v>0</v>
      </c>
      <c r="AX7" s="5">
        <f ca="1">PERCENTILE(OFFSET(AM$4,'SPC background (hide)'!$C$4-1,0,'SPC background (hide)'!$H$5,1),'Control sheet (hide)'!$I$10)</f>
        <v>0</v>
      </c>
      <c r="BB7" t="str">
        <f>'Control sheet (hide)'!AA4</f>
        <v>Modality 2</v>
      </c>
      <c r="BC7" s="47" t="str">
        <f t="shared" si="11"/>
        <v/>
      </c>
      <c r="BD7" s="47" t="str">
        <f t="shared" si="12"/>
        <v/>
      </c>
      <c r="BE7" s="47" t="str">
        <f t="shared" si="13"/>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5">SUM(BF7:BH7)</f>
        <v>0</v>
      </c>
      <c r="BJ7" s="5">
        <f t="shared" ref="BJ7:BL7" ca="1" si="16">BF7*OFFSET($N$2,0,ROW(A2)-1,1,1)</f>
        <v>0</v>
      </c>
      <c r="BK7" s="5">
        <f t="shared" ca="1" si="16"/>
        <v>0</v>
      </c>
      <c r="BL7" s="5">
        <f t="shared" ca="1" si="16"/>
        <v>0</v>
      </c>
      <c r="BM7" s="5">
        <f t="shared" ref="BM7:BM15" ca="1" si="17">SUM(BJ7:BL7)</f>
        <v>0</v>
      </c>
      <c r="BN7" s="5">
        <f t="shared" ref="BN7:BN15" ca="1" si="18">OFFSET($N$2,0,ROW(A2)-1,1,1)</f>
        <v>1</v>
      </c>
      <c r="BO7" s="85" t="e">
        <f t="shared" ref="BO7:BO15" ca="1" si="19">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2">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0</v>
      </c>
      <c r="AM8" s="5">
        <f t="shared" ca="1" si="8"/>
        <v>0</v>
      </c>
      <c r="AN8" s="5" t="str">
        <f>IF(Demand!BE17="Yes","Yes","")</f>
        <v/>
      </c>
      <c r="AP8" s="37" t="str">
        <f ca="1">Demand!B17</f>
        <v xml:space="preserve"> </v>
      </c>
      <c r="AQ8" s="5" t="str">
        <f ca="1">IF(TEXT(Demand!D17,"MMM")&lt;&gt;TEXT(Demand!D16,"MMM"),TEXT(Demand!D17,"MMM"),"")</f>
        <v/>
      </c>
      <c r="AT8" s="5">
        <f t="shared" ca="1" si="10"/>
        <v>0</v>
      </c>
      <c r="BB8" t="str">
        <f>'Control sheet (hide)'!AA5</f>
        <v>Modality 3</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t="e">
        <f t="shared" ca="1" si="19"/>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2">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0</v>
      </c>
      <c r="AM9" s="5">
        <f t="shared" ca="1" si="8"/>
        <v>0</v>
      </c>
      <c r="AN9" s="5" t="str">
        <f>IF(Demand!BE18="Yes","Yes","")</f>
        <v/>
      </c>
      <c r="AP9" s="37" t="str">
        <f ca="1">Demand!B18</f>
        <v xml:space="preserve"> </v>
      </c>
      <c r="AQ9" s="5" t="str">
        <f ca="1">IF(TEXT(Demand!D18,"MMM")&lt;&gt;TEXT(Demand!D17,"MMM"),TEXT(Demand!D18,"MMM"),"")</f>
        <v/>
      </c>
      <c r="AT9" s="5">
        <f t="shared" ca="1" si="10"/>
        <v>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t="e">
        <f t="shared" ca="1" si="19"/>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2">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0</v>
      </c>
      <c r="AM10" s="5">
        <f t="shared" ca="1" si="8"/>
        <v>0</v>
      </c>
      <c r="AN10" s="5" t="str">
        <f>IF(Demand!BE19="Yes","Yes","")</f>
        <v/>
      </c>
      <c r="AP10" s="37" t="str">
        <f ca="1">Demand!B19</f>
        <v xml:space="preserve"> </v>
      </c>
      <c r="AQ10" s="5" t="str">
        <f ca="1">IF(TEXT(Demand!D19,"MMM")&lt;&gt;TEXT(Demand!D18,"MMM"),TEXT(Demand!D19,"MMM"),"")</f>
        <v/>
      </c>
      <c r="AT10" s="5">
        <f t="shared" ca="1" si="10"/>
        <v>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t="e">
        <f t="shared" ca="1" si="19"/>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2">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0</v>
      </c>
      <c r="AM11" s="5">
        <f t="shared" ca="1" si="8"/>
        <v>0</v>
      </c>
      <c r="AN11" s="5" t="str">
        <f>IF(Demand!BE20="Yes","Yes","")</f>
        <v/>
      </c>
      <c r="AP11" s="37" t="str">
        <f ca="1">Demand!B20</f>
        <v xml:space="preserve"> </v>
      </c>
      <c r="AQ11" s="5" t="str">
        <f ca="1">IF(TEXT(Demand!D20,"MMM")&lt;&gt;TEXT(Demand!D19,"MMM"),TEXT(Demand!D20,"MMM"),"")</f>
        <v/>
      </c>
      <c r="AT11" s="5">
        <f t="shared" ca="1" si="10"/>
        <v>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t="e">
        <f t="shared" ca="1" si="19"/>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2">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0</v>
      </c>
      <c r="AM12" s="5">
        <f t="shared" ca="1" si="8"/>
        <v>0</v>
      </c>
      <c r="AN12" s="5" t="str">
        <f>IF(Demand!BE21="Yes","Yes","")</f>
        <v/>
      </c>
      <c r="AP12" s="37" t="str">
        <f ca="1">Demand!B21</f>
        <v xml:space="preserve"> </v>
      </c>
      <c r="AQ12" s="5" t="str">
        <f ca="1">IF(TEXT(Demand!D21,"MMM")&lt;&gt;TEXT(Demand!D20,"MMM"),TEXT(Demand!D21,"MMM"),"")</f>
        <v/>
      </c>
      <c r="AT12" s="5">
        <f t="shared" ca="1" si="10"/>
        <v>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t="e">
        <f t="shared" ca="1" si="19"/>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2">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0</v>
      </c>
      <c r="AM13" s="5">
        <f t="shared" ca="1" si="8"/>
        <v>0</v>
      </c>
      <c r="AN13" s="5" t="str">
        <f>IF(Demand!BE22="Yes","Yes","")</f>
        <v/>
      </c>
      <c r="AP13" s="37" t="str">
        <f ca="1">Demand!B22</f>
        <v xml:space="preserve"> </v>
      </c>
      <c r="AQ13" s="5" t="str">
        <f ca="1">IF(TEXT(Demand!D22,"MMM")&lt;&gt;TEXT(Demand!D21,"MMM"),TEXT(Demand!D22,"MMM"),"")</f>
        <v/>
      </c>
      <c r="AT13" s="5">
        <f t="shared" ca="1" si="10"/>
        <v>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t="e">
        <f t="shared" ca="1" si="19"/>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2">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0</v>
      </c>
      <c r="AM14" s="5">
        <f t="shared" ca="1" si="8"/>
        <v>0</v>
      </c>
      <c r="AN14" s="5" t="str">
        <f>IF(Demand!BE23="Yes","Yes","")</f>
        <v/>
      </c>
      <c r="AP14" s="37" t="str">
        <f ca="1">Demand!B23</f>
        <v xml:space="preserve"> </v>
      </c>
      <c r="AQ14" s="5" t="str">
        <f ca="1">IF(TEXT(Demand!D23,"MMM")&lt;&gt;TEXT(Demand!D22,"MMM"),TEXT(Demand!D23,"MMM"),"")</f>
        <v/>
      </c>
      <c r="AT14" s="5">
        <f t="shared" ca="1" si="10"/>
        <v>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t="e">
        <f t="shared" ca="1" si="19"/>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2">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0</v>
      </c>
      <c r="AM15" s="5">
        <f t="shared" ca="1" si="8"/>
        <v>0</v>
      </c>
      <c r="AN15" s="5" t="str">
        <f>IF(Demand!BE24="Yes","Yes","")</f>
        <v/>
      </c>
      <c r="AP15" s="37" t="str">
        <f ca="1">Demand!B24</f>
        <v xml:space="preserve"> </v>
      </c>
      <c r="AQ15" s="5" t="str">
        <f ca="1">IF(TEXT(Demand!D24,"MMM")&lt;&gt;TEXT(Demand!D23,"MMM"),TEXT(Demand!D24,"MMM"),"")</f>
        <v/>
      </c>
      <c r="AT15" s="5">
        <f t="shared" ca="1" si="10"/>
        <v>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t="e">
        <f t="shared" ca="1" si="19"/>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2">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0</v>
      </c>
      <c r="AM16" s="5">
        <f t="shared" ca="1" si="8"/>
        <v>0</v>
      </c>
      <c r="AN16" s="5" t="str">
        <f>IF(Demand!BE25="Yes","Yes","")</f>
        <v/>
      </c>
      <c r="AP16" s="37" t="str">
        <f ca="1">Demand!B25</f>
        <v xml:space="preserve"> </v>
      </c>
      <c r="AQ16" s="5" t="str">
        <f ca="1">IF(TEXT(Demand!D25,"MMM")&lt;&gt;TEXT(Demand!D24,"MMM"),TEXT(Demand!D25,"MMM"),"")</f>
        <v/>
      </c>
      <c r="AT16" s="5">
        <f t="shared" ca="1" si="10"/>
        <v>0</v>
      </c>
      <c r="BB16" s="5" t="s">
        <v>24</v>
      </c>
      <c r="BC16" s="47" t="e">
        <f ca="1">BJ16/$BM16</f>
        <v>#DIV/0!</v>
      </c>
      <c r="BD16" s="47" t="e">
        <f ca="1">BK16/$BM16</f>
        <v>#DIV/0!</v>
      </c>
      <c r="BE16" s="47" t="e">
        <f ca="1">BL16/$BM16</f>
        <v>#DIV/0!</v>
      </c>
      <c r="BF16" s="5">
        <f t="shared" ref="BF16:BM16" ca="1" si="28">SUM(OFFSET(BF$6,0,0,Num_Modalities,1))</f>
        <v>0</v>
      </c>
      <c r="BG16" s="5">
        <f t="shared" ca="1" si="28"/>
        <v>0</v>
      </c>
      <c r="BH16" s="5">
        <f t="shared" ca="1" si="28"/>
        <v>0</v>
      </c>
      <c r="BI16" s="5">
        <f t="shared" ca="1" si="28"/>
        <v>0</v>
      </c>
      <c r="BJ16" s="5">
        <f t="shared" ca="1" si="28"/>
        <v>0</v>
      </c>
      <c r="BK16" s="5">
        <f t="shared" ca="1" si="28"/>
        <v>0</v>
      </c>
      <c r="BL16" s="5">
        <f t="shared" ca="1" si="28"/>
        <v>0</v>
      </c>
      <c r="BM16" s="5">
        <f t="shared" ca="1" si="28"/>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2">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0</v>
      </c>
      <c r="AM17" s="5">
        <f t="shared" ca="1" si="8"/>
        <v>0</v>
      </c>
      <c r="AN17" s="5" t="str">
        <f>IF(Demand!BE26="Yes","Yes","")</f>
        <v/>
      </c>
      <c r="AP17" s="37" t="str">
        <f ca="1">Demand!B26</f>
        <v xml:space="preserve"> </v>
      </c>
      <c r="AQ17" s="5" t="str">
        <f ca="1">IF(TEXT(Demand!D26,"MMM")&lt;&gt;TEXT(Demand!D25,"MMM"),TEXT(Demand!D26,"MMM"),"")</f>
        <v/>
      </c>
      <c r="AT17" s="5">
        <f t="shared" ca="1" si="10"/>
        <v>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2">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0</v>
      </c>
      <c r="AM18" s="5">
        <f t="shared" ca="1" si="8"/>
        <v>0</v>
      </c>
      <c r="AN18" s="5" t="str">
        <f>IF(Demand!BE27="Yes","Yes","")</f>
        <v/>
      </c>
      <c r="AP18" s="37" t="str">
        <f ca="1">Demand!B27</f>
        <v xml:space="preserve"> </v>
      </c>
      <c r="AQ18" s="5" t="str">
        <f ca="1">IF(TEXT(Demand!D27,"MMM")&lt;&gt;TEXT(Demand!D26,"MMM"),TEXT(Demand!D27,"MMM"),"")</f>
        <v/>
      </c>
      <c r="AT18" s="5">
        <f t="shared" ca="1" si="10"/>
        <v>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2">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0</v>
      </c>
      <c r="AM19" s="5">
        <f t="shared" ca="1" si="8"/>
        <v>0</v>
      </c>
      <c r="AN19" s="5" t="str">
        <f>IF(Demand!BE28="Yes","Yes","")</f>
        <v/>
      </c>
      <c r="AP19" s="37" t="str">
        <f ca="1">Demand!B28</f>
        <v xml:space="preserve"> </v>
      </c>
      <c r="AQ19" s="5" t="str">
        <f ca="1">IF(TEXT(Demand!D28,"MMM")&lt;&gt;TEXT(Demand!D27,"MMM"),TEXT(Demand!D28,"MMM"),"")</f>
        <v/>
      </c>
      <c r="AT19" s="5">
        <f t="shared" ca="1" si="10"/>
        <v>0</v>
      </c>
      <c r="AV19" s="5" t="s">
        <v>109</v>
      </c>
      <c r="AW19" s="45"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2">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0</v>
      </c>
      <c r="AM20" s="5">
        <f t="shared" ca="1" si="8"/>
        <v>0</v>
      </c>
      <c r="AN20" s="5" t="str">
        <f>IF(Demand!BE29="Yes","Yes","")</f>
        <v/>
      </c>
      <c r="AP20" s="37" t="str">
        <f ca="1">Demand!B29</f>
        <v xml:space="preserve"> </v>
      </c>
      <c r="AQ20" s="5" t="str">
        <f ca="1">IF(TEXT(Demand!D29,"MMM")&lt;&gt;TEXT(Demand!D28,"MMM"),TEXT(Demand!D29,"MMM"),"")</f>
        <v/>
      </c>
      <c r="AT20" s="5">
        <f t="shared" ca="1" si="10"/>
        <v>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t="e">
        <f ca="1">BJ18/BM18</f>
        <v>#DIV/0!</v>
      </c>
      <c r="BK20" s="47" t="e">
        <f ca="1">BK18/BM18</f>
        <v>#DIV/0!</v>
      </c>
      <c r="BL20" s="47"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2">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0</v>
      </c>
      <c r="AM21" s="5">
        <f t="shared" ca="1" si="8"/>
        <v>0</v>
      </c>
      <c r="AN21" s="5" t="str">
        <f>IF(Demand!BE30="Yes","Yes","")</f>
        <v/>
      </c>
      <c r="AP21" s="37" t="str">
        <f ca="1">Demand!B30</f>
        <v xml:space="preserve"> </v>
      </c>
      <c r="AQ21" s="5" t="str">
        <f ca="1">IF(TEXT(Demand!D30,"MMM")&lt;&gt;TEXT(Demand!D29,"MMM"),TEXT(Demand!D30,"MMM"),"")</f>
        <v/>
      </c>
      <c r="AT21" s="5">
        <f t="shared" ca="1" si="10"/>
        <v>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2">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0</v>
      </c>
      <c r="AM22" s="5">
        <f t="shared" ca="1" si="8"/>
        <v>0</v>
      </c>
      <c r="AN22" s="5" t="str">
        <f>IF(Demand!BE31="Yes","Yes","")</f>
        <v/>
      </c>
      <c r="AP22" s="37" t="str">
        <f ca="1">Demand!B31</f>
        <v xml:space="preserve"> </v>
      </c>
      <c r="AQ22" s="5" t="str">
        <f ca="1">IF(TEXT(Demand!D31,"MMM")&lt;&gt;TEXT(Demand!D30,"MMM"),TEXT(Demand!D31,"MMM"),"")</f>
        <v/>
      </c>
      <c r="AT22" s="5">
        <f t="shared" ca="1" si="10"/>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2">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0</v>
      </c>
      <c r="AM23" s="5">
        <f t="shared" ca="1" si="8"/>
        <v>0</v>
      </c>
      <c r="AN23" s="5" t="str">
        <f>IF(Demand!BE32="Yes","Yes","")</f>
        <v/>
      </c>
      <c r="AP23" s="37" t="str">
        <f ca="1">Demand!B32</f>
        <v xml:space="preserve"> </v>
      </c>
      <c r="AQ23" s="5" t="str">
        <f ca="1">IF(TEXT(Demand!D32,"MMM")&lt;&gt;TEXT(Demand!D31,"MMM"),TEXT(Demand!D32,"MMM"),"")</f>
        <v/>
      </c>
      <c r="AT23" s="5">
        <f t="shared" ca="1" si="10"/>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2">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0</v>
      </c>
      <c r="AM24" s="5">
        <f t="shared" ca="1" si="8"/>
        <v>0</v>
      </c>
      <c r="AN24" s="5" t="str">
        <f>IF(Demand!BE33="Yes","Yes","")</f>
        <v/>
      </c>
      <c r="AP24" s="37" t="str">
        <f ca="1">Demand!B33</f>
        <v xml:space="preserve"> </v>
      </c>
      <c r="AQ24" s="5" t="str">
        <f ca="1">IF(TEXT(Demand!D33,"MMM")&lt;&gt;TEXT(Demand!D32,"MMM"),TEXT(Demand!D33,"MMM"),"")</f>
        <v/>
      </c>
      <c r="AT24" s="5">
        <f t="shared" ca="1" si="10"/>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2">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0</v>
      </c>
      <c r="AM25" s="5">
        <f t="shared" ca="1" si="8"/>
        <v>0</v>
      </c>
      <c r="AN25" s="5" t="str">
        <f>IF(Demand!BE34="Yes","Yes","")</f>
        <v/>
      </c>
      <c r="AP25" s="37" t="str">
        <f ca="1">Demand!B34</f>
        <v xml:space="preserve"> </v>
      </c>
      <c r="AQ25" s="5" t="str">
        <f ca="1">IF(TEXT(Demand!D34,"MMM")&lt;&gt;TEXT(Demand!D33,"MMM"),TEXT(Demand!D34,"MMM"),"")</f>
        <v/>
      </c>
      <c r="AT25" s="5">
        <f t="shared" ca="1" si="10"/>
        <v>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2">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0</v>
      </c>
      <c r="AM26" s="5">
        <f t="shared" ca="1" si="8"/>
        <v>0</v>
      </c>
      <c r="AN26" s="5" t="str">
        <f>IF(Demand!BE35="Yes","Yes","")</f>
        <v/>
      </c>
      <c r="AP26" s="37" t="str">
        <f ca="1">Demand!B35</f>
        <v xml:space="preserve"> </v>
      </c>
      <c r="AQ26" s="5" t="str">
        <f ca="1">IF(TEXT(Demand!D35,"MMM")&lt;&gt;TEXT(Demand!D34,"MMM"),TEXT(Demand!D35,"MMM"),"")</f>
        <v/>
      </c>
      <c r="AT26" s="5">
        <f t="shared" ca="1" si="10"/>
        <v>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2">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0</v>
      </c>
      <c r="AM27" s="5">
        <f t="shared" ca="1" si="8"/>
        <v>0</v>
      </c>
      <c r="AN27" s="5" t="str">
        <f>IF(Demand!BE36="Yes","Yes","")</f>
        <v/>
      </c>
      <c r="AP27" s="37" t="str">
        <f ca="1">Demand!B36</f>
        <v xml:space="preserve"> </v>
      </c>
      <c r="AQ27" s="5" t="str">
        <f ca="1">IF(TEXT(Demand!D36,"MMM")&lt;&gt;TEXT(Demand!D35,"MMM"),TEXT(Demand!D36,"MMM"),"")</f>
        <v/>
      </c>
      <c r="AT27" s="5">
        <f t="shared" ca="1" si="10"/>
        <v>0</v>
      </c>
      <c r="AV27" s="5" t="s">
        <v>111</v>
      </c>
      <c r="AW27" s="45"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2">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0</v>
      </c>
      <c r="AM28" s="5">
        <f t="shared" ca="1" si="8"/>
        <v>0</v>
      </c>
      <c r="AN28" s="5" t="str">
        <f>IF(Demand!BE37="Yes","Yes","")</f>
        <v/>
      </c>
      <c r="AP28" s="37" t="str">
        <f ca="1">Demand!B37</f>
        <v xml:space="preserve"> </v>
      </c>
      <c r="AQ28" s="5" t="str">
        <f ca="1">IF(TEXT(Demand!D37,"MMM")&lt;&gt;TEXT(Demand!D36,"MMM"),TEXT(Demand!D37,"MMM"),"")</f>
        <v/>
      </c>
      <c r="AT28" s="5">
        <f t="shared" ca="1" si="10"/>
        <v>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2">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0</v>
      </c>
      <c r="AM29" s="5">
        <f t="shared" ca="1" si="8"/>
        <v>0</v>
      </c>
      <c r="AN29" s="5" t="str">
        <f>IF(Demand!BE38="Yes","Yes","")</f>
        <v/>
      </c>
      <c r="AP29" s="37" t="str">
        <f ca="1">Demand!B38</f>
        <v xml:space="preserve"> </v>
      </c>
      <c r="AQ29" s="5" t="str">
        <f ca="1">IF(TEXT(Demand!D38,"MMM")&lt;&gt;TEXT(Demand!D37,"MMM"),TEXT(Demand!D38,"MMM"),"")</f>
        <v/>
      </c>
      <c r="AT29" s="5">
        <f t="shared" ca="1" si="10"/>
        <v>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2">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0</v>
      </c>
      <c r="AM30" s="5">
        <f t="shared" ca="1" si="8"/>
        <v>0</v>
      </c>
      <c r="AN30" s="5" t="str">
        <f>IF(Demand!BE39="Yes","Yes","")</f>
        <v/>
      </c>
      <c r="AP30" s="37" t="str">
        <f ca="1">Demand!B39</f>
        <v xml:space="preserve"> </v>
      </c>
      <c r="AQ30" s="5" t="str">
        <f ca="1">IF(TEXT(Demand!D39,"MMM")&lt;&gt;TEXT(Demand!D38,"MMM"),TEXT(Demand!D39,"MMM"),"")</f>
        <v/>
      </c>
      <c r="AT30" s="5">
        <f t="shared" ca="1" si="10"/>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2">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0</v>
      </c>
      <c r="AM31" s="5">
        <f t="shared" ca="1" si="8"/>
        <v>0</v>
      </c>
      <c r="AN31" s="5" t="str">
        <f>IF(Demand!BE40="Yes","Yes","")</f>
        <v/>
      </c>
      <c r="AP31" s="37" t="str">
        <f ca="1">Demand!B40</f>
        <v xml:space="preserve"> </v>
      </c>
      <c r="AQ31" s="5" t="str">
        <f ca="1">IF(TEXT(Demand!D40,"MMM")&lt;&gt;TEXT(Demand!D39,"MMM"),TEXT(Demand!D40,"MMM"),"")</f>
        <v/>
      </c>
      <c r="AT31" s="5">
        <f t="shared" ca="1" si="10"/>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2">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0</v>
      </c>
      <c r="AM32" s="5">
        <f t="shared" ca="1" si="8"/>
        <v>0</v>
      </c>
      <c r="AN32" s="5" t="str">
        <f>IF(Demand!BE41="Yes","Yes","")</f>
        <v/>
      </c>
      <c r="AP32" s="37" t="str">
        <f ca="1">Demand!B41</f>
        <v xml:space="preserve"> </v>
      </c>
      <c r="AQ32" s="5" t="str">
        <f ca="1">IF(TEXT(Demand!D41,"MMM")&lt;&gt;TEXT(Demand!D40,"MMM"),TEXT(Demand!D41,"MMM"),"")</f>
        <v/>
      </c>
      <c r="AT32" s="5">
        <f t="shared" ca="1" si="10"/>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2">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0</v>
      </c>
      <c r="AM33" s="5">
        <f t="shared" ca="1" si="8"/>
        <v>0</v>
      </c>
      <c r="AN33" s="5" t="str">
        <f>IF(Demand!BE42="Yes","Yes","")</f>
        <v/>
      </c>
      <c r="AP33" s="37" t="str">
        <f ca="1">Demand!B42</f>
        <v xml:space="preserve"> </v>
      </c>
      <c r="AQ33" s="5" t="str">
        <f ca="1">IF(TEXT(Demand!D42,"MMM")&lt;&gt;TEXT(Demand!D41,"MMM"),TEXT(Demand!D42,"MMM"),"")</f>
        <v/>
      </c>
      <c r="AT33" s="5">
        <f t="shared" ca="1" si="10"/>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2">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0</v>
      </c>
      <c r="AM34" s="5">
        <f t="shared" ca="1" si="8"/>
        <v>0</v>
      </c>
      <c r="AN34" s="5" t="str">
        <f>IF(Demand!BE43="Yes","Yes","")</f>
        <v/>
      </c>
      <c r="AP34" s="37" t="str">
        <f ca="1">Demand!B43</f>
        <v xml:space="preserve"> </v>
      </c>
      <c r="AQ34" s="5" t="str">
        <f ca="1">IF(TEXT(Demand!D43,"MMM")&lt;&gt;TEXT(Demand!D42,"MMM"),TEXT(Demand!D43,"MMM"),"")</f>
        <v/>
      </c>
      <c r="AT34" s="5">
        <f t="shared" ca="1" si="10"/>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2">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0</v>
      </c>
      <c r="AM35" s="5">
        <f t="shared" ca="1" si="8"/>
        <v>0</v>
      </c>
      <c r="AN35" s="5" t="str">
        <f>IF(Demand!BE44="Yes","Yes","")</f>
        <v/>
      </c>
      <c r="AP35" s="37" t="str">
        <f ca="1">Demand!B44</f>
        <v xml:space="preserve"> </v>
      </c>
      <c r="AQ35" s="5" t="str">
        <f ca="1">IF(TEXT(Demand!D44,"MMM")&lt;&gt;TEXT(Demand!D43,"MMM"),TEXT(Demand!D44,"MMM"),"")</f>
        <v/>
      </c>
      <c r="AT35" s="5">
        <f t="shared" ca="1" si="10"/>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2">
      <c r="A36" s="5">
        <f t="shared" ref="A36:A55" ca="1" si="29">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0</v>
      </c>
      <c r="AM36" s="5">
        <f t="shared" ca="1" si="8"/>
        <v>0</v>
      </c>
      <c r="AN36" s="5" t="str">
        <f>IF(Demand!BE45="Yes","Yes","")</f>
        <v/>
      </c>
      <c r="AP36" s="37" t="str">
        <f ca="1">Demand!B45</f>
        <v xml:space="preserve"> </v>
      </c>
      <c r="AQ36" s="5" t="str">
        <f ca="1">IF(TEXT(Demand!D45,"MMM")&lt;&gt;TEXT(Demand!D44,"MMM"),TEXT(Demand!D45,"MMM"),"")</f>
        <v/>
      </c>
      <c r="AT36" s="5">
        <f t="shared" ca="1" si="10"/>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2">
      <c r="A37" s="5">
        <f t="shared" ca="1" si="29"/>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0</v>
      </c>
      <c r="AM37" s="5">
        <f t="shared" ca="1" si="8"/>
        <v>0</v>
      </c>
      <c r="AN37" s="5" t="str">
        <f>IF(Demand!BE46="Yes","Yes","")</f>
        <v/>
      </c>
      <c r="AP37" s="37" t="str">
        <f ca="1">Demand!B46</f>
        <v xml:space="preserve"> </v>
      </c>
      <c r="AQ37" s="5" t="str">
        <f ca="1">IF(TEXT(Demand!D46,"MMM")&lt;&gt;TEXT(Demand!D45,"MMM"),TEXT(Demand!D46,"MMM"),"")</f>
        <v/>
      </c>
      <c r="AT37" s="5">
        <f t="shared" ca="1" si="10"/>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2">
      <c r="A38" s="5">
        <f t="shared" ca="1" si="29"/>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0</v>
      </c>
      <c r="AM38" s="5">
        <f t="shared" ca="1" si="8"/>
        <v>0</v>
      </c>
      <c r="AN38" s="5" t="str">
        <f>IF(Demand!BE47="Yes","Yes","")</f>
        <v/>
      </c>
      <c r="AP38" s="37" t="str">
        <f ca="1">Demand!B47</f>
        <v xml:space="preserve"> </v>
      </c>
      <c r="AQ38" s="5" t="str">
        <f ca="1">IF(TEXT(Demand!D47,"MMM")&lt;&gt;TEXT(Demand!D46,"MMM"),TEXT(Demand!D47,"MMM"),"")</f>
        <v/>
      </c>
      <c r="AT38" s="5">
        <f t="shared" ca="1" si="10"/>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2">
      <c r="A39" s="5">
        <f t="shared" ca="1" si="29"/>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0</v>
      </c>
      <c r="AM39" s="5">
        <f t="shared" ca="1" si="8"/>
        <v>0</v>
      </c>
      <c r="AN39" s="5" t="str">
        <f>IF(Demand!BE48="Yes","Yes","")</f>
        <v/>
      </c>
      <c r="AP39" s="37" t="str">
        <f ca="1">Demand!B48</f>
        <v xml:space="preserve"> </v>
      </c>
      <c r="AQ39" s="5" t="str">
        <f ca="1">IF(TEXT(Demand!D48,"MMM")&lt;&gt;TEXT(Demand!D47,"MMM"),TEXT(Demand!D48,"MMM"),"")</f>
        <v/>
      </c>
      <c r="AT39" s="5">
        <f t="shared" ca="1" si="10"/>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2">
      <c r="A40" s="5">
        <f t="shared" ca="1" si="29"/>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0</v>
      </c>
      <c r="AM40" s="5">
        <f t="shared" ca="1" si="8"/>
        <v>0</v>
      </c>
      <c r="AN40" s="5" t="str">
        <f>IF(Demand!BE49="Yes","Yes","")</f>
        <v/>
      </c>
      <c r="AP40" s="37" t="str">
        <f ca="1">Demand!B49</f>
        <v xml:space="preserve"> </v>
      </c>
      <c r="AQ40" s="5" t="str">
        <f ca="1">IF(TEXT(Demand!D49,"MMM")&lt;&gt;TEXT(Demand!D48,"MMM"),TEXT(Demand!D49,"MMM"),"")</f>
        <v/>
      </c>
      <c r="AT40" s="5">
        <f t="shared" ca="1" si="10"/>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2">
      <c r="A41" s="5">
        <f t="shared" ca="1" si="29"/>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0</v>
      </c>
      <c r="AM41" s="5">
        <f t="shared" ca="1" si="8"/>
        <v>0</v>
      </c>
      <c r="AN41" s="5" t="str">
        <f>IF(Demand!BE50="Yes","Yes","")</f>
        <v/>
      </c>
      <c r="AP41" s="37" t="str">
        <f ca="1">Demand!B50</f>
        <v xml:space="preserve"> </v>
      </c>
      <c r="AQ41" s="5" t="str">
        <f ca="1">IF(TEXT(Demand!D50,"MMM")&lt;&gt;TEXT(Demand!D49,"MMM"),TEXT(Demand!D50,"MMM"),"")</f>
        <v/>
      </c>
      <c r="AT41" s="5">
        <f t="shared" ca="1" si="10"/>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2">
      <c r="A42" s="5">
        <f t="shared" ca="1" si="29"/>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0</v>
      </c>
      <c r="AM42" s="5">
        <f t="shared" ca="1" si="8"/>
        <v>0</v>
      </c>
      <c r="AN42" s="5" t="str">
        <f>IF(Demand!BE51="Yes","Yes","")</f>
        <v/>
      </c>
      <c r="AP42" s="37" t="str">
        <f ca="1">Demand!B51</f>
        <v xml:space="preserve"> </v>
      </c>
      <c r="AQ42" s="5" t="str">
        <f ca="1">IF(TEXT(Demand!D51,"MMM")&lt;&gt;TEXT(Demand!D50,"MMM"),TEXT(Demand!D51,"MMM"),"")</f>
        <v/>
      </c>
      <c r="AT42" s="5">
        <f t="shared" ca="1" si="10"/>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2">
      <c r="A43" s="5">
        <f t="shared" ca="1" si="29"/>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0</v>
      </c>
      <c r="AM43" s="5">
        <f t="shared" ca="1" si="8"/>
        <v>0</v>
      </c>
      <c r="AN43" s="5" t="str">
        <f>IF(Demand!BE52="Yes","Yes","")</f>
        <v/>
      </c>
      <c r="AP43" s="37" t="str">
        <f ca="1">Demand!B52</f>
        <v xml:space="preserve"> </v>
      </c>
      <c r="AQ43" s="5" t="str">
        <f ca="1">IF(TEXT(Demand!D52,"MMM")&lt;&gt;TEXT(Demand!D51,"MMM"),TEXT(Demand!D52,"MMM"),"")</f>
        <v/>
      </c>
      <c r="AT43" s="5">
        <f t="shared" ca="1" si="10"/>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2">
      <c r="A44" s="5">
        <f t="shared" ca="1" si="29"/>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0</v>
      </c>
      <c r="AM44" s="5">
        <f t="shared" ca="1" si="8"/>
        <v>0</v>
      </c>
      <c r="AN44" s="5" t="str">
        <f>IF(Demand!BE53="Yes","Yes","")</f>
        <v/>
      </c>
      <c r="AP44" s="37" t="str">
        <f ca="1">Demand!B53</f>
        <v xml:space="preserve"> </v>
      </c>
      <c r="AQ44" s="5" t="str">
        <f ca="1">IF(TEXT(Demand!D53,"MMM")&lt;&gt;TEXT(Demand!D52,"MMM"),TEXT(Demand!D53,"MMM"),"")</f>
        <v/>
      </c>
      <c r="AT44" s="5">
        <f t="shared" ca="1" si="10"/>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2">
      <c r="A45" s="5">
        <f t="shared" ca="1" si="29"/>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0</v>
      </c>
      <c r="AM45" s="5">
        <f t="shared" ca="1" si="8"/>
        <v>0</v>
      </c>
      <c r="AN45" s="5" t="str">
        <f>IF(Demand!BE54="Yes","Yes","")</f>
        <v/>
      </c>
      <c r="AP45" s="37" t="str">
        <f ca="1">Demand!B54</f>
        <v xml:space="preserve"> </v>
      </c>
      <c r="AQ45" s="5" t="str">
        <f ca="1">IF(TEXT(Demand!D54,"MMM")&lt;&gt;TEXT(Demand!D53,"MMM"),TEXT(Demand!D54,"MMM"),"")</f>
        <v/>
      </c>
      <c r="AT45" s="5">
        <f t="shared" ca="1" si="10"/>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2">
      <c r="A46" s="5">
        <f t="shared" ca="1" si="29"/>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0</v>
      </c>
      <c r="AM46" s="5">
        <f t="shared" ca="1" si="8"/>
        <v>0</v>
      </c>
      <c r="AN46" s="5" t="str">
        <f>IF(Demand!BE55="Yes","Yes","")</f>
        <v/>
      </c>
      <c r="AP46" s="37" t="str">
        <f ca="1">Demand!B55</f>
        <v xml:space="preserve"> </v>
      </c>
      <c r="AQ46" s="5" t="str">
        <f ca="1">IF(TEXT(Demand!D55,"MMM")&lt;&gt;TEXT(Demand!D54,"MMM"),TEXT(Demand!D55,"MMM"),"")</f>
        <v/>
      </c>
      <c r="AT46" s="5">
        <f t="shared" ca="1" si="10"/>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2">
      <c r="A47" s="5">
        <f t="shared" ca="1" si="29"/>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0</v>
      </c>
      <c r="AM47" s="5">
        <f t="shared" ca="1" si="8"/>
        <v>0</v>
      </c>
      <c r="AN47" s="5" t="str">
        <f>IF(Demand!BE56="Yes","Yes","")</f>
        <v/>
      </c>
      <c r="AP47" s="37" t="str">
        <f ca="1">Demand!B56</f>
        <v xml:space="preserve"> </v>
      </c>
      <c r="AQ47" s="5" t="str">
        <f ca="1">IF(TEXT(Demand!D56,"MMM")&lt;&gt;TEXT(Demand!D55,"MMM"),TEXT(Demand!D56,"MMM"),"")</f>
        <v/>
      </c>
      <c r="AT47" s="5">
        <f t="shared" ca="1" si="10"/>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2">
      <c r="A48" s="5">
        <f t="shared" ca="1" si="29"/>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0</v>
      </c>
      <c r="AM48" s="5">
        <f t="shared" ca="1" si="8"/>
        <v>0</v>
      </c>
      <c r="AN48" s="5" t="str">
        <f>IF(Demand!BE57="Yes","Yes","")</f>
        <v/>
      </c>
      <c r="AP48" s="37" t="str">
        <f ca="1">Demand!B57</f>
        <v xml:space="preserve"> </v>
      </c>
      <c r="AQ48" s="5" t="str">
        <f ca="1">IF(TEXT(Demand!D57,"MMM")&lt;&gt;TEXT(Demand!D56,"MMM"),TEXT(Demand!D57,"MMM"),"")</f>
        <v/>
      </c>
      <c r="AT48" s="5">
        <f t="shared" ca="1" si="10"/>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2">
      <c r="A49" s="5">
        <f t="shared" ca="1" si="29"/>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0</v>
      </c>
      <c r="AM49" s="5">
        <f t="shared" ca="1" si="8"/>
        <v>0</v>
      </c>
      <c r="AN49" s="5" t="str">
        <f>IF(Demand!BE58="Yes","Yes","")</f>
        <v/>
      </c>
      <c r="AP49" s="37" t="str">
        <f ca="1">Demand!B58</f>
        <v xml:space="preserve"> </v>
      </c>
      <c r="AQ49" s="5" t="str">
        <f ca="1">IF(TEXT(Demand!D58,"MMM")&lt;&gt;TEXT(Demand!D57,"MMM"),TEXT(Demand!D58,"MMM"),"")</f>
        <v/>
      </c>
      <c r="AT49" s="5">
        <f t="shared" ca="1" si="10"/>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2">
      <c r="A50" s="5">
        <f t="shared" ca="1" si="29"/>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0</v>
      </c>
      <c r="AM50" s="5">
        <f t="shared" ca="1" si="8"/>
        <v>0</v>
      </c>
      <c r="AN50" s="5" t="str">
        <f>IF(Demand!BE59="Yes","Yes","")</f>
        <v/>
      </c>
      <c r="AP50" s="37" t="str">
        <f ca="1">Demand!B59</f>
        <v xml:space="preserve"> </v>
      </c>
      <c r="AQ50" s="5" t="str">
        <f ca="1">IF(TEXT(Demand!D59,"MMM")&lt;&gt;TEXT(Demand!D58,"MMM"),TEXT(Demand!D59,"MMM"),"")</f>
        <v/>
      </c>
      <c r="AT50" s="5">
        <f t="shared" ca="1" si="10"/>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2">
      <c r="A51" s="5">
        <f t="shared" ca="1" si="29"/>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0</v>
      </c>
      <c r="AM51" s="5">
        <f t="shared" ca="1" si="8"/>
        <v>0</v>
      </c>
      <c r="AN51" s="5" t="str">
        <f>IF(Demand!BE60="Yes","Yes","")</f>
        <v/>
      </c>
      <c r="AP51" s="37" t="str">
        <f ca="1">Demand!B60</f>
        <v xml:space="preserve"> </v>
      </c>
      <c r="AQ51" s="5" t="str">
        <f ca="1">IF(TEXT(Demand!D60,"MMM")&lt;&gt;TEXT(Demand!D59,"MMM"),TEXT(Demand!D60,"MMM"),"")</f>
        <v/>
      </c>
      <c r="AT51" s="5">
        <f t="shared" ca="1" si="10"/>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2">
      <c r="A52" s="5">
        <f t="shared" ca="1" si="29"/>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0</v>
      </c>
      <c r="AM52" s="5">
        <f t="shared" ca="1" si="8"/>
        <v>0</v>
      </c>
      <c r="AN52" s="5" t="str">
        <f>IF(Demand!BE61="Yes","Yes","")</f>
        <v/>
      </c>
      <c r="AP52" s="37" t="str">
        <f ca="1">Demand!B61</f>
        <v xml:space="preserve"> </v>
      </c>
      <c r="AQ52" s="5" t="str">
        <f ca="1">IF(TEXT(Demand!D61,"MMM")&lt;&gt;TEXT(Demand!D60,"MMM"),TEXT(Demand!D61,"MMM"),"")</f>
        <v/>
      </c>
      <c r="AT52" s="5">
        <f t="shared" ca="1" si="10"/>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2">
      <c r="A53" s="5">
        <f t="shared" ca="1" si="29"/>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0</v>
      </c>
      <c r="AM53" s="5">
        <f t="shared" ca="1" si="8"/>
        <v>0</v>
      </c>
      <c r="AN53" s="5" t="str">
        <f>IF(Demand!BE62="Yes","Yes","")</f>
        <v/>
      </c>
      <c r="AP53" s="37" t="str">
        <f ca="1">Demand!B62</f>
        <v xml:space="preserve"> </v>
      </c>
      <c r="AQ53" s="5" t="str">
        <f ca="1">IF(TEXT(Demand!D62,"MMM")&lt;&gt;TEXT(Demand!D61,"MMM"),TEXT(Demand!D62,"MMM"),"")</f>
        <v/>
      </c>
      <c r="AT53" s="5">
        <f t="shared" ca="1" si="10"/>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2">
      <c r="A54" s="5">
        <f t="shared" ca="1" si="29"/>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0</v>
      </c>
      <c r="AM54" s="5">
        <f t="shared" ca="1" si="8"/>
        <v>0</v>
      </c>
      <c r="AN54" s="5" t="str">
        <f>IF(Demand!BE63="Yes","Yes","")</f>
        <v/>
      </c>
      <c r="AP54" s="37" t="str">
        <f ca="1">Demand!B63</f>
        <v xml:space="preserve"> </v>
      </c>
      <c r="AQ54" s="5" t="str">
        <f ca="1">IF(TEXT(Demand!D63,"MMM")&lt;&gt;TEXT(Demand!D62,"MMM"),TEXT(Demand!D63,"MMM"),"")</f>
        <v/>
      </c>
      <c r="AT54" s="5">
        <f t="shared" ca="1" si="10"/>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2">
      <c r="A55" s="5">
        <f t="shared" ca="1" si="29"/>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0</v>
      </c>
      <c r="AM55" s="5">
        <f t="shared" ca="1" si="8"/>
        <v>0</v>
      </c>
      <c r="AN55" s="5" t="str">
        <f>IF(Demand!BE64="Yes","Yes","")</f>
        <v/>
      </c>
      <c r="AP55" s="37" t="str">
        <f ca="1">Demand!B64</f>
        <v xml:space="preserve"> </v>
      </c>
      <c r="AQ55" s="5" t="str">
        <f ca="1">IF(TEXT(Demand!D64,"MMM")&lt;&gt;TEXT(Demand!D63,"MMM"),TEXT(Demand!D64,"MMM"),"")</f>
        <v/>
      </c>
      <c r="AT55" s="5">
        <f t="shared" ca="1" si="10"/>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2">
      <c r="A56" s="5">
        <f t="shared" ref="A56:A119" ca="1" si="30">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0</v>
      </c>
      <c r="AM56" s="5">
        <f t="shared" ca="1" si="8"/>
        <v>0</v>
      </c>
      <c r="AN56" s="5" t="str">
        <f>IF(Demand!BE65="Yes","Yes","")</f>
        <v/>
      </c>
      <c r="AP56" s="37" t="str">
        <f ca="1">Demand!B65</f>
        <v xml:space="preserve"> </v>
      </c>
      <c r="AQ56" t="str">
        <f ca="1">IF(TEXT(Demand!D65,"MMM")&lt;&gt;TEXT(Demand!D64,"MMM"),TEXT(Demand!D65,"MMM"),"")</f>
        <v/>
      </c>
      <c r="AT56" s="5">
        <f t="shared" ca="1" si="10"/>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2">
      <c r="A57" s="5">
        <f t="shared" ca="1" si="30"/>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0</v>
      </c>
      <c r="AM57" s="5">
        <f t="shared" ca="1" si="8"/>
        <v>0</v>
      </c>
      <c r="AN57" s="5" t="str">
        <f>IF(Demand!BE66="Yes","Yes","")</f>
        <v/>
      </c>
      <c r="AP57" s="37" t="str">
        <f ca="1">Demand!B66</f>
        <v xml:space="preserve"> </v>
      </c>
      <c r="AQ57" t="str">
        <f ca="1">IF(TEXT(Demand!D66,"MMM")&lt;&gt;TEXT(Demand!D65,"MMM"),TEXT(Demand!D66,"MMM"),"")</f>
        <v/>
      </c>
      <c r="AT57" s="5">
        <f t="shared" ca="1" si="10"/>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2">
      <c r="A58" s="5">
        <f t="shared" ca="1" si="30"/>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0</v>
      </c>
      <c r="AM58" s="5">
        <f t="shared" ca="1" si="8"/>
        <v>0</v>
      </c>
      <c r="AN58" s="5" t="str">
        <f>IF(Demand!BE67="Yes","Yes","")</f>
        <v/>
      </c>
      <c r="AP58" s="37" t="str">
        <f ca="1">Demand!B67</f>
        <v xml:space="preserve"> </v>
      </c>
      <c r="AQ58" t="str">
        <f ca="1">IF(TEXT(Demand!D67,"MMM")&lt;&gt;TEXT(Demand!D66,"MMM"),TEXT(Demand!D67,"MMM"),"")</f>
        <v/>
      </c>
      <c r="AT58" s="5">
        <f t="shared" ca="1" si="10"/>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2">
      <c r="A59" s="5">
        <f t="shared" ca="1" si="30"/>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0</v>
      </c>
      <c r="AM59" s="5">
        <f t="shared" ca="1" si="8"/>
        <v>0</v>
      </c>
      <c r="AN59" s="5" t="str">
        <f>IF(Demand!BE68="Yes","Yes","")</f>
        <v/>
      </c>
      <c r="AP59" s="37" t="str">
        <f ca="1">Demand!B68</f>
        <v xml:space="preserve"> </v>
      </c>
      <c r="AQ59" t="str">
        <f ca="1">IF(TEXT(Demand!D68,"MMM")&lt;&gt;TEXT(Demand!D67,"MMM"),TEXT(Demand!D68,"MMM"),"")</f>
        <v/>
      </c>
      <c r="AT59" s="5">
        <f t="shared" ca="1" si="10"/>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2">
      <c r="A60" s="5">
        <f t="shared" ca="1" si="30"/>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0</v>
      </c>
      <c r="AM60" s="5">
        <f t="shared" ca="1" si="8"/>
        <v>0</v>
      </c>
      <c r="AN60" s="5" t="str">
        <f>IF(Demand!BE69="Yes","Yes","")</f>
        <v/>
      </c>
      <c r="AP60" s="37" t="str">
        <f ca="1">Demand!B69</f>
        <v xml:space="preserve"> </v>
      </c>
      <c r="AQ60" t="str">
        <f ca="1">IF(TEXT(Demand!D69,"MMM")&lt;&gt;TEXT(Demand!D68,"MMM"),TEXT(Demand!D69,"MMM"),"")</f>
        <v/>
      </c>
      <c r="AT60" s="5">
        <f t="shared" ca="1" si="10"/>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2">
      <c r="A61" s="5">
        <f t="shared" ca="1" si="30"/>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0</v>
      </c>
      <c r="AM61" s="5">
        <f t="shared" ca="1" si="8"/>
        <v>0</v>
      </c>
      <c r="AN61" s="5" t="str">
        <f>IF(Demand!BE70="Yes","Yes","")</f>
        <v/>
      </c>
      <c r="AP61" s="37" t="str">
        <f ca="1">Demand!B70</f>
        <v xml:space="preserve"> </v>
      </c>
      <c r="AQ61" t="str">
        <f ca="1">IF(TEXT(Demand!D70,"MMM")&lt;&gt;TEXT(Demand!D69,"MMM"),TEXT(Demand!D70,"MMM"),"")</f>
        <v/>
      </c>
      <c r="AT61" s="5">
        <f t="shared" ca="1" si="10"/>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2">
      <c r="A62" s="5">
        <f t="shared" ca="1" si="30"/>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0</v>
      </c>
      <c r="AM62" s="5">
        <f t="shared" ca="1" si="8"/>
        <v>0</v>
      </c>
      <c r="AN62" s="5" t="str">
        <f>IF(Demand!BE71="Yes","Yes","")</f>
        <v/>
      </c>
      <c r="AP62" s="37" t="str">
        <f ca="1">Demand!B71</f>
        <v xml:space="preserve"> </v>
      </c>
      <c r="AQ62" t="str">
        <f ca="1">IF(TEXT(Demand!D71,"MMM")&lt;&gt;TEXT(Demand!D70,"MMM"),TEXT(Demand!D71,"MMM"),"")</f>
        <v/>
      </c>
      <c r="AT62" s="5">
        <f t="shared" ca="1" si="10"/>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2">
      <c r="A63" s="5">
        <f t="shared" ca="1" si="30"/>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0</v>
      </c>
      <c r="AM63" s="5">
        <f t="shared" ca="1" si="8"/>
        <v>0</v>
      </c>
      <c r="AN63" s="5" t="str">
        <f>IF(Demand!BE72="Yes","Yes","")</f>
        <v/>
      </c>
      <c r="AP63" s="37" t="str">
        <f ca="1">Demand!B72</f>
        <v xml:space="preserve"> </v>
      </c>
      <c r="AQ63" t="str">
        <f ca="1">IF(TEXT(Demand!D72,"MMM")&lt;&gt;TEXT(Demand!D71,"MMM"),TEXT(Demand!D72,"MMM"),"")</f>
        <v/>
      </c>
      <c r="AT63" s="5">
        <f t="shared" ca="1" si="10"/>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2">
      <c r="A64" s="5">
        <f t="shared" ca="1" si="30"/>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0</v>
      </c>
      <c r="AM64" s="5">
        <f t="shared" ca="1" si="8"/>
        <v>0</v>
      </c>
      <c r="AN64" s="5" t="str">
        <f>IF(Demand!BE73="Yes","Yes","")</f>
        <v/>
      </c>
      <c r="AP64" s="37" t="str">
        <f ca="1">Demand!B73</f>
        <v xml:space="preserve"> </v>
      </c>
      <c r="AQ64" t="str">
        <f ca="1">IF(TEXT(Demand!D73,"MMM")&lt;&gt;TEXT(Demand!D72,"MMM"),TEXT(Demand!D73,"MMM"),"")</f>
        <v/>
      </c>
      <c r="AT64" s="5">
        <f t="shared" ca="1" si="10"/>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2">
      <c r="A65" s="5">
        <f t="shared" ca="1" si="30"/>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0</v>
      </c>
      <c r="AM65" s="5">
        <f t="shared" ca="1" si="8"/>
        <v>0</v>
      </c>
      <c r="AN65" s="5" t="str">
        <f>IF(Demand!BE74="Yes","Yes","")</f>
        <v/>
      </c>
      <c r="AP65" s="37" t="str">
        <f ca="1">Demand!B74</f>
        <v xml:space="preserve"> </v>
      </c>
      <c r="AQ65" t="str">
        <f ca="1">IF(TEXT(Demand!D74,"MMM")&lt;&gt;TEXT(Demand!D73,"MMM"),TEXT(Demand!D74,"MMM"),"")</f>
        <v/>
      </c>
      <c r="AT65" s="5">
        <f t="shared" ca="1" si="10"/>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2">
      <c r="A66" s="5">
        <f t="shared" ca="1" si="30"/>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0</v>
      </c>
      <c r="AM66" s="5">
        <f t="shared" ca="1" si="8"/>
        <v>0</v>
      </c>
      <c r="AN66" s="5" t="str">
        <f>IF(Demand!BE75="Yes","Yes","")</f>
        <v/>
      </c>
      <c r="AP66" s="37" t="str">
        <f ca="1">Demand!B75</f>
        <v xml:space="preserve"> </v>
      </c>
      <c r="AQ66" t="str">
        <f ca="1">IF(TEXT(Demand!D75,"MMM")&lt;&gt;TEXT(Demand!D74,"MMM"),TEXT(Demand!D75,"MMM"),"")</f>
        <v/>
      </c>
      <c r="AT66" s="5">
        <f t="shared" ca="1" si="10"/>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2">
      <c r="A67" s="5">
        <f t="shared" ca="1" si="30"/>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0</v>
      </c>
      <c r="AM67" s="5">
        <f t="shared" ca="1" si="8"/>
        <v>0</v>
      </c>
      <c r="AN67" s="5" t="str">
        <f>IF(Demand!BE76="Yes","Yes","")</f>
        <v/>
      </c>
      <c r="AP67" s="37" t="str">
        <f ca="1">Demand!B76</f>
        <v xml:space="preserve"> </v>
      </c>
      <c r="AQ67" t="str">
        <f ca="1">IF(TEXT(Demand!D76,"MMM")&lt;&gt;TEXT(Demand!D75,"MMM"),TEXT(Demand!D76,"MMM"),"")</f>
        <v/>
      </c>
      <c r="AT67" s="5">
        <f t="shared" ca="1" si="10"/>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2">
      <c r="A68" s="5">
        <f t="shared" ca="1" si="30"/>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0</v>
      </c>
      <c r="Y68">
        <f t="shared" ref="Y68:Y131" ca="1" si="32">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0</v>
      </c>
      <c r="AM68" s="5">
        <f t="shared" ca="1" si="8"/>
        <v>0</v>
      </c>
      <c r="AN68" s="5" t="str">
        <f>IF(Demand!BE77="Yes","Yes","")</f>
        <v/>
      </c>
      <c r="AP68" s="37" t="str">
        <f ca="1">Demand!B77</f>
        <v xml:space="preserve"> </v>
      </c>
      <c r="AQ68" t="str">
        <f ca="1">IF(TEXT(Demand!D77,"MMM")&lt;&gt;TEXT(Demand!D76,"MMM"),TEXT(Demand!D77,"MMM"),"")</f>
        <v/>
      </c>
      <c r="AT68" s="5">
        <f t="shared" ca="1" si="10"/>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2">
      <c r="A69" s="5">
        <f t="shared" ca="1" si="30"/>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0</v>
      </c>
      <c r="Y69">
        <f t="shared" ca="1" si="32"/>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0</v>
      </c>
      <c r="AM69" s="5">
        <f t="shared" ref="AM69:AM132" ca="1" si="35">IF(AN69&lt;&gt;"","",AJ69)</f>
        <v>0</v>
      </c>
      <c r="AN69" s="5" t="str">
        <f>IF(Demand!BE78="Yes","Yes","")</f>
        <v/>
      </c>
      <c r="AP69" s="37" t="str">
        <f ca="1">Demand!B78</f>
        <v xml:space="preserve"> </v>
      </c>
      <c r="AQ69" t="str">
        <f ca="1">IF(TEXT(Demand!D78,"MMM")&lt;&gt;TEXT(Demand!D77,"MMM"),TEXT(Demand!D78,"MMM"),"")</f>
        <v/>
      </c>
      <c r="AT69" s="5">
        <f t="shared" ca="1" si="10"/>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2">
      <c r="A70" s="5">
        <f t="shared" ca="1" si="30"/>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0</v>
      </c>
      <c r="Y70">
        <f t="shared" ca="1" si="32"/>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0</v>
      </c>
      <c r="AM70" s="5">
        <f t="shared" ca="1" si="35"/>
        <v>0</v>
      </c>
      <c r="AN70" s="5" t="str">
        <f>IF(Demand!BE79="Yes","Yes","")</f>
        <v/>
      </c>
      <c r="AP70" s="37" t="str">
        <f ca="1">Demand!B79</f>
        <v xml:space="preserve"> </v>
      </c>
      <c r="AQ70" t="str">
        <f ca="1">IF(TEXT(Demand!D79,"MMM")&lt;&gt;TEXT(Demand!D78,"MMM"),TEXT(Demand!D79,"MMM"),"")</f>
        <v/>
      </c>
      <c r="AT70" s="5">
        <f t="shared" ref="AT70:AT133" ca="1" si="37">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2">
      <c r="A71" s="5">
        <f t="shared" ca="1" si="30"/>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0</v>
      </c>
      <c r="Y71">
        <f t="shared" ca="1" si="32"/>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0</v>
      </c>
      <c r="AM71" s="5">
        <f t="shared" ca="1" si="35"/>
        <v>0</v>
      </c>
      <c r="AN71" s="5" t="str">
        <f>IF(Demand!BE80="Yes","Yes","")</f>
        <v/>
      </c>
      <c r="AP71" s="37" t="str">
        <f ca="1">Demand!B80</f>
        <v xml:space="preserve"> </v>
      </c>
      <c r="AQ71" t="str">
        <f ca="1">IF(TEXT(Demand!D80,"MMM")&lt;&gt;TEXT(Demand!D79,"MMM"),TEXT(Demand!D80,"MMM"),"")</f>
        <v/>
      </c>
      <c r="AT71" s="5">
        <f t="shared" ca="1" si="37"/>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2">
      <c r="A72" s="5">
        <f t="shared" ca="1" si="30"/>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0</v>
      </c>
      <c r="Y72">
        <f t="shared" ca="1" si="32"/>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0</v>
      </c>
      <c r="AM72" s="5">
        <f t="shared" ca="1" si="35"/>
        <v>0</v>
      </c>
      <c r="AN72" s="5" t="str">
        <f>IF(Demand!BE81="Yes","Yes","")</f>
        <v/>
      </c>
      <c r="AP72" s="37" t="str">
        <f ca="1">Demand!B81</f>
        <v xml:space="preserve"> </v>
      </c>
      <c r="AQ72" t="str">
        <f ca="1">IF(TEXT(Demand!D81,"MMM")&lt;&gt;TEXT(Demand!D80,"MMM"),TEXT(Demand!D81,"MMM"),"")</f>
        <v/>
      </c>
      <c r="AT72" s="5">
        <f t="shared" ca="1" si="37"/>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2">
      <c r="A73" s="5">
        <f t="shared" ca="1" si="30"/>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0</v>
      </c>
      <c r="Y73">
        <f t="shared" ca="1" si="32"/>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0</v>
      </c>
      <c r="AM73" s="5">
        <f t="shared" ca="1" si="35"/>
        <v>0</v>
      </c>
      <c r="AN73" s="5" t="str">
        <f>IF(Demand!BE82="Yes","Yes","")</f>
        <v/>
      </c>
      <c r="AP73" s="37" t="str">
        <f ca="1">Demand!B82</f>
        <v xml:space="preserve"> </v>
      </c>
      <c r="AQ73" t="str">
        <f ca="1">IF(TEXT(Demand!D82,"MMM")&lt;&gt;TEXT(Demand!D81,"MMM"),TEXT(Demand!D82,"MMM"),"")</f>
        <v/>
      </c>
      <c r="AT73" s="5">
        <f t="shared" ca="1" si="37"/>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2">
      <c r="A74" s="5">
        <f t="shared" ca="1" si="30"/>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0</v>
      </c>
      <c r="Y74">
        <f t="shared" ca="1" si="32"/>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0</v>
      </c>
      <c r="AM74" s="5">
        <f t="shared" ca="1" si="35"/>
        <v>0</v>
      </c>
      <c r="AN74" s="5" t="str">
        <f>IF(Demand!BE83="Yes","Yes","")</f>
        <v/>
      </c>
      <c r="AP74" s="37" t="str">
        <f ca="1">Demand!B83</f>
        <v xml:space="preserve"> </v>
      </c>
      <c r="AQ74" t="str">
        <f ca="1">IF(TEXT(Demand!D83,"MMM")&lt;&gt;TEXT(Demand!D82,"MMM"),TEXT(Demand!D83,"MMM"),"")</f>
        <v/>
      </c>
      <c r="AT74" s="5">
        <f t="shared" ca="1" si="37"/>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2">
      <c r="A75" s="5">
        <f t="shared" ca="1" si="30"/>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0</v>
      </c>
      <c r="Y75">
        <f t="shared" ca="1" si="32"/>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0</v>
      </c>
      <c r="AM75" s="5">
        <f t="shared" ca="1" si="35"/>
        <v>0</v>
      </c>
      <c r="AN75" s="5" t="str">
        <f>IF(Demand!BE84="Yes","Yes","")</f>
        <v/>
      </c>
      <c r="AP75" s="37" t="str">
        <f ca="1">Demand!B84</f>
        <v xml:space="preserve"> </v>
      </c>
      <c r="AQ75" t="str">
        <f ca="1">IF(TEXT(Demand!D84,"MMM")&lt;&gt;TEXT(Demand!D83,"MMM"),TEXT(Demand!D84,"MMM"),"")</f>
        <v/>
      </c>
      <c r="AT75" s="5">
        <f t="shared" ca="1" si="37"/>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2">
      <c r="A76" s="5">
        <f t="shared" ca="1" si="30"/>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0</v>
      </c>
      <c r="Y76">
        <f t="shared" ca="1" si="32"/>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0</v>
      </c>
      <c r="AM76" s="5">
        <f t="shared" ca="1" si="35"/>
        <v>0</v>
      </c>
      <c r="AN76" s="5" t="str">
        <f>IF(Demand!BE85="Yes","Yes","")</f>
        <v/>
      </c>
      <c r="AP76" s="37" t="str">
        <f ca="1">Demand!B85</f>
        <v xml:space="preserve"> </v>
      </c>
      <c r="AQ76" t="str">
        <f ca="1">IF(TEXT(Demand!D85,"MMM")&lt;&gt;TEXT(Demand!D84,"MMM"),TEXT(Demand!D85,"MMM"),"")</f>
        <v/>
      </c>
      <c r="AT76" s="5">
        <f t="shared" ca="1" si="37"/>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2">
      <c r="A77" s="5">
        <f t="shared" ca="1" si="30"/>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0</v>
      </c>
      <c r="Y77">
        <f t="shared" ca="1" si="32"/>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0</v>
      </c>
      <c r="AM77" s="5">
        <f t="shared" ca="1" si="35"/>
        <v>0</v>
      </c>
      <c r="AN77" s="5" t="str">
        <f>IF(Demand!BE86="Yes","Yes","")</f>
        <v/>
      </c>
      <c r="AP77" s="37" t="str">
        <f ca="1">Demand!B86</f>
        <v xml:space="preserve"> </v>
      </c>
      <c r="AQ77" t="str">
        <f ca="1">IF(TEXT(Demand!D86,"MMM")&lt;&gt;TEXT(Demand!D85,"MMM"),TEXT(Demand!D86,"MMM"),"")</f>
        <v/>
      </c>
      <c r="AT77" s="5">
        <f t="shared" ca="1" si="37"/>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2">
      <c r="A78" s="5">
        <f t="shared" ca="1" si="30"/>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0</v>
      </c>
      <c r="Y78">
        <f t="shared" ca="1" si="32"/>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0</v>
      </c>
      <c r="AM78" s="5">
        <f t="shared" ca="1" si="35"/>
        <v>0</v>
      </c>
      <c r="AN78" s="5" t="str">
        <f>IF(Demand!BE87="Yes","Yes","")</f>
        <v/>
      </c>
      <c r="AP78" s="37" t="str">
        <f ca="1">Demand!B87</f>
        <v xml:space="preserve"> </v>
      </c>
      <c r="AQ78" t="str">
        <f ca="1">IF(TEXT(Demand!D87,"MMM")&lt;&gt;TEXT(Demand!D86,"MMM"),TEXT(Demand!D87,"MMM"),"")</f>
        <v/>
      </c>
      <c r="AT78" s="5">
        <f t="shared" ca="1" si="37"/>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2">
      <c r="A79" s="5">
        <f t="shared" ca="1" si="30"/>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0</v>
      </c>
      <c r="Y79">
        <f t="shared" ca="1" si="32"/>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0</v>
      </c>
      <c r="AM79" s="5">
        <f t="shared" ca="1" si="35"/>
        <v>0</v>
      </c>
      <c r="AN79" s="5" t="str">
        <f>IF(Demand!BE88="Yes","Yes","")</f>
        <v/>
      </c>
      <c r="AP79" s="37" t="str">
        <f ca="1">Demand!B88</f>
        <v xml:space="preserve"> </v>
      </c>
      <c r="AQ79" t="str">
        <f ca="1">IF(TEXT(Demand!D88,"MMM")&lt;&gt;TEXT(Demand!D87,"MMM"),TEXT(Demand!D88,"MMM"),"")</f>
        <v/>
      </c>
      <c r="AT79" s="5">
        <f t="shared" ca="1" si="37"/>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2">
      <c r="A80" s="5">
        <f t="shared" ca="1" si="30"/>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0</v>
      </c>
      <c r="Y80">
        <f t="shared" ca="1" si="32"/>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0</v>
      </c>
      <c r="AM80" s="5">
        <f t="shared" ca="1" si="35"/>
        <v>0</v>
      </c>
      <c r="AN80" s="5" t="str">
        <f>IF(Demand!BE89="Yes","Yes","")</f>
        <v/>
      </c>
      <c r="AP80" s="37" t="str">
        <f ca="1">Demand!B89</f>
        <v xml:space="preserve"> </v>
      </c>
      <c r="AQ80" t="str">
        <f ca="1">IF(TEXT(Demand!D89,"MMM")&lt;&gt;TEXT(Demand!D88,"MMM"),TEXT(Demand!D89,"MMM"),"")</f>
        <v/>
      </c>
      <c r="AT80" s="5">
        <f t="shared" ca="1" si="37"/>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2">
      <c r="A81" s="5">
        <f t="shared" ca="1" si="30"/>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0</v>
      </c>
      <c r="Y81">
        <f t="shared" ca="1" si="32"/>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0</v>
      </c>
      <c r="AM81" s="5">
        <f t="shared" ca="1" si="35"/>
        <v>0</v>
      </c>
      <c r="AN81" s="5" t="str">
        <f>IF(Demand!BE90="Yes","Yes","")</f>
        <v/>
      </c>
      <c r="AP81" s="37" t="str">
        <f ca="1">Demand!B90</f>
        <v xml:space="preserve"> </v>
      </c>
      <c r="AQ81" t="str">
        <f ca="1">IF(TEXT(Demand!D90,"MMM")&lt;&gt;TEXT(Demand!D89,"MMM"),TEXT(Demand!D90,"MMM"),"")</f>
        <v/>
      </c>
      <c r="AT81" s="5">
        <f t="shared" ca="1" si="37"/>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2">
      <c r="A82" s="5">
        <f t="shared" ca="1" si="30"/>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0</v>
      </c>
      <c r="Y82">
        <f t="shared" ca="1" si="32"/>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0</v>
      </c>
      <c r="AM82" s="5">
        <f t="shared" ca="1" si="35"/>
        <v>0</v>
      </c>
      <c r="AN82" s="5" t="str">
        <f>IF(Demand!BE91="Yes","Yes","")</f>
        <v/>
      </c>
      <c r="AP82" s="37" t="str">
        <f ca="1">Demand!B91</f>
        <v xml:space="preserve"> </v>
      </c>
      <c r="AQ82" t="str">
        <f ca="1">IF(TEXT(Demand!D91,"MMM")&lt;&gt;TEXT(Demand!D90,"MMM"),TEXT(Demand!D91,"MMM"),"")</f>
        <v/>
      </c>
      <c r="AT82" s="5">
        <f t="shared" ca="1" si="37"/>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2">
      <c r="A83" s="5">
        <f t="shared" ca="1" si="30"/>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0</v>
      </c>
      <c r="Y83">
        <f t="shared" ca="1" si="32"/>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0</v>
      </c>
      <c r="AM83" s="5">
        <f t="shared" ca="1" si="35"/>
        <v>0</v>
      </c>
      <c r="AN83" s="5" t="str">
        <f>IF(Demand!BE92="Yes","Yes","")</f>
        <v/>
      </c>
      <c r="AP83" s="37" t="str">
        <f ca="1">Demand!B92</f>
        <v xml:space="preserve"> </v>
      </c>
      <c r="AQ83" t="str">
        <f ca="1">IF(TEXT(Demand!D92,"MMM")&lt;&gt;TEXT(Demand!D91,"MMM"),TEXT(Demand!D92,"MMM"),"")</f>
        <v/>
      </c>
      <c r="AT83" s="5">
        <f t="shared" ca="1" si="37"/>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2">
      <c r="A84" s="5">
        <f t="shared" ca="1" si="30"/>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0</v>
      </c>
      <c r="Y84">
        <f t="shared" ca="1" si="32"/>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0</v>
      </c>
      <c r="AM84" s="5">
        <f t="shared" ca="1" si="35"/>
        <v>0</v>
      </c>
      <c r="AN84" s="5" t="str">
        <f>IF(Demand!BE93="Yes","Yes","")</f>
        <v/>
      </c>
      <c r="AP84" s="37" t="str">
        <f ca="1">Demand!B93</f>
        <v xml:space="preserve"> </v>
      </c>
      <c r="AQ84" t="str">
        <f ca="1">IF(TEXT(Demand!D93,"MMM")&lt;&gt;TEXT(Demand!D92,"MMM"),TEXT(Demand!D93,"MMM"),"")</f>
        <v/>
      </c>
      <c r="AT84" s="5">
        <f t="shared" ca="1" si="37"/>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2">
      <c r="A85" s="5">
        <f t="shared" ca="1" si="30"/>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0</v>
      </c>
      <c r="Y85">
        <f t="shared" ca="1" si="32"/>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0</v>
      </c>
      <c r="AM85" s="5">
        <f t="shared" ca="1" si="35"/>
        <v>0</v>
      </c>
      <c r="AN85" s="5" t="str">
        <f>IF(Demand!BE94="Yes","Yes","")</f>
        <v/>
      </c>
      <c r="AP85" s="37" t="str">
        <f ca="1">Demand!B94</f>
        <v xml:space="preserve"> </v>
      </c>
      <c r="AQ85" t="str">
        <f ca="1">IF(TEXT(Demand!D94,"MMM")&lt;&gt;TEXT(Demand!D93,"MMM"),TEXT(Demand!D94,"MMM"),"")</f>
        <v/>
      </c>
      <c r="AT85" s="5">
        <f t="shared" ca="1" si="37"/>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2">
      <c r="A86" s="5">
        <f t="shared" ca="1" si="30"/>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0</v>
      </c>
      <c r="Y86">
        <f t="shared" ca="1" si="32"/>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0</v>
      </c>
      <c r="AM86" s="5">
        <f t="shared" ca="1" si="35"/>
        <v>0</v>
      </c>
      <c r="AN86" s="5" t="str">
        <f>IF(Demand!BE95="Yes","Yes","")</f>
        <v/>
      </c>
      <c r="AP86" s="37" t="str">
        <f ca="1">Demand!B95</f>
        <v xml:space="preserve"> </v>
      </c>
      <c r="AQ86" t="str">
        <f ca="1">IF(TEXT(Demand!D95,"MMM")&lt;&gt;TEXT(Demand!D94,"MMM"),TEXT(Demand!D95,"MMM"),"")</f>
        <v/>
      </c>
      <c r="AT86" s="5">
        <f t="shared" ca="1" si="37"/>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2">
      <c r="A87" s="5">
        <f t="shared" ca="1" si="30"/>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0</v>
      </c>
      <c r="Y87">
        <f t="shared" ca="1" si="32"/>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0</v>
      </c>
      <c r="AM87" s="5">
        <f t="shared" ca="1" si="35"/>
        <v>0</v>
      </c>
      <c r="AN87" s="5" t="str">
        <f>IF(Demand!BE96="Yes","Yes","")</f>
        <v/>
      </c>
      <c r="AP87" s="37" t="str">
        <f ca="1">Demand!B96</f>
        <v xml:space="preserve"> </v>
      </c>
      <c r="AQ87" t="str">
        <f ca="1">IF(TEXT(Demand!D96,"MMM")&lt;&gt;TEXT(Demand!D95,"MMM"),TEXT(Demand!D96,"MMM"),"")</f>
        <v/>
      </c>
      <c r="AT87" s="5">
        <f t="shared" ca="1" si="37"/>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2">
      <c r="A88" s="5">
        <f t="shared" ca="1" si="30"/>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0</v>
      </c>
      <c r="Y88">
        <f t="shared" ca="1" si="32"/>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0</v>
      </c>
      <c r="AM88" s="5">
        <f t="shared" ca="1" si="35"/>
        <v>0</v>
      </c>
      <c r="AN88" s="5" t="str">
        <f>IF(Demand!BE97="Yes","Yes","")</f>
        <v/>
      </c>
      <c r="AP88" s="37" t="str">
        <f ca="1">Demand!B97</f>
        <v xml:space="preserve"> </v>
      </c>
      <c r="AQ88" t="str">
        <f ca="1">IF(TEXT(Demand!D97,"MMM")&lt;&gt;TEXT(Demand!D96,"MMM"),TEXT(Demand!D97,"MMM"),"")</f>
        <v/>
      </c>
      <c r="AT88" s="5">
        <f t="shared" ca="1" si="37"/>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2">
      <c r="A89" s="5">
        <f t="shared" ca="1" si="30"/>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0</v>
      </c>
      <c r="Y89">
        <f t="shared" ca="1" si="32"/>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0</v>
      </c>
      <c r="AM89" s="5">
        <f t="shared" ca="1" si="35"/>
        <v>0</v>
      </c>
      <c r="AN89" s="5" t="str">
        <f>IF(Demand!BE98="Yes","Yes","")</f>
        <v/>
      </c>
      <c r="AP89" s="37" t="str">
        <f ca="1">Demand!B98</f>
        <v xml:space="preserve"> </v>
      </c>
      <c r="AQ89" t="str">
        <f ca="1">IF(TEXT(Demand!D98,"MMM")&lt;&gt;TEXT(Demand!D97,"MMM"),TEXT(Demand!D98,"MMM"),"")</f>
        <v/>
      </c>
      <c r="AT89" s="5">
        <f t="shared" ca="1" si="37"/>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2">
      <c r="A90" s="5">
        <f t="shared" ca="1" si="30"/>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0</v>
      </c>
      <c r="Y90">
        <f t="shared" ca="1" si="32"/>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0</v>
      </c>
      <c r="AM90" s="5">
        <f t="shared" ca="1" si="35"/>
        <v>0</v>
      </c>
      <c r="AN90" s="5" t="str">
        <f>IF(Demand!BE99="Yes","Yes","")</f>
        <v/>
      </c>
      <c r="AP90" s="37" t="str">
        <f ca="1">Demand!B99</f>
        <v xml:space="preserve"> </v>
      </c>
      <c r="AQ90" t="str">
        <f ca="1">IF(TEXT(Demand!D99,"MMM")&lt;&gt;TEXT(Demand!D98,"MMM"),TEXT(Demand!D99,"MMM"),"")</f>
        <v/>
      </c>
      <c r="AT90" s="5">
        <f t="shared" ca="1" si="37"/>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2">
      <c r="A91" s="5">
        <f t="shared" ca="1" si="30"/>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0</v>
      </c>
      <c r="Y91">
        <f t="shared" ca="1" si="32"/>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0</v>
      </c>
      <c r="AM91" s="5">
        <f t="shared" ca="1" si="35"/>
        <v>0</v>
      </c>
      <c r="AN91" s="5" t="str">
        <f>IF(Demand!BE100="Yes","Yes","")</f>
        <v/>
      </c>
      <c r="AP91" s="37" t="str">
        <f ca="1">Demand!B100</f>
        <v xml:space="preserve"> </v>
      </c>
      <c r="AQ91" t="str">
        <f ca="1">IF(TEXT(Demand!D100,"MMM")&lt;&gt;TEXT(Demand!D99,"MMM"),TEXT(Demand!D100,"MMM"),"")</f>
        <v/>
      </c>
      <c r="AT91" s="5">
        <f t="shared" ca="1" si="37"/>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2">
      <c r="A92" s="5">
        <f t="shared" ca="1" si="30"/>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0</v>
      </c>
      <c r="Y92">
        <f t="shared" ca="1" si="32"/>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0</v>
      </c>
      <c r="AM92" s="5">
        <f t="shared" ca="1" si="35"/>
        <v>0</v>
      </c>
      <c r="AN92" s="5" t="str">
        <f>IF(Demand!BE101="Yes","Yes","")</f>
        <v/>
      </c>
      <c r="AP92" s="37" t="str">
        <f ca="1">Demand!B101</f>
        <v xml:space="preserve"> </v>
      </c>
      <c r="AQ92" t="str">
        <f ca="1">IF(TEXT(Demand!D101,"MMM")&lt;&gt;TEXT(Demand!D100,"MMM"),TEXT(Demand!D101,"MMM"),"")</f>
        <v/>
      </c>
      <c r="AT92" s="5">
        <f t="shared" ca="1" si="37"/>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2">
      <c r="A93" s="5">
        <f t="shared" ca="1" si="30"/>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0</v>
      </c>
      <c r="Y93">
        <f t="shared" ca="1" si="32"/>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2">
      <c r="A94" s="5">
        <f t="shared" ca="1" si="30"/>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0</v>
      </c>
      <c r="Y94">
        <f t="shared" ca="1" si="32"/>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0</v>
      </c>
      <c r="AM94" s="5">
        <f t="shared" ca="1" si="35"/>
        <v>0</v>
      </c>
      <c r="AN94" s="5" t="str">
        <f>IF(Demand!BE103="Yes","Yes","")</f>
        <v/>
      </c>
      <c r="AP94" s="37" t="str">
        <f ca="1">Demand!B103</f>
        <v xml:space="preserve"> </v>
      </c>
      <c r="AQ94" t="str">
        <f ca="1">IF(TEXT(Demand!D103,"MMM")&lt;&gt;TEXT(Demand!D102,"MMM"),TEXT(Demand!D103,"MMM"),"")</f>
        <v/>
      </c>
      <c r="AT94" s="5">
        <f t="shared" ca="1" si="37"/>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2">
      <c r="A95" s="5">
        <f t="shared" ca="1" si="30"/>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0</v>
      </c>
      <c r="Y95">
        <f t="shared" ca="1" si="32"/>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0</v>
      </c>
      <c r="AM95" s="5">
        <f t="shared" ca="1" si="35"/>
        <v>0</v>
      </c>
      <c r="AN95" s="5" t="str">
        <f>IF(Demand!BE104="Yes","Yes","")</f>
        <v/>
      </c>
      <c r="AP95" s="37" t="str">
        <f ca="1">Demand!B104</f>
        <v xml:space="preserve"> </v>
      </c>
      <c r="AQ95" t="str">
        <f ca="1">IF(TEXT(Demand!D104,"MMM")&lt;&gt;TEXT(Demand!D103,"MMM"),TEXT(Demand!D104,"MMM"),"")</f>
        <v/>
      </c>
      <c r="AT95" s="5">
        <f t="shared" ca="1" si="37"/>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2">
      <c r="A96" s="5">
        <f t="shared" ca="1" si="30"/>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0</v>
      </c>
      <c r="Y96">
        <f t="shared" ca="1" si="32"/>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0</v>
      </c>
      <c r="AM96" s="5">
        <f t="shared" ca="1" si="35"/>
        <v>0</v>
      </c>
      <c r="AN96" s="5" t="str">
        <f>IF(Demand!BE105="Yes","Yes","")</f>
        <v/>
      </c>
      <c r="AP96" s="37" t="str">
        <f ca="1">Demand!B105</f>
        <v xml:space="preserve"> </v>
      </c>
      <c r="AQ96" t="str">
        <f ca="1">IF(TEXT(Demand!D105,"MMM")&lt;&gt;TEXT(Demand!D104,"MMM"),TEXT(Demand!D105,"MMM"),"")</f>
        <v/>
      </c>
      <c r="AT96" s="5">
        <f t="shared" ca="1" si="37"/>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2">
      <c r="A97" s="5">
        <f t="shared" ca="1" si="30"/>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0</v>
      </c>
      <c r="Y97">
        <f t="shared" ca="1" si="32"/>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0</v>
      </c>
      <c r="AM97" s="5">
        <f t="shared" ca="1" si="35"/>
        <v>0</v>
      </c>
      <c r="AN97" s="5" t="str">
        <f>IF(Demand!BE106="Yes","Yes","")</f>
        <v/>
      </c>
      <c r="AP97" s="37" t="str">
        <f ca="1">Demand!B106</f>
        <v xml:space="preserve"> </v>
      </c>
      <c r="AQ97" t="str">
        <f ca="1">IF(TEXT(Demand!D106,"MMM")&lt;&gt;TEXT(Demand!D105,"MMM"),TEXT(Demand!D106,"MMM"),"")</f>
        <v/>
      </c>
      <c r="AT97" s="5">
        <f t="shared" ca="1" si="37"/>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2">
      <c r="A98" s="5">
        <f t="shared" ca="1" si="30"/>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0</v>
      </c>
      <c r="Y98">
        <f t="shared" ca="1" si="32"/>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0</v>
      </c>
      <c r="AM98" s="5">
        <f t="shared" ca="1" si="35"/>
        <v>0</v>
      </c>
      <c r="AN98" s="5" t="str">
        <f>IF(Demand!BE107="Yes","Yes","")</f>
        <v/>
      </c>
      <c r="AP98" s="37" t="str">
        <f ca="1">Demand!B107</f>
        <v xml:space="preserve"> </v>
      </c>
      <c r="AQ98" t="str">
        <f ca="1">IF(TEXT(Demand!D107,"MMM")&lt;&gt;TEXT(Demand!D106,"MMM"),TEXT(Demand!D107,"MMM"),"")</f>
        <v/>
      </c>
      <c r="AT98" s="5">
        <f t="shared" ca="1" si="37"/>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2">
      <c r="A99" s="5">
        <f t="shared" ca="1" si="30"/>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0</v>
      </c>
      <c r="Y99">
        <f t="shared" ca="1" si="32"/>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0</v>
      </c>
      <c r="AM99" s="5">
        <f t="shared" ca="1" si="35"/>
        <v>0</v>
      </c>
      <c r="AN99" s="5" t="str">
        <f>IF(Demand!BE108="Yes","Yes","")</f>
        <v/>
      </c>
      <c r="AP99" s="37" t="str">
        <f ca="1">Demand!B108</f>
        <v xml:space="preserve"> </v>
      </c>
      <c r="AQ99" t="str">
        <f ca="1">IF(TEXT(Demand!D108,"MMM")&lt;&gt;TEXT(Demand!D107,"MMM"),TEXT(Demand!D108,"MMM"),"")</f>
        <v/>
      </c>
      <c r="AT99" s="5">
        <f t="shared" ca="1" si="37"/>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2">
      <c r="A100" s="5">
        <f t="shared" ca="1" si="30"/>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0</v>
      </c>
      <c r="Y100">
        <f t="shared" ca="1" si="32"/>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0</v>
      </c>
      <c r="AM100" s="5">
        <f t="shared" ca="1" si="35"/>
        <v>0</v>
      </c>
      <c r="AN100" s="5" t="str">
        <f>IF(Demand!BE109="Yes","Yes","")</f>
        <v/>
      </c>
      <c r="AP100" s="37" t="str">
        <f ca="1">Demand!B109</f>
        <v xml:space="preserve"> </v>
      </c>
      <c r="AQ100" t="str">
        <f ca="1">IF(TEXT(Demand!D109,"MMM")&lt;&gt;TEXT(Demand!D108,"MMM"),TEXT(Demand!D109,"MMM"),"")</f>
        <v/>
      </c>
      <c r="AT100" s="5">
        <f t="shared" ca="1" si="37"/>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2">
      <c r="A101" s="5">
        <f t="shared" ca="1" si="30"/>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0</v>
      </c>
      <c r="Y101">
        <f t="shared" ca="1" si="32"/>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0</v>
      </c>
      <c r="AM101" s="5">
        <f t="shared" ca="1" si="35"/>
        <v>0</v>
      </c>
      <c r="AN101" s="5" t="str">
        <f>IF(Demand!BE110="Yes","Yes","")</f>
        <v/>
      </c>
      <c r="AP101" s="37" t="str">
        <f ca="1">Demand!B110</f>
        <v xml:space="preserve"> </v>
      </c>
      <c r="AQ101" t="str">
        <f ca="1">IF(TEXT(Demand!D110,"MMM")&lt;&gt;TEXT(Demand!D109,"MMM"),TEXT(Demand!D110,"MMM"),"")</f>
        <v/>
      </c>
      <c r="AT101" s="5">
        <f t="shared" ca="1" si="37"/>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2">
      <c r="A102" s="5">
        <f t="shared" ca="1" si="30"/>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0</v>
      </c>
      <c r="Y102">
        <f t="shared" ca="1" si="32"/>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0</v>
      </c>
      <c r="AM102" s="5">
        <f t="shared" ca="1" si="35"/>
        <v>0</v>
      </c>
      <c r="AN102" s="5" t="str">
        <f>IF(Demand!BE111="Yes","Yes","")</f>
        <v/>
      </c>
      <c r="AP102" s="37" t="str">
        <f ca="1">Demand!B111</f>
        <v xml:space="preserve"> </v>
      </c>
      <c r="AQ102" t="str">
        <f ca="1">IF(TEXT(Demand!D111,"MMM")&lt;&gt;TEXT(Demand!D110,"MMM"),TEXT(Demand!D111,"MMM"),"")</f>
        <v/>
      </c>
      <c r="AT102" s="5">
        <f t="shared" ca="1" si="37"/>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2">
      <c r="A103" s="5">
        <f t="shared" ca="1" si="30"/>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0</v>
      </c>
      <c r="Y103">
        <f t="shared" ca="1" si="32"/>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0</v>
      </c>
      <c r="AM103" s="5">
        <f t="shared" ca="1" si="35"/>
        <v>0</v>
      </c>
      <c r="AN103" s="5" t="str">
        <f>IF(Demand!BE112="Yes","Yes","")</f>
        <v/>
      </c>
      <c r="AP103" s="37" t="str">
        <f ca="1">Demand!B112</f>
        <v xml:space="preserve"> </v>
      </c>
      <c r="AQ103" t="str">
        <f ca="1">IF(TEXT(Demand!D112,"MMM")&lt;&gt;TEXT(Demand!D111,"MMM"),TEXT(Demand!D112,"MMM"),"")</f>
        <v/>
      </c>
      <c r="AT103" s="5">
        <f t="shared" ca="1" si="37"/>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2">
      <c r="A104" s="5">
        <f t="shared" ca="1" si="30"/>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0</v>
      </c>
      <c r="Y104">
        <f t="shared" ca="1" si="32"/>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0</v>
      </c>
      <c r="AM104" s="5">
        <f t="shared" ca="1" si="35"/>
        <v>0</v>
      </c>
      <c r="AN104" s="5" t="str">
        <f>IF(Demand!BE113="Yes","Yes","")</f>
        <v/>
      </c>
      <c r="AP104" s="37" t="str">
        <f ca="1">Demand!B113</f>
        <v xml:space="preserve"> </v>
      </c>
      <c r="AQ104" t="str">
        <f ca="1">IF(TEXT(Demand!D113,"MMM")&lt;&gt;TEXT(Demand!D112,"MMM"),TEXT(Demand!D113,"MMM"),"")</f>
        <v/>
      </c>
      <c r="AT104" s="5">
        <f t="shared" ca="1" si="37"/>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2">
      <c r="A105" s="5">
        <f t="shared" ca="1" si="30"/>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0</v>
      </c>
      <c r="Y105">
        <f t="shared" ca="1" si="32"/>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0</v>
      </c>
      <c r="AM105" s="5">
        <f t="shared" ca="1" si="35"/>
        <v>0</v>
      </c>
      <c r="AN105" s="5" t="str">
        <f>IF(Demand!BE114="Yes","Yes","")</f>
        <v/>
      </c>
      <c r="AP105" s="37" t="str">
        <f ca="1">Demand!B114</f>
        <v xml:space="preserve"> </v>
      </c>
      <c r="AQ105" t="str">
        <f ca="1">IF(TEXT(Demand!D114,"MMM")&lt;&gt;TEXT(Demand!D113,"MMM"),TEXT(Demand!D114,"MMM"),"")</f>
        <v/>
      </c>
      <c r="AT105" s="5">
        <f t="shared" ca="1" si="37"/>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2">
      <c r="A106" s="5">
        <f t="shared" ca="1" si="30"/>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0</v>
      </c>
      <c r="Y106">
        <f t="shared" ca="1" si="32"/>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0</v>
      </c>
      <c r="AM106" s="5">
        <f t="shared" ca="1" si="35"/>
        <v>0</v>
      </c>
      <c r="AN106" s="5" t="str">
        <f>IF(Demand!BE115="Yes","Yes","")</f>
        <v/>
      </c>
      <c r="AP106" s="37" t="str">
        <f ca="1">Demand!B115</f>
        <v xml:space="preserve"> </v>
      </c>
      <c r="AQ106" t="str">
        <f ca="1">IF(TEXT(Demand!D115,"MMM")&lt;&gt;TEXT(Demand!D114,"MMM"),TEXT(Demand!D115,"MMM"),"")</f>
        <v/>
      </c>
      <c r="AT106" s="5">
        <f t="shared" ca="1" si="37"/>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2">
      <c r="A107" s="5">
        <f t="shared" ca="1" si="30"/>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0</v>
      </c>
      <c r="Y107">
        <f t="shared" ca="1" si="32"/>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0</v>
      </c>
      <c r="AM107" s="5">
        <f t="shared" ca="1" si="35"/>
        <v>0</v>
      </c>
      <c r="AN107" s="5" t="str">
        <f>IF(Demand!BE116="Yes","Yes","")</f>
        <v/>
      </c>
      <c r="AP107" s="37" t="str">
        <f ca="1">Demand!B116</f>
        <v xml:space="preserve"> </v>
      </c>
      <c r="AQ107" t="str">
        <f ca="1">IF(TEXT(Demand!D116,"MMM")&lt;&gt;TEXT(Demand!D115,"MMM"),TEXT(Demand!D116,"MMM"),"")</f>
        <v/>
      </c>
      <c r="AT107" s="5">
        <f t="shared" ca="1" si="37"/>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2">
      <c r="A108" s="5">
        <f t="shared" ca="1" si="30"/>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0</v>
      </c>
      <c r="Y108">
        <f t="shared" ca="1" si="32"/>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0</v>
      </c>
      <c r="AM108" s="5">
        <f t="shared" ca="1" si="35"/>
        <v>0</v>
      </c>
      <c r="AN108" s="5" t="str">
        <f>IF(Demand!BE117="Yes","Yes","")</f>
        <v/>
      </c>
      <c r="AP108" s="37" t="str">
        <f ca="1">Demand!B117</f>
        <v xml:space="preserve"> </v>
      </c>
      <c r="AQ108" t="str">
        <f ca="1">IF(TEXT(Demand!D117,"MMM")&lt;&gt;TEXT(Demand!D116,"MMM"),TEXT(Demand!D117,"MMM"),"")</f>
        <v/>
      </c>
      <c r="AT108" s="5">
        <f t="shared" ca="1" si="37"/>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2">
      <c r="A109" s="5">
        <f t="shared" ca="1" si="30"/>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0</v>
      </c>
      <c r="Y109">
        <f t="shared" ca="1" si="32"/>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0</v>
      </c>
      <c r="AM109" s="5">
        <f t="shared" ca="1" si="35"/>
        <v>0</v>
      </c>
      <c r="AN109" s="5" t="str">
        <f>IF(Demand!BE118="Yes","Yes","")</f>
        <v/>
      </c>
      <c r="AP109" s="37" t="str">
        <f ca="1">Demand!B118</f>
        <v xml:space="preserve"> </v>
      </c>
      <c r="AQ109" t="str">
        <f ca="1">IF(TEXT(Demand!D118,"MMM")&lt;&gt;TEXT(Demand!D117,"MMM"),TEXT(Demand!D118,"MMM"),"")</f>
        <v/>
      </c>
      <c r="AT109" s="5">
        <f t="shared" ca="1" si="37"/>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2">
      <c r="A110" s="5">
        <f t="shared" ca="1" si="30"/>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0</v>
      </c>
      <c r="Y110">
        <f t="shared" ca="1" si="32"/>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0</v>
      </c>
      <c r="AM110" s="5">
        <f t="shared" ca="1" si="35"/>
        <v>0</v>
      </c>
      <c r="AN110" s="5" t="str">
        <f>IF(Demand!BE119="Yes","Yes","")</f>
        <v/>
      </c>
      <c r="AP110" s="37" t="str">
        <f ca="1">Demand!B119</f>
        <v xml:space="preserve"> </v>
      </c>
      <c r="AQ110" t="str">
        <f ca="1">IF(TEXT(Demand!D119,"MMM")&lt;&gt;TEXT(Demand!D118,"MMM"),TEXT(Demand!D119,"MMM"),"")</f>
        <v/>
      </c>
      <c r="AT110" s="5">
        <f t="shared" ca="1" si="37"/>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2">
      <c r="A111" s="5">
        <f t="shared" ca="1" si="30"/>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0</v>
      </c>
      <c r="Y111">
        <f t="shared" ca="1" si="32"/>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0</v>
      </c>
      <c r="AM111" s="5">
        <f t="shared" ca="1" si="35"/>
        <v>0</v>
      </c>
      <c r="AN111" s="5" t="str">
        <f>IF(Demand!BE120="Yes","Yes","")</f>
        <v/>
      </c>
      <c r="AP111" s="37" t="str">
        <f ca="1">Demand!B120</f>
        <v xml:space="preserve"> </v>
      </c>
      <c r="AQ111" t="str">
        <f ca="1">IF(TEXT(Demand!D120,"MMM")&lt;&gt;TEXT(Demand!D119,"MMM"),TEXT(Demand!D120,"MMM"),"")</f>
        <v/>
      </c>
      <c r="AT111" s="5">
        <f t="shared" ca="1" si="37"/>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2">
      <c r="A112" s="5">
        <f t="shared" ca="1" si="30"/>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0</v>
      </c>
      <c r="Y112">
        <f t="shared" ca="1" si="32"/>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0</v>
      </c>
      <c r="AM112" s="5">
        <f t="shared" ca="1" si="35"/>
        <v>0</v>
      </c>
      <c r="AN112" s="5" t="str">
        <f>IF(Demand!BE121="Yes","Yes","")</f>
        <v/>
      </c>
      <c r="AP112" s="37" t="str">
        <f ca="1">Demand!B121</f>
        <v xml:space="preserve"> </v>
      </c>
      <c r="AQ112" t="str">
        <f ca="1">IF(TEXT(Demand!D121,"MMM")&lt;&gt;TEXT(Demand!D120,"MMM"),TEXT(Demand!D121,"MMM"),"")</f>
        <v/>
      </c>
      <c r="AT112" s="5">
        <f t="shared" ca="1" si="37"/>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2">
      <c r="A113" s="5">
        <f t="shared" ca="1" si="30"/>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0</v>
      </c>
      <c r="Y113">
        <f t="shared" ca="1" si="32"/>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0</v>
      </c>
      <c r="AM113" s="5">
        <f t="shared" ca="1" si="35"/>
        <v>0</v>
      </c>
      <c r="AN113" s="5" t="str">
        <f>IF(Demand!BE122="Yes","Yes","")</f>
        <v/>
      </c>
      <c r="AP113" s="37" t="str">
        <f ca="1">Demand!B122</f>
        <v xml:space="preserve"> </v>
      </c>
      <c r="AQ113" t="str">
        <f ca="1">IF(TEXT(Demand!D122,"MMM")&lt;&gt;TEXT(Demand!D121,"MMM"),TEXT(Demand!D122,"MMM"),"")</f>
        <v/>
      </c>
      <c r="AT113" s="5">
        <f t="shared" ca="1" si="37"/>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2">
      <c r="A114" s="5">
        <f t="shared" ca="1" si="30"/>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0</v>
      </c>
      <c r="Y114">
        <f t="shared" ca="1" si="32"/>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0</v>
      </c>
      <c r="AM114" s="5">
        <f t="shared" ca="1" si="35"/>
        <v>0</v>
      </c>
      <c r="AN114" s="5" t="str">
        <f>IF(Demand!BE123="Yes","Yes","")</f>
        <v/>
      </c>
      <c r="AP114" s="37" t="str">
        <f ca="1">Demand!B123</f>
        <v xml:space="preserve"> </v>
      </c>
      <c r="AQ114" t="str">
        <f ca="1">IF(TEXT(Demand!D123,"MMM")&lt;&gt;TEXT(Demand!D122,"MMM"),TEXT(Demand!D123,"MMM"),"")</f>
        <v/>
      </c>
      <c r="AT114" s="5">
        <f t="shared" ca="1" si="37"/>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2">
      <c r="A115" s="5">
        <f t="shared" ca="1" si="30"/>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0</v>
      </c>
      <c r="Y115">
        <f t="shared" ca="1" si="32"/>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0</v>
      </c>
      <c r="AM115" s="5">
        <f t="shared" ca="1" si="35"/>
        <v>0</v>
      </c>
      <c r="AN115" s="5" t="str">
        <f>IF(Demand!BE124="Yes","Yes","")</f>
        <v/>
      </c>
      <c r="AP115" s="37" t="str">
        <f ca="1">Demand!B124</f>
        <v xml:space="preserve"> </v>
      </c>
      <c r="AQ115" t="str">
        <f ca="1">IF(TEXT(Demand!D124,"MMM")&lt;&gt;TEXT(Demand!D123,"MMM"),TEXT(Demand!D124,"MMM"),"")</f>
        <v/>
      </c>
      <c r="AT115" s="5">
        <f t="shared" ca="1" si="37"/>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2">
      <c r="A116" s="5">
        <f t="shared" ca="1" si="30"/>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0</v>
      </c>
      <c r="Y116">
        <f t="shared" ca="1" si="32"/>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0</v>
      </c>
      <c r="AM116" s="5">
        <f t="shared" ca="1" si="35"/>
        <v>0</v>
      </c>
      <c r="AN116" s="5" t="str">
        <f>IF(Demand!BE125="Yes","Yes","")</f>
        <v/>
      </c>
      <c r="AP116" s="37" t="str">
        <f ca="1">Demand!B125</f>
        <v xml:space="preserve"> </v>
      </c>
      <c r="AQ116" t="str">
        <f ca="1">IF(TEXT(Demand!D125,"MMM")&lt;&gt;TEXT(Demand!D124,"MMM"),TEXT(Demand!D125,"MMM"),"")</f>
        <v/>
      </c>
      <c r="AT116" s="5">
        <f t="shared" ca="1" si="37"/>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2">
      <c r="A117" s="5">
        <f t="shared" ca="1" si="30"/>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0</v>
      </c>
      <c r="Y117">
        <f t="shared" ca="1" si="32"/>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0</v>
      </c>
      <c r="AM117" s="5">
        <f t="shared" ca="1" si="35"/>
        <v>0</v>
      </c>
      <c r="AN117" s="5" t="str">
        <f>IF(Demand!BE126="Yes","Yes","")</f>
        <v/>
      </c>
      <c r="AP117" s="37" t="str">
        <f ca="1">Demand!B126</f>
        <v xml:space="preserve"> </v>
      </c>
      <c r="AQ117" t="str">
        <f ca="1">IF(TEXT(Demand!D126,"MMM")&lt;&gt;TEXT(Demand!D125,"MMM"),TEXT(Demand!D126,"MMM"),"")</f>
        <v/>
      </c>
      <c r="AT117" s="5">
        <f t="shared" ca="1" si="37"/>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2">
      <c r="A118" s="5">
        <f t="shared" ca="1" si="30"/>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0</v>
      </c>
      <c r="Y118">
        <f t="shared" ca="1" si="32"/>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0</v>
      </c>
      <c r="AM118" s="5">
        <f t="shared" ca="1" si="35"/>
        <v>0</v>
      </c>
      <c r="AN118" s="5" t="str">
        <f>IF(Demand!BE127="Yes","Yes","")</f>
        <v/>
      </c>
      <c r="AP118" s="37" t="str">
        <f ca="1">Demand!B127</f>
        <v xml:space="preserve"> </v>
      </c>
      <c r="AQ118" t="str">
        <f ca="1">IF(TEXT(Demand!D127,"MMM")&lt;&gt;TEXT(Demand!D126,"MMM"),TEXT(Demand!D127,"MMM"),"")</f>
        <v/>
      </c>
      <c r="AT118" s="5">
        <f t="shared" ca="1" si="37"/>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2">
      <c r="A119" s="5">
        <f t="shared" ca="1" si="30"/>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0</v>
      </c>
      <c r="Y119">
        <f t="shared" ca="1" si="32"/>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0</v>
      </c>
      <c r="AM119" s="5">
        <f t="shared" ca="1" si="35"/>
        <v>0</v>
      </c>
      <c r="AN119" s="5" t="str">
        <f>IF(Demand!BE128="Yes","Yes","")</f>
        <v/>
      </c>
      <c r="AP119" s="37" t="str">
        <f ca="1">Demand!B128</f>
        <v xml:space="preserve"> </v>
      </c>
      <c r="AQ119" t="str">
        <f ca="1">IF(TEXT(Demand!D128,"MMM")&lt;&gt;TEXT(Demand!D127,"MMM"),TEXT(Demand!D128,"MMM"),"")</f>
        <v/>
      </c>
      <c r="AT119" s="5">
        <f t="shared" ca="1" si="37"/>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2">
      <c r="A120" s="5">
        <f t="shared" ref="A120:A183" ca="1" si="38">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0</v>
      </c>
      <c r="Y120">
        <f t="shared" ca="1" si="32"/>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0</v>
      </c>
      <c r="AM120" s="5">
        <f t="shared" ca="1" si="35"/>
        <v>0</v>
      </c>
      <c r="AN120" s="5" t="str">
        <f>IF(Demand!BE129="Yes","Yes","")</f>
        <v/>
      </c>
      <c r="AP120" s="37" t="str">
        <f ca="1">Demand!B129</f>
        <v xml:space="preserve"> </v>
      </c>
      <c r="AQ120" t="str">
        <f ca="1">IF(TEXT(Demand!D129,"MMM")&lt;&gt;TEXT(Demand!D128,"MMM"),TEXT(Demand!D129,"MMM"),"")</f>
        <v/>
      </c>
      <c r="AT120" s="5">
        <f t="shared" ca="1" si="37"/>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2">
      <c r="A121" s="5">
        <f t="shared" ca="1" si="38"/>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0</v>
      </c>
      <c r="Y121">
        <f t="shared" ca="1" si="32"/>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0</v>
      </c>
      <c r="AM121" s="5">
        <f t="shared" ca="1" si="35"/>
        <v>0</v>
      </c>
      <c r="AN121" s="5" t="str">
        <f>IF(Demand!BE130="Yes","Yes","")</f>
        <v/>
      </c>
      <c r="AP121" s="37" t="str">
        <f ca="1">Demand!B130</f>
        <v xml:space="preserve"> </v>
      </c>
      <c r="AQ121" t="str">
        <f ca="1">IF(TEXT(Demand!D130,"MMM")&lt;&gt;TEXT(Demand!D129,"MMM"),TEXT(Demand!D130,"MMM"),"")</f>
        <v/>
      </c>
      <c r="AT121" s="5">
        <f t="shared" ca="1" si="37"/>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2">
      <c r="A122" s="5">
        <f t="shared" ca="1" si="38"/>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0</v>
      </c>
      <c r="Y122">
        <f t="shared" ca="1" si="32"/>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0</v>
      </c>
      <c r="AM122" s="5">
        <f t="shared" ca="1" si="35"/>
        <v>0</v>
      </c>
      <c r="AN122" s="5" t="str">
        <f>IF(Demand!BE131="Yes","Yes","")</f>
        <v/>
      </c>
      <c r="AP122" s="37" t="str">
        <f ca="1">Demand!B131</f>
        <v xml:space="preserve"> </v>
      </c>
      <c r="AQ122" t="str">
        <f ca="1">IF(TEXT(Demand!D131,"MMM")&lt;&gt;TEXT(Demand!D130,"MMM"),TEXT(Demand!D131,"MMM"),"")</f>
        <v/>
      </c>
      <c r="AT122" s="5">
        <f t="shared" ca="1" si="37"/>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2">
      <c r="A123" s="5">
        <f t="shared" ca="1" si="38"/>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0</v>
      </c>
      <c r="Y123">
        <f t="shared" ca="1" si="32"/>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0</v>
      </c>
      <c r="AM123" s="5">
        <f t="shared" ca="1" si="35"/>
        <v>0</v>
      </c>
      <c r="AN123" s="5" t="str">
        <f>IF(Demand!BE132="Yes","Yes","")</f>
        <v/>
      </c>
      <c r="AP123" s="37" t="str">
        <f ca="1">Demand!B132</f>
        <v xml:space="preserve"> </v>
      </c>
      <c r="AQ123" t="str">
        <f ca="1">IF(TEXT(Demand!D132,"MMM")&lt;&gt;TEXT(Demand!D131,"MMM"),TEXT(Demand!D132,"MMM"),"")</f>
        <v/>
      </c>
      <c r="AT123" s="5">
        <f t="shared" ca="1" si="37"/>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2">
      <c r="A124" s="5">
        <f t="shared" ca="1" si="38"/>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0</v>
      </c>
      <c r="Y124">
        <f t="shared" ca="1" si="32"/>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0</v>
      </c>
      <c r="AM124" s="5">
        <f t="shared" ca="1" si="35"/>
        <v>0</v>
      </c>
      <c r="AN124" s="5" t="str">
        <f>IF(Demand!BE133="Yes","Yes","")</f>
        <v/>
      </c>
      <c r="AP124" s="37" t="str">
        <f ca="1">Demand!B133</f>
        <v xml:space="preserve"> </v>
      </c>
      <c r="AQ124" t="str">
        <f ca="1">IF(TEXT(Demand!D133,"MMM")&lt;&gt;TEXT(Demand!D132,"MMM"),TEXT(Demand!D133,"MMM"),"")</f>
        <v/>
      </c>
      <c r="AT124" s="5">
        <f t="shared" ca="1" si="37"/>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2">
      <c r="A125" s="5">
        <f t="shared" ca="1" si="38"/>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0</v>
      </c>
      <c r="Y125">
        <f t="shared" ca="1" si="32"/>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0</v>
      </c>
      <c r="AM125" s="5">
        <f t="shared" ca="1" si="35"/>
        <v>0</v>
      </c>
      <c r="AN125" s="5" t="str">
        <f>IF(Demand!BE134="Yes","Yes","")</f>
        <v/>
      </c>
      <c r="AP125" s="37" t="str">
        <f ca="1">Demand!B134</f>
        <v xml:space="preserve"> </v>
      </c>
      <c r="AQ125" t="str">
        <f ca="1">IF(TEXT(Demand!D134,"MMM")&lt;&gt;TEXT(Demand!D133,"MMM"),TEXT(Demand!D134,"MMM"),"")</f>
        <v/>
      </c>
      <c r="AT125" s="5">
        <f t="shared" ca="1" si="37"/>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2">
      <c r="A126" s="5">
        <f t="shared" ca="1" si="38"/>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0</v>
      </c>
      <c r="Y126">
        <f t="shared" ca="1" si="32"/>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0</v>
      </c>
      <c r="AM126" s="5">
        <f t="shared" ca="1" si="35"/>
        <v>0</v>
      </c>
      <c r="AN126" s="5" t="str">
        <f>IF(Demand!BE135="Yes","Yes","")</f>
        <v/>
      </c>
      <c r="AP126" s="37" t="str">
        <f ca="1">Demand!B135</f>
        <v xml:space="preserve"> </v>
      </c>
      <c r="AQ126" t="str">
        <f ca="1">IF(TEXT(Demand!D135,"MMM")&lt;&gt;TEXT(Demand!D134,"MMM"),TEXT(Demand!D135,"MMM"),"")</f>
        <v/>
      </c>
      <c r="AT126" s="5">
        <f t="shared" ca="1" si="37"/>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2">
      <c r="A127" s="5">
        <f t="shared" ca="1" si="38"/>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0</v>
      </c>
      <c r="Y127">
        <f t="shared" ca="1" si="32"/>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0</v>
      </c>
      <c r="AM127" s="5">
        <f t="shared" ca="1" si="35"/>
        <v>0</v>
      </c>
      <c r="AN127" s="5" t="str">
        <f>IF(Demand!BE136="Yes","Yes","")</f>
        <v/>
      </c>
      <c r="AP127" s="37" t="str">
        <f ca="1">Demand!B136</f>
        <v xml:space="preserve"> </v>
      </c>
      <c r="AQ127" t="str">
        <f ca="1">IF(TEXT(Demand!D136,"MMM")&lt;&gt;TEXT(Demand!D135,"MMM"),TEXT(Demand!D136,"MMM"),"")</f>
        <v/>
      </c>
      <c r="AT127" s="5">
        <f t="shared" ca="1" si="37"/>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2">
      <c r="A128" s="5">
        <f t="shared" ca="1" si="38"/>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0</v>
      </c>
      <c r="Y128">
        <f t="shared" ca="1" si="32"/>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0</v>
      </c>
      <c r="AM128" s="5">
        <f t="shared" ca="1" si="35"/>
        <v>0</v>
      </c>
      <c r="AN128" s="5" t="str">
        <f>IF(Demand!BE137="Yes","Yes","")</f>
        <v/>
      </c>
      <c r="AP128" s="37" t="str">
        <f ca="1">Demand!B137</f>
        <v xml:space="preserve"> </v>
      </c>
      <c r="AQ128" t="str">
        <f ca="1">IF(TEXT(Demand!D137,"MMM")&lt;&gt;TEXT(Demand!D136,"MMM"),TEXT(Demand!D137,"MMM"),"")</f>
        <v/>
      </c>
      <c r="AT128" s="5">
        <f t="shared" ca="1" si="37"/>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2">
      <c r="A129" s="5">
        <f t="shared" ca="1" si="38"/>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0</v>
      </c>
      <c r="Y129">
        <f t="shared" ca="1" si="32"/>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0</v>
      </c>
      <c r="AM129" s="5">
        <f t="shared" ca="1" si="35"/>
        <v>0</v>
      </c>
      <c r="AN129" s="5" t="str">
        <f>IF(Demand!BE138="Yes","Yes","")</f>
        <v/>
      </c>
      <c r="AP129" s="37" t="str">
        <f ca="1">Demand!B138</f>
        <v xml:space="preserve"> </v>
      </c>
      <c r="AQ129" t="str">
        <f ca="1">IF(TEXT(Demand!D138,"MMM")&lt;&gt;TEXT(Demand!D137,"MMM"),TEXT(Demand!D138,"MMM"),"")</f>
        <v/>
      </c>
      <c r="AT129" s="5">
        <f t="shared" ca="1" si="37"/>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2">
      <c r="A130" s="5">
        <f t="shared" ca="1" si="38"/>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0</v>
      </c>
      <c r="Y130">
        <f t="shared" ca="1" si="32"/>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0</v>
      </c>
      <c r="AM130" s="5">
        <f t="shared" ca="1" si="35"/>
        <v>0</v>
      </c>
      <c r="AN130" s="5" t="str">
        <f>IF(Demand!BE139="Yes","Yes","")</f>
        <v/>
      </c>
      <c r="AP130" s="37" t="str">
        <f ca="1">Demand!B139</f>
        <v xml:space="preserve"> </v>
      </c>
      <c r="AQ130" t="str">
        <f ca="1">IF(TEXT(Demand!D139,"MMM")&lt;&gt;TEXT(Demand!D138,"MMM"),TEXT(Demand!D139,"MMM"),"")</f>
        <v/>
      </c>
      <c r="AT130" s="5">
        <f t="shared" ca="1" si="37"/>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2">
      <c r="A131" s="5">
        <f t="shared" ca="1" si="38"/>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0</v>
      </c>
      <c r="Y131">
        <f t="shared" ca="1" si="32"/>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0</v>
      </c>
      <c r="AM131" s="5">
        <f t="shared" ca="1" si="35"/>
        <v>0</v>
      </c>
      <c r="AN131" s="5" t="str">
        <f>IF(Demand!BE140="Yes","Yes","")</f>
        <v/>
      </c>
      <c r="AP131" s="37" t="str">
        <f ca="1">Demand!B140</f>
        <v xml:space="preserve"> </v>
      </c>
      <c r="AQ131" t="str">
        <f ca="1">IF(TEXT(Demand!D140,"MMM")&lt;&gt;TEXT(Demand!D139,"MMM"),TEXT(Demand!D140,"MMM"),"")</f>
        <v/>
      </c>
      <c r="AT131" s="5">
        <f t="shared" ca="1" si="37"/>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2">
      <c r="A132" s="5">
        <f t="shared" ca="1" si="38"/>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0</v>
      </c>
      <c r="Y132">
        <f t="shared" ref="Y132:Y195" ca="1" si="40">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0</v>
      </c>
      <c r="AM132" s="5">
        <f t="shared" ca="1" si="35"/>
        <v>0</v>
      </c>
      <c r="AN132" s="5" t="str">
        <f>IF(Demand!BE141="Yes","Yes","")</f>
        <v/>
      </c>
      <c r="AP132" s="37" t="str">
        <f ca="1">Demand!B141</f>
        <v xml:space="preserve"> </v>
      </c>
      <c r="AQ132" t="str">
        <f ca="1">IF(TEXT(Demand!D141,"MMM")&lt;&gt;TEXT(Demand!D140,"MMM"),TEXT(Demand!D141,"MMM"),"")</f>
        <v/>
      </c>
      <c r="AT132" s="5">
        <f t="shared" ca="1" si="37"/>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2">
      <c r="A133" s="5">
        <f t="shared" ca="1" si="38"/>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0</v>
      </c>
      <c r="Y133">
        <f t="shared" ca="1" si="40"/>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2">
      <c r="A134" s="5">
        <f t="shared" ca="1" si="38"/>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0</v>
      </c>
      <c r="Y134">
        <f t="shared" ca="1" si="40"/>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2">
      <c r="A135" s="5">
        <f t="shared" ca="1" si="38"/>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0</v>
      </c>
      <c r="Y135">
        <f t="shared" ca="1" si="40"/>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0</v>
      </c>
      <c r="AM135" s="5">
        <f t="shared" ca="1" si="43"/>
        <v>0</v>
      </c>
      <c r="AN135" s="5" t="str">
        <f>IF(Demand!BE144="Yes","Yes","")</f>
        <v/>
      </c>
      <c r="AP135" s="37" t="str">
        <f ca="1">Demand!B144</f>
        <v xml:space="preserve"> </v>
      </c>
      <c r="AQ135" t="str">
        <f ca="1">IF(TEXT(Demand!D144,"MMM")&lt;&gt;TEXT(Demand!D143,"MMM"),TEXT(Demand!D144,"MMM"),"")</f>
        <v/>
      </c>
      <c r="AT135" s="5">
        <f t="shared" ca="1" si="45"/>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2">
      <c r="A136" s="5">
        <f t="shared" ca="1" si="38"/>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0</v>
      </c>
      <c r="Y136">
        <f t="shared" ca="1" si="40"/>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0</v>
      </c>
      <c r="AM136" s="5">
        <f t="shared" ca="1" si="43"/>
        <v>0</v>
      </c>
      <c r="AN136" s="5" t="str">
        <f>IF(Demand!BE145="Yes","Yes","")</f>
        <v/>
      </c>
      <c r="AP136" s="37" t="str">
        <f ca="1">Demand!B145</f>
        <v xml:space="preserve"> </v>
      </c>
      <c r="AQ136" t="str">
        <f ca="1">IF(TEXT(Demand!D145,"MMM")&lt;&gt;TEXT(Demand!D144,"MMM"),TEXT(Demand!D145,"MMM"),"")</f>
        <v/>
      </c>
      <c r="AT136" s="5">
        <f t="shared" ca="1" si="45"/>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2">
      <c r="A137" s="5">
        <f t="shared" ca="1" si="38"/>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0</v>
      </c>
      <c r="Y137">
        <f t="shared" ca="1" si="40"/>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0</v>
      </c>
      <c r="AM137" s="5">
        <f t="shared" ca="1" si="43"/>
        <v>0</v>
      </c>
      <c r="AN137" s="5" t="str">
        <f>IF(Demand!BE146="Yes","Yes","")</f>
        <v/>
      </c>
      <c r="AP137" s="37" t="str">
        <f ca="1">Demand!B146</f>
        <v xml:space="preserve"> </v>
      </c>
      <c r="AQ137" t="str">
        <f ca="1">IF(TEXT(Demand!D146,"MMM")&lt;&gt;TEXT(Demand!D145,"MMM"),TEXT(Demand!D146,"MMM"),"")</f>
        <v/>
      </c>
      <c r="AT137" s="5">
        <f t="shared" ca="1" si="45"/>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2">
      <c r="A138" s="5">
        <f t="shared" ca="1" si="38"/>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0</v>
      </c>
      <c r="Y138">
        <f t="shared" ca="1" si="40"/>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0</v>
      </c>
      <c r="AM138" s="5">
        <f t="shared" ca="1" si="43"/>
        <v>0</v>
      </c>
      <c r="AN138" s="5" t="str">
        <f>IF(Demand!BE147="Yes","Yes","")</f>
        <v/>
      </c>
      <c r="AP138" s="37" t="str">
        <f ca="1">Demand!B147</f>
        <v xml:space="preserve"> </v>
      </c>
      <c r="AQ138" t="str">
        <f ca="1">IF(TEXT(Demand!D147,"MMM")&lt;&gt;TEXT(Demand!D146,"MMM"),TEXT(Demand!D147,"MMM"),"")</f>
        <v/>
      </c>
      <c r="AT138" s="5">
        <f t="shared" ca="1" si="45"/>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2">
      <c r="A139" s="5">
        <f t="shared" ca="1" si="38"/>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0</v>
      </c>
      <c r="Y139">
        <f t="shared" ca="1" si="40"/>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0</v>
      </c>
      <c r="AM139" s="5">
        <f t="shared" ca="1" si="43"/>
        <v>0</v>
      </c>
      <c r="AN139" s="5" t="str">
        <f>IF(Demand!BE148="Yes","Yes","")</f>
        <v/>
      </c>
      <c r="AP139" s="37" t="str">
        <f ca="1">Demand!B148</f>
        <v xml:space="preserve"> </v>
      </c>
      <c r="AQ139" t="str">
        <f ca="1">IF(TEXT(Demand!D148,"MMM")&lt;&gt;TEXT(Demand!D147,"MMM"),TEXT(Demand!D148,"MMM"),"")</f>
        <v/>
      </c>
      <c r="AT139" s="5">
        <f t="shared" ca="1" si="45"/>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2">
      <c r="A140" s="5">
        <f t="shared" ca="1" si="38"/>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0</v>
      </c>
      <c r="Y140">
        <f t="shared" ca="1" si="40"/>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0</v>
      </c>
      <c r="AM140" s="5">
        <f t="shared" ca="1" si="43"/>
        <v>0</v>
      </c>
      <c r="AN140" s="5" t="str">
        <f>IF(Demand!BE149="Yes","Yes","")</f>
        <v/>
      </c>
      <c r="AP140" s="37" t="str">
        <f ca="1">Demand!B149</f>
        <v xml:space="preserve"> </v>
      </c>
      <c r="AQ140" t="str">
        <f ca="1">IF(TEXT(Demand!D149,"MMM")&lt;&gt;TEXT(Demand!D148,"MMM"),TEXT(Demand!D149,"MMM"),"")</f>
        <v/>
      </c>
      <c r="AT140" s="5">
        <f t="shared" ca="1" si="45"/>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2">
      <c r="A141" s="5">
        <f t="shared" ca="1" si="38"/>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0</v>
      </c>
      <c r="Y141">
        <f t="shared" ca="1" si="40"/>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0</v>
      </c>
      <c r="AM141" s="5">
        <f t="shared" ca="1" si="43"/>
        <v>0</v>
      </c>
      <c r="AN141" s="5" t="str">
        <f>IF(Demand!BE150="Yes","Yes","")</f>
        <v/>
      </c>
      <c r="AP141" s="37" t="str">
        <f ca="1">Demand!B150</f>
        <v xml:space="preserve"> </v>
      </c>
      <c r="AQ141" t="str">
        <f ca="1">IF(TEXT(Demand!D150,"MMM")&lt;&gt;TEXT(Demand!D149,"MMM"),TEXT(Demand!D150,"MMM"),"")</f>
        <v/>
      </c>
      <c r="AT141" s="5">
        <f t="shared" ca="1" si="45"/>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2">
      <c r="A142" s="5">
        <f t="shared" ca="1" si="38"/>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0</v>
      </c>
      <c r="Y142">
        <f t="shared" ca="1" si="40"/>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0</v>
      </c>
      <c r="AM142" s="5">
        <f t="shared" ca="1" si="43"/>
        <v>0</v>
      </c>
      <c r="AN142" s="5" t="str">
        <f>IF(Demand!BE151="Yes","Yes","")</f>
        <v/>
      </c>
      <c r="AP142" s="37" t="str">
        <f ca="1">Demand!B151</f>
        <v xml:space="preserve"> </v>
      </c>
      <c r="AQ142" t="str">
        <f ca="1">IF(TEXT(Demand!D151,"MMM")&lt;&gt;TEXT(Demand!D150,"MMM"),TEXT(Demand!D151,"MMM"),"")</f>
        <v/>
      </c>
      <c r="AT142" s="5">
        <f t="shared" ca="1" si="45"/>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2">
      <c r="A143" s="5">
        <f t="shared" ca="1" si="38"/>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0</v>
      </c>
      <c r="Y143">
        <f t="shared" ca="1" si="40"/>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0</v>
      </c>
      <c r="AM143" s="5">
        <f t="shared" ca="1" si="43"/>
        <v>0</v>
      </c>
      <c r="AN143" s="5" t="str">
        <f>IF(Demand!BE152="Yes","Yes","")</f>
        <v/>
      </c>
      <c r="AP143" s="37" t="str">
        <f ca="1">Demand!B152</f>
        <v xml:space="preserve"> </v>
      </c>
      <c r="AQ143" t="str">
        <f ca="1">IF(TEXT(Demand!D152,"MMM")&lt;&gt;TEXT(Demand!D151,"MMM"),TEXT(Demand!D152,"MMM"),"")</f>
        <v/>
      </c>
      <c r="AT143" s="5">
        <f t="shared" ca="1" si="45"/>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2">
      <c r="A144" s="5">
        <f t="shared" ca="1" si="38"/>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0</v>
      </c>
      <c r="Y144">
        <f t="shared" ca="1" si="40"/>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0</v>
      </c>
      <c r="AM144" s="5">
        <f t="shared" ca="1" si="43"/>
        <v>0</v>
      </c>
      <c r="AN144" s="5" t="str">
        <f>IF(Demand!BE153="Yes","Yes","")</f>
        <v/>
      </c>
      <c r="AP144" s="37" t="str">
        <f ca="1">Demand!B153</f>
        <v xml:space="preserve"> </v>
      </c>
      <c r="AQ144" t="str">
        <f ca="1">IF(TEXT(Demand!D153,"MMM")&lt;&gt;TEXT(Demand!D152,"MMM"),TEXT(Demand!D153,"MMM"),"")</f>
        <v/>
      </c>
      <c r="AT144" s="5">
        <f t="shared" ca="1" si="45"/>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2">
      <c r="A145" s="5">
        <f t="shared" ca="1" si="38"/>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0</v>
      </c>
      <c r="Y145">
        <f t="shared" ca="1" si="40"/>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0</v>
      </c>
      <c r="AM145" s="5">
        <f t="shared" ca="1" si="43"/>
        <v>0</v>
      </c>
      <c r="AN145" s="5" t="str">
        <f>IF(Demand!BE154="Yes","Yes","")</f>
        <v/>
      </c>
      <c r="AP145" s="37" t="str">
        <f ca="1">Demand!B154</f>
        <v xml:space="preserve"> </v>
      </c>
      <c r="AQ145" t="str">
        <f ca="1">IF(TEXT(Demand!D154,"MMM")&lt;&gt;TEXT(Demand!D153,"MMM"),TEXT(Demand!D154,"MMM"),"")</f>
        <v/>
      </c>
      <c r="AT145" s="5">
        <f t="shared" ca="1" si="45"/>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2">
      <c r="A146" s="5">
        <f t="shared" ca="1" si="38"/>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0</v>
      </c>
      <c r="Y146">
        <f t="shared" ca="1" si="40"/>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0</v>
      </c>
      <c r="AM146" s="5">
        <f t="shared" ca="1" si="43"/>
        <v>0</v>
      </c>
      <c r="AN146" s="5" t="str">
        <f>IF(Demand!BE155="Yes","Yes","")</f>
        <v/>
      </c>
      <c r="AP146" s="37" t="str">
        <f ca="1">Demand!B155</f>
        <v xml:space="preserve"> </v>
      </c>
      <c r="AQ146" t="str">
        <f ca="1">IF(TEXT(Demand!D155,"MMM")&lt;&gt;TEXT(Demand!D154,"MMM"),TEXT(Demand!D155,"MMM"),"")</f>
        <v/>
      </c>
      <c r="AT146" s="5">
        <f t="shared" ca="1" si="45"/>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2">
      <c r="A147" s="5">
        <f t="shared" ca="1" si="38"/>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0</v>
      </c>
      <c r="Y147">
        <f t="shared" ca="1" si="40"/>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0</v>
      </c>
      <c r="AM147" s="5">
        <f t="shared" ca="1" si="43"/>
        <v>0</v>
      </c>
      <c r="AN147" s="5" t="str">
        <f>IF(Demand!BE156="Yes","Yes","")</f>
        <v/>
      </c>
      <c r="AP147" s="37" t="str">
        <f ca="1">Demand!B156</f>
        <v xml:space="preserve"> </v>
      </c>
      <c r="AQ147" t="str">
        <f ca="1">IF(TEXT(Demand!D156,"MMM")&lt;&gt;TEXT(Demand!D155,"MMM"),TEXT(Demand!D156,"MMM"),"")</f>
        <v/>
      </c>
      <c r="AT147" s="5">
        <f t="shared" ca="1" si="45"/>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2">
      <c r="A148" s="5">
        <f t="shared" ca="1" si="38"/>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0</v>
      </c>
      <c r="Y148">
        <f t="shared" ca="1" si="40"/>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0</v>
      </c>
      <c r="AM148" s="5">
        <f t="shared" ca="1" si="43"/>
        <v>0</v>
      </c>
      <c r="AN148" s="5" t="str">
        <f>IF(Demand!BE157="Yes","Yes","")</f>
        <v/>
      </c>
      <c r="AP148" s="37" t="str">
        <f ca="1">Demand!B157</f>
        <v xml:space="preserve"> </v>
      </c>
      <c r="AQ148" t="str">
        <f ca="1">IF(TEXT(Demand!D157,"MMM")&lt;&gt;TEXT(Demand!D156,"MMM"),TEXT(Demand!D157,"MMM"),"")</f>
        <v/>
      </c>
      <c r="AT148" s="5">
        <f t="shared" ca="1" si="45"/>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2">
      <c r="A149" s="5">
        <f t="shared" ca="1" si="38"/>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0</v>
      </c>
      <c r="Y149">
        <f t="shared" ca="1" si="40"/>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0</v>
      </c>
      <c r="AM149" s="5">
        <f t="shared" ca="1" si="43"/>
        <v>0</v>
      </c>
      <c r="AN149" s="5" t="str">
        <f>IF(Demand!BE158="Yes","Yes","")</f>
        <v/>
      </c>
      <c r="AP149" s="37" t="str">
        <f ca="1">Demand!B158</f>
        <v xml:space="preserve"> </v>
      </c>
      <c r="AQ149" t="str">
        <f ca="1">IF(TEXT(Demand!D158,"MMM")&lt;&gt;TEXT(Demand!D157,"MMM"),TEXT(Demand!D158,"MMM"),"")</f>
        <v/>
      </c>
      <c r="AT149" s="5">
        <f t="shared" ca="1" si="45"/>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2">
      <c r="A150" s="5">
        <f t="shared" ca="1" si="38"/>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0</v>
      </c>
      <c r="Y150">
        <f t="shared" ca="1" si="40"/>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0</v>
      </c>
      <c r="AM150" s="5">
        <f t="shared" ca="1" si="43"/>
        <v>0</v>
      </c>
      <c r="AN150" s="5" t="str">
        <f>IF(Demand!BE159="Yes","Yes","")</f>
        <v/>
      </c>
      <c r="AP150" s="37" t="str">
        <f ca="1">Demand!B159</f>
        <v xml:space="preserve"> </v>
      </c>
      <c r="AQ150" t="str">
        <f ca="1">IF(TEXT(Demand!D159,"MMM")&lt;&gt;TEXT(Demand!D158,"MMM"),TEXT(Demand!D159,"MMM"),"")</f>
        <v/>
      </c>
      <c r="AT150" s="5">
        <f t="shared" ca="1" si="45"/>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2">
      <c r="A151" s="5">
        <f t="shared" ca="1" si="38"/>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0</v>
      </c>
      <c r="Y151">
        <f t="shared" ca="1" si="40"/>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0</v>
      </c>
      <c r="AM151" s="5">
        <f t="shared" ca="1" si="43"/>
        <v>0</v>
      </c>
      <c r="AN151" s="5" t="str">
        <f>IF(Demand!BE160="Yes","Yes","")</f>
        <v/>
      </c>
      <c r="AP151" s="37" t="str">
        <f ca="1">Demand!B160</f>
        <v xml:space="preserve"> </v>
      </c>
      <c r="AQ151" t="str">
        <f ca="1">IF(TEXT(Demand!D160,"MMM")&lt;&gt;TEXT(Demand!D159,"MMM"),TEXT(Demand!D160,"MMM"),"")</f>
        <v/>
      </c>
      <c r="AT151" s="5">
        <f t="shared" ca="1" si="45"/>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2">
      <c r="A152" s="5">
        <f t="shared" ca="1" si="38"/>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0</v>
      </c>
      <c r="Y152">
        <f t="shared" ca="1" si="40"/>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0</v>
      </c>
      <c r="AM152" s="5">
        <f t="shared" ca="1" si="43"/>
        <v>0</v>
      </c>
      <c r="AN152" s="5" t="str">
        <f>IF(Demand!BE161="Yes","Yes","")</f>
        <v/>
      </c>
      <c r="AP152" s="37" t="str">
        <f ca="1">Demand!B161</f>
        <v xml:space="preserve"> </v>
      </c>
      <c r="AQ152" t="str">
        <f ca="1">IF(TEXT(Demand!D161,"MMM")&lt;&gt;TEXT(Demand!D160,"MMM"),TEXT(Demand!D161,"MMM"),"")</f>
        <v/>
      </c>
      <c r="AT152" s="5">
        <f t="shared" ca="1" si="45"/>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2">
      <c r="A153" s="5">
        <f t="shared" ca="1" si="38"/>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0</v>
      </c>
      <c r="Y153">
        <f t="shared" ca="1" si="40"/>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0</v>
      </c>
      <c r="AM153" s="5">
        <f t="shared" ca="1" si="43"/>
        <v>0</v>
      </c>
      <c r="AN153" s="5" t="str">
        <f>IF(Demand!BE162="Yes","Yes","")</f>
        <v/>
      </c>
      <c r="AP153" s="37" t="str">
        <f ca="1">Demand!B162</f>
        <v xml:space="preserve"> </v>
      </c>
      <c r="AQ153" t="str">
        <f ca="1">IF(TEXT(Demand!D162,"MMM")&lt;&gt;TEXT(Demand!D161,"MMM"),TEXT(Demand!D162,"MMM"),"")</f>
        <v/>
      </c>
      <c r="AT153" s="5">
        <f t="shared" ca="1" si="45"/>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2">
      <c r="A154" s="5">
        <f t="shared" ca="1" si="38"/>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0</v>
      </c>
      <c r="Y154">
        <f t="shared" ca="1" si="40"/>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0</v>
      </c>
      <c r="AM154" s="5">
        <f t="shared" ca="1" si="43"/>
        <v>0</v>
      </c>
      <c r="AN154" s="5" t="str">
        <f>IF(Demand!BE163="Yes","Yes","")</f>
        <v/>
      </c>
      <c r="AP154" s="37" t="str">
        <f ca="1">Demand!B163</f>
        <v xml:space="preserve"> </v>
      </c>
      <c r="AQ154" t="str">
        <f ca="1">IF(TEXT(Demand!D163,"MMM")&lt;&gt;TEXT(Demand!D162,"MMM"),TEXT(Demand!D163,"MMM"),"")</f>
        <v/>
      </c>
      <c r="AT154" s="5">
        <f t="shared" ca="1" si="45"/>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2">
      <c r="A155" s="5">
        <f t="shared" ca="1" si="38"/>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2">
      <c r="A156" s="5">
        <f t="shared" ca="1" si="38"/>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2">
      <c r="A157" s="5">
        <f t="shared" ca="1" si="38"/>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2">
      <c r="A158" s="5">
        <f t="shared" ca="1" si="38"/>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2">
      <c r="A159" s="5">
        <f t="shared" ca="1" si="38"/>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2">
      <c r="A160" s="5">
        <f t="shared" ca="1" si="38"/>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2">
      <c r="A161" s="5">
        <f t="shared" ca="1" si="38"/>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2">
      <c r="A162" s="5">
        <f t="shared" ca="1" si="38"/>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2">
      <c r="A163" s="5">
        <f t="shared" ca="1" si="38"/>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2">
      <c r="A164" s="5">
        <f t="shared" ca="1" si="38"/>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2">
      <c r="A165" s="5">
        <f t="shared" ca="1" si="38"/>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2">
      <c r="A166" s="5">
        <f t="shared" ca="1" si="38"/>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2">
      <c r="A167" s="5">
        <f t="shared" ca="1" si="38"/>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2">
      <c r="A168" s="5">
        <f t="shared" ca="1" si="38"/>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2">
      <c r="A169" s="5">
        <f t="shared" ca="1" si="38"/>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2">
      <c r="A170" s="5">
        <f t="shared" ca="1" si="38"/>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2">
      <c r="A171" s="5">
        <f t="shared" ca="1" si="38"/>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2">
      <c r="A172" s="5">
        <f t="shared" ca="1" si="38"/>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2">
      <c r="A173" s="5">
        <f t="shared" ca="1" si="38"/>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2">
      <c r="A174" s="5">
        <f t="shared" ca="1" si="38"/>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2">
      <c r="A175" s="5">
        <f t="shared" ca="1" si="38"/>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2">
      <c r="A176" s="5">
        <f t="shared" ca="1" si="38"/>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2">
      <c r="A177" s="5">
        <f t="shared" ca="1" si="38"/>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2">
      <c r="A178" s="5">
        <f t="shared" ca="1" si="38"/>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2">
      <c r="A179" s="5">
        <f t="shared" ca="1" si="38"/>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2">
      <c r="A180" s="5">
        <f t="shared" ca="1" si="38"/>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2">
      <c r="A181" s="5">
        <f t="shared" ca="1" si="38"/>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2">
      <c r="A182" s="5">
        <f t="shared" ca="1" si="38"/>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2">
      <c r="A183" s="5">
        <f t="shared" ca="1" si="38"/>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2">
      <c r="A184" s="5">
        <f t="shared" ref="A184:A247" ca="1" si="46">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2">
      <c r="A185" s="5">
        <f t="shared" ca="1" si="46"/>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2">
      <c r="A186" s="5">
        <f t="shared" ca="1" si="46"/>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2">
      <c r="A187" s="5">
        <f t="shared" ca="1" si="46"/>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2">
      <c r="A188" s="5">
        <f t="shared" ca="1" si="46"/>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2">
      <c r="A189" s="5">
        <f t="shared" ca="1" si="46"/>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2">
      <c r="A190" s="5">
        <f t="shared" ca="1" si="46"/>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2">
      <c r="A191" s="5">
        <f t="shared" ca="1" si="46"/>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2">
      <c r="A192" s="5">
        <f t="shared" ca="1" si="46"/>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2">
      <c r="A193" s="5">
        <f t="shared" ca="1" si="46"/>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2">
      <c r="A194" s="5">
        <f t="shared" ca="1" si="46"/>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2">
      <c r="A195" s="5">
        <f t="shared" ca="1" si="46"/>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2">
      <c r="A196" s="5">
        <f t="shared" ca="1" si="46"/>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2">
      <c r="A197" s="5">
        <f t="shared" ca="1" si="46"/>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2">
      <c r="A198" s="5">
        <f t="shared" ca="1" si="46"/>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2">
      <c r="A199" s="5">
        <f t="shared" ca="1" si="46"/>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2">
      <c r="A200" s="5">
        <f t="shared" ca="1" si="46"/>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2">
      <c r="A201" s="5">
        <f t="shared" ca="1" si="46"/>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2">
      <c r="A202" s="5">
        <f t="shared" ca="1" si="46"/>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2">
      <c r="A203" s="5">
        <f t="shared" ca="1" si="46"/>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2">
      <c r="A204" s="5">
        <f t="shared" ca="1" si="46"/>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2">
      <c r="A205" s="5">
        <f t="shared" ca="1" si="46"/>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2">
      <c r="A206" s="5">
        <f t="shared" ca="1" si="46"/>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2">
      <c r="A207" s="5">
        <f t="shared" ca="1" si="46"/>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2">
      <c r="A208" s="5">
        <f t="shared" ca="1" si="46"/>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2">
      <c r="A209" s="5">
        <f t="shared" ca="1" si="46"/>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2">
      <c r="A210" s="5">
        <f t="shared" ca="1" si="46"/>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2">
      <c r="A211" s="5">
        <f t="shared" ca="1" si="46"/>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2">
      <c r="A212" s="5">
        <f t="shared" ca="1" si="46"/>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2">
      <c r="A213" s="5">
        <f t="shared" ca="1" si="46"/>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2">
      <c r="A214" s="5">
        <f t="shared" ca="1" si="46"/>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2">
      <c r="A215" s="5">
        <f t="shared" ca="1" si="46"/>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2">
      <c r="A216" s="5">
        <f t="shared" ca="1" si="46"/>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2">
      <c r="A217" s="5">
        <f t="shared" ca="1" si="46"/>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2">
      <c r="A218" s="5">
        <f t="shared" ca="1" si="46"/>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2">
      <c r="A219" s="5">
        <f t="shared" ca="1" si="46"/>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2">
      <c r="A220" s="5">
        <f t="shared" ca="1" si="46"/>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2">
      <c r="A221" s="5">
        <f t="shared" ca="1" si="46"/>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2">
      <c r="A222" s="5">
        <f t="shared" ca="1" si="46"/>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2">
      <c r="A223" s="5">
        <f t="shared" ca="1" si="46"/>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2">
      <c r="A224" s="5">
        <f t="shared" ca="1" si="46"/>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2">
      <c r="A225" s="5">
        <f t="shared" ca="1" si="46"/>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2">
      <c r="A226" s="5">
        <f t="shared" ca="1" si="46"/>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2">
      <c r="A227" s="5">
        <f t="shared" ca="1" si="46"/>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2">
      <c r="A228" s="5">
        <f t="shared" ca="1" si="46"/>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2">
      <c r="A229" s="5">
        <f t="shared" ca="1" si="46"/>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2">
      <c r="A230" s="5">
        <f t="shared" ca="1" si="46"/>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2">
      <c r="A231" s="5">
        <f t="shared" ca="1" si="46"/>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2">
      <c r="A232" s="5">
        <f t="shared" ca="1" si="46"/>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2">
      <c r="A233" s="5">
        <f t="shared" ca="1" si="46"/>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2">
      <c r="A234" s="5">
        <f t="shared" ca="1" si="46"/>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2">
      <c r="A235" s="5">
        <f t="shared" ca="1" si="46"/>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2">
      <c r="A236" s="5">
        <f t="shared" ca="1" si="46"/>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2">
      <c r="A237" s="5">
        <f t="shared" ca="1" si="46"/>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2">
      <c r="A238" s="5">
        <f t="shared" ca="1" si="46"/>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2">
      <c r="A239" s="5">
        <f t="shared" ca="1" si="46"/>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2">
      <c r="A240" s="5">
        <f t="shared" ca="1" si="46"/>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2">
      <c r="A241" s="5">
        <f t="shared" ca="1" si="46"/>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2">
      <c r="A242" s="5">
        <f t="shared" ca="1" si="46"/>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2">
      <c r="A243" s="5">
        <f t="shared" ca="1" si="46"/>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2">
      <c r="A244" s="5">
        <f t="shared" ca="1" si="46"/>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2">
      <c r="A245" s="5">
        <f t="shared" ca="1" si="46"/>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2">
      <c r="A246" s="5">
        <f t="shared" ca="1" si="46"/>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2">
      <c r="A247" s="5">
        <f t="shared" ca="1" si="46"/>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2">
      <c r="A248" s="5">
        <f t="shared" ref="A248:A252" ca="1" si="54">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2">
      <c r="A249" s="5">
        <f t="shared" ca="1" si="54"/>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2">
      <c r="A250" s="5">
        <f t="shared" ca="1" si="54"/>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2">
      <c r="A251" s="5">
        <f t="shared" ca="1" si="54"/>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2">
      <c r="A252" s="5">
        <f t="shared" ca="1" si="54"/>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2">
      <c r="A253" s="5">
        <f t="shared" ref="A253:A263" ca="1" si="55">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2">
      <c r="A254" s="5">
        <f t="shared" ca="1" si="55"/>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2">
      <c r="A255" s="5">
        <f t="shared" ca="1" si="55"/>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2">
      <c r="A256" s="5">
        <f t="shared" ca="1" si="55"/>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2">
      <c r="A257" s="5">
        <f t="shared" ca="1" si="55"/>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2">
      <c r="A258" s="5">
        <f t="shared" ca="1" si="55"/>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2">
      <c r="A259" s="5">
        <f t="shared" ca="1" si="55"/>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2">
      <c r="A260" s="5">
        <f t="shared" ca="1" si="55"/>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2">
      <c r="A261" s="5">
        <f t="shared" ca="1" si="55"/>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2">
      <c r="A262" s="5">
        <f t="shared" ca="1" si="55"/>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2">
      <c r="A263" s="5">
        <f t="shared" ca="1" si="55"/>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2">
      <c r="M264" t="s">
        <v>81</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Normal="100" workbookViewId="0">
      <selection activeCell="C23" sqref="C23"/>
    </sheetView>
  </sheetViews>
  <sheetFormatPr defaultRowHeight="14.25" x14ac:dyDescent="0.2"/>
  <cols>
    <col min="1" max="1" width="19.875" bestFit="1" customWidth="1"/>
    <col min="2" max="2" width="11.375" customWidth="1"/>
    <col min="4" max="4" width="3.375" customWidth="1"/>
  </cols>
  <sheetData>
    <row r="1" spans="1:3" x14ac:dyDescent="0.2">
      <c r="A1" t="s">
        <v>128</v>
      </c>
      <c r="B1" s="249" t="s">
        <v>194</v>
      </c>
    </row>
    <row r="3" spans="1:3" ht="15" x14ac:dyDescent="0.25">
      <c r="A3" s="2" t="s">
        <v>187</v>
      </c>
    </row>
    <row r="4" spans="1:3" ht="14.25" customHeight="1" x14ac:dyDescent="0.2">
      <c r="A4" s="39" t="str">
        <f>IF(SPC_Type="Simple","Sample period","Season 1")&amp;" begins:"</f>
        <v>Season 1 begins:</v>
      </c>
    </row>
    <row r="5" spans="1:3" ht="14.25" customHeight="1" x14ac:dyDescent="0.2">
      <c r="A5" s="39" t="str">
        <f>IF(SPC_Type="Simple","Sample period","Season 1")&amp;" ends:"</f>
        <v>Season 1 ends:</v>
      </c>
      <c r="C5" t="str">
        <f ca="1">'SPC background (hide)'!H5&amp;" weeks"</f>
        <v>1 weeks</v>
      </c>
    </row>
    <row r="6" spans="1:3" ht="14.25" customHeight="1" x14ac:dyDescent="0.2"/>
    <row r="7" spans="1:3" ht="14.25" customHeight="1" x14ac:dyDescent="0.2">
      <c r="A7" s="337" t="s">
        <v>188</v>
      </c>
      <c r="B7" s="342"/>
      <c r="C7" s="342"/>
    </row>
    <row r="8" spans="1:3" ht="14.25" customHeight="1" x14ac:dyDescent="0.2">
      <c r="A8" s="337" t="s">
        <v>189</v>
      </c>
      <c r="B8" s="342"/>
      <c r="C8" s="342" t="str">
        <f ca="1">IF('SPC background (hide)'!H7&lt;&gt;"",'SPC background (hide)'!H7&amp;" weeks","")</f>
        <v/>
      </c>
    </row>
    <row r="9" spans="1:3" ht="14.25" customHeight="1" x14ac:dyDescent="0.2">
      <c r="A9" s="337"/>
      <c r="B9" s="342"/>
      <c r="C9" s="342"/>
    </row>
    <row r="10" spans="1:3" ht="14.25" customHeight="1" x14ac:dyDescent="0.2">
      <c r="A10" s="337" t="s">
        <v>190</v>
      </c>
      <c r="B10" s="342"/>
      <c r="C10" s="342"/>
    </row>
    <row r="11" spans="1:3" ht="14.25" customHeight="1" x14ac:dyDescent="0.2">
      <c r="A11" s="337" t="s">
        <v>191</v>
      </c>
      <c r="B11" s="342"/>
      <c r="C11" s="342" t="str">
        <f ca="1">IF('SPC background (hide)'!H9&lt;&gt;"",'SPC background (hide)'!H9&amp;" weeks","")</f>
        <v/>
      </c>
    </row>
    <row r="12" spans="1:3" ht="14.25" customHeight="1" x14ac:dyDescent="0.2">
      <c r="A12" s="337"/>
      <c r="B12" s="342"/>
      <c r="C12" s="342"/>
    </row>
    <row r="13" spans="1:3" ht="14.25" customHeight="1" x14ac:dyDescent="0.2">
      <c r="A13" s="337" t="s">
        <v>192</v>
      </c>
      <c r="B13" s="342"/>
      <c r="C13" s="342"/>
    </row>
    <row r="14" spans="1:3" ht="14.25" customHeight="1" x14ac:dyDescent="0.2">
      <c r="A14" s="337" t="s">
        <v>193</v>
      </c>
      <c r="B14" s="342"/>
      <c r="C14" s="342" t="str">
        <f ca="1">IF('SPC background (hide)'!H11&lt;&gt;"",'SPC background (hide)'!H11&amp;" weeks","")</f>
        <v/>
      </c>
    </row>
    <row r="15" spans="1:3" ht="14.25" customHeight="1" x14ac:dyDescent="0.2"/>
    <row r="16" spans="1:3" x14ac:dyDescent="0.2">
      <c r="A16" s="38" t="s">
        <v>149</v>
      </c>
    </row>
    <row r="17" spans="1:3" ht="15" x14ac:dyDescent="0.25">
      <c r="A17" s="2" t="str">
        <f ca="1">'SPC background (hide)'!I11&amp;" weeks"</f>
        <v>1 weeks</v>
      </c>
    </row>
    <row r="19" spans="1:3" x14ac:dyDescent="0.2">
      <c r="A19" t="str">
        <f ca="1">IF(AND('SPC background (hide)'!I11&lt;52,SPC_Type="1+ Seasons"),"Remaining wks use season:","")</f>
        <v/>
      </c>
      <c r="C19" s="181">
        <v>1</v>
      </c>
    </row>
    <row r="20" spans="1:3" x14ac:dyDescent="0.2">
      <c r="C20" s="46"/>
    </row>
    <row r="21" spans="1:3" x14ac:dyDescent="0.2">
      <c r="A21" t="s">
        <v>197</v>
      </c>
      <c r="C21" s="181" t="s">
        <v>20</v>
      </c>
    </row>
    <row r="22" spans="1:3" x14ac:dyDescent="0.2">
      <c r="C22" s="46"/>
    </row>
    <row r="23" spans="1:3" x14ac:dyDescent="0.2">
      <c r="A23" t="s">
        <v>198</v>
      </c>
      <c r="C23" s="181" t="s">
        <v>22</v>
      </c>
    </row>
    <row r="25" spans="1:3" hidden="1" x14ac:dyDescent="0.2">
      <c r="A25" t="s">
        <v>286</v>
      </c>
      <c r="C25" s="181" t="s">
        <v>22</v>
      </c>
    </row>
    <row r="29" spans="1:3" ht="15" x14ac:dyDescent="0.25">
      <c r="A29" s="2" t="s">
        <v>180</v>
      </c>
    </row>
    <row r="30" spans="1:3" x14ac:dyDescent="0.2">
      <c r="A30" s="41"/>
      <c r="B30" t="s">
        <v>177</v>
      </c>
    </row>
    <row r="31" spans="1:3" x14ac:dyDescent="0.2">
      <c r="A31" s="42"/>
      <c r="B31" t="s">
        <v>178</v>
      </c>
    </row>
    <row r="32" spans="1:3" x14ac:dyDescent="0.2">
      <c r="A32" s="43"/>
      <c r="B32" t="s">
        <v>199</v>
      </c>
    </row>
    <row r="33" spans="1:2" x14ac:dyDescent="0.2">
      <c r="A33" s="44"/>
      <c r="B33" t="s">
        <v>179</v>
      </c>
    </row>
  </sheetData>
  <sheetProtection algorithmName="SHA-512" hashValue="OMto/B0dq5tSwXkghkOAvXsmBQj920xDEi2Qv4VyfVvKm0zj/AMPDnDlUMec8yOf60fEO3vncSrl7npeLE3v6w==" saltValue="vav8SX3Q+pKPU1hb+klpQg=="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defaultColWidth="9" defaultRowHeight="14.25" x14ac:dyDescent="0.2"/>
  <cols>
    <col min="1" max="2" width="9" style="68"/>
    <col min="3" max="3" width="14.125" style="68" customWidth="1"/>
    <col min="4" max="5" width="9" style="68"/>
    <col min="6" max="6" width="13.625" style="68" customWidth="1"/>
    <col min="7" max="7" width="15.625" style="68" customWidth="1"/>
    <col min="8" max="9" width="9" style="68"/>
    <col min="10" max="26" width="9" style="68" customWidth="1"/>
    <col min="27" max="27" width="9" style="68" hidden="1" customWidth="1"/>
    <col min="28" max="28" width="9" style="68" customWidth="1"/>
    <col min="29" max="30" width="9" style="68" hidden="1" customWidth="1"/>
    <col min="31" max="16384" width="9" style="68"/>
  </cols>
  <sheetData>
    <row r="1" spans="1:46" x14ac:dyDescent="0.2">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2">
      <c r="A2" s="68" t="s">
        <v>436</v>
      </c>
      <c r="B2" s="68" t="str">
        <f>"Demand - SPC Chart ("&amp;Setup!$I$17&amp;")"</f>
        <v>Demand - SPC Chart (Patients)</v>
      </c>
      <c r="AG2" s="68">
        <f ca="1">OFFSET(Demand!$C$13,'SPC background (hide)'!$C$4-2+ROW(A1),0,1,1)</f>
        <v>1</v>
      </c>
      <c r="AH2" s="68">
        <v>1</v>
      </c>
      <c r="AI2" s="68">
        <f ca="1">IF(AH2&lt;=($M$4-$L$4+1),1,IF(AND($M$10&gt;=2,AH2&lt;=$M$5-$L$4+1),2,IF(AND($M$10&gt;=3,AH2&lt;=$M$6-$L$4+1),3,IF(AND($M$10=4,AH2&lt;=$M$7-$L$4+1),4,5))))</f>
        <v>1</v>
      </c>
      <c r="AJ2" s="40" t="e">
        <f ca="1">VLOOKUP(AI2,$K$4:$Q$9,4,0)</f>
        <v>#DIV/0!</v>
      </c>
      <c r="AK2" s="40" t="e">
        <f ca="1">IF($AN2-(3*$AJ2)&lt;=0,0,$AN2-(3*$AJ2))</f>
        <v>#DIV/0!</v>
      </c>
      <c r="AL2" s="40" t="e">
        <f ca="1">IF($AN2-(2*$AJ2)&lt;=0,0,$AN2-(2*$AJ2))</f>
        <v>#DIV/0!</v>
      </c>
      <c r="AM2" s="40" t="e">
        <f ca="1">IF($AN2-(1*$AJ2)&lt;=0,0,$AN2-(1*$AJ2))</f>
        <v>#DIV/0!</v>
      </c>
      <c r="AN2" s="40">
        <f ca="1">VLOOKUP(AI2,$K$4:$Q$9,5,0)</f>
        <v>0</v>
      </c>
      <c r="AO2" s="40" t="e">
        <f t="shared" ref="AO2:AO54" ca="1" si="0">$AN2+(1*$AJ2)</f>
        <v>#DIV/0!</v>
      </c>
      <c r="AP2" s="40" t="e">
        <f t="shared" ref="AP2:AP54" ca="1" si="1">$AN2+(2*$AJ2)</f>
        <v>#DIV/0!</v>
      </c>
      <c r="AQ2" s="40" t="e">
        <f t="shared" ref="AQ2:AQ54" ca="1" si="2">$AN2+(3*$AJ2)</f>
        <v>#DIV/0!</v>
      </c>
      <c r="AR2" s="5">
        <f ca="1">VLOOKUP($AI2,$K$4:$Q$8,6,0)</f>
        <v>0</v>
      </c>
      <c r="AS2" s="5">
        <f t="shared" ref="AS2:AS54" ca="1" si="3">VLOOKUP($AI2,$K$4:$Q$8,7,0)</f>
        <v>0</v>
      </c>
      <c r="AT2" s="5">
        <f ca="1">VLOOKUP(AI2,$K$4:$R$8,8,0)</f>
        <v>0</v>
      </c>
    </row>
    <row r="3" spans="1:46" x14ac:dyDescent="0.2">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2</v>
      </c>
      <c r="AH3" s="68">
        <v>2</v>
      </c>
      <c r="AI3" s="68">
        <f t="shared" ref="AI3:AI54" ca="1" si="4">IF(AH3&lt;=($M$4-$L$4+1),1,IF(AND($M$10&gt;=2,AH3&lt;=$M$5-$L$4+1),2,IF(AND($M$10&gt;=3,AH3&lt;=$M$6-$L$4+1),3,IF(AND($M$10=4,AH3&lt;=$M$7-$L$4+1),4,5))))</f>
        <v>5</v>
      </c>
      <c r="AJ3" s="40" t="e">
        <f t="shared" ref="AJ3:AJ54" ca="1" si="5">VLOOKUP(AI3,$K$4:$Q$9,4,0)</f>
        <v>#DIV/0!</v>
      </c>
      <c r="AK3" s="40" t="e">
        <f t="shared" ref="AK3:AK54" ca="1" si="6">IF($AN3-(3*$AJ3)&lt;=0,0,$AN3-(3*$AJ3))</f>
        <v>#DIV/0!</v>
      </c>
      <c r="AL3" s="40" t="e">
        <f t="shared" ref="AL3:AL54" ca="1" si="7">IF($AN3-(2*$AJ3)&lt;=0,0,$AN3-(2*$AJ3))</f>
        <v>#DIV/0!</v>
      </c>
      <c r="AM3" s="40" t="e">
        <f t="shared" ref="AM3:AM54" ca="1" si="8">IF($AN3-(1*$AJ3)&lt;=0,0,$AN3-(1*$AJ3))</f>
        <v>#DIV/0!</v>
      </c>
      <c r="AN3" s="40">
        <f t="shared" ref="AN3:AN54" ca="1" si="9">VLOOKUP(AI3,$K$4:$Q$9,5,0)</f>
        <v>0</v>
      </c>
      <c r="AO3" s="40" t="e">
        <f t="shared" ca="1" si="0"/>
        <v>#DIV/0!</v>
      </c>
      <c r="AP3" s="40" t="e">
        <f t="shared" ca="1" si="1"/>
        <v>#DIV/0!</v>
      </c>
      <c r="AQ3" s="40" t="e">
        <f t="shared" ca="1" si="2"/>
        <v>#DIV/0!</v>
      </c>
      <c r="AR3" s="5" t="e">
        <f t="shared" ref="AR3:AR54" ca="1" si="10">VLOOKUP($AI3,$K$4:$Q$8,6,0)</f>
        <v>#DIV/0!</v>
      </c>
      <c r="AS3" s="5" t="str">
        <f t="shared" ca="1" si="3"/>
        <v/>
      </c>
      <c r="AT3" s="5" t="str">
        <f t="shared" ref="AT3:AT54" ca="1" si="11">VLOOKUP(AI3,$K$4:$R$8,8,0)</f>
        <v/>
      </c>
    </row>
    <row r="4" spans="1:46" x14ac:dyDescent="0.2">
      <c r="B4" s="68" t="s">
        <v>120</v>
      </c>
      <c r="C4" s="68">
        <v>1</v>
      </c>
      <c r="D4" s="68">
        <v>1</v>
      </c>
      <c r="E4" s="68">
        <f ca="1">MAX(0,MaxRows-9)</f>
        <v>0</v>
      </c>
      <c r="F4" s="68">
        <f ca="1">E4-D4+1</f>
        <v>0</v>
      </c>
      <c r="K4" s="68">
        <v>1</v>
      </c>
      <c r="L4" s="68">
        <f>C4</f>
        <v>1</v>
      </c>
      <c r="M4" s="68">
        <f ca="1">H5+L4-1</f>
        <v>1</v>
      </c>
      <c r="N4" s="5" t="e">
        <f ca="1">Sigma1</f>
        <v>#DIV/0!</v>
      </c>
      <c r="O4" s="5">
        <f ca="1">Mean1</f>
        <v>0</v>
      </c>
      <c r="P4" s="5">
        <f ca="1">PercLower1</f>
        <v>0</v>
      </c>
      <c r="Q4" s="5">
        <f ca="1">PercUpper1</f>
        <v>0</v>
      </c>
      <c r="R4" s="5">
        <f ca="1">Emergency1</f>
        <v>0</v>
      </c>
      <c r="S4" s="5">
        <f ca="1">O4*H5</f>
        <v>0</v>
      </c>
      <c r="T4" s="5"/>
      <c r="AG4" s="68">
        <f t="shared" ref="AG4:AG54" ca="1" si="12">IF(MOD(AG3+1,53)=0,53,MOD(AG3+1,53))</f>
        <v>3</v>
      </c>
      <c r="AH4" s="68">
        <v>3</v>
      </c>
      <c r="AI4" s="68">
        <f t="shared" ca="1" si="4"/>
        <v>5</v>
      </c>
      <c r="AJ4" s="40" t="e">
        <f t="shared" ca="1" si="5"/>
        <v>#DIV/0!</v>
      </c>
      <c r="AK4" s="40" t="e">
        <f t="shared" ca="1" si="6"/>
        <v>#DIV/0!</v>
      </c>
      <c r="AL4" s="40" t="e">
        <f t="shared" ca="1" si="7"/>
        <v>#DIV/0!</v>
      </c>
      <c r="AM4" s="40" t="e">
        <f t="shared" ca="1" si="8"/>
        <v>#DIV/0!</v>
      </c>
      <c r="AN4" s="40">
        <f t="shared" ca="1" si="9"/>
        <v>0</v>
      </c>
      <c r="AO4" s="40" t="e">
        <f t="shared" ca="1" si="0"/>
        <v>#DIV/0!</v>
      </c>
      <c r="AP4" s="40" t="e">
        <f t="shared" ca="1" si="1"/>
        <v>#DIV/0!</v>
      </c>
      <c r="AQ4" s="40" t="e">
        <f t="shared" ca="1" si="2"/>
        <v>#DIV/0!</v>
      </c>
      <c r="AR4" s="5" t="e">
        <f t="shared" ca="1" si="10"/>
        <v>#DIV/0!</v>
      </c>
      <c r="AS4" s="5" t="str">
        <f t="shared" ca="1" si="3"/>
        <v/>
      </c>
      <c r="AT4" s="5" t="str">
        <f t="shared" ca="1" si="11"/>
        <v/>
      </c>
    </row>
    <row r="5" spans="1:46" x14ac:dyDescent="0.2">
      <c r="B5" s="68" t="s">
        <v>121</v>
      </c>
      <c r="C5" s="68">
        <v>1</v>
      </c>
      <c r="D5" s="68">
        <f>C4+9</f>
        <v>10</v>
      </c>
      <c r="E5" s="68">
        <f ca="1">MIN(C4+52,MaxRows+1)</f>
        <v>2</v>
      </c>
      <c r="F5" s="68">
        <f ca="1">E5-D5+1</f>
        <v>-7</v>
      </c>
      <c r="G5" s="68">
        <f ca="1">H5</f>
        <v>1</v>
      </c>
      <c r="H5" s="68">
        <f ca="1">MIN(C5+D5-C4,E5-C4)</f>
        <v>1</v>
      </c>
      <c r="I5" s="68">
        <f ca="1">G5</f>
        <v>1</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4</v>
      </c>
      <c r="AH5" s="68">
        <v>4</v>
      </c>
      <c r="AI5" s="68">
        <f t="shared" ca="1" si="4"/>
        <v>5</v>
      </c>
      <c r="AJ5" s="40" t="e">
        <f t="shared" ca="1" si="5"/>
        <v>#DIV/0!</v>
      </c>
      <c r="AK5" s="40" t="e">
        <f t="shared" ca="1" si="6"/>
        <v>#DIV/0!</v>
      </c>
      <c r="AL5" s="40" t="e">
        <f t="shared" ca="1" si="7"/>
        <v>#DIV/0!</v>
      </c>
      <c r="AM5" s="40" t="e">
        <f t="shared" ca="1" si="8"/>
        <v>#DIV/0!</v>
      </c>
      <c r="AN5" s="40">
        <f t="shared" ca="1" si="9"/>
        <v>0</v>
      </c>
      <c r="AO5" s="40" t="e">
        <f t="shared" ca="1" si="0"/>
        <v>#DIV/0!</v>
      </c>
      <c r="AP5" s="40" t="e">
        <f t="shared" ca="1" si="1"/>
        <v>#DIV/0!</v>
      </c>
      <c r="AQ5" s="40" t="e">
        <f t="shared" ca="1" si="2"/>
        <v>#DIV/0!</v>
      </c>
      <c r="AR5" s="5" t="e">
        <f t="shared" ca="1" si="10"/>
        <v>#DIV/0!</v>
      </c>
      <c r="AS5" s="5" t="str">
        <f t="shared" ca="1" si="3"/>
        <v/>
      </c>
      <c r="AT5" s="5" t="str">
        <f t="shared" ca="1" si="11"/>
        <v/>
      </c>
    </row>
    <row r="6" spans="1:46" x14ac:dyDescent="0.2">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5</v>
      </c>
      <c r="AH6" s="68">
        <v>5</v>
      </c>
      <c r="AI6" s="68">
        <f t="shared" ca="1" si="4"/>
        <v>5</v>
      </c>
      <c r="AJ6" s="40" t="e">
        <f t="shared" ca="1" si="5"/>
        <v>#DIV/0!</v>
      </c>
      <c r="AK6" s="40" t="e">
        <f t="shared" ca="1" si="6"/>
        <v>#DIV/0!</v>
      </c>
      <c r="AL6" s="40" t="e">
        <f t="shared" ca="1" si="7"/>
        <v>#DIV/0!</v>
      </c>
      <c r="AM6" s="40" t="e">
        <f t="shared" ca="1" si="8"/>
        <v>#DIV/0!</v>
      </c>
      <c r="AN6" s="40">
        <f t="shared" ca="1" si="9"/>
        <v>0</v>
      </c>
      <c r="AO6" s="40" t="e">
        <f t="shared" ca="1" si="0"/>
        <v>#DIV/0!</v>
      </c>
      <c r="AP6" s="40" t="e">
        <f t="shared" ca="1" si="1"/>
        <v>#DIV/0!</v>
      </c>
      <c r="AQ6" s="40" t="e">
        <f t="shared" ca="1" si="2"/>
        <v>#DIV/0!</v>
      </c>
      <c r="AR6" s="5" t="e">
        <f t="shared" ca="1" si="10"/>
        <v>#DIV/0!</v>
      </c>
      <c r="AS6" s="5" t="str">
        <f t="shared" ca="1" si="3"/>
        <v/>
      </c>
      <c r="AT6" s="5" t="str">
        <f t="shared" ca="1" si="11"/>
        <v/>
      </c>
    </row>
    <row r="7" spans="1:46" x14ac:dyDescent="0.2">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1</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6</v>
      </c>
      <c r="AH7" s="68">
        <v>6</v>
      </c>
      <c r="AI7" s="68">
        <f t="shared" ca="1" si="4"/>
        <v>5</v>
      </c>
      <c r="AJ7" s="40" t="e">
        <f t="shared" ca="1" si="5"/>
        <v>#DIV/0!</v>
      </c>
      <c r="AK7" s="40" t="e">
        <f t="shared" ca="1" si="6"/>
        <v>#DIV/0!</v>
      </c>
      <c r="AL7" s="40" t="e">
        <f t="shared" ca="1" si="7"/>
        <v>#DIV/0!</v>
      </c>
      <c r="AM7" s="40" t="e">
        <f t="shared" ca="1" si="8"/>
        <v>#DIV/0!</v>
      </c>
      <c r="AN7" s="40">
        <f t="shared" ca="1" si="9"/>
        <v>0</v>
      </c>
      <c r="AO7" s="40" t="e">
        <f t="shared" ca="1" si="0"/>
        <v>#DIV/0!</v>
      </c>
      <c r="AP7" s="40" t="e">
        <f t="shared" ca="1" si="1"/>
        <v>#DIV/0!</v>
      </c>
      <c r="AQ7" s="40" t="e">
        <f t="shared" ca="1" si="2"/>
        <v>#DIV/0!</v>
      </c>
      <c r="AR7" s="5" t="e">
        <f t="shared" ca="1" si="10"/>
        <v>#DIV/0!</v>
      </c>
      <c r="AS7" s="5" t="str">
        <f t="shared" ca="1" si="3"/>
        <v/>
      </c>
      <c r="AT7" s="5" t="str">
        <f t="shared" ca="1" si="11"/>
        <v/>
      </c>
    </row>
    <row r="8" spans="1:46" x14ac:dyDescent="0.2">
      <c r="B8" s="68" t="s">
        <v>124</v>
      </c>
      <c r="C8" s="36">
        <v>2</v>
      </c>
      <c r="D8" s="68" t="e">
        <f ca="1">IF(AND(G7&lt;=42,MaxRows-(G7+$C$4-1)&gt;10),C7+D7,NA())</f>
        <v>#N/A</v>
      </c>
      <c r="E8" s="68" t="e">
        <f ca="1">D8</f>
        <v>#N/A</v>
      </c>
      <c r="F8" s="68" t="e">
        <f ca="1">IF(ISNA(D8),NA(),1)</f>
        <v>#N/A</v>
      </c>
      <c r="K8" s="68">
        <v>5</v>
      </c>
      <c r="L8" s="68">
        <f ca="1">MATCH(5,$AI$2:$AI$54,0)</f>
        <v>2</v>
      </c>
      <c r="M8" s="68">
        <f ca="1">IF(L8&gt;0,52,0)</f>
        <v>52</v>
      </c>
      <c r="N8" s="71" t="e">
        <f ca="1">IF(L8&gt;0,INDIRECT("Sigma"&amp;$M$11),"")</f>
        <v>#DIV/0!</v>
      </c>
      <c r="O8" s="71">
        <f ca="1">IF(M8&gt;0,INDIRECT("Mean"&amp;$M$11),"")</f>
        <v>0</v>
      </c>
      <c r="P8" s="68" t="e">
        <f ca="1">IF(N8&gt;0,INDIRECT("PercLower"&amp;$M$11),"")</f>
        <v>#DIV/0!</v>
      </c>
      <c r="Q8" s="68" t="str">
        <f ca="1">IF(O8&gt;0,INDIRECT("PercUpper"&amp;$M$11),"")</f>
        <v/>
      </c>
      <c r="R8" s="68" t="str">
        <f ca="1">IF(O8&gt;0,INDIRECT("Emergency"&amp;$M$11),"")</f>
        <v/>
      </c>
      <c r="S8" s="5"/>
      <c r="AG8" s="68">
        <f t="shared" ca="1" si="12"/>
        <v>7</v>
      </c>
      <c r="AH8" s="68">
        <v>7</v>
      </c>
      <c r="AI8" s="68">
        <f t="shared" ca="1" si="4"/>
        <v>5</v>
      </c>
      <c r="AJ8" s="40" t="e">
        <f t="shared" ca="1" si="5"/>
        <v>#DIV/0!</v>
      </c>
      <c r="AK8" s="40" t="e">
        <f t="shared" ca="1" si="6"/>
        <v>#DIV/0!</v>
      </c>
      <c r="AL8" s="40" t="e">
        <f t="shared" ca="1" si="7"/>
        <v>#DIV/0!</v>
      </c>
      <c r="AM8" s="40" t="e">
        <f t="shared" ca="1" si="8"/>
        <v>#DIV/0!</v>
      </c>
      <c r="AN8" s="40">
        <f t="shared" ca="1" si="9"/>
        <v>0</v>
      </c>
      <c r="AO8" s="40" t="e">
        <f t="shared" ca="1" si="0"/>
        <v>#DIV/0!</v>
      </c>
      <c r="AP8" s="40" t="e">
        <f t="shared" ca="1" si="1"/>
        <v>#DIV/0!</v>
      </c>
      <c r="AQ8" s="40" t="e">
        <f t="shared" ca="1" si="2"/>
        <v>#DIV/0!</v>
      </c>
      <c r="AR8" s="5" t="e">
        <f t="shared" ca="1" si="10"/>
        <v>#DIV/0!</v>
      </c>
      <c r="AS8" s="5" t="str">
        <f t="shared" ca="1" si="3"/>
        <v/>
      </c>
      <c r="AT8" s="5" t="str">
        <f t="shared" ca="1" si="11"/>
        <v/>
      </c>
    </row>
    <row r="9" spans="1:46" x14ac:dyDescent="0.2">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1</v>
      </c>
      <c r="S9" s="5"/>
      <c r="AG9" s="68">
        <f t="shared" ca="1" si="12"/>
        <v>8</v>
      </c>
      <c r="AH9" s="68">
        <v>8</v>
      </c>
      <c r="AI9" s="68">
        <f t="shared" ca="1" si="4"/>
        <v>5</v>
      </c>
      <c r="AJ9" s="40" t="e">
        <f t="shared" ca="1" si="5"/>
        <v>#DIV/0!</v>
      </c>
      <c r="AK9" s="40" t="e">
        <f t="shared" ca="1" si="6"/>
        <v>#DIV/0!</v>
      </c>
      <c r="AL9" s="40" t="e">
        <f t="shared" ca="1" si="7"/>
        <v>#DIV/0!</v>
      </c>
      <c r="AM9" s="40" t="e">
        <f t="shared" ca="1" si="8"/>
        <v>#DIV/0!</v>
      </c>
      <c r="AN9" s="40">
        <f t="shared" ca="1" si="9"/>
        <v>0</v>
      </c>
      <c r="AO9" s="40" t="e">
        <f t="shared" ca="1" si="0"/>
        <v>#DIV/0!</v>
      </c>
      <c r="AP9" s="40" t="e">
        <f t="shared" ca="1" si="1"/>
        <v>#DIV/0!</v>
      </c>
      <c r="AQ9" s="40" t="e">
        <f t="shared" ca="1" si="2"/>
        <v>#DIV/0!</v>
      </c>
      <c r="AR9" s="5" t="e">
        <f t="shared" ca="1" si="10"/>
        <v>#DIV/0!</v>
      </c>
      <c r="AS9" s="5" t="str">
        <f t="shared" ca="1" si="3"/>
        <v/>
      </c>
      <c r="AT9" s="5" t="str">
        <f t="shared" ca="1" si="11"/>
        <v/>
      </c>
    </row>
    <row r="10" spans="1:46" x14ac:dyDescent="0.2">
      <c r="B10" s="68" t="s">
        <v>126</v>
      </c>
      <c r="C10" s="36">
        <v>2</v>
      </c>
      <c r="D10" s="68" t="e">
        <f ca="1">IF(AND(G9&lt;=42,MaxRows-(G9+$C$4-1)&gt;10),C9+D9,NA())</f>
        <v>#N/A</v>
      </c>
      <c r="E10" s="68" t="e">
        <f ca="1">D10</f>
        <v>#N/A</v>
      </c>
      <c r="F10" s="68" t="e">
        <f ca="1">IF(ISNA(D10),NA(),1)</f>
        <v>#N/A</v>
      </c>
      <c r="L10" s="68" t="s">
        <v>162</v>
      </c>
      <c r="M10" s="68">
        <f ca="1">4-COUNTIF(M4:M7,0)</f>
        <v>1</v>
      </c>
      <c r="S10" s="5">
        <f ca="1">SUM(S4:S7)</f>
        <v>0</v>
      </c>
      <c r="AG10" s="68">
        <f t="shared" ca="1" si="12"/>
        <v>9</v>
      </c>
      <c r="AH10" s="68">
        <v>9</v>
      </c>
      <c r="AI10" s="68">
        <f t="shared" ca="1" si="4"/>
        <v>5</v>
      </c>
      <c r="AJ10" s="40" t="e">
        <f t="shared" ca="1" si="5"/>
        <v>#DIV/0!</v>
      </c>
      <c r="AK10" s="40" t="e">
        <f t="shared" ca="1" si="6"/>
        <v>#DIV/0!</v>
      </c>
      <c r="AL10" s="40" t="e">
        <f t="shared" ca="1" si="7"/>
        <v>#DIV/0!</v>
      </c>
      <c r="AM10" s="40" t="e">
        <f t="shared" ca="1" si="8"/>
        <v>#DIV/0!</v>
      </c>
      <c r="AN10" s="40">
        <f t="shared" ca="1" si="9"/>
        <v>0</v>
      </c>
      <c r="AO10" s="40" t="e">
        <f t="shared" ca="1" si="0"/>
        <v>#DIV/0!</v>
      </c>
      <c r="AP10" s="40" t="e">
        <f t="shared" ca="1" si="1"/>
        <v>#DIV/0!</v>
      </c>
      <c r="AQ10" s="40" t="e">
        <f t="shared" ca="1" si="2"/>
        <v>#DIV/0!</v>
      </c>
      <c r="AR10" s="5" t="e">
        <f t="shared" ca="1" si="10"/>
        <v>#DIV/0!</v>
      </c>
      <c r="AS10" s="5" t="str">
        <f t="shared" ca="1" si="3"/>
        <v/>
      </c>
      <c r="AT10" s="5" t="str">
        <f t="shared" ca="1" si="11"/>
        <v/>
      </c>
    </row>
    <row r="11" spans="1:46" x14ac:dyDescent="0.2">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1</v>
      </c>
      <c r="M11" s="68">
        <f>IF(SPC_Type="1 Season",1,IF(AND(M10=1,I11&lt;52),1,IF('SPC Chart'!C19="",1,'SPC Chart'!C19)))</f>
        <v>1</v>
      </c>
      <c r="S11" s="5">
        <f ca="1">S10/I11</f>
        <v>0</v>
      </c>
      <c r="AG11" s="68">
        <f t="shared" ca="1" si="12"/>
        <v>10</v>
      </c>
      <c r="AH11" s="68">
        <v>10</v>
      </c>
      <c r="AI11" s="68">
        <f t="shared" ca="1" si="4"/>
        <v>5</v>
      </c>
      <c r="AJ11" s="40" t="e">
        <f t="shared" ca="1" si="5"/>
        <v>#DIV/0!</v>
      </c>
      <c r="AK11" s="40" t="e">
        <f t="shared" ca="1" si="6"/>
        <v>#DIV/0!</v>
      </c>
      <c r="AL11" s="40" t="e">
        <f t="shared" ca="1" si="7"/>
        <v>#DIV/0!</v>
      </c>
      <c r="AM11" s="40" t="e">
        <f t="shared" ca="1" si="8"/>
        <v>#DIV/0!</v>
      </c>
      <c r="AN11" s="40">
        <f t="shared" ca="1" si="9"/>
        <v>0</v>
      </c>
      <c r="AO11" s="40" t="e">
        <f t="shared" ca="1" si="0"/>
        <v>#DIV/0!</v>
      </c>
      <c r="AP11" s="40" t="e">
        <f t="shared" ca="1" si="1"/>
        <v>#DIV/0!</v>
      </c>
      <c r="AQ11" s="40" t="e">
        <f t="shared" ca="1" si="2"/>
        <v>#DIV/0!</v>
      </c>
      <c r="AR11" s="5" t="e">
        <f t="shared" ca="1" si="10"/>
        <v>#DIV/0!</v>
      </c>
      <c r="AS11" s="5" t="str">
        <f t="shared" ca="1" si="3"/>
        <v/>
      </c>
      <c r="AT11" s="5" t="str">
        <f t="shared" ca="1" si="11"/>
        <v/>
      </c>
    </row>
    <row r="12" spans="1:46" x14ac:dyDescent="0.2">
      <c r="S12" s="5"/>
      <c r="AG12" s="68">
        <f t="shared" ca="1" si="12"/>
        <v>11</v>
      </c>
      <c r="AH12" s="68">
        <v>11</v>
      </c>
      <c r="AI12" s="68">
        <f t="shared" ca="1" si="4"/>
        <v>5</v>
      </c>
      <c r="AJ12" s="40" t="e">
        <f t="shared" ca="1" si="5"/>
        <v>#DIV/0!</v>
      </c>
      <c r="AK12" s="40" t="e">
        <f t="shared" ca="1" si="6"/>
        <v>#DIV/0!</v>
      </c>
      <c r="AL12" s="40" t="e">
        <f t="shared" ca="1" si="7"/>
        <v>#DIV/0!</v>
      </c>
      <c r="AM12" s="40" t="e">
        <f t="shared" ca="1" si="8"/>
        <v>#DIV/0!</v>
      </c>
      <c r="AN12" s="40">
        <f t="shared" ca="1" si="9"/>
        <v>0</v>
      </c>
      <c r="AO12" s="40" t="e">
        <f t="shared" ca="1" si="0"/>
        <v>#DIV/0!</v>
      </c>
      <c r="AP12" s="40" t="e">
        <f t="shared" ca="1" si="1"/>
        <v>#DIV/0!</v>
      </c>
      <c r="AQ12" s="40" t="e">
        <f t="shared" ca="1" si="2"/>
        <v>#DIV/0!</v>
      </c>
      <c r="AR12" s="5" t="e">
        <f t="shared" ca="1" si="10"/>
        <v>#DIV/0!</v>
      </c>
      <c r="AS12" s="5" t="str">
        <f t="shared" ca="1" si="3"/>
        <v/>
      </c>
      <c r="AT12" s="5" t="str">
        <f t="shared" ca="1" si="11"/>
        <v/>
      </c>
    </row>
    <row r="13" spans="1:46" x14ac:dyDescent="0.2">
      <c r="Q13" s="68" t="s">
        <v>163</v>
      </c>
      <c r="AG13" s="68">
        <f t="shared" ca="1" si="12"/>
        <v>12</v>
      </c>
      <c r="AH13" s="68">
        <v>12</v>
      </c>
      <c r="AI13" s="68">
        <f t="shared" ca="1" si="4"/>
        <v>5</v>
      </c>
      <c r="AJ13" s="40" t="e">
        <f t="shared" ca="1" si="5"/>
        <v>#DIV/0!</v>
      </c>
      <c r="AK13" s="40" t="e">
        <f t="shared" ca="1" si="6"/>
        <v>#DIV/0!</v>
      </c>
      <c r="AL13" s="40" t="e">
        <f t="shared" ca="1" si="7"/>
        <v>#DIV/0!</v>
      </c>
      <c r="AM13" s="40" t="e">
        <f t="shared" ca="1" si="8"/>
        <v>#DIV/0!</v>
      </c>
      <c r="AN13" s="40">
        <f t="shared" ca="1" si="9"/>
        <v>0</v>
      </c>
      <c r="AO13" s="40" t="e">
        <f t="shared" ca="1" si="0"/>
        <v>#DIV/0!</v>
      </c>
      <c r="AP13" s="40" t="e">
        <f t="shared" ca="1" si="1"/>
        <v>#DIV/0!</v>
      </c>
      <c r="AQ13" s="40" t="e">
        <f t="shared" ca="1" si="2"/>
        <v>#DIV/0!</v>
      </c>
      <c r="AR13" s="5" t="e">
        <f t="shared" ca="1" si="10"/>
        <v>#DIV/0!</v>
      </c>
      <c r="AS13" s="5" t="str">
        <f t="shared" ca="1" si="3"/>
        <v/>
      </c>
      <c r="AT13" s="5" t="str">
        <f t="shared" ca="1" si="11"/>
        <v/>
      </c>
    </row>
    <row r="14" spans="1:46" x14ac:dyDescent="0.2">
      <c r="Q14" s="68" t="s">
        <v>173</v>
      </c>
      <c r="R14" s="68" t="s">
        <v>174</v>
      </c>
      <c r="T14" s="68" t="s">
        <v>175</v>
      </c>
      <c r="V14" s="68" t="s">
        <v>182</v>
      </c>
      <c r="X14" s="68" t="s">
        <v>181</v>
      </c>
      <c r="Z14" s="68" t="s">
        <v>176</v>
      </c>
      <c r="AC14" s="68" t="s">
        <v>164</v>
      </c>
      <c r="AG14" s="68">
        <f t="shared" ca="1" si="12"/>
        <v>13</v>
      </c>
      <c r="AH14" s="68">
        <v>13</v>
      </c>
      <c r="AI14" s="68">
        <f t="shared" ca="1" si="4"/>
        <v>5</v>
      </c>
      <c r="AJ14" s="40" t="e">
        <f t="shared" ca="1" si="5"/>
        <v>#DIV/0!</v>
      </c>
      <c r="AK14" s="40" t="e">
        <f t="shared" ca="1" si="6"/>
        <v>#DIV/0!</v>
      </c>
      <c r="AL14" s="40" t="e">
        <f t="shared" ca="1" si="7"/>
        <v>#DIV/0!</v>
      </c>
      <c r="AM14" s="40" t="e">
        <f t="shared" ca="1" si="8"/>
        <v>#DIV/0!</v>
      </c>
      <c r="AN14" s="40">
        <f t="shared" ca="1" si="9"/>
        <v>0</v>
      </c>
      <c r="AO14" s="40" t="e">
        <f t="shared" ca="1" si="0"/>
        <v>#DIV/0!</v>
      </c>
      <c r="AP14" s="40" t="e">
        <f t="shared" ca="1" si="1"/>
        <v>#DIV/0!</v>
      </c>
      <c r="AQ14" s="40" t="e">
        <f t="shared" ca="1" si="2"/>
        <v>#DIV/0!</v>
      </c>
      <c r="AR14" s="5" t="e">
        <f t="shared" ca="1" si="10"/>
        <v>#DIV/0!</v>
      </c>
      <c r="AS14" s="5" t="str">
        <f t="shared" ca="1" si="3"/>
        <v/>
      </c>
      <c r="AT14" s="5" t="str">
        <f t="shared" ca="1" si="11"/>
        <v/>
      </c>
    </row>
    <row r="15" spans="1:46" x14ac:dyDescent="0.2">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14</v>
      </c>
      <c r="AH15" s="68">
        <v>14</v>
      </c>
      <c r="AI15" s="68">
        <f t="shared" ca="1" si="4"/>
        <v>5</v>
      </c>
      <c r="AJ15" s="40" t="e">
        <f t="shared" ca="1" si="5"/>
        <v>#DIV/0!</v>
      </c>
      <c r="AK15" s="40" t="e">
        <f t="shared" ca="1" si="6"/>
        <v>#DIV/0!</v>
      </c>
      <c r="AL15" s="40" t="e">
        <f t="shared" ca="1" si="7"/>
        <v>#DIV/0!</v>
      </c>
      <c r="AM15" s="40" t="e">
        <f t="shared" ca="1" si="8"/>
        <v>#DIV/0!</v>
      </c>
      <c r="AN15" s="40">
        <f t="shared" ca="1" si="9"/>
        <v>0</v>
      </c>
      <c r="AO15" s="40" t="e">
        <f t="shared" ca="1" si="0"/>
        <v>#DIV/0!</v>
      </c>
      <c r="AP15" s="40" t="e">
        <f t="shared" ca="1" si="1"/>
        <v>#DIV/0!</v>
      </c>
      <c r="AQ15" s="40" t="e">
        <f t="shared" ca="1" si="2"/>
        <v>#DIV/0!</v>
      </c>
      <c r="AR15" s="5" t="e">
        <f t="shared" ca="1" si="10"/>
        <v>#DIV/0!</v>
      </c>
      <c r="AS15" s="5" t="str">
        <f t="shared" ca="1" si="3"/>
        <v/>
      </c>
      <c r="AT15" s="5" t="str">
        <f t="shared" ca="1" si="11"/>
        <v/>
      </c>
    </row>
    <row r="16" spans="1:46" x14ac:dyDescent="0.2">
      <c r="A16" s="68">
        <f>Demand!C13</f>
        <v>1</v>
      </c>
      <c r="B16" s="68">
        <v>1</v>
      </c>
      <c r="C16" s="5">
        <f ca="1">'Demand background (hide)'!Y4</f>
        <v>0</v>
      </c>
      <c r="D16" s="68">
        <f>IF(AND($B16&gt;=$C$4,$B16&lt;=$D$5+$C$5-1),1,0)</f>
        <v>1</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t="e">
        <f t="shared" ref="J16:P16" ca="1" si="13">VLOOKUP($A16,$AG$2:$AQ$54,COLUMN(E$1),0)</f>
        <v>#DIV/0!</v>
      </c>
      <c r="K16" s="5" t="e">
        <f t="shared" ca="1" si="13"/>
        <v>#DIV/0!</v>
      </c>
      <c r="L16" s="5" t="e">
        <f t="shared" ca="1" si="13"/>
        <v>#DIV/0!</v>
      </c>
      <c r="M16" s="5">
        <f t="shared" ca="1" si="13"/>
        <v>0</v>
      </c>
      <c r="N16" s="5" t="e">
        <f t="shared" ca="1" si="13"/>
        <v>#DIV/0!</v>
      </c>
      <c r="O16" s="5" t="e">
        <f t="shared" ca="1" si="13"/>
        <v>#DIV/0!</v>
      </c>
      <c r="P16" s="5" t="e">
        <f t="shared" ca="1" si="13"/>
        <v>#DIV/0!</v>
      </c>
      <c r="Q16" s="5" t="e">
        <f ca="1">IF(ISNA(H16)=TRUE,IF(OR(C16&gt;P16,C16&lt;J16),C16,NA()),NA())</f>
        <v>#DIV/0!</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8">
        <f t="shared" ca="1" si="12"/>
        <v>15</v>
      </c>
      <c r="AH16" s="68">
        <v>15</v>
      </c>
      <c r="AI16" s="68">
        <f t="shared" ca="1" si="4"/>
        <v>5</v>
      </c>
      <c r="AJ16" s="40" t="e">
        <f t="shared" ca="1" si="5"/>
        <v>#DIV/0!</v>
      </c>
      <c r="AK16" s="40" t="e">
        <f t="shared" ca="1" si="6"/>
        <v>#DIV/0!</v>
      </c>
      <c r="AL16" s="40" t="e">
        <f t="shared" ca="1" si="7"/>
        <v>#DIV/0!</v>
      </c>
      <c r="AM16" s="40" t="e">
        <f t="shared" ca="1" si="8"/>
        <v>#DIV/0!</v>
      </c>
      <c r="AN16" s="40">
        <f t="shared" ca="1" si="9"/>
        <v>0</v>
      </c>
      <c r="AO16" s="40" t="e">
        <f t="shared" ca="1" si="0"/>
        <v>#DIV/0!</v>
      </c>
      <c r="AP16" s="40" t="e">
        <f t="shared" ca="1" si="1"/>
        <v>#DIV/0!</v>
      </c>
      <c r="AQ16" s="40" t="e">
        <f t="shared" ca="1" si="2"/>
        <v>#DIV/0!</v>
      </c>
      <c r="AR16" s="5" t="e">
        <f t="shared" ca="1" si="10"/>
        <v>#DIV/0!</v>
      </c>
      <c r="AS16" s="5" t="str">
        <f t="shared" ca="1" si="3"/>
        <v/>
      </c>
      <c r="AT16" s="5" t="str">
        <f t="shared" ca="1" si="11"/>
        <v/>
      </c>
    </row>
    <row r="17" spans="1:46" x14ac:dyDescent="0.2">
      <c r="A17" s="68" t="str">
        <f ca="1">Demand!C14</f>
        <v/>
      </c>
      <c r="B17" s="68">
        <v>2</v>
      </c>
      <c r="C17" s="5">
        <f ca="1">'Demand background (hide)'!Y5</f>
        <v>0</v>
      </c>
      <c r="D17" s="68">
        <f t="shared" ref="D17:D80" si="15">IF(AND($B17&gt;=$C$4,$B17&lt;=$D$5+$C$5-1),1,0)</f>
        <v>1</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8" t="e">
        <f ca="1">IF(ISNA(H17),IF(ABS(SUM(R17:R19))&gt;=5,C17,NA()),NA())</f>
        <v>#N/A</v>
      </c>
      <c r="T17" s="68" t="e">
        <f ca="1">IF(C17&gt;N17,2,IF(C17&lt;L17,-2,IF(C17&gt;M17,1,IF(C17&lt;M17,-1,0))))</f>
        <v>#N/A</v>
      </c>
      <c r="U17" s="68" t="e">
        <f ca="1">IF(ISNA(H17)=TRUE,IF(ABS(SUM(T17:T21))&gt;=9,C17,NA()),NA())</f>
        <v>#N/A</v>
      </c>
      <c r="V17" s="5" t="e">
        <f t="shared" ca="1" si="14"/>
        <v>#N/A</v>
      </c>
      <c r="W17" s="5" t="e">
        <f t="shared" ref="W17:W80" ca="1" si="28">IF(ISNA(H17)=TRUE,IF(ABS(SUM(V17:V25))=9,C17,NA()),NA())</f>
        <v>#N/A</v>
      </c>
      <c r="X17" s="68">
        <f t="shared" ref="X17:X80" ca="1" si="29">IF(C17&gt;C16,1,IF(C17&lt;C16,-1,0))</f>
        <v>0</v>
      </c>
      <c r="Y17" s="68" t="e">
        <f ca="1">IF(ISNA(H17)=TRUE,IF(ABS(SUM(X17:X22))=6,C17,NA()),NA())</f>
        <v>#N/A</v>
      </c>
      <c r="Z17" s="68"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8">
        <f t="shared" ca="1" si="12"/>
        <v>16</v>
      </c>
      <c r="AH17" s="68">
        <v>16</v>
      </c>
      <c r="AI17" s="68">
        <f t="shared" ca="1" si="4"/>
        <v>5</v>
      </c>
      <c r="AJ17" s="40" t="e">
        <f t="shared" ca="1" si="5"/>
        <v>#DIV/0!</v>
      </c>
      <c r="AK17" s="40" t="e">
        <f t="shared" ca="1" si="6"/>
        <v>#DIV/0!</v>
      </c>
      <c r="AL17" s="40" t="e">
        <f t="shared" ca="1" si="7"/>
        <v>#DIV/0!</v>
      </c>
      <c r="AM17" s="40" t="e">
        <f t="shared" ca="1" si="8"/>
        <v>#DIV/0!</v>
      </c>
      <c r="AN17" s="40">
        <f t="shared" ca="1" si="9"/>
        <v>0</v>
      </c>
      <c r="AO17" s="40" t="e">
        <f t="shared" ca="1" si="0"/>
        <v>#DIV/0!</v>
      </c>
      <c r="AP17" s="40" t="e">
        <f t="shared" ca="1" si="1"/>
        <v>#DIV/0!</v>
      </c>
      <c r="AQ17" s="40" t="e">
        <f t="shared" ca="1" si="2"/>
        <v>#DIV/0!</v>
      </c>
      <c r="AR17" s="5" t="e">
        <f t="shared" ca="1" si="10"/>
        <v>#DIV/0!</v>
      </c>
      <c r="AS17" s="5" t="str">
        <f t="shared" ca="1" si="3"/>
        <v/>
      </c>
      <c r="AT17" s="5" t="str">
        <f t="shared" ca="1" si="11"/>
        <v/>
      </c>
    </row>
    <row r="18" spans="1:46" x14ac:dyDescent="0.2">
      <c r="A18" s="68" t="str">
        <f ca="1">Demand!C15</f>
        <v/>
      </c>
      <c r="B18" s="68">
        <v>3</v>
      </c>
      <c r="C18" s="5">
        <f ca="1">'Demand background (hide)'!Y6</f>
        <v>0</v>
      </c>
      <c r="D18" s="68">
        <f t="shared" si="15"/>
        <v>1</v>
      </c>
      <c r="E18" s="68" t="e">
        <f t="shared" ca="1" si="16"/>
        <v>#N/A</v>
      </c>
      <c r="F18" s="68" t="e">
        <f t="shared" ca="1" si="17"/>
        <v>#N/A</v>
      </c>
      <c r="G18" s="68" t="e">
        <f t="shared" ca="1" si="18"/>
        <v>#N/A</v>
      </c>
      <c r="H18" s="68" t="e">
        <f>IF('Demand background (hide)'!AN6&lt;&gt;"",'SPC background (hide)'!C18,NA())</f>
        <v>#N/A</v>
      </c>
      <c r="I18" s="68"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8" t="e">
        <f t="shared" ref="S18:S81" ca="1" si="33">IF(ISNA(H18),IF(ABS(SUM(R18:R20))&gt;=5,C18,NA()),NA())</f>
        <v>#N/A</v>
      </c>
      <c r="T18" s="68" t="e">
        <f t="shared" ref="T18:T81" ca="1" si="34">IF(C18&gt;N18,2,IF(C18&lt;L18,-2,IF(C18&gt;M18,1,IF(C18&lt;M18,-1,0))))</f>
        <v>#N/A</v>
      </c>
      <c r="U18" s="68" t="e">
        <f t="shared" ref="U18:U81" ca="1" si="35">IF(ISNA(H18)=TRUE,IF(ABS(SUM(T18:T22))&gt;=9,C18,NA()),NA())</f>
        <v>#N/A</v>
      </c>
      <c r="V18" s="5" t="e">
        <f t="shared" ca="1" si="14"/>
        <v>#N/A</v>
      </c>
      <c r="W18" s="5" t="e">
        <f t="shared" ca="1" si="28"/>
        <v>#N/A</v>
      </c>
      <c r="X18" s="68">
        <f t="shared" ca="1" si="29"/>
        <v>0</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t="e">
        <f t="shared" ca="1" si="30"/>
        <v>#N/A</v>
      </c>
      <c r="AD18" s="5" t="e">
        <f t="shared" ca="1" si="31"/>
        <v>#N/A</v>
      </c>
      <c r="AG18" s="68">
        <f t="shared" ca="1" si="12"/>
        <v>17</v>
      </c>
      <c r="AH18" s="68">
        <v>17</v>
      </c>
      <c r="AI18" s="68">
        <f t="shared" ca="1" si="4"/>
        <v>5</v>
      </c>
      <c r="AJ18" s="40" t="e">
        <f t="shared" ca="1" si="5"/>
        <v>#DIV/0!</v>
      </c>
      <c r="AK18" s="40" t="e">
        <f t="shared" ca="1" si="6"/>
        <v>#DIV/0!</v>
      </c>
      <c r="AL18" s="40" t="e">
        <f t="shared" ca="1" si="7"/>
        <v>#DIV/0!</v>
      </c>
      <c r="AM18" s="40" t="e">
        <f t="shared" ca="1" si="8"/>
        <v>#DIV/0!</v>
      </c>
      <c r="AN18" s="40">
        <f t="shared" ca="1" si="9"/>
        <v>0</v>
      </c>
      <c r="AO18" s="40" t="e">
        <f t="shared" ca="1" si="0"/>
        <v>#DIV/0!</v>
      </c>
      <c r="AP18" s="40" t="e">
        <f t="shared" ca="1" si="1"/>
        <v>#DIV/0!</v>
      </c>
      <c r="AQ18" s="40" t="e">
        <f t="shared" ca="1" si="2"/>
        <v>#DIV/0!</v>
      </c>
      <c r="AR18" s="5" t="e">
        <f t="shared" ca="1" si="10"/>
        <v>#DIV/0!</v>
      </c>
      <c r="AS18" s="5" t="str">
        <f t="shared" ca="1" si="3"/>
        <v/>
      </c>
      <c r="AT18" s="5" t="str">
        <f t="shared" ca="1" si="11"/>
        <v/>
      </c>
    </row>
    <row r="19" spans="1:46" x14ac:dyDescent="0.2">
      <c r="A19" s="68" t="str">
        <f ca="1">Demand!C16</f>
        <v/>
      </c>
      <c r="B19" s="68">
        <v>4</v>
      </c>
      <c r="C19" s="5">
        <f ca="1">'Demand background (hide)'!Y7</f>
        <v>0</v>
      </c>
      <c r="D19" s="68">
        <f t="shared" si="15"/>
        <v>1</v>
      </c>
      <c r="E19" s="68" t="e">
        <f t="shared" ca="1" si="16"/>
        <v>#N/A</v>
      </c>
      <c r="F19" s="68" t="e">
        <f t="shared" ca="1" si="17"/>
        <v>#N/A</v>
      </c>
      <c r="G19" s="68" t="e">
        <f t="shared" ca="1" si="18"/>
        <v>#N/A</v>
      </c>
      <c r="H19" s="68" t="e">
        <f>IF('Demand background (hide)'!AN7&lt;&gt;"",'SPC background (hide)'!C19,NA())</f>
        <v>#N/A</v>
      </c>
      <c r="I19" s="68"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8" t="e">
        <f t="shared" ca="1" si="33"/>
        <v>#N/A</v>
      </c>
      <c r="T19" s="68" t="e">
        <f t="shared" ca="1" si="34"/>
        <v>#N/A</v>
      </c>
      <c r="U19" s="68" t="e">
        <f t="shared" ca="1" si="35"/>
        <v>#N/A</v>
      </c>
      <c r="V19" s="5" t="e">
        <f t="shared" ca="1" si="14"/>
        <v>#N/A</v>
      </c>
      <c r="W19" s="5" t="e">
        <f t="shared" ca="1" si="28"/>
        <v>#N/A</v>
      </c>
      <c r="X19" s="68">
        <f t="shared" ca="1" si="29"/>
        <v>0</v>
      </c>
      <c r="Y19" s="68" t="e">
        <f t="shared" ca="1" si="36"/>
        <v>#N/A</v>
      </c>
      <c r="Z19" s="68" t="e">
        <f t="shared" ca="1" si="37"/>
        <v>#N/A</v>
      </c>
      <c r="AA19" s="5" t="str">
        <f>IF(Setup!$I$15="Yes",'Demand background (hide)'!AJ7+'SPC background (hide)'!C19,"")</f>
        <v/>
      </c>
      <c r="AC19" s="5" t="e">
        <f t="shared" ca="1" si="30"/>
        <v>#N/A</v>
      </c>
      <c r="AD19" s="5" t="e">
        <f t="shared" ca="1" si="31"/>
        <v>#N/A</v>
      </c>
      <c r="AG19" s="68">
        <f t="shared" ca="1" si="12"/>
        <v>18</v>
      </c>
      <c r="AH19" s="68">
        <v>18</v>
      </c>
      <c r="AI19" s="68">
        <f t="shared" ca="1" si="4"/>
        <v>5</v>
      </c>
      <c r="AJ19" s="40" t="e">
        <f t="shared" ca="1" si="5"/>
        <v>#DIV/0!</v>
      </c>
      <c r="AK19" s="40" t="e">
        <f t="shared" ca="1" si="6"/>
        <v>#DIV/0!</v>
      </c>
      <c r="AL19" s="40" t="e">
        <f t="shared" ca="1" si="7"/>
        <v>#DIV/0!</v>
      </c>
      <c r="AM19" s="40" t="e">
        <f t="shared" ca="1" si="8"/>
        <v>#DIV/0!</v>
      </c>
      <c r="AN19" s="40">
        <f t="shared" ca="1" si="9"/>
        <v>0</v>
      </c>
      <c r="AO19" s="40" t="e">
        <f t="shared" ca="1" si="0"/>
        <v>#DIV/0!</v>
      </c>
      <c r="AP19" s="40" t="e">
        <f t="shared" ca="1" si="1"/>
        <v>#DIV/0!</v>
      </c>
      <c r="AQ19" s="40" t="e">
        <f t="shared" ca="1" si="2"/>
        <v>#DIV/0!</v>
      </c>
      <c r="AR19" s="5" t="e">
        <f t="shared" ca="1" si="10"/>
        <v>#DIV/0!</v>
      </c>
      <c r="AS19" s="5" t="str">
        <f t="shared" ca="1" si="3"/>
        <v/>
      </c>
      <c r="AT19" s="5" t="str">
        <f t="shared" ca="1" si="11"/>
        <v/>
      </c>
    </row>
    <row r="20" spans="1:46" x14ac:dyDescent="0.2">
      <c r="A20" s="68" t="str">
        <f ca="1">Demand!C17</f>
        <v/>
      </c>
      <c r="B20" s="68">
        <v>5</v>
      </c>
      <c r="C20" s="5">
        <f ca="1">'Demand background (hide)'!Y8</f>
        <v>0</v>
      </c>
      <c r="D20" s="68">
        <f t="shared" si="15"/>
        <v>1</v>
      </c>
      <c r="E20" s="68" t="e">
        <f t="shared" ca="1" si="16"/>
        <v>#N/A</v>
      </c>
      <c r="F20" s="68" t="e">
        <f t="shared" ca="1" si="17"/>
        <v>#N/A</v>
      </c>
      <c r="G20" s="68" t="e">
        <f t="shared" ca="1" si="18"/>
        <v>#N/A</v>
      </c>
      <c r="H20" s="68" t="e">
        <f>IF('Demand background (hide)'!AN8&lt;&gt;"",'SPC background (hide)'!C20,NA())</f>
        <v>#N/A</v>
      </c>
      <c r="I20" s="68"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8" t="e">
        <f t="shared" ca="1" si="33"/>
        <v>#N/A</v>
      </c>
      <c r="T20" s="68" t="e">
        <f t="shared" ca="1" si="34"/>
        <v>#N/A</v>
      </c>
      <c r="U20" s="68" t="e">
        <f t="shared" ca="1" si="35"/>
        <v>#N/A</v>
      </c>
      <c r="V20" s="5" t="e">
        <f t="shared" ca="1" si="14"/>
        <v>#N/A</v>
      </c>
      <c r="W20" s="5" t="e">
        <f t="shared" ca="1" si="28"/>
        <v>#N/A</v>
      </c>
      <c r="X20" s="68">
        <f t="shared" ca="1" si="29"/>
        <v>0</v>
      </c>
      <c r="Y20" s="68" t="e">
        <f t="shared" ca="1" si="36"/>
        <v>#N/A</v>
      </c>
      <c r="Z20" s="68" t="e">
        <f t="shared" ca="1" si="37"/>
        <v>#N/A</v>
      </c>
      <c r="AA20" s="5" t="str">
        <f>IF(Setup!$I$15="Yes",'Demand background (hide)'!AJ8+'SPC background (hide)'!C20,"")</f>
        <v/>
      </c>
      <c r="AC20" s="5" t="e">
        <f t="shared" ca="1" si="30"/>
        <v>#N/A</v>
      </c>
      <c r="AD20" s="5" t="e">
        <f t="shared" ca="1" si="31"/>
        <v>#N/A</v>
      </c>
      <c r="AG20" s="68">
        <f t="shared" ca="1" si="12"/>
        <v>19</v>
      </c>
      <c r="AH20" s="68">
        <v>19</v>
      </c>
      <c r="AI20" s="68">
        <f t="shared" ca="1" si="4"/>
        <v>5</v>
      </c>
      <c r="AJ20" s="40" t="e">
        <f t="shared" ca="1" si="5"/>
        <v>#DIV/0!</v>
      </c>
      <c r="AK20" s="40" t="e">
        <f t="shared" ca="1" si="6"/>
        <v>#DIV/0!</v>
      </c>
      <c r="AL20" s="40" t="e">
        <f t="shared" ca="1" si="7"/>
        <v>#DIV/0!</v>
      </c>
      <c r="AM20" s="40" t="e">
        <f t="shared" ca="1" si="8"/>
        <v>#DIV/0!</v>
      </c>
      <c r="AN20" s="40">
        <f t="shared" ca="1" si="9"/>
        <v>0</v>
      </c>
      <c r="AO20" s="40" t="e">
        <f t="shared" ca="1" si="0"/>
        <v>#DIV/0!</v>
      </c>
      <c r="AP20" s="40" t="e">
        <f t="shared" ca="1" si="1"/>
        <v>#DIV/0!</v>
      </c>
      <c r="AQ20" s="40" t="e">
        <f t="shared" ca="1" si="2"/>
        <v>#DIV/0!</v>
      </c>
      <c r="AR20" s="5" t="e">
        <f t="shared" ca="1" si="10"/>
        <v>#DIV/0!</v>
      </c>
      <c r="AS20" s="5" t="str">
        <f t="shared" ca="1" si="3"/>
        <v/>
      </c>
      <c r="AT20" s="5" t="str">
        <f t="shared" ca="1" si="11"/>
        <v/>
      </c>
    </row>
    <row r="21" spans="1:46" x14ac:dyDescent="0.2">
      <c r="A21" s="68" t="str">
        <f ca="1">Demand!C18</f>
        <v/>
      </c>
      <c r="B21" s="68">
        <v>6</v>
      </c>
      <c r="C21" s="5">
        <f ca="1">'Demand background (hide)'!Y9</f>
        <v>0</v>
      </c>
      <c r="D21" s="68">
        <f t="shared" si="15"/>
        <v>1</v>
      </c>
      <c r="E21" s="68" t="e">
        <f t="shared" ca="1" si="16"/>
        <v>#N/A</v>
      </c>
      <c r="F21" s="68" t="e">
        <f t="shared" ca="1" si="17"/>
        <v>#N/A</v>
      </c>
      <c r="G21" s="68" t="e">
        <f t="shared" ca="1" si="18"/>
        <v>#N/A</v>
      </c>
      <c r="H21" s="68" t="e">
        <f>IF('Demand background (hide)'!AN9&lt;&gt;"",'SPC background (hide)'!C21,NA())</f>
        <v>#N/A</v>
      </c>
      <c r="I21" s="68"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8" t="e">
        <f t="shared" ca="1" si="33"/>
        <v>#N/A</v>
      </c>
      <c r="T21" s="68" t="e">
        <f t="shared" ca="1" si="34"/>
        <v>#N/A</v>
      </c>
      <c r="U21" s="68" t="e">
        <f t="shared" ca="1" si="35"/>
        <v>#N/A</v>
      </c>
      <c r="V21" s="5" t="e">
        <f t="shared" ca="1" si="14"/>
        <v>#N/A</v>
      </c>
      <c r="W21" s="5" t="e">
        <f t="shared" ca="1" si="28"/>
        <v>#N/A</v>
      </c>
      <c r="X21" s="68">
        <f t="shared" ca="1" si="29"/>
        <v>0</v>
      </c>
      <c r="Y21" s="68" t="e">
        <f t="shared" ca="1" si="36"/>
        <v>#N/A</v>
      </c>
      <c r="Z21" s="68" t="e">
        <f t="shared" ca="1" si="37"/>
        <v>#N/A</v>
      </c>
      <c r="AA21" s="5" t="str">
        <f>IF(Setup!$I$15="Yes",'Demand background (hide)'!AJ9+'SPC background (hide)'!C21,"")</f>
        <v/>
      </c>
      <c r="AC21" s="5" t="e">
        <f t="shared" ca="1" si="30"/>
        <v>#N/A</v>
      </c>
      <c r="AD21" s="5" t="e">
        <f t="shared" ca="1" si="31"/>
        <v>#N/A</v>
      </c>
      <c r="AG21" s="68">
        <f t="shared" ca="1" si="12"/>
        <v>20</v>
      </c>
      <c r="AH21" s="68">
        <v>20</v>
      </c>
      <c r="AI21" s="68">
        <f t="shared" ca="1" si="4"/>
        <v>5</v>
      </c>
      <c r="AJ21" s="40" t="e">
        <f t="shared" ca="1" si="5"/>
        <v>#DIV/0!</v>
      </c>
      <c r="AK21" s="40" t="e">
        <f t="shared" ca="1" si="6"/>
        <v>#DIV/0!</v>
      </c>
      <c r="AL21" s="40" t="e">
        <f t="shared" ca="1" si="7"/>
        <v>#DIV/0!</v>
      </c>
      <c r="AM21" s="40" t="e">
        <f t="shared" ca="1" si="8"/>
        <v>#DIV/0!</v>
      </c>
      <c r="AN21" s="40">
        <f t="shared" ca="1" si="9"/>
        <v>0</v>
      </c>
      <c r="AO21" s="40" t="e">
        <f t="shared" ca="1" si="0"/>
        <v>#DIV/0!</v>
      </c>
      <c r="AP21" s="40" t="e">
        <f t="shared" ca="1" si="1"/>
        <v>#DIV/0!</v>
      </c>
      <c r="AQ21" s="40" t="e">
        <f t="shared" ca="1" si="2"/>
        <v>#DIV/0!</v>
      </c>
      <c r="AR21" s="5" t="e">
        <f t="shared" ca="1" si="10"/>
        <v>#DIV/0!</v>
      </c>
      <c r="AS21" s="5" t="str">
        <f t="shared" ca="1" si="3"/>
        <v/>
      </c>
      <c r="AT21" s="5" t="str">
        <f t="shared" ca="1" si="11"/>
        <v/>
      </c>
    </row>
    <row r="22" spans="1:46" x14ac:dyDescent="0.2">
      <c r="A22" s="68" t="str">
        <f ca="1">Demand!C19</f>
        <v/>
      </c>
      <c r="B22" s="68">
        <v>7</v>
      </c>
      <c r="C22" s="5">
        <f ca="1">'Demand background (hide)'!Y10</f>
        <v>0</v>
      </c>
      <c r="D22" s="68">
        <f t="shared" si="15"/>
        <v>1</v>
      </c>
      <c r="E22" s="68" t="e">
        <f t="shared" ca="1" si="16"/>
        <v>#N/A</v>
      </c>
      <c r="F22" s="68" t="e">
        <f t="shared" ca="1" si="17"/>
        <v>#N/A</v>
      </c>
      <c r="G22" s="68" t="e">
        <f t="shared" ca="1" si="18"/>
        <v>#N/A</v>
      </c>
      <c r="H22" s="68" t="e">
        <f>IF('Demand background (hide)'!AN10&lt;&gt;"",'SPC background (hide)'!C22,NA())</f>
        <v>#N/A</v>
      </c>
      <c r="I22" s="68"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8" t="e">
        <f t="shared" ca="1" si="33"/>
        <v>#N/A</v>
      </c>
      <c r="T22" s="68" t="e">
        <f t="shared" ca="1" si="34"/>
        <v>#N/A</v>
      </c>
      <c r="U22" s="68" t="e">
        <f t="shared" ca="1" si="35"/>
        <v>#N/A</v>
      </c>
      <c r="V22" s="5" t="e">
        <f t="shared" ca="1" si="14"/>
        <v>#N/A</v>
      </c>
      <c r="W22" s="5" t="e">
        <f t="shared" ca="1" si="28"/>
        <v>#N/A</v>
      </c>
      <c r="X22" s="68">
        <f t="shared" ca="1" si="29"/>
        <v>0</v>
      </c>
      <c r="Y22" s="68" t="e">
        <f t="shared" ca="1" si="36"/>
        <v>#N/A</v>
      </c>
      <c r="Z22" s="68" t="e">
        <f t="shared" ca="1" si="37"/>
        <v>#N/A</v>
      </c>
      <c r="AA22" s="5" t="str">
        <f>IF(Setup!$I$15="Yes",'Demand background (hide)'!AJ10+'SPC background (hide)'!C22,"")</f>
        <v/>
      </c>
      <c r="AC22" s="5" t="e">
        <f t="shared" ca="1" si="30"/>
        <v>#N/A</v>
      </c>
      <c r="AD22" s="5" t="e">
        <f t="shared" ca="1" si="31"/>
        <v>#N/A</v>
      </c>
      <c r="AG22" s="68">
        <f t="shared" ca="1" si="12"/>
        <v>21</v>
      </c>
      <c r="AH22" s="68">
        <v>21</v>
      </c>
      <c r="AI22" s="68">
        <f t="shared" ca="1" si="4"/>
        <v>5</v>
      </c>
      <c r="AJ22" s="40" t="e">
        <f t="shared" ca="1" si="5"/>
        <v>#DIV/0!</v>
      </c>
      <c r="AK22" s="40" t="e">
        <f t="shared" ca="1" si="6"/>
        <v>#DIV/0!</v>
      </c>
      <c r="AL22" s="40" t="e">
        <f t="shared" ca="1" si="7"/>
        <v>#DIV/0!</v>
      </c>
      <c r="AM22" s="40" t="e">
        <f t="shared" ca="1" si="8"/>
        <v>#DIV/0!</v>
      </c>
      <c r="AN22" s="40">
        <f t="shared" ca="1" si="9"/>
        <v>0</v>
      </c>
      <c r="AO22" s="40" t="e">
        <f t="shared" ca="1" si="0"/>
        <v>#DIV/0!</v>
      </c>
      <c r="AP22" s="40" t="e">
        <f t="shared" ca="1" si="1"/>
        <v>#DIV/0!</v>
      </c>
      <c r="AQ22" s="40" t="e">
        <f t="shared" ca="1" si="2"/>
        <v>#DIV/0!</v>
      </c>
      <c r="AR22" s="5" t="e">
        <f t="shared" ca="1" si="10"/>
        <v>#DIV/0!</v>
      </c>
      <c r="AS22" s="5" t="str">
        <f t="shared" ca="1" si="3"/>
        <v/>
      </c>
      <c r="AT22" s="5" t="str">
        <f t="shared" ca="1" si="11"/>
        <v/>
      </c>
    </row>
    <row r="23" spans="1:46" x14ac:dyDescent="0.2">
      <c r="A23" s="68" t="str">
        <f ca="1">Demand!C20</f>
        <v/>
      </c>
      <c r="B23" s="68">
        <v>8</v>
      </c>
      <c r="C23" s="5">
        <f ca="1">'Demand background (hide)'!Y11</f>
        <v>0</v>
      </c>
      <c r="D23" s="68">
        <f t="shared" si="15"/>
        <v>1</v>
      </c>
      <c r="E23" s="68" t="e">
        <f t="shared" ca="1" si="16"/>
        <v>#N/A</v>
      </c>
      <c r="F23" s="68" t="e">
        <f t="shared" ca="1" si="17"/>
        <v>#N/A</v>
      </c>
      <c r="G23" s="68" t="e">
        <f t="shared" ca="1" si="18"/>
        <v>#N/A</v>
      </c>
      <c r="H23" s="68" t="e">
        <f>IF('Demand background (hide)'!AN11&lt;&gt;"",'SPC background (hide)'!C23,NA())</f>
        <v>#N/A</v>
      </c>
      <c r="I23" s="68"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8" t="e">
        <f t="shared" ca="1" si="33"/>
        <v>#N/A</v>
      </c>
      <c r="T23" s="68" t="e">
        <f t="shared" ca="1" si="34"/>
        <v>#N/A</v>
      </c>
      <c r="U23" s="68" t="e">
        <f t="shared" ca="1" si="35"/>
        <v>#N/A</v>
      </c>
      <c r="V23" s="5" t="e">
        <f t="shared" ca="1" si="14"/>
        <v>#N/A</v>
      </c>
      <c r="W23" s="5" t="e">
        <f t="shared" ca="1" si="28"/>
        <v>#N/A</v>
      </c>
      <c r="X23" s="68">
        <f t="shared" ca="1" si="29"/>
        <v>0</v>
      </c>
      <c r="Y23" s="68" t="e">
        <f t="shared" ca="1" si="36"/>
        <v>#N/A</v>
      </c>
      <c r="Z23" s="68" t="e">
        <f t="shared" ca="1" si="37"/>
        <v>#N/A</v>
      </c>
      <c r="AA23" s="5" t="str">
        <f>IF(Setup!$I$15="Yes",'Demand background (hide)'!AJ11+'SPC background (hide)'!C23,"")</f>
        <v/>
      </c>
      <c r="AC23" s="5" t="e">
        <f t="shared" ca="1" si="30"/>
        <v>#N/A</v>
      </c>
      <c r="AD23" s="5" t="e">
        <f t="shared" ca="1" si="31"/>
        <v>#N/A</v>
      </c>
      <c r="AG23" s="68">
        <f t="shared" ca="1" si="12"/>
        <v>22</v>
      </c>
      <c r="AH23" s="68">
        <v>22</v>
      </c>
      <c r="AI23" s="68">
        <f t="shared" ca="1" si="4"/>
        <v>5</v>
      </c>
      <c r="AJ23" s="40" t="e">
        <f t="shared" ca="1" si="5"/>
        <v>#DIV/0!</v>
      </c>
      <c r="AK23" s="40" t="e">
        <f t="shared" ca="1" si="6"/>
        <v>#DIV/0!</v>
      </c>
      <c r="AL23" s="40" t="e">
        <f t="shared" ca="1" si="7"/>
        <v>#DIV/0!</v>
      </c>
      <c r="AM23" s="40" t="e">
        <f t="shared" ca="1" si="8"/>
        <v>#DIV/0!</v>
      </c>
      <c r="AN23" s="40">
        <f t="shared" ca="1" si="9"/>
        <v>0</v>
      </c>
      <c r="AO23" s="40" t="e">
        <f t="shared" ca="1" si="0"/>
        <v>#DIV/0!</v>
      </c>
      <c r="AP23" s="40" t="e">
        <f t="shared" ca="1" si="1"/>
        <v>#DIV/0!</v>
      </c>
      <c r="AQ23" s="40" t="e">
        <f t="shared" ca="1" si="2"/>
        <v>#DIV/0!</v>
      </c>
      <c r="AR23" s="5" t="e">
        <f t="shared" ca="1" si="10"/>
        <v>#DIV/0!</v>
      </c>
      <c r="AS23" s="5" t="str">
        <f t="shared" ca="1" si="3"/>
        <v/>
      </c>
      <c r="AT23" s="5" t="str">
        <f t="shared" ca="1" si="11"/>
        <v/>
      </c>
    </row>
    <row r="24" spans="1:46" x14ac:dyDescent="0.2">
      <c r="A24" s="68" t="str">
        <f ca="1">Demand!C21</f>
        <v/>
      </c>
      <c r="B24" s="68">
        <v>9</v>
      </c>
      <c r="C24" s="5">
        <f ca="1">'Demand background (hide)'!Y12</f>
        <v>0</v>
      </c>
      <c r="D24" s="68">
        <f t="shared" si="15"/>
        <v>1</v>
      </c>
      <c r="E24" s="68" t="e">
        <f t="shared" ca="1" si="16"/>
        <v>#N/A</v>
      </c>
      <c r="F24" s="68" t="e">
        <f t="shared" ca="1" si="17"/>
        <v>#N/A</v>
      </c>
      <c r="G24" s="68" t="e">
        <f t="shared" ca="1" si="18"/>
        <v>#N/A</v>
      </c>
      <c r="H24" s="68" t="e">
        <f>IF('Demand background (hide)'!AN12&lt;&gt;"",'SPC background (hide)'!C24,NA())</f>
        <v>#N/A</v>
      </c>
      <c r="I24" s="68"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8" t="e">
        <f t="shared" ca="1" si="33"/>
        <v>#N/A</v>
      </c>
      <c r="T24" s="68" t="e">
        <f t="shared" ca="1" si="34"/>
        <v>#N/A</v>
      </c>
      <c r="U24" s="68" t="e">
        <f t="shared" ca="1" si="35"/>
        <v>#N/A</v>
      </c>
      <c r="V24" s="5" t="e">
        <f t="shared" ca="1" si="14"/>
        <v>#N/A</v>
      </c>
      <c r="W24" s="5" t="e">
        <f t="shared" ca="1" si="28"/>
        <v>#N/A</v>
      </c>
      <c r="X24" s="68">
        <f t="shared" ca="1" si="29"/>
        <v>0</v>
      </c>
      <c r="Y24" s="68" t="e">
        <f t="shared" ca="1" si="36"/>
        <v>#N/A</v>
      </c>
      <c r="Z24" s="68" t="e">
        <f t="shared" ca="1" si="37"/>
        <v>#N/A</v>
      </c>
      <c r="AA24" s="5" t="str">
        <f>IF(Setup!$I$15="Yes",'Demand background (hide)'!AJ12+'SPC background (hide)'!C24,"")</f>
        <v/>
      </c>
      <c r="AC24" s="5" t="e">
        <f t="shared" ca="1" si="30"/>
        <v>#N/A</v>
      </c>
      <c r="AD24" s="5" t="e">
        <f t="shared" ca="1" si="31"/>
        <v>#N/A</v>
      </c>
      <c r="AG24" s="68">
        <f t="shared" ca="1" si="12"/>
        <v>23</v>
      </c>
      <c r="AH24" s="68">
        <v>23</v>
      </c>
      <c r="AI24" s="68">
        <f t="shared" ca="1" si="4"/>
        <v>5</v>
      </c>
      <c r="AJ24" s="40" t="e">
        <f t="shared" ca="1" si="5"/>
        <v>#DIV/0!</v>
      </c>
      <c r="AK24" s="40" t="e">
        <f t="shared" ca="1" si="6"/>
        <v>#DIV/0!</v>
      </c>
      <c r="AL24" s="40" t="e">
        <f t="shared" ca="1" si="7"/>
        <v>#DIV/0!</v>
      </c>
      <c r="AM24" s="40" t="e">
        <f t="shared" ca="1" si="8"/>
        <v>#DIV/0!</v>
      </c>
      <c r="AN24" s="40">
        <f t="shared" ca="1" si="9"/>
        <v>0</v>
      </c>
      <c r="AO24" s="40" t="e">
        <f t="shared" ca="1" si="0"/>
        <v>#DIV/0!</v>
      </c>
      <c r="AP24" s="40" t="e">
        <f t="shared" ca="1" si="1"/>
        <v>#DIV/0!</v>
      </c>
      <c r="AQ24" s="40" t="e">
        <f t="shared" ca="1" si="2"/>
        <v>#DIV/0!</v>
      </c>
      <c r="AR24" s="5" t="e">
        <f t="shared" ca="1" si="10"/>
        <v>#DIV/0!</v>
      </c>
      <c r="AS24" s="5" t="str">
        <f t="shared" ca="1" si="3"/>
        <v/>
      </c>
      <c r="AT24" s="5" t="str">
        <f t="shared" ca="1" si="11"/>
        <v/>
      </c>
    </row>
    <row r="25" spans="1:46" x14ac:dyDescent="0.2">
      <c r="A25" s="68" t="str">
        <f ca="1">Demand!C22</f>
        <v/>
      </c>
      <c r="B25" s="68">
        <v>10</v>
      </c>
      <c r="C25" s="5">
        <f ca="1">'Demand background (hide)'!Y13</f>
        <v>0</v>
      </c>
      <c r="D25" s="68">
        <f t="shared" si="15"/>
        <v>1</v>
      </c>
      <c r="E25" s="68" t="e">
        <f t="shared" ca="1" si="16"/>
        <v>#N/A</v>
      </c>
      <c r="F25" s="68" t="e">
        <f t="shared" ca="1" si="17"/>
        <v>#N/A</v>
      </c>
      <c r="G25" s="68" t="e">
        <f t="shared" ca="1" si="18"/>
        <v>#N/A</v>
      </c>
      <c r="H25" s="68" t="e">
        <f>IF('Demand background (hide)'!AN13&lt;&gt;"",'SPC background (hide)'!C25,NA())</f>
        <v>#N/A</v>
      </c>
      <c r="I25" s="68"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8" t="e">
        <f t="shared" ca="1" si="33"/>
        <v>#N/A</v>
      </c>
      <c r="T25" s="68" t="e">
        <f t="shared" ca="1" si="34"/>
        <v>#N/A</v>
      </c>
      <c r="U25" s="68" t="e">
        <f t="shared" ca="1" si="35"/>
        <v>#N/A</v>
      </c>
      <c r="V25" s="5" t="e">
        <f t="shared" ca="1" si="14"/>
        <v>#N/A</v>
      </c>
      <c r="W25" s="5" t="e">
        <f t="shared" ca="1" si="28"/>
        <v>#N/A</v>
      </c>
      <c r="X25" s="68">
        <f t="shared" ca="1" si="29"/>
        <v>0</v>
      </c>
      <c r="Y25" s="68" t="e">
        <f t="shared" ca="1" si="36"/>
        <v>#N/A</v>
      </c>
      <c r="Z25" s="68" t="e">
        <f t="shared" ca="1" si="37"/>
        <v>#N/A</v>
      </c>
      <c r="AA25" s="5" t="str">
        <f>IF(Setup!$I$15="Yes",'Demand background (hide)'!AJ13+'SPC background (hide)'!C25,"")</f>
        <v/>
      </c>
      <c r="AC25" s="5" t="e">
        <f t="shared" ca="1" si="30"/>
        <v>#N/A</v>
      </c>
      <c r="AD25" s="5" t="e">
        <f t="shared" ca="1" si="31"/>
        <v>#N/A</v>
      </c>
      <c r="AG25" s="68">
        <f t="shared" ca="1" si="12"/>
        <v>24</v>
      </c>
      <c r="AH25" s="68">
        <v>24</v>
      </c>
      <c r="AI25" s="68">
        <f t="shared" ca="1" si="4"/>
        <v>5</v>
      </c>
      <c r="AJ25" s="40" t="e">
        <f t="shared" ca="1" si="5"/>
        <v>#DIV/0!</v>
      </c>
      <c r="AK25" s="40" t="e">
        <f t="shared" ca="1" si="6"/>
        <v>#DIV/0!</v>
      </c>
      <c r="AL25" s="40" t="e">
        <f t="shared" ca="1" si="7"/>
        <v>#DIV/0!</v>
      </c>
      <c r="AM25" s="40" t="e">
        <f t="shared" ca="1" si="8"/>
        <v>#DIV/0!</v>
      </c>
      <c r="AN25" s="40">
        <f t="shared" ca="1" si="9"/>
        <v>0</v>
      </c>
      <c r="AO25" s="40" t="e">
        <f t="shared" ca="1" si="0"/>
        <v>#DIV/0!</v>
      </c>
      <c r="AP25" s="40" t="e">
        <f t="shared" ca="1" si="1"/>
        <v>#DIV/0!</v>
      </c>
      <c r="AQ25" s="40" t="e">
        <f t="shared" ca="1" si="2"/>
        <v>#DIV/0!</v>
      </c>
      <c r="AR25" s="5" t="e">
        <f t="shared" ca="1" si="10"/>
        <v>#DIV/0!</v>
      </c>
      <c r="AS25" s="5" t="str">
        <f t="shared" ca="1" si="3"/>
        <v/>
      </c>
      <c r="AT25" s="5" t="str">
        <f t="shared" ca="1" si="11"/>
        <v/>
      </c>
    </row>
    <row r="26" spans="1:46" x14ac:dyDescent="0.2">
      <c r="A26" s="68" t="str">
        <f ca="1">Demand!C23</f>
        <v/>
      </c>
      <c r="B26" s="68">
        <v>11</v>
      </c>
      <c r="C26" s="5">
        <f ca="1">'Demand background (hide)'!Y14</f>
        <v>0</v>
      </c>
      <c r="D26" s="68">
        <f t="shared" si="15"/>
        <v>0</v>
      </c>
      <c r="E26" s="68" t="e">
        <f t="shared" ca="1" si="16"/>
        <v>#N/A</v>
      </c>
      <c r="F26" s="68" t="e">
        <f t="shared" ca="1" si="17"/>
        <v>#N/A</v>
      </c>
      <c r="G26" s="68" t="e">
        <f t="shared" ca="1" si="18"/>
        <v>#N/A</v>
      </c>
      <c r="H26" s="68" t="e">
        <f>IF('Demand background (hide)'!AN14&lt;&gt;"",'SPC background (hide)'!C26,NA())</f>
        <v>#N/A</v>
      </c>
      <c r="I26" s="68"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8" t="e">
        <f t="shared" ca="1" si="33"/>
        <v>#N/A</v>
      </c>
      <c r="T26" s="68" t="e">
        <f t="shared" ca="1" si="34"/>
        <v>#N/A</v>
      </c>
      <c r="U26" s="68" t="e">
        <f t="shared" ca="1" si="35"/>
        <v>#N/A</v>
      </c>
      <c r="V26" s="5" t="e">
        <f t="shared" ca="1" si="14"/>
        <v>#N/A</v>
      </c>
      <c r="W26" s="5" t="e">
        <f t="shared" ca="1" si="28"/>
        <v>#N/A</v>
      </c>
      <c r="X26" s="68">
        <f t="shared" ca="1" si="29"/>
        <v>0</v>
      </c>
      <c r="Y26" s="68" t="e">
        <f t="shared" ca="1" si="36"/>
        <v>#N/A</v>
      </c>
      <c r="Z26" s="68" t="e">
        <f t="shared" ca="1" si="37"/>
        <v>#N/A</v>
      </c>
      <c r="AA26" s="5" t="str">
        <f>IF(Setup!$I$15="Yes",'Demand background (hide)'!AJ14+'SPC background (hide)'!C26,"")</f>
        <v/>
      </c>
      <c r="AC26" s="5" t="e">
        <f t="shared" ca="1" si="30"/>
        <v>#N/A</v>
      </c>
      <c r="AD26" s="5" t="e">
        <f t="shared" ca="1" si="31"/>
        <v>#N/A</v>
      </c>
      <c r="AG26" s="68">
        <f t="shared" ca="1" si="12"/>
        <v>25</v>
      </c>
      <c r="AH26" s="68">
        <v>25</v>
      </c>
      <c r="AI26" s="68">
        <f t="shared" ca="1" si="4"/>
        <v>5</v>
      </c>
      <c r="AJ26" s="40" t="e">
        <f t="shared" ca="1" si="5"/>
        <v>#DIV/0!</v>
      </c>
      <c r="AK26" s="40" t="e">
        <f t="shared" ca="1" si="6"/>
        <v>#DIV/0!</v>
      </c>
      <c r="AL26" s="40" t="e">
        <f t="shared" ca="1" si="7"/>
        <v>#DIV/0!</v>
      </c>
      <c r="AM26" s="40" t="e">
        <f t="shared" ca="1" si="8"/>
        <v>#DIV/0!</v>
      </c>
      <c r="AN26" s="40">
        <f t="shared" ca="1" si="9"/>
        <v>0</v>
      </c>
      <c r="AO26" s="40" t="e">
        <f t="shared" ca="1" si="0"/>
        <v>#DIV/0!</v>
      </c>
      <c r="AP26" s="40" t="e">
        <f t="shared" ca="1" si="1"/>
        <v>#DIV/0!</v>
      </c>
      <c r="AQ26" s="40" t="e">
        <f t="shared" ca="1" si="2"/>
        <v>#DIV/0!</v>
      </c>
      <c r="AR26" s="5" t="e">
        <f t="shared" ca="1" si="10"/>
        <v>#DIV/0!</v>
      </c>
      <c r="AS26" s="5" t="str">
        <f t="shared" ca="1" si="3"/>
        <v/>
      </c>
      <c r="AT26" s="5" t="str">
        <f t="shared" ca="1" si="11"/>
        <v/>
      </c>
    </row>
    <row r="27" spans="1:46" x14ac:dyDescent="0.2">
      <c r="A27" s="68" t="str">
        <f ca="1">Demand!C24</f>
        <v/>
      </c>
      <c r="B27" s="68">
        <v>12</v>
      </c>
      <c r="C27" s="5">
        <f ca="1">'Demand background (hide)'!Y15</f>
        <v>0</v>
      </c>
      <c r="D27" s="68">
        <f t="shared" si="15"/>
        <v>0</v>
      </c>
      <c r="E27" s="68" t="e">
        <f t="shared" ca="1" si="16"/>
        <v>#N/A</v>
      </c>
      <c r="F27" s="68" t="e">
        <f t="shared" ca="1" si="17"/>
        <v>#N/A</v>
      </c>
      <c r="G27" s="68" t="e">
        <f t="shared" ca="1" si="18"/>
        <v>#N/A</v>
      </c>
      <c r="H27" s="68" t="e">
        <f>IF('Demand background (hide)'!AN15&lt;&gt;"",'SPC background (hide)'!C27,NA())</f>
        <v>#N/A</v>
      </c>
      <c r="I27" s="68"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8" t="e">
        <f t="shared" ca="1" si="33"/>
        <v>#N/A</v>
      </c>
      <c r="T27" s="68" t="e">
        <f t="shared" ca="1" si="34"/>
        <v>#N/A</v>
      </c>
      <c r="U27" s="68" t="e">
        <f t="shared" ca="1" si="35"/>
        <v>#N/A</v>
      </c>
      <c r="V27" s="5" t="e">
        <f t="shared" ca="1" si="14"/>
        <v>#N/A</v>
      </c>
      <c r="W27" s="5" t="e">
        <f t="shared" ca="1" si="28"/>
        <v>#N/A</v>
      </c>
      <c r="X27" s="68">
        <f t="shared" ca="1" si="29"/>
        <v>0</v>
      </c>
      <c r="Y27" s="68" t="e">
        <f t="shared" ca="1" si="36"/>
        <v>#N/A</v>
      </c>
      <c r="Z27" s="68" t="e">
        <f t="shared" ca="1" si="37"/>
        <v>#N/A</v>
      </c>
      <c r="AA27" s="5" t="str">
        <f>IF(Setup!$I$15="Yes",'Demand background (hide)'!AJ15+'SPC background (hide)'!C27,"")</f>
        <v/>
      </c>
      <c r="AC27" s="5" t="e">
        <f t="shared" ca="1" si="30"/>
        <v>#N/A</v>
      </c>
      <c r="AD27" s="5" t="e">
        <f t="shared" ca="1" si="31"/>
        <v>#N/A</v>
      </c>
      <c r="AG27" s="68">
        <f t="shared" ca="1" si="12"/>
        <v>26</v>
      </c>
      <c r="AH27" s="68">
        <v>26</v>
      </c>
      <c r="AI27" s="68">
        <f t="shared" ca="1" si="4"/>
        <v>5</v>
      </c>
      <c r="AJ27" s="40" t="e">
        <f t="shared" ca="1" si="5"/>
        <v>#DIV/0!</v>
      </c>
      <c r="AK27" s="40" t="e">
        <f t="shared" ca="1" si="6"/>
        <v>#DIV/0!</v>
      </c>
      <c r="AL27" s="40" t="e">
        <f t="shared" ca="1" si="7"/>
        <v>#DIV/0!</v>
      </c>
      <c r="AM27" s="40" t="e">
        <f t="shared" ca="1" si="8"/>
        <v>#DIV/0!</v>
      </c>
      <c r="AN27" s="40">
        <f t="shared" ca="1" si="9"/>
        <v>0</v>
      </c>
      <c r="AO27" s="40" t="e">
        <f t="shared" ca="1" si="0"/>
        <v>#DIV/0!</v>
      </c>
      <c r="AP27" s="40" t="e">
        <f t="shared" ca="1" si="1"/>
        <v>#DIV/0!</v>
      </c>
      <c r="AQ27" s="40" t="e">
        <f t="shared" ca="1" si="2"/>
        <v>#DIV/0!</v>
      </c>
      <c r="AR27" s="5" t="e">
        <f t="shared" ca="1" si="10"/>
        <v>#DIV/0!</v>
      </c>
      <c r="AS27" s="5" t="str">
        <f t="shared" ca="1" si="3"/>
        <v/>
      </c>
      <c r="AT27" s="5" t="str">
        <f t="shared" ca="1" si="11"/>
        <v/>
      </c>
    </row>
    <row r="28" spans="1:46" x14ac:dyDescent="0.2">
      <c r="A28" s="68" t="str">
        <f ca="1">Demand!C25</f>
        <v/>
      </c>
      <c r="B28" s="68">
        <v>13</v>
      </c>
      <c r="C28" s="5">
        <f ca="1">'Demand background (hide)'!Y16</f>
        <v>0</v>
      </c>
      <c r="D28" s="68">
        <f t="shared" si="15"/>
        <v>0</v>
      </c>
      <c r="E28" s="68" t="e">
        <f t="shared" ca="1" si="16"/>
        <v>#N/A</v>
      </c>
      <c r="F28" s="68" t="e">
        <f t="shared" ca="1" si="17"/>
        <v>#N/A</v>
      </c>
      <c r="G28" s="68" t="e">
        <f t="shared" ca="1" si="18"/>
        <v>#N/A</v>
      </c>
      <c r="H28" s="68" t="e">
        <f>IF('Demand background (hide)'!AN16&lt;&gt;"",'SPC background (hide)'!C28,NA())</f>
        <v>#N/A</v>
      </c>
      <c r="I28" s="68"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8" t="e">
        <f t="shared" ca="1" si="33"/>
        <v>#N/A</v>
      </c>
      <c r="T28" s="68" t="e">
        <f t="shared" ca="1" si="34"/>
        <v>#N/A</v>
      </c>
      <c r="U28" s="68" t="e">
        <f t="shared" ca="1" si="35"/>
        <v>#N/A</v>
      </c>
      <c r="V28" s="5" t="e">
        <f t="shared" ca="1" si="14"/>
        <v>#N/A</v>
      </c>
      <c r="W28" s="5" t="e">
        <f t="shared" ca="1" si="28"/>
        <v>#N/A</v>
      </c>
      <c r="X28" s="68">
        <f t="shared" ca="1" si="29"/>
        <v>0</v>
      </c>
      <c r="Y28" s="68" t="e">
        <f t="shared" ca="1" si="36"/>
        <v>#N/A</v>
      </c>
      <c r="Z28" s="68" t="e">
        <f t="shared" ca="1" si="37"/>
        <v>#N/A</v>
      </c>
      <c r="AA28" s="5" t="str">
        <f>IF(Setup!$I$15="Yes",'Demand background (hide)'!AJ16+'SPC background (hide)'!C28,"")</f>
        <v/>
      </c>
      <c r="AC28" s="5" t="e">
        <f t="shared" ca="1" si="30"/>
        <v>#N/A</v>
      </c>
      <c r="AD28" s="5" t="e">
        <f t="shared" ca="1" si="31"/>
        <v>#N/A</v>
      </c>
      <c r="AG28" s="68">
        <f t="shared" ca="1" si="12"/>
        <v>27</v>
      </c>
      <c r="AH28" s="68">
        <v>27</v>
      </c>
      <c r="AI28" s="68">
        <f t="shared" ca="1" si="4"/>
        <v>5</v>
      </c>
      <c r="AJ28" s="40" t="e">
        <f t="shared" ca="1" si="5"/>
        <v>#DIV/0!</v>
      </c>
      <c r="AK28" s="40" t="e">
        <f t="shared" ca="1" si="6"/>
        <v>#DIV/0!</v>
      </c>
      <c r="AL28" s="40" t="e">
        <f t="shared" ca="1" si="7"/>
        <v>#DIV/0!</v>
      </c>
      <c r="AM28" s="40" t="e">
        <f t="shared" ca="1" si="8"/>
        <v>#DIV/0!</v>
      </c>
      <c r="AN28" s="40">
        <f t="shared" ca="1" si="9"/>
        <v>0</v>
      </c>
      <c r="AO28" s="40" t="e">
        <f t="shared" ca="1" si="0"/>
        <v>#DIV/0!</v>
      </c>
      <c r="AP28" s="40" t="e">
        <f t="shared" ca="1" si="1"/>
        <v>#DIV/0!</v>
      </c>
      <c r="AQ28" s="40" t="e">
        <f t="shared" ca="1" si="2"/>
        <v>#DIV/0!</v>
      </c>
      <c r="AR28" s="5" t="e">
        <f t="shared" ca="1" si="10"/>
        <v>#DIV/0!</v>
      </c>
      <c r="AS28" s="5" t="str">
        <f t="shared" ca="1" si="3"/>
        <v/>
      </c>
      <c r="AT28" s="5" t="str">
        <f t="shared" ca="1" si="11"/>
        <v/>
      </c>
    </row>
    <row r="29" spans="1:46" x14ac:dyDescent="0.2">
      <c r="A29" s="68" t="str">
        <f ca="1">Demand!C26</f>
        <v/>
      </c>
      <c r="B29" s="68">
        <v>14</v>
      </c>
      <c r="C29" s="5">
        <f ca="1">'Demand background (hide)'!Y17</f>
        <v>0</v>
      </c>
      <c r="D29" s="68">
        <f t="shared" si="15"/>
        <v>0</v>
      </c>
      <c r="E29" s="68" t="e">
        <f t="shared" ca="1" si="16"/>
        <v>#N/A</v>
      </c>
      <c r="F29" s="68" t="e">
        <f t="shared" ca="1" si="17"/>
        <v>#N/A</v>
      </c>
      <c r="G29" s="68" t="e">
        <f t="shared" ca="1" si="18"/>
        <v>#N/A</v>
      </c>
      <c r="H29" s="68" t="e">
        <f>IF('Demand background (hide)'!AN17&lt;&gt;"",'SPC background (hide)'!C29,NA())</f>
        <v>#N/A</v>
      </c>
      <c r="I29" s="68"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8" t="e">
        <f t="shared" ca="1" si="33"/>
        <v>#N/A</v>
      </c>
      <c r="T29" s="68" t="e">
        <f t="shared" ca="1" si="34"/>
        <v>#N/A</v>
      </c>
      <c r="U29" s="68" t="e">
        <f t="shared" ca="1" si="35"/>
        <v>#N/A</v>
      </c>
      <c r="V29" s="5" t="e">
        <f t="shared" ca="1" si="14"/>
        <v>#N/A</v>
      </c>
      <c r="W29" s="5" t="e">
        <f t="shared" ca="1" si="28"/>
        <v>#N/A</v>
      </c>
      <c r="X29" s="68">
        <f t="shared" ca="1" si="29"/>
        <v>0</v>
      </c>
      <c r="Y29" s="68" t="e">
        <f t="shared" ca="1" si="36"/>
        <v>#N/A</v>
      </c>
      <c r="Z29" s="68" t="e">
        <f t="shared" ca="1" si="37"/>
        <v>#N/A</v>
      </c>
      <c r="AA29" s="5" t="str">
        <f>IF(Setup!$I$15="Yes",'Demand background (hide)'!AJ17+'SPC background (hide)'!C29,"")</f>
        <v/>
      </c>
      <c r="AC29" s="5" t="e">
        <f t="shared" ca="1" si="30"/>
        <v>#N/A</v>
      </c>
      <c r="AD29" s="5" t="e">
        <f t="shared" ca="1" si="31"/>
        <v>#N/A</v>
      </c>
      <c r="AG29" s="68">
        <f t="shared" ca="1" si="12"/>
        <v>28</v>
      </c>
      <c r="AH29" s="68">
        <v>28</v>
      </c>
      <c r="AI29" s="68">
        <f t="shared" ca="1" si="4"/>
        <v>5</v>
      </c>
      <c r="AJ29" s="40" t="e">
        <f t="shared" ca="1" si="5"/>
        <v>#DIV/0!</v>
      </c>
      <c r="AK29" s="40" t="e">
        <f t="shared" ca="1" si="6"/>
        <v>#DIV/0!</v>
      </c>
      <c r="AL29" s="40" t="e">
        <f t="shared" ca="1" si="7"/>
        <v>#DIV/0!</v>
      </c>
      <c r="AM29" s="40" t="e">
        <f t="shared" ca="1" si="8"/>
        <v>#DIV/0!</v>
      </c>
      <c r="AN29" s="40">
        <f t="shared" ca="1" si="9"/>
        <v>0</v>
      </c>
      <c r="AO29" s="40" t="e">
        <f t="shared" ca="1" si="0"/>
        <v>#DIV/0!</v>
      </c>
      <c r="AP29" s="40" t="e">
        <f t="shared" ca="1" si="1"/>
        <v>#DIV/0!</v>
      </c>
      <c r="AQ29" s="40" t="e">
        <f t="shared" ca="1" si="2"/>
        <v>#DIV/0!</v>
      </c>
      <c r="AR29" s="5" t="e">
        <f t="shared" ca="1" si="10"/>
        <v>#DIV/0!</v>
      </c>
      <c r="AS29" s="5" t="str">
        <f t="shared" ca="1" si="3"/>
        <v/>
      </c>
      <c r="AT29" s="5" t="str">
        <f t="shared" ca="1" si="11"/>
        <v/>
      </c>
    </row>
    <row r="30" spans="1:46" x14ac:dyDescent="0.2">
      <c r="A30" s="68" t="str">
        <f ca="1">Demand!C27</f>
        <v/>
      </c>
      <c r="B30" s="68">
        <v>15</v>
      </c>
      <c r="C30" s="5">
        <f ca="1">'Demand background (hide)'!Y18</f>
        <v>0</v>
      </c>
      <c r="D30" s="68">
        <f t="shared" si="15"/>
        <v>0</v>
      </c>
      <c r="E30" s="68" t="e">
        <f t="shared" ca="1" si="16"/>
        <v>#N/A</v>
      </c>
      <c r="F30" s="68" t="e">
        <f t="shared" ca="1" si="17"/>
        <v>#N/A</v>
      </c>
      <c r="G30" s="68" t="e">
        <f t="shared" ca="1" si="18"/>
        <v>#N/A</v>
      </c>
      <c r="H30" s="68" t="e">
        <f>IF('Demand background (hide)'!AN18&lt;&gt;"",'SPC background (hide)'!C30,NA())</f>
        <v>#N/A</v>
      </c>
      <c r="I30" s="68"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8" t="e">
        <f t="shared" ca="1" si="33"/>
        <v>#N/A</v>
      </c>
      <c r="T30" s="68" t="e">
        <f t="shared" ca="1" si="34"/>
        <v>#N/A</v>
      </c>
      <c r="U30" s="68" t="e">
        <f t="shared" ca="1" si="35"/>
        <v>#N/A</v>
      </c>
      <c r="V30" s="5" t="e">
        <f t="shared" ca="1" si="14"/>
        <v>#N/A</v>
      </c>
      <c r="W30" s="5" t="e">
        <f t="shared" ca="1" si="28"/>
        <v>#N/A</v>
      </c>
      <c r="X30" s="68">
        <f t="shared" ca="1" si="29"/>
        <v>0</v>
      </c>
      <c r="Y30" s="68" t="e">
        <f t="shared" ca="1" si="36"/>
        <v>#N/A</v>
      </c>
      <c r="Z30" s="68" t="e">
        <f t="shared" ca="1" si="37"/>
        <v>#N/A</v>
      </c>
      <c r="AA30" s="5" t="str">
        <f>IF(Setup!$I$15="Yes",'Demand background (hide)'!AJ18+'SPC background (hide)'!C30,"")</f>
        <v/>
      </c>
      <c r="AC30" s="5" t="e">
        <f t="shared" ca="1" si="30"/>
        <v>#N/A</v>
      </c>
      <c r="AD30" s="5" t="e">
        <f t="shared" ca="1" si="31"/>
        <v>#N/A</v>
      </c>
      <c r="AG30" s="68">
        <f t="shared" ca="1" si="12"/>
        <v>29</v>
      </c>
      <c r="AH30" s="68">
        <v>29</v>
      </c>
      <c r="AI30" s="68">
        <f t="shared" ca="1" si="4"/>
        <v>5</v>
      </c>
      <c r="AJ30" s="40" t="e">
        <f t="shared" ca="1" si="5"/>
        <v>#DIV/0!</v>
      </c>
      <c r="AK30" s="40" t="e">
        <f t="shared" ca="1" si="6"/>
        <v>#DIV/0!</v>
      </c>
      <c r="AL30" s="40" t="e">
        <f t="shared" ca="1" si="7"/>
        <v>#DIV/0!</v>
      </c>
      <c r="AM30" s="40" t="e">
        <f t="shared" ca="1" si="8"/>
        <v>#DIV/0!</v>
      </c>
      <c r="AN30" s="40">
        <f t="shared" ca="1" si="9"/>
        <v>0</v>
      </c>
      <c r="AO30" s="40" t="e">
        <f t="shared" ca="1" si="0"/>
        <v>#DIV/0!</v>
      </c>
      <c r="AP30" s="40" t="e">
        <f t="shared" ca="1" si="1"/>
        <v>#DIV/0!</v>
      </c>
      <c r="AQ30" s="40" t="e">
        <f t="shared" ca="1" si="2"/>
        <v>#DIV/0!</v>
      </c>
      <c r="AR30" s="5" t="e">
        <f t="shared" ca="1" si="10"/>
        <v>#DIV/0!</v>
      </c>
      <c r="AS30" s="5" t="str">
        <f t="shared" ca="1" si="3"/>
        <v/>
      </c>
      <c r="AT30" s="5" t="str">
        <f t="shared" ca="1" si="11"/>
        <v/>
      </c>
    </row>
    <row r="31" spans="1:46" x14ac:dyDescent="0.2">
      <c r="A31" s="68" t="str">
        <f ca="1">Demand!C28</f>
        <v/>
      </c>
      <c r="B31" s="68">
        <v>16</v>
      </c>
      <c r="C31" s="5">
        <f ca="1">'Demand background (hide)'!Y19</f>
        <v>0</v>
      </c>
      <c r="D31" s="68">
        <f t="shared" si="15"/>
        <v>0</v>
      </c>
      <c r="E31" s="68" t="e">
        <f t="shared" ca="1" si="16"/>
        <v>#N/A</v>
      </c>
      <c r="F31" s="68" t="e">
        <f t="shared" ca="1" si="17"/>
        <v>#N/A</v>
      </c>
      <c r="G31" s="68" t="e">
        <f t="shared" ca="1" si="18"/>
        <v>#N/A</v>
      </c>
      <c r="H31" s="68" t="e">
        <f>IF('Demand background (hide)'!AN19&lt;&gt;"",'SPC background (hide)'!C31,NA())</f>
        <v>#N/A</v>
      </c>
      <c r="I31" s="68"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8" t="e">
        <f t="shared" ca="1" si="33"/>
        <v>#N/A</v>
      </c>
      <c r="T31" s="68" t="e">
        <f t="shared" ca="1" si="34"/>
        <v>#N/A</v>
      </c>
      <c r="U31" s="68" t="e">
        <f t="shared" ca="1" si="35"/>
        <v>#N/A</v>
      </c>
      <c r="V31" s="5" t="e">
        <f t="shared" ca="1" si="14"/>
        <v>#N/A</v>
      </c>
      <c r="W31" s="5" t="e">
        <f t="shared" ca="1" si="28"/>
        <v>#N/A</v>
      </c>
      <c r="X31" s="68">
        <f t="shared" ca="1" si="29"/>
        <v>0</v>
      </c>
      <c r="Y31" s="68" t="e">
        <f t="shared" ca="1" si="36"/>
        <v>#N/A</v>
      </c>
      <c r="Z31" s="68" t="e">
        <f t="shared" ca="1" si="37"/>
        <v>#N/A</v>
      </c>
      <c r="AA31" s="5" t="str">
        <f>IF(Setup!$I$15="Yes",'Demand background (hide)'!AJ19+'SPC background (hide)'!C31,"")</f>
        <v/>
      </c>
      <c r="AC31" s="5" t="e">
        <f t="shared" ca="1" si="30"/>
        <v>#N/A</v>
      </c>
      <c r="AD31" s="5" t="e">
        <f t="shared" ca="1" si="31"/>
        <v>#N/A</v>
      </c>
      <c r="AG31" s="68">
        <f t="shared" ca="1" si="12"/>
        <v>30</v>
      </c>
      <c r="AH31" s="68">
        <v>30</v>
      </c>
      <c r="AI31" s="68">
        <f t="shared" ca="1" si="4"/>
        <v>5</v>
      </c>
      <c r="AJ31" s="40" t="e">
        <f t="shared" ca="1" si="5"/>
        <v>#DIV/0!</v>
      </c>
      <c r="AK31" s="40" t="e">
        <f t="shared" ca="1" si="6"/>
        <v>#DIV/0!</v>
      </c>
      <c r="AL31" s="40" t="e">
        <f t="shared" ca="1" si="7"/>
        <v>#DIV/0!</v>
      </c>
      <c r="AM31" s="40" t="e">
        <f t="shared" ca="1" si="8"/>
        <v>#DIV/0!</v>
      </c>
      <c r="AN31" s="40">
        <f t="shared" ca="1" si="9"/>
        <v>0</v>
      </c>
      <c r="AO31" s="40" t="e">
        <f t="shared" ca="1" si="0"/>
        <v>#DIV/0!</v>
      </c>
      <c r="AP31" s="40" t="e">
        <f t="shared" ca="1" si="1"/>
        <v>#DIV/0!</v>
      </c>
      <c r="AQ31" s="40" t="e">
        <f t="shared" ca="1" si="2"/>
        <v>#DIV/0!</v>
      </c>
      <c r="AR31" s="5" t="e">
        <f t="shared" ca="1" si="10"/>
        <v>#DIV/0!</v>
      </c>
      <c r="AS31" s="5" t="str">
        <f t="shared" ca="1" si="3"/>
        <v/>
      </c>
      <c r="AT31" s="5" t="str">
        <f t="shared" ca="1" si="11"/>
        <v/>
      </c>
    </row>
    <row r="32" spans="1:46" x14ac:dyDescent="0.2">
      <c r="A32" s="68" t="str">
        <f ca="1">Demand!C29</f>
        <v/>
      </c>
      <c r="B32" s="68">
        <v>17</v>
      </c>
      <c r="C32" s="5">
        <f ca="1">'Demand background (hide)'!Y20</f>
        <v>0</v>
      </c>
      <c r="D32" s="68">
        <f t="shared" si="15"/>
        <v>0</v>
      </c>
      <c r="E32" s="68" t="e">
        <f t="shared" ca="1" si="16"/>
        <v>#N/A</v>
      </c>
      <c r="F32" s="68" t="e">
        <f t="shared" ca="1" si="17"/>
        <v>#N/A</v>
      </c>
      <c r="G32" s="68" t="e">
        <f t="shared" ca="1" si="18"/>
        <v>#N/A</v>
      </c>
      <c r="H32" s="68" t="e">
        <f>IF('Demand background (hide)'!AN20&lt;&gt;"",'SPC background (hide)'!C32,NA())</f>
        <v>#N/A</v>
      </c>
      <c r="I32" s="68"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8" t="e">
        <f t="shared" ca="1" si="33"/>
        <v>#N/A</v>
      </c>
      <c r="T32" s="68" t="e">
        <f t="shared" ca="1" si="34"/>
        <v>#N/A</v>
      </c>
      <c r="U32" s="68" t="e">
        <f t="shared" ca="1" si="35"/>
        <v>#N/A</v>
      </c>
      <c r="V32" s="5" t="e">
        <f t="shared" ca="1" si="14"/>
        <v>#N/A</v>
      </c>
      <c r="W32" s="5" t="e">
        <f t="shared" ca="1" si="28"/>
        <v>#N/A</v>
      </c>
      <c r="X32" s="68">
        <f t="shared" ca="1" si="29"/>
        <v>0</v>
      </c>
      <c r="Y32" s="68" t="e">
        <f t="shared" ca="1" si="36"/>
        <v>#N/A</v>
      </c>
      <c r="Z32" s="68" t="e">
        <f t="shared" ca="1" si="37"/>
        <v>#N/A</v>
      </c>
      <c r="AA32" s="5" t="str">
        <f>IF(Setup!$I$15="Yes",'Demand background (hide)'!AJ20+'SPC background (hide)'!C32,"")</f>
        <v/>
      </c>
      <c r="AC32" s="5" t="e">
        <f t="shared" ca="1" si="30"/>
        <v>#N/A</v>
      </c>
      <c r="AD32" s="5" t="e">
        <f t="shared" ca="1" si="31"/>
        <v>#N/A</v>
      </c>
      <c r="AG32" s="68">
        <f t="shared" ca="1" si="12"/>
        <v>31</v>
      </c>
      <c r="AH32" s="68">
        <v>31</v>
      </c>
      <c r="AI32" s="68">
        <f t="shared" ca="1" si="4"/>
        <v>5</v>
      </c>
      <c r="AJ32" s="40" t="e">
        <f t="shared" ca="1" si="5"/>
        <v>#DIV/0!</v>
      </c>
      <c r="AK32" s="40" t="e">
        <f t="shared" ca="1" si="6"/>
        <v>#DIV/0!</v>
      </c>
      <c r="AL32" s="40" t="e">
        <f t="shared" ca="1" si="7"/>
        <v>#DIV/0!</v>
      </c>
      <c r="AM32" s="40" t="e">
        <f t="shared" ca="1" si="8"/>
        <v>#DIV/0!</v>
      </c>
      <c r="AN32" s="40">
        <f t="shared" ca="1" si="9"/>
        <v>0</v>
      </c>
      <c r="AO32" s="40" t="e">
        <f t="shared" ca="1" si="0"/>
        <v>#DIV/0!</v>
      </c>
      <c r="AP32" s="40" t="e">
        <f t="shared" ca="1" si="1"/>
        <v>#DIV/0!</v>
      </c>
      <c r="AQ32" s="40" t="e">
        <f t="shared" ca="1" si="2"/>
        <v>#DIV/0!</v>
      </c>
      <c r="AR32" s="5" t="e">
        <f t="shared" ca="1" si="10"/>
        <v>#DIV/0!</v>
      </c>
      <c r="AS32" s="5" t="str">
        <f t="shared" ca="1" si="3"/>
        <v/>
      </c>
      <c r="AT32" s="5" t="str">
        <f t="shared" ca="1" si="11"/>
        <v/>
      </c>
    </row>
    <row r="33" spans="1:46" x14ac:dyDescent="0.2">
      <c r="A33" s="68" t="str">
        <f ca="1">Demand!C30</f>
        <v/>
      </c>
      <c r="B33" s="68">
        <v>18</v>
      </c>
      <c r="C33" s="5">
        <f ca="1">'Demand background (hide)'!Y21</f>
        <v>0</v>
      </c>
      <c r="D33" s="68">
        <f t="shared" si="15"/>
        <v>0</v>
      </c>
      <c r="E33" s="68" t="e">
        <f t="shared" ca="1" si="16"/>
        <v>#N/A</v>
      </c>
      <c r="F33" s="68" t="e">
        <f t="shared" ca="1" si="17"/>
        <v>#N/A</v>
      </c>
      <c r="G33" s="68" t="e">
        <f t="shared" ca="1" si="18"/>
        <v>#N/A</v>
      </c>
      <c r="H33" s="68" t="e">
        <f>IF('Demand background (hide)'!AN21&lt;&gt;"",'SPC background (hide)'!C33,NA())</f>
        <v>#N/A</v>
      </c>
      <c r="I33" s="68"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8" t="e">
        <f t="shared" ca="1" si="33"/>
        <v>#N/A</v>
      </c>
      <c r="T33" s="68" t="e">
        <f t="shared" ca="1" si="34"/>
        <v>#N/A</v>
      </c>
      <c r="U33" s="68" t="e">
        <f t="shared" ca="1" si="35"/>
        <v>#N/A</v>
      </c>
      <c r="V33" s="5" t="e">
        <f t="shared" ca="1" si="14"/>
        <v>#N/A</v>
      </c>
      <c r="W33" s="5" t="e">
        <f t="shared" ca="1" si="28"/>
        <v>#N/A</v>
      </c>
      <c r="X33" s="68">
        <f t="shared" ca="1" si="29"/>
        <v>0</v>
      </c>
      <c r="Y33" s="68" t="e">
        <f t="shared" ca="1" si="36"/>
        <v>#N/A</v>
      </c>
      <c r="Z33" s="68" t="e">
        <f t="shared" ca="1" si="37"/>
        <v>#N/A</v>
      </c>
      <c r="AA33" s="5" t="str">
        <f>IF(Setup!$I$15="Yes",'Demand background (hide)'!AJ21+'SPC background (hide)'!C33,"")</f>
        <v/>
      </c>
      <c r="AC33" s="5" t="e">
        <f t="shared" ca="1" si="30"/>
        <v>#N/A</v>
      </c>
      <c r="AD33" s="5" t="e">
        <f t="shared" ca="1" si="31"/>
        <v>#N/A</v>
      </c>
      <c r="AG33" s="68">
        <f t="shared" ca="1" si="12"/>
        <v>32</v>
      </c>
      <c r="AH33" s="68">
        <v>32</v>
      </c>
      <c r="AI33" s="68">
        <f t="shared" ca="1" si="4"/>
        <v>5</v>
      </c>
      <c r="AJ33" s="40" t="e">
        <f t="shared" ca="1" si="5"/>
        <v>#DIV/0!</v>
      </c>
      <c r="AK33" s="40" t="e">
        <f t="shared" ca="1" si="6"/>
        <v>#DIV/0!</v>
      </c>
      <c r="AL33" s="40" t="e">
        <f t="shared" ca="1" si="7"/>
        <v>#DIV/0!</v>
      </c>
      <c r="AM33" s="40" t="e">
        <f t="shared" ca="1" si="8"/>
        <v>#DIV/0!</v>
      </c>
      <c r="AN33" s="40">
        <f t="shared" ca="1" si="9"/>
        <v>0</v>
      </c>
      <c r="AO33" s="40" t="e">
        <f t="shared" ca="1" si="0"/>
        <v>#DIV/0!</v>
      </c>
      <c r="AP33" s="40" t="e">
        <f t="shared" ca="1" si="1"/>
        <v>#DIV/0!</v>
      </c>
      <c r="AQ33" s="40" t="e">
        <f t="shared" ca="1" si="2"/>
        <v>#DIV/0!</v>
      </c>
      <c r="AR33" s="5" t="e">
        <f t="shared" ca="1" si="10"/>
        <v>#DIV/0!</v>
      </c>
      <c r="AS33" s="5" t="str">
        <f t="shared" ca="1" si="3"/>
        <v/>
      </c>
      <c r="AT33" s="5" t="str">
        <f t="shared" ca="1" si="11"/>
        <v/>
      </c>
    </row>
    <row r="34" spans="1:46" x14ac:dyDescent="0.2">
      <c r="A34" s="68" t="str">
        <f ca="1">Demand!C31</f>
        <v/>
      </c>
      <c r="B34" s="68">
        <v>19</v>
      </c>
      <c r="C34" s="5">
        <f ca="1">'Demand background (hide)'!Y22</f>
        <v>0</v>
      </c>
      <c r="D34" s="68">
        <f t="shared" si="15"/>
        <v>0</v>
      </c>
      <c r="E34" s="68" t="e">
        <f t="shared" ca="1" si="16"/>
        <v>#N/A</v>
      </c>
      <c r="F34" s="68" t="e">
        <f t="shared" ca="1" si="17"/>
        <v>#N/A</v>
      </c>
      <c r="G34" s="68" t="e">
        <f t="shared" ca="1" si="18"/>
        <v>#N/A</v>
      </c>
      <c r="H34" s="68" t="e">
        <f>IF('Demand background (hide)'!AN22&lt;&gt;"",'SPC background (hide)'!C34,NA())</f>
        <v>#N/A</v>
      </c>
      <c r="I34" s="68"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8" t="e">
        <f t="shared" ca="1" si="33"/>
        <v>#N/A</v>
      </c>
      <c r="T34" s="68" t="e">
        <f t="shared" ca="1" si="34"/>
        <v>#N/A</v>
      </c>
      <c r="U34" s="68" t="e">
        <f t="shared" ca="1" si="35"/>
        <v>#N/A</v>
      </c>
      <c r="V34" s="5" t="e">
        <f t="shared" ca="1" si="14"/>
        <v>#N/A</v>
      </c>
      <c r="W34" s="5" t="e">
        <f t="shared" ca="1" si="28"/>
        <v>#N/A</v>
      </c>
      <c r="X34" s="68">
        <f t="shared" ca="1" si="29"/>
        <v>0</v>
      </c>
      <c r="Y34" s="68" t="e">
        <f t="shared" ca="1" si="36"/>
        <v>#N/A</v>
      </c>
      <c r="Z34" s="68" t="e">
        <f t="shared" ca="1" si="37"/>
        <v>#N/A</v>
      </c>
      <c r="AA34" s="5" t="str">
        <f>IF(Setup!$I$15="Yes",'Demand background (hide)'!AJ22+'SPC background (hide)'!C34,"")</f>
        <v/>
      </c>
      <c r="AC34" s="5" t="e">
        <f t="shared" ca="1" si="30"/>
        <v>#N/A</v>
      </c>
      <c r="AD34" s="5" t="e">
        <f t="shared" ca="1" si="31"/>
        <v>#N/A</v>
      </c>
      <c r="AG34" s="68">
        <f ca="1">IF(MOD(AG33+1,53)=0,53,MOD(AG33+1,53))</f>
        <v>33</v>
      </c>
      <c r="AH34" s="68">
        <v>33</v>
      </c>
      <c r="AI34" s="68">
        <f t="shared" ca="1" si="4"/>
        <v>5</v>
      </c>
      <c r="AJ34" s="40" t="e">
        <f t="shared" ca="1" si="5"/>
        <v>#DIV/0!</v>
      </c>
      <c r="AK34" s="40" t="e">
        <f t="shared" ca="1" si="6"/>
        <v>#DIV/0!</v>
      </c>
      <c r="AL34" s="40" t="e">
        <f t="shared" ca="1" si="7"/>
        <v>#DIV/0!</v>
      </c>
      <c r="AM34" s="40" t="e">
        <f t="shared" ca="1" si="8"/>
        <v>#DIV/0!</v>
      </c>
      <c r="AN34" s="40">
        <f t="shared" ca="1" si="9"/>
        <v>0</v>
      </c>
      <c r="AO34" s="40" t="e">
        <f t="shared" ca="1" si="0"/>
        <v>#DIV/0!</v>
      </c>
      <c r="AP34" s="40" t="e">
        <f t="shared" ca="1" si="1"/>
        <v>#DIV/0!</v>
      </c>
      <c r="AQ34" s="40" t="e">
        <f t="shared" ca="1" si="2"/>
        <v>#DIV/0!</v>
      </c>
      <c r="AR34" s="5" t="e">
        <f t="shared" ca="1" si="10"/>
        <v>#DIV/0!</v>
      </c>
      <c r="AS34" s="5" t="str">
        <f t="shared" ca="1" si="3"/>
        <v/>
      </c>
      <c r="AT34" s="5" t="str">
        <f t="shared" ca="1" si="11"/>
        <v/>
      </c>
    </row>
    <row r="35" spans="1:46" x14ac:dyDescent="0.2">
      <c r="A35" s="68" t="str">
        <f ca="1">Demand!C32</f>
        <v/>
      </c>
      <c r="B35" s="68">
        <v>20</v>
      </c>
      <c r="C35" s="5">
        <f ca="1">'Demand background (hide)'!Y23</f>
        <v>0</v>
      </c>
      <c r="D35" s="68">
        <f t="shared" si="15"/>
        <v>0</v>
      </c>
      <c r="E35" s="68" t="e">
        <f t="shared" ca="1" si="16"/>
        <v>#N/A</v>
      </c>
      <c r="F35" s="68" t="e">
        <f t="shared" ca="1" si="17"/>
        <v>#N/A</v>
      </c>
      <c r="G35" s="68" t="e">
        <f t="shared" ca="1" si="18"/>
        <v>#N/A</v>
      </c>
      <c r="H35" s="68" t="e">
        <f>IF('Demand background (hide)'!AN23&lt;&gt;"",'SPC background (hide)'!C35,NA())</f>
        <v>#N/A</v>
      </c>
      <c r="I35" s="68"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8" t="e">
        <f t="shared" ca="1" si="33"/>
        <v>#N/A</v>
      </c>
      <c r="T35" s="68" t="e">
        <f t="shared" ca="1" si="34"/>
        <v>#N/A</v>
      </c>
      <c r="U35" s="68" t="e">
        <f t="shared" ca="1" si="35"/>
        <v>#N/A</v>
      </c>
      <c r="V35" s="5" t="e">
        <f t="shared" ca="1" si="14"/>
        <v>#N/A</v>
      </c>
      <c r="W35" s="5" t="e">
        <f t="shared" ca="1" si="28"/>
        <v>#N/A</v>
      </c>
      <c r="X35" s="68">
        <f t="shared" ca="1" si="29"/>
        <v>0</v>
      </c>
      <c r="Y35" s="68" t="e">
        <f t="shared" ca="1" si="36"/>
        <v>#N/A</v>
      </c>
      <c r="Z35" s="68" t="e">
        <f t="shared" ca="1" si="37"/>
        <v>#N/A</v>
      </c>
      <c r="AA35" s="5" t="str">
        <f>IF(Setup!$I$15="Yes",'Demand background (hide)'!AJ23+'SPC background (hide)'!C35,"")</f>
        <v/>
      </c>
      <c r="AC35" s="5" t="e">
        <f t="shared" ca="1" si="30"/>
        <v>#N/A</v>
      </c>
      <c r="AD35" s="5" t="e">
        <f t="shared" ca="1" si="31"/>
        <v>#N/A</v>
      </c>
      <c r="AG35" s="68">
        <f t="shared" ca="1" si="12"/>
        <v>34</v>
      </c>
      <c r="AH35" s="68">
        <v>34</v>
      </c>
      <c r="AI35" s="68">
        <f t="shared" ca="1" si="4"/>
        <v>5</v>
      </c>
      <c r="AJ35" s="40" t="e">
        <f t="shared" ca="1" si="5"/>
        <v>#DIV/0!</v>
      </c>
      <c r="AK35" s="40" t="e">
        <f t="shared" ca="1" si="6"/>
        <v>#DIV/0!</v>
      </c>
      <c r="AL35" s="40" t="e">
        <f t="shared" ca="1" si="7"/>
        <v>#DIV/0!</v>
      </c>
      <c r="AM35" s="40" t="e">
        <f t="shared" ca="1" si="8"/>
        <v>#DIV/0!</v>
      </c>
      <c r="AN35" s="40">
        <f t="shared" ca="1" si="9"/>
        <v>0</v>
      </c>
      <c r="AO35" s="40" t="e">
        <f t="shared" ca="1" si="0"/>
        <v>#DIV/0!</v>
      </c>
      <c r="AP35" s="40" t="e">
        <f t="shared" ca="1" si="1"/>
        <v>#DIV/0!</v>
      </c>
      <c r="AQ35" s="40" t="e">
        <f t="shared" ca="1" si="2"/>
        <v>#DIV/0!</v>
      </c>
      <c r="AR35" s="5" t="e">
        <f t="shared" ca="1" si="10"/>
        <v>#DIV/0!</v>
      </c>
      <c r="AS35" s="5" t="str">
        <f t="shared" ca="1" si="3"/>
        <v/>
      </c>
      <c r="AT35" s="5" t="str">
        <f t="shared" ca="1" si="11"/>
        <v/>
      </c>
    </row>
    <row r="36" spans="1:46" x14ac:dyDescent="0.2">
      <c r="A36" s="68" t="str">
        <f ca="1">Demand!C33</f>
        <v/>
      </c>
      <c r="B36" s="68">
        <v>21</v>
      </c>
      <c r="C36" s="5">
        <f ca="1">'Demand background (hide)'!Y24</f>
        <v>0</v>
      </c>
      <c r="D36" s="68">
        <f t="shared" si="15"/>
        <v>0</v>
      </c>
      <c r="E36" s="68" t="e">
        <f t="shared" ca="1" si="16"/>
        <v>#N/A</v>
      </c>
      <c r="F36" s="68" t="e">
        <f t="shared" ca="1" si="17"/>
        <v>#N/A</v>
      </c>
      <c r="G36" s="68" t="e">
        <f t="shared" ca="1" si="18"/>
        <v>#N/A</v>
      </c>
      <c r="H36" s="68" t="e">
        <f>IF('Demand background (hide)'!AN24&lt;&gt;"",'SPC background (hide)'!C36,NA())</f>
        <v>#N/A</v>
      </c>
      <c r="I36" s="68"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8" t="e">
        <f t="shared" ca="1" si="33"/>
        <v>#N/A</v>
      </c>
      <c r="T36" s="68" t="e">
        <f t="shared" ca="1" si="34"/>
        <v>#N/A</v>
      </c>
      <c r="U36" s="68" t="e">
        <f t="shared" ca="1" si="35"/>
        <v>#N/A</v>
      </c>
      <c r="V36" s="5" t="e">
        <f t="shared" ca="1" si="14"/>
        <v>#N/A</v>
      </c>
      <c r="W36" s="5" t="e">
        <f t="shared" ca="1" si="28"/>
        <v>#N/A</v>
      </c>
      <c r="X36" s="68">
        <f t="shared" ca="1" si="29"/>
        <v>0</v>
      </c>
      <c r="Y36" s="68" t="e">
        <f t="shared" ca="1" si="36"/>
        <v>#N/A</v>
      </c>
      <c r="Z36" s="68" t="e">
        <f t="shared" ca="1" si="37"/>
        <v>#N/A</v>
      </c>
      <c r="AA36" s="5" t="str">
        <f>IF(Setup!$I$15="Yes",'Demand background (hide)'!AJ24+'SPC background (hide)'!C36,"")</f>
        <v/>
      </c>
      <c r="AC36" s="5" t="e">
        <f t="shared" ca="1" si="30"/>
        <v>#N/A</v>
      </c>
      <c r="AD36" s="5" t="e">
        <f t="shared" ca="1" si="31"/>
        <v>#N/A</v>
      </c>
      <c r="AG36" s="68">
        <f t="shared" ca="1" si="12"/>
        <v>35</v>
      </c>
      <c r="AH36" s="68">
        <v>35</v>
      </c>
      <c r="AI36" s="68">
        <f t="shared" ca="1" si="4"/>
        <v>5</v>
      </c>
      <c r="AJ36" s="40" t="e">
        <f t="shared" ca="1" si="5"/>
        <v>#DIV/0!</v>
      </c>
      <c r="AK36" s="40" t="e">
        <f t="shared" ca="1" si="6"/>
        <v>#DIV/0!</v>
      </c>
      <c r="AL36" s="40" t="e">
        <f t="shared" ca="1" si="7"/>
        <v>#DIV/0!</v>
      </c>
      <c r="AM36" s="40" t="e">
        <f t="shared" ca="1" si="8"/>
        <v>#DIV/0!</v>
      </c>
      <c r="AN36" s="40">
        <f t="shared" ca="1" si="9"/>
        <v>0</v>
      </c>
      <c r="AO36" s="40" t="e">
        <f t="shared" ca="1" si="0"/>
        <v>#DIV/0!</v>
      </c>
      <c r="AP36" s="40" t="e">
        <f t="shared" ca="1" si="1"/>
        <v>#DIV/0!</v>
      </c>
      <c r="AQ36" s="40" t="e">
        <f t="shared" ca="1" si="2"/>
        <v>#DIV/0!</v>
      </c>
      <c r="AR36" s="5" t="e">
        <f t="shared" ca="1" si="10"/>
        <v>#DIV/0!</v>
      </c>
      <c r="AS36" s="5" t="str">
        <f t="shared" ca="1" si="3"/>
        <v/>
      </c>
      <c r="AT36" s="5" t="str">
        <f t="shared" ca="1" si="11"/>
        <v/>
      </c>
    </row>
    <row r="37" spans="1:46" x14ac:dyDescent="0.2">
      <c r="A37" s="68" t="str">
        <f ca="1">Demand!C34</f>
        <v/>
      </c>
      <c r="B37" s="68">
        <v>22</v>
      </c>
      <c r="C37" s="5">
        <f ca="1">'Demand background (hide)'!Y25</f>
        <v>0</v>
      </c>
      <c r="D37" s="68">
        <f t="shared" si="15"/>
        <v>0</v>
      </c>
      <c r="E37" s="68" t="e">
        <f t="shared" ca="1" si="16"/>
        <v>#N/A</v>
      </c>
      <c r="F37" s="68" t="e">
        <f t="shared" ca="1" si="17"/>
        <v>#N/A</v>
      </c>
      <c r="G37" s="68" t="e">
        <f t="shared" ca="1" si="18"/>
        <v>#N/A</v>
      </c>
      <c r="H37" s="68" t="e">
        <f>IF('Demand background (hide)'!AN25&lt;&gt;"",'SPC background (hide)'!C37,NA())</f>
        <v>#N/A</v>
      </c>
      <c r="I37" s="68"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8" t="e">
        <f t="shared" ca="1" si="33"/>
        <v>#N/A</v>
      </c>
      <c r="T37" s="68" t="e">
        <f t="shared" ca="1" si="34"/>
        <v>#N/A</v>
      </c>
      <c r="U37" s="68" t="e">
        <f t="shared" ca="1" si="35"/>
        <v>#N/A</v>
      </c>
      <c r="V37" s="5" t="e">
        <f t="shared" ca="1" si="14"/>
        <v>#N/A</v>
      </c>
      <c r="W37" s="5" t="e">
        <f t="shared" ca="1" si="28"/>
        <v>#N/A</v>
      </c>
      <c r="X37" s="68">
        <f t="shared" ca="1" si="29"/>
        <v>0</v>
      </c>
      <c r="Y37" s="68" t="e">
        <f t="shared" ca="1" si="36"/>
        <v>#N/A</v>
      </c>
      <c r="Z37" s="68" t="e">
        <f t="shared" ca="1" si="37"/>
        <v>#N/A</v>
      </c>
      <c r="AA37" s="5" t="str">
        <f>IF(Setup!$I$15="Yes",'Demand background (hide)'!AJ25+'SPC background (hide)'!C37,"")</f>
        <v/>
      </c>
      <c r="AC37" s="5" t="e">
        <f t="shared" ca="1" si="30"/>
        <v>#N/A</v>
      </c>
      <c r="AD37" s="5" t="e">
        <f t="shared" ca="1" si="31"/>
        <v>#N/A</v>
      </c>
      <c r="AG37" s="68">
        <f t="shared" ca="1" si="12"/>
        <v>36</v>
      </c>
      <c r="AH37" s="68">
        <v>36</v>
      </c>
      <c r="AI37" s="68">
        <f t="shared" ca="1" si="4"/>
        <v>5</v>
      </c>
      <c r="AJ37" s="40" t="e">
        <f t="shared" ca="1" si="5"/>
        <v>#DIV/0!</v>
      </c>
      <c r="AK37" s="40" t="e">
        <f t="shared" ca="1" si="6"/>
        <v>#DIV/0!</v>
      </c>
      <c r="AL37" s="40" t="e">
        <f t="shared" ca="1" si="7"/>
        <v>#DIV/0!</v>
      </c>
      <c r="AM37" s="40" t="e">
        <f t="shared" ca="1" si="8"/>
        <v>#DIV/0!</v>
      </c>
      <c r="AN37" s="40">
        <f t="shared" ca="1" si="9"/>
        <v>0</v>
      </c>
      <c r="AO37" s="40" t="e">
        <f t="shared" ca="1" si="0"/>
        <v>#DIV/0!</v>
      </c>
      <c r="AP37" s="40" t="e">
        <f t="shared" ca="1" si="1"/>
        <v>#DIV/0!</v>
      </c>
      <c r="AQ37" s="40" t="e">
        <f t="shared" ca="1" si="2"/>
        <v>#DIV/0!</v>
      </c>
      <c r="AR37" s="5" t="e">
        <f t="shared" ca="1" si="10"/>
        <v>#DIV/0!</v>
      </c>
      <c r="AS37" s="5" t="str">
        <f t="shared" ca="1" si="3"/>
        <v/>
      </c>
      <c r="AT37" s="5" t="str">
        <f t="shared" ca="1" si="11"/>
        <v/>
      </c>
    </row>
    <row r="38" spans="1:46" x14ac:dyDescent="0.2">
      <c r="A38" s="68" t="str">
        <f ca="1">Demand!C35</f>
        <v/>
      </c>
      <c r="B38" s="68">
        <v>23</v>
      </c>
      <c r="C38" s="5">
        <f ca="1">'Demand background (hide)'!Y26</f>
        <v>0</v>
      </c>
      <c r="D38" s="68">
        <f t="shared" si="15"/>
        <v>0</v>
      </c>
      <c r="E38" s="68" t="e">
        <f t="shared" ca="1" si="16"/>
        <v>#N/A</v>
      </c>
      <c r="F38" s="68" t="e">
        <f t="shared" ca="1" si="17"/>
        <v>#N/A</v>
      </c>
      <c r="G38" s="68" t="e">
        <f t="shared" ca="1" si="18"/>
        <v>#N/A</v>
      </c>
      <c r="H38" s="68" t="e">
        <f>IF('Demand background (hide)'!AN26&lt;&gt;"",'SPC background (hide)'!C38,NA())</f>
        <v>#N/A</v>
      </c>
      <c r="I38" s="68"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8" t="e">
        <f t="shared" ca="1" si="33"/>
        <v>#N/A</v>
      </c>
      <c r="T38" s="68" t="e">
        <f t="shared" ca="1" si="34"/>
        <v>#N/A</v>
      </c>
      <c r="U38" s="68" t="e">
        <f t="shared" ca="1" si="35"/>
        <v>#N/A</v>
      </c>
      <c r="V38" s="5" t="e">
        <f t="shared" ca="1" si="14"/>
        <v>#N/A</v>
      </c>
      <c r="W38" s="5" t="e">
        <f t="shared" ca="1" si="28"/>
        <v>#N/A</v>
      </c>
      <c r="X38" s="68">
        <f t="shared" ca="1" si="29"/>
        <v>0</v>
      </c>
      <c r="Y38" s="68" t="e">
        <f t="shared" ca="1" si="36"/>
        <v>#N/A</v>
      </c>
      <c r="Z38" s="68" t="e">
        <f t="shared" ca="1" si="37"/>
        <v>#N/A</v>
      </c>
      <c r="AA38" s="5" t="str">
        <f>IF(Setup!$I$15="Yes",'Demand background (hide)'!AJ26+'SPC background (hide)'!C38,"")</f>
        <v/>
      </c>
      <c r="AC38" s="5" t="e">
        <f t="shared" ca="1" si="30"/>
        <v>#N/A</v>
      </c>
      <c r="AD38" s="5" t="e">
        <f t="shared" ca="1" si="31"/>
        <v>#N/A</v>
      </c>
      <c r="AG38" s="68">
        <f t="shared" ca="1" si="12"/>
        <v>37</v>
      </c>
      <c r="AH38" s="68">
        <v>37</v>
      </c>
      <c r="AI38" s="68">
        <f t="shared" ca="1" si="4"/>
        <v>5</v>
      </c>
      <c r="AJ38" s="40" t="e">
        <f t="shared" ca="1" si="5"/>
        <v>#DIV/0!</v>
      </c>
      <c r="AK38" s="40" t="e">
        <f t="shared" ca="1" si="6"/>
        <v>#DIV/0!</v>
      </c>
      <c r="AL38" s="40" t="e">
        <f t="shared" ca="1" si="7"/>
        <v>#DIV/0!</v>
      </c>
      <c r="AM38" s="40" t="e">
        <f t="shared" ca="1" si="8"/>
        <v>#DIV/0!</v>
      </c>
      <c r="AN38" s="40">
        <f t="shared" ca="1" si="9"/>
        <v>0</v>
      </c>
      <c r="AO38" s="40" t="e">
        <f t="shared" ca="1" si="0"/>
        <v>#DIV/0!</v>
      </c>
      <c r="AP38" s="40" t="e">
        <f t="shared" ca="1" si="1"/>
        <v>#DIV/0!</v>
      </c>
      <c r="AQ38" s="40" t="e">
        <f t="shared" ca="1" si="2"/>
        <v>#DIV/0!</v>
      </c>
      <c r="AR38" s="5" t="e">
        <f t="shared" ca="1" si="10"/>
        <v>#DIV/0!</v>
      </c>
      <c r="AS38" s="5" t="str">
        <f t="shared" ca="1" si="3"/>
        <v/>
      </c>
      <c r="AT38" s="5" t="str">
        <f t="shared" ca="1" si="11"/>
        <v/>
      </c>
    </row>
    <row r="39" spans="1:46" x14ac:dyDescent="0.2">
      <c r="A39" s="68" t="str">
        <f ca="1">Demand!C36</f>
        <v/>
      </c>
      <c r="B39" s="68">
        <v>24</v>
      </c>
      <c r="C39" s="5">
        <f ca="1">'Demand background (hide)'!Y27</f>
        <v>0</v>
      </c>
      <c r="D39" s="68">
        <f t="shared" si="15"/>
        <v>0</v>
      </c>
      <c r="E39" s="68" t="e">
        <f t="shared" ca="1" si="16"/>
        <v>#N/A</v>
      </c>
      <c r="F39" s="68" t="e">
        <f t="shared" ca="1" si="17"/>
        <v>#N/A</v>
      </c>
      <c r="G39" s="68" t="e">
        <f t="shared" ca="1" si="18"/>
        <v>#N/A</v>
      </c>
      <c r="H39" s="68" t="e">
        <f>IF('Demand background (hide)'!AN27&lt;&gt;"",'SPC background (hide)'!C39,NA())</f>
        <v>#N/A</v>
      </c>
      <c r="I39" s="68"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8" t="e">
        <f t="shared" ca="1" si="33"/>
        <v>#N/A</v>
      </c>
      <c r="T39" s="68" t="e">
        <f t="shared" ca="1" si="34"/>
        <v>#N/A</v>
      </c>
      <c r="U39" s="68" t="e">
        <f t="shared" ca="1" si="35"/>
        <v>#N/A</v>
      </c>
      <c r="V39" s="5" t="e">
        <f t="shared" ca="1" si="14"/>
        <v>#N/A</v>
      </c>
      <c r="W39" s="5" t="e">
        <f t="shared" ca="1" si="28"/>
        <v>#N/A</v>
      </c>
      <c r="X39" s="68">
        <f t="shared" ca="1" si="29"/>
        <v>0</v>
      </c>
      <c r="Y39" s="68" t="e">
        <f t="shared" ca="1" si="36"/>
        <v>#N/A</v>
      </c>
      <c r="Z39" s="68" t="e">
        <f t="shared" ca="1" si="37"/>
        <v>#N/A</v>
      </c>
      <c r="AA39" s="5" t="str">
        <f>IF(Setup!$I$15="Yes",'Demand background (hide)'!AJ27+'SPC background (hide)'!C39,"")</f>
        <v/>
      </c>
      <c r="AC39" s="5" t="e">
        <f t="shared" ca="1" si="30"/>
        <v>#N/A</v>
      </c>
      <c r="AD39" s="5" t="e">
        <f t="shared" ca="1" si="31"/>
        <v>#N/A</v>
      </c>
      <c r="AG39" s="68">
        <f t="shared" ca="1" si="12"/>
        <v>38</v>
      </c>
      <c r="AH39" s="68">
        <v>38</v>
      </c>
      <c r="AI39" s="68">
        <f t="shared" ca="1" si="4"/>
        <v>5</v>
      </c>
      <c r="AJ39" s="40" t="e">
        <f t="shared" ca="1" si="5"/>
        <v>#DIV/0!</v>
      </c>
      <c r="AK39" s="40" t="e">
        <f t="shared" ca="1" si="6"/>
        <v>#DIV/0!</v>
      </c>
      <c r="AL39" s="40" t="e">
        <f t="shared" ca="1" si="7"/>
        <v>#DIV/0!</v>
      </c>
      <c r="AM39" s="40" t="e">
        <f t="shared" ca="1" si="8"/>
        <v>#DIV/0!</v>
      </c>
      <c r="AN39" s="40">
        <f t="shared" ca="1" si="9"/>
        <v>0</v>
      </c>
      <c r="AO39" s="40" t="e">
        <f t="shared" ca="1" si="0"/>
        <v>#DIV/0!</v>
      </c>
      <c r="AP39" s="40" t="e">
        <f t="shared" ca="1" si="1"/>
        <v>#DIV/0!</v>
      </c>
      <c r="AQ39" s="40" t="e">
        <f t="shared" ca="1" si="2"/>
        <v>#DIV/0!</v>
      </c>
      <c r="AR39" s="5" t="e">
        <f t="shared" ca="1" si="10"/>
        <v>#DIV/0!</v>
      </c>
      <c r="AS39" s="5" t="str">
        <f t="shared" ca="1" si="3"/>
        <v/>
      </c>
      <c r="AT39" s="5" t="str">
        <f t="shared" ca="1" si="11"/>
        <v/>
      </c>
    </row>
    <row r="40" spans="1:46" x14ac:dyDescent="0.2">
      <c r="A40" s="68" t="str">
        <f ca="1">Demand!C37</f>
        <v/>
      </c>
      <c r="B40" s="68">
        <v>25</v>
      </c>
      <c r="C40" s="5">
        <f ca="1">'Demand background (hide)'!Y28</f>
        <v>0</v>
      </c>
      <c r="D40" s="68">
        <f t="shared" si="15"/>
        <v>0</v>
      </c>
      <c r="E40" s="68" t="e">
        <f t="shared" ca="1" si="16"/>
        <v>#N/A</v>
      </c>
      <c r="F40" s="68" t="e">
        <f t="shared" ca="1" si="17"/>
        <v>#N/A</v>
      </c>
      <c r="G40" s="68" t="e">
        <f t="shared" ca="1" si="18"/>
        <v>#N/A</v>
      </c>
      <c r="H40" s="68" t="e">
        <f>IF('Demand background (hide)'!AN28&lt;&gt;"",'SPC background (hide)'!C40,NA())</f>
        <v>#N/A</v>
      </c>
      <c r="I40" s="68"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8" t="e">
        <f t="shared" ca="1" si="33"/>
        <v>#N/A</v>
      </c>
      <c r="T40" s="68" t="e">
        <f t="shared" ca="1" si="34"/>
        <v>#N/A</v>
      </c>
      <c r="U40" s="68" t="e">
        <f t="shared" ca="1" si="35"/>
        <v>#N/A</v>
      </c>
      <c r="V40" s="5" t="e">
        <f t="shared" ca="1" si="14"/>
        <v>#N/A</v>
      </c>
      <c r="W40" s="5" t="e">
        <f t="shared" ca="1" si="28"/>
        <v>#N/A</v>
      </c>
      <c r="X40" s="68">
        <f t="shared" ca="1" si="29"/>
        <v>0</v>
      </c>
      <c r="Y40" s="68" t="e">
        <f t="shared" ca="1" si="36"/>
        <v>#N/A</v>
      </c>
      <c r="Z40" s="68" t="e">
        <f t="shared" ca="1" si="37"/>
        <v>#N/A</v>
      </c>
      <c r="AA40" s="5" t="str">
        <f>IF(Setup!$I$15="Yes",'Demand background (hide)'!AJ28+'SPC background (hide)'!C40,"")</f>
        <v/>
      </c>
      <c r="AC40" s="5" t="e">
        <f t="shared" ca="1" si="30"/>
        <v>#N/A</v>
      </c>
      <c r="AD40" s="5" t="e">
        <f t="shared" ca="1" si="31"/>
        <v>#N/A</v>
      </c>
      <c r="AG40" s="68">
        <f t="shared" ca="1" si="12"/>
        <v>39</v>
      </c>
      <c r="AH40" s="68">
        <v>39</v>
      </c>
      <c r="AI40" s="68">
        <f t="shared" ca="1" si="4"/>
        <v>5</v>
      </c>
      <c r="AJ40" s="40" t="e">
        <f t="shared" ca="1" si="5"/>
        <v>#DIV/0!</v>
      </c>
      <c r="AK40" s="40" t="e">
        <f t="shared" ca="1" si="6"/>
        <v>#DIV/0!</v>
      </c>
      <c r="AL40" s="40" t="e">
        <f t="shared" ca="1" si="7"/>
        <v>#DIV/0!</v>
      </c>
      <c r="AM40" s="40" t="e">
        <f t="shared" ca="1" si="8"/>
        <v>#DIV/0!</v>
      </c>
      <c r="AN40" s="40">
        <f t="shared" ca="1" si="9"/>
        <v>0</v>
      </c>
      <c r="AO40" s="40" t="e">
        <f t="shared" ca="1" si="0"/>
        <v>#DIV/0!</v>
      </c>
      <c r="AP40" s="40" t="e">
        <f t="shared" ca="1" si="1"/>
        <v>#DIV/0!</v>
      </c>
      <c r="AQ40" s="40" t="e">
        <f t="shared" ca="1" si="2"/>
        <v>#DIV/0!</v>
      </c>
      <c r="AR40" s="5" t="e">
        <f t="shared" ca="1" si="10"/>
        <v>#DIV/0!</v>
      </c>
      <c r="AS40" s="5" t="str">
        <f t="shared" ca="1" si="3"/>
        <v/>
      </c>
      <c r="AT40" s="5" t="str">
        <f t="shared" ca="1" si="11"/>
        <v/>
      </c>
    </row>
    <row r="41" spans="1:46" x14ac:dyDescent="0.2">
      <c r="A41" s="68" t="str">
        <f ca="1">Demand!C38</f>
        <v/>
      </c>
      <c r="B41" s="68">
        <v>26</v>
      </c>
      <c r="C41" s="5">
        <f ca="1">'Demand background (hide)'!Y29</f>
        <v>0</v>
      </c>
      <c r="D41" s="68">
        <f t="shared" si="15"/>
        <v>0</v>
      </c>
      <c r="E41" s="68" t="e">
        <f t="shared" ca="1" si="16"/>
        <v>#N/A</v>
      </c>
      <c r="F41" s="68" t="e">
        <f t="shared" ca="1" si="17"/>
        <v>#N/A</v>
      </c>
      <c r="G41" s="68" t="e">
        <f t="shared" ca="1" si="18"/>
        <v>#N/A</v>
      </c>
      <c r="H41" s="68" t="e">
        <f>IF('Demand background (hide)'!AN29&lt;&gt;"",'SPC background (hide)'!C41,NA())</f>
        <v>#N/A</v>
      </c>
      <c r="I41" s="68"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8" t="e">
        <f t="shared" ca="1" si="33"/>
        <v>#N/A</v>
      </c>
      <c r="T41" s="68" t="e">
        <f t="shared" ca="1" si="34"/>
        <v>#N/A</v>
      </c>
      <c r="U41" s="68" t="e">
        <f t="shared" ca="1" si="35"/>
        <v>#N/A</v>
      </c>
      <c r="V41" s="5" t="e">
        <f t="shared" ca="1" si="14"/>
        <v>#N/A</v>
      </c>
      <c r="W41" s="5" t="e">
        <f t="shared" ca="1" si="28"/>
        <v>#N/A</v>
      </c>
      <c r="X41" s="68">
        <f t="shared" ca="1" si="29"/>
        <v>0</v>
      </c>
      <c r="Y41" s="68" t="e">
        <f t="shared" ca="1" si="36"/>
        <v>#N/A</v>
      </c>
      <c r="Z41" s="68" t="e">
        <f t="shared" ca="1" si="37"/>
        <v>#N/A</v>
      </c>
      <c r="AA41" s="5" t="str">
        <f>IF(Setup!$I$15="Yes",'Demand background (hide)'!AJ29+'SPC background (hide)'!C41,"")</f>
        <v/>
      </c>
      <c r="AC41" s="5" t="e">
        <f t="shared" ca="1" si="30"/>
        <v>#N/A</v>
      </c>
      <c r="AD41" s="5" t="e">
        <f t="shared" ca="1" si="31"/>
        <v>#N/A</v>
      </c>
      <c r="AG41" s="68">
        <f t="shared" ca="1" si="12"/>
        <v>40</v>
      </c>
      <c r="AH41" s="68">
        <v>40</v>
      </c>
      <c r="AI41" s="68">
        <f t="shared" ca="1" si="4"/>
        <v>5</v>
      </c>
      <c r="AJ41" s="40" t="e">
        <f t="shared" ca="1" si="5"/>
        <v>#DIV/0!</v>
      </c>
      <c r="AK41" s="40" t="e">
        <f t="shared" ca="1" si="6"/>
        <v>#DIV/0!</v>
      </c>
      <c r="AL41" s="40" t="e">
        <f t="shared" ca="1" si="7"/>
        <v>#DIV/0!</v>
      </c>
      <c r="AM41" s="40" t="e">
        <f t="shared" ca="1" si="8"/>
        <v>#DIV/0!</v>
      </c>
      <c r="AN41" s="40">
        <f t="shared" ca="1" si="9"/>
        <v>0</v>
      </c>
      <c r="AO41" s="40" t="e">
        <f t="shared" ca="1" si="0"/>
        <v>#DIV/0!</v>
      </c>
      <c r="AP41" s="40" t="e">
        <f t="shared" ca="1" si="1"/>
        <v>#DIV/0!</v>
      </c>
      <c r="AQ41" s="40" t="e">
        <f t="shared" ca="1" si="2"/>
        <v>#DIV/0!</v>
      </c>
      <c r="AR41" s="5" t="e">
        <f t="shared" ca="1" si="10"/>
        <v>#DIV/0!</v>
      </c>
      <c r="AS41" s="5" t="str">
        <f t="shared" ca="1" si="3"/>
        <v/>
      </c>
      <c r="AT41" s="5" t="str">
        <f t="shared" ca="1" si="11"/>
        <v/>
      </c>
    </row>
    <row r="42" spans="1:46" x14ac:dyDescent="0.2">
      <c r="A42" s="68" t="str">
        <f ca="1">Demand!C39</f>
        <v/>
      </c>
      <c r="B42" s="68">
        <v>27</v>
      </c>
      <c r="C42" s="5">
        <f ca="1">'Demand background (hide)'!Y30</f>
        <v>0</v>
      </c>
      <c r="D42" s="68">
        <f t="shared" si="15"/>
        <v>0</v>
      </c>
      <c r="E42" s="68" t="e">
        <f t="shared" ca="1" si="16"/>
        <v>#N/A</v>
      </c>
      <c r="F42" s="68" t="e">
        <f t="shared" ca="1" si="17"/>
        <v>#N/A</v>
      </c>
      <c r="G42" s="68" t="e">
        <f t="shared" ca="1" si="18"/>
        <v>#N/A</v>
      </c>
      <c r="H42" s="68" t="e">
        <f>IF('Demand background (hide)'!AN30&lt;&gt;"",'SPC background (hide)'!C42,NA())</f>
        <v>#N/A</v>
      </c>
      <c r="I42" s="68"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8" t="e">
        <f t="shared" ca="1" si="33"/>
        <v>#N/A</v>
      </c>
      <c r="T42" s="68" t="e">
        <f t="shared" ca="1" si="34"/>
        <v>#N/A</v>
      </c>
      <c r="U42" s="68" t="e">
        <f t="shared" ca="1" si="35"/>
        <v>#N/A</v>
      </c>
      <c r="V42" s="5" t="e">
        <f t="shared" ca="1" si="14"/>
        <v>#N/A</v>
      </c>
      <c r="W42" s="5" t="e">
        <f t="shared" ca="1" si="28"/>
        <v>#N/A</v>
      </c>
      <c r="X42" s="68">
        <f t="shared" ca="1" si="29"/>
        <v>0</v>
      </c>
      <c r="Y42" s="68" t="e">
        <f t="shared" ca="1" si="36"/>
        <v>#N/A</v>
      </c>
      <c r="Z42" s="68" t="e">
        <f t="shared" ca="1" si="37"/>
        <v>#N/A</v>
      </c>
      <c r="AA42" s="5" t="str">
        <f>IF(Setup!$I$15="Yes",'Demand background (hide)'!AJ30+'SPC background (hide)'!C42,"")</f>
        <v/>
      </c>
      <c r="AC42" s="5" t="e">
        <f t="shared" ca="1" si="30"/>
        <v>#N/A</v>
      </c>
      <c r="AD42" s="5" t="e">
        <f t="shared" ca="1" si="31"/>
        <v>#N/A</v>
      </c>
      <c r="AG42" s="68">
        <f t="shared" ca="1" si="12"/>
        <v>41</v>
      </c>
      <c r="AH42" s="68">
        <v>41</v>
      </c>
      <c r="AI42" s="68">
        <f t="shared" ca="1" si="4"/>
        <v>5</v>
      </c>
      <c r="AJ42" s="40" t="e">
        <f t="shared" ca="1" si="5"/>
        <v>#DIV/0!</v>
      </c>
      <c r="AK42" s="40" t="e">
        <f t="shared" ca="1" si="6"/>
        <v>#DIV/0!</v>
      </c>
      <c r="AL42" s="40" t="e">
        <f t="shared" ca="1" si="7"/>
        <v>#DIV/0!</v>
      </c>
      <c r="AM42" s="40" t="e">
        <f t="shared" ca="1" si="8"/>
        <v>#DIV/0!</v>
      </c>
      <c r="AN42" s="40">
        <f t="shared" ca="1" si="9"/>
        <v>0</v>
      </c>
      <c r="AO42" s="40" t="e">
        <f t="shared" ca="1" si="0"/>
        <v>#DIV/0!</v>
      </c>
      <c r="AP42" s="40" t="e">
        <f t="shared" ca="1" si="1"/>
        <v>#DIV/0!</v>
      </c>
      <c r="AQ42" s="40" t="e">
        <f t="shared" ca="1" si="2"/>
        <v>#DIV/0!</v>
      </c>
      <c r="AR42" s="5" t="e">
        <f t="shared" ca="1" si="10"/>
        <v>#DIV/0!</v>
      </c>
      <c r="AS42" s="5" t="str">
        <f t="shared" ca="1" si="3"/>
        <v/>
      </c>
      <c r="AT42" s="5" t="str">
        <f t="shared" ca="1" si="11"/>
        <v/>
      </c>
    </row>
    <row r="43" spans="1:46" x14ac:dyDescent="0.2">
      <c r="A43" s="68" t="str">
        <f ca="1">Demand!C40</f>
        <v/>
      </c>
      <c r="B43" s="68">
        <v>28</v>
      </c>
      <c r="C43" s="5">
        <f ca="1">'Demand background (hide)'!Y31</f>
        <v>0</v>
      </c>
      <c r="D43" s="68">
        <f t="shared" si="15"/>
        <v>0</v>
      </c>
      <c r="E43" s="68" t="e">
        <f t="shared" ca="1" si="16"/>
        <v>#N/A</v>
      </c>
      <c r="F43" s="68" t="e">
        <f t="shared" ca="1" si="17"/>
        <v>#N/A</v>
      </c>
      <c r="G43" s="68" t="e">
        <f t="shared" ca="1" si="18"/>
        <v>#N/A</v>
      </c>
      <c r="H43" s="68" t="e">
        <f>IF('Demand background (hide)'!AN31&lt;&gt;"",'SPC background (hide)'!C43,NA())</f>
        <v>#N/A</v>
      </c>
      <c r="I43" s="68"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8" t="e">
        <f t="shared" ca="1" si="33"/>
        <v>#N/A</v>
      </c>
      <c r="T43" s="68" t="e">
        <f t="shared" ca="1" si="34"/>
        <v>#N/A</v>
      </c>
      <c r="U43" s="68" t="e">
        <f t="shared" ca="1" si="35"/>
        <v>#N/A</v>
      </c>
      <c r="V43" s="5" t="e">
        <f t="shared" ca="1" si="14"/>
        <v>#N/A</v>
      </c>
      <c r="W43" s="5" t="e">
        <f t="shared" ca="1" si="28"/>
        <v>#N/A</v>
      </c>
      <c r="X43" s="68">
        <f t="shared" ca="1" si="29"/>
        <v>0</v>
      </c>
      <c r="Y43" s="68" t="e">
        <f t="shared" ca="1" si="36"/>
        <v>#N/A</v>
      </c>
      <c r="Z43" s="68" t="e">
        <f t="shared" ca="1" si="37"/>
        <v>#N/A</v>
      </c>
      <c r="AA43" s="5" t="str">
        <f>IF(Setup!$I$15="Yes",'Demand background (hide)'!AJ31+'SPC background (hide)'!C43,"")</f>
        <v/>
      </c>
      <c r="AC43" s="5" t="e">
        <f t="shared" ca="1" si="30"/>
        <v>#N/A</v>
      </c>
      <c r="AD43" s="5" t="e">
        <f t="shared" ca="1" si="31"/>
        <v>#N/A</v>
      </c>
      <c r="AG43" s="68">
        <f t="shared" ca="1" si="12"/>
        <v>42</v>
      </c>
      <c r="AH43" s="68">
        <v>42</v>
      </c>
      <c r="AI43" s="68">
        <f t="shared" ca="1" si="4"/>
        <v>5</v>
      </c>
      <c r="AJ43" s="40" t="e">
        <f t="shared" ca="1" si="5"/>
        <v>#DIV/0!</v>
      </c>
      <c r="AK43" s="40" t="e">
        <f t="shared" ca="1" si="6"/>
        <v>#DIV/0!</v>
      </c>
      <c r="AL43" s="40" t="e">
        <f t="shared" ca="1" si="7"/>
        <v>#DIV/0!</v>
      </c>
      <c r="AM43" s="40" t="e">
        <f t="shared" ca="1" si="8"/>
        <v>#DIV/0!</v>
      </c>
      <c r="AN43" s="40">
        <f t="shared" ca="1" si="9"/>
        <v>0</v>
      </c>
      <c r="AO43" s="40" t="e">
        <f t="shared" ca="1" si="0"/>
        <v>#DIV/0!</v>
      </c>
      <c r="AP43" s="40" t="e">
        <f t="shared" ca="1" si="1"/>
        <v>#DIV/0!</v>
      </c>
      <c r="AQ43" s="40" t="e">
        <f t="shared" ca="1" si="2"/>
        <v>#DIV/0!</v>
      </c>
      <c r="AR43" s="5" t="e">
        <f t="shared" ca="1" si="10"/>
        <v>#DIV/0!</v>
      </c>
      <c r="AS43" s="5" t="str">
        <f t="shared" ca="1" si="3"/>
        <v/>
      </c>
      <c r="AT43" s="5" t="str">
        <f t="shared" ca="1" si="11"/>
        <v/>
      </c>
    </row>
    <row r="44" spans="1:46" x14ac:dyDescent="0.2">
      <c r="A44" s="68" t="str">
        <f ca="1">Demand!C41</f>
        <v/>
      </c>
      <c r="B44" s="68">
        <v>29</v>
      </c>
      <c r="C44" s="5">
        <f ca="1">'Demand background (hide)'!Y32</f>
        <v>0</v>
      </c>
      <c r="D44" s="68">
        <f t="shared" si="15"/>
        <v>0</v>
      </c>
      <c r="E44" s="68" t="e">
        <f t="shared" ca="1" si="16"/>
        <v>#N/A</v>
      </c>
      <c r="F44" s="68" t="e">
        <f t="shared" ca="1" si="17"/>
        <v>#N/A</v>
      </c>
      <c r="G44" s="68" t="e">
        <f t="shared" ca="1" si="18"/>
        <v>#N/A</v>
      </c>
      <c r="H44" s="68" t="e">
        <f>IF('Demand background (hide)'!AN32&lt;&gt;"",'SPC background (hide)'!C44,NA())</f>
        <v>#N/A</v>
      </c>
      <c r="I44" s="68"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8" t="e">
        <f t="shared" ca="1" si="33"/>
        <v>#N/A</v>
      </c>
      <c r="T44" s="68" t="e">
        <f t="shared" ca="1" si="34"/>
        <v>#N/A</v>
      </c>
      <c r="U44" s="68" t="e">
        <f t="shared" ca="1" si="35"/>
        <v>#N/A</v>
      </c>
      <c r="V44" s="5" t="e">
        <f t="shared" ca="1" si="14"/>
        <v>#N/A</v>
      </c>
      <c r="W44" s="5" t="e">
        <f t="shared" ca="1" si="28"/>
        <v>#N/A</v>
      </c>
      <c r="X44" s="68">
        <f t="shared" ca="1" si="29"/>
        <v>0</v>
      </c>
      <c r="Y44" s="68" t="e">
        <f t="shared" ca="1" si="36"/>
        <v>#N/A</v>
      </c>
      <c r="Z44" s="68" t="e">
        <f t="shared" ca="1" si="37"/>
        <v>#N/A</v>
      </c>
      <c r="AA44" s="5" t="str">
        <f>IF(Setup!$I$15="Yes",'Demand background (hide)'!AJ32+'SPC background (hide)'!C44,"")</f>
        <v/>
      </c>
      <c r="AC44" s="5" t="e">
        <f t="shared" ca="1" si="30"/>
        <v>#N/A</v>
      </c>
      <c r="AD44" s="5" t="e">
        <f t="shared" ca="1" si="31"/>
        <v>#N/A</v>
      </c>
      <c r="AG44" s="68">
        <f t="shared" ca="1" si="12"/>
        <v>43</v>
      </c>
      <c r="AH44" s="68">
        <v>43</v>
      </c>
      <c r="AI44" s="68">
        <f t="shared" ca="1" si="4"/>
        <v>5</v>
      </c>
      <c r="AJ44" s="40" t="e">
        <f t="shared" ca="1" si="5"/>
        <v>#DIV/0!</v>
      </c>
      <c r="AK44" s="40" t="e">
        <f t="shared" ca="1" si="6"/>
        <v>#DIV/0!</v>
      </c>
      <c r="AL44" s="40" t="e">
        <f t="shared" ca="1" si="7"/>
        <v>#DIV/0!</v>
      </c>
      <c r="AM44" s="40" t="e">
        <f t="shared" ca="1" si="8"/>
        <v>#DIV/0!</v>
      </c>
      <c r="AN44" s="40">
        <f t="shared" ca="1" si="9"/>
        <v>0</v>
      </c>
      <c r="AO44" s="40" t="e">
        <f t="shared" ca="1" si="0"/>
        <v>#DIV/0!</v>
      </c>
      <c r="AP44" s="40" t="e">
        <f t="shared" ca="1" si="1"/>
        <v>#DIV/0!</v>
      </c>
      <c r="AQ44" s="40" t="e">
        <f t="shared" ca="1" si="2"/>
        <v>#DIV/0!</v>
      </c>
      <c r="AR44" s="5" t="e">
        <f t="shared" ca="1" si="10"/>
        <v>#DIV/0!</v>
      </c>
      <c r="AS44" s="5" t="str">
        <f t="shared" ca="1" si="3"/>
        <v/>
      </c>
      <c r="AT44" s="5" t="str">
        <f t="shared" ca="1" si="11"/>
        <v/>
      </c>
    </row>
    <row r="45" spans="1:46" x14ac:dyDescent="0.2">
      <c r="A45" s="68" t="str">
        <f ca="1">Demand!C42</f>
        <v/>
      </c>
      <c r="B45" s="68">
        <v>30</v>
      </c>
      <c r="C45" s="5">
        <f ca="1">'Demand background (hide)'!Y33</f>
        <v>0</v>
      </c>
      <c r="D45" s="68">
        <f t="shared" si="15"/>
        <v>0</v>
      </c>
      <c r="E45" s="68" t="e">
        <f t="shared" ca="1" si="16"/>
        <v>#N/A</v>
      </c>
      <c r="F45" s="68" t="e">
        <f t="shared" ca="1" si="17"/>
        <v>#N/A</v>
      </c>
      <c r="G45" s="68" t="e">
        <f t="shared" ca="1" si="18"/>
        <v>#N/A</v>
      </c>
      <c r="H45" s="68" t="e">
        <f>IF('Demand background (hide)'!AN33&lt;&gt;"",'SPC background (hide)'!C45,NA())</f>
        <v>#N/A</v>
      </c>
      <c r="I45" s="68"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8" t="e">
        <f t="shared" ca="1" si="33"/>
        <v>#N/A</v>
      </c>
      <c r="T45" s="68" t="e">
        <f t="shared" ca="1" si="34"/>
        <v>#N/A</v>
      </c>
      <c r="U45" s="68" t="e">
        <f t="shared" ca="1" si="35"/>
        <v>#N/A</v>
      </c>
      <c r="V45" s="5" t="e">
        <f t="shared" ca="1" si="14"/>
        <v>#N/A</v>
      </c>
      <c r="W45" s="5" t="e">
        <f t="shared" ca="1" si="28"/>
        <v>#N/A</v>
      </c>
      <c r="X45" s="68">
        <f t="shared" ca="1" si="29"/>
        <v>0</v>
      </c>
      <c r="Y45" s="68" t="e">
        <f t="shared" ca="1" si="36"/>
        <v>#N/A</v>
      </c>
      <c r="Z45" s="68" t="e">
        <f t="shared" ca="1" si="37"/>
        <v>#N/A</v>
      </c>
      <c r="AA45" s="5" t="str">
        <f>IF(Setup!$I$15="Yes",'Demand background (hide)'!AJ33+'SPC background (hide)'!C45,"")</f>
        <v/>
      </c>
      <c r="AC45" s="5" t="e">
        <f t="shared" ca="1" si="30"/>
        <v>#N/A</v>
      </c>
      <c r="AD45" s="5" t="e">
        <f t="shared" ca="1" si="31"/>
        <v>#N/A</v>
      </c>
      <c r="AG45" s="68">
        <f t="shared" ca="1" si="12"/>
        <v>44</v>
      </c>
      <c r="AH45" s="68">
        <v>44</v>
      </c>
      <c r="AI45" s="68">
        <f t="shared" ca="1" si="4"/>
        <v>5</v>
      </c>
      <c r="AJ45" s="40" t="e">
        <f t="shared" ca="1" si="5"/>
        <v>#DIV/0!</v>
      </c>
      <c r="AK45" s="40" t="e">
        <f t="shared" ca="1" si="6"/>
        <v>#DIV/0!</v>
      </c>
      <c r="AL45" s="40" t="e">
        <f t="shared" ca="1" si="7"/>
        <v>#DIV/0!</v>
      </c>
      <c r="AM45" s="40" t="e">
        <f t="shared" ca="1" si="8"/>
        <v>#DIV/0!</v>
      </c>
      <c r="AN45" s="40">
        <f t="shared" ca="1" si="9"/>
        <v>0</v>
      </c>
      <c r="AO45" s="40" t="e">
        <f t="shared" ca="1" si="0"/>
        <v>#DIV/0!</v>
      </c>
      <c r="AP45" s="40" t="e">
        <f t="shared" ca="1" si="1"/>
        <v>#DIV/0!</v>
      </c>
      <c r="AQ45" s="40" t="e">
        <f t="shared" ca="1" si="2"/>
        <v>#DIV/0!</v>
      </c>
      <c r="AR45" s="5" t="e">
        <f t="shared" ca="1" si="10"/>
        <v>#DIV/0!</v>
      </c>
      <c r="AS45" s="5" t="str">
        <f t="shared" ca="1" si="3"/>
        <v/>
      </c>
      <c r="AT45" s="5" t="str">
        <f t="shared" ca="1" si="11"/>
        <v/>
      </c>
    </row>
    <row r="46" spans="1:46" x14ac:dyDescent="0.2">
      <c r="A46" s="68" t="str">
        <f ca="1">Demand!C43</f>
        <v/>
      </c>
      <c r="B46" s="68">
        <v>31</v>
      </c>
      <c r="C46" s="5">
        <f ca="1">'Demand background (hide)'!Y34</f>
        <v>0</v>
      </c>
      <c r="D46" s="68">
        <f t="shared" si="15"/>
        <v>0</v>
      </c>
      <c r="E46" s="68" t="e">
        <f t="shared" ca="1" si="16"/>
        <v>#N/A</v>
      </c>
      <c r="F46" s="68" t="e">
        <f t="shared" ca="1" si="17"/>
        <v>#N/A</v>
      </c>
      <c r="G46" s="68" t="e">
        <f t="shared" ca="1" si="18"/>
        <v>#N/A</v>
      </c>
      <c r="H46" s="68" t="e">
        <f>IF('Demand background (hide)'!AN34&lt;&gt;"",'SPC background (hide)'!C46,NA())</f>
        <v>#N/A</v>
      </c>
      <c r="I46" s="68"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8" t="e">
        <f t="shared" ca="1" si="33"/>
        <v>#N/A</v>
      </c>
      <c r="T46" s="68" t="e">
        <f t="shared" ca="1" si="34"/>
        <v>#N/A</v>
      </c>
      <c r="U46" s="68" t="e">
        <f t="shared" ca="1" si="35"/>
        <v>#N/A</v>
      </c>
      <c r="V46" s="5" t="e">
        <f t="shared" ca="1" si="14"/>
        <v>#N/A</v>
      </c>
      <c r="W46" s="5" t="e">
        <f t="shared" ca="1" si="28"/>
        <v>#N/A</v>
      </c>
      <c r="X46" s="68">
        <f t="shared" ca="1" si="29"/>
        <v>0</v>
      </c>
      <c r="Y46" s="68" t="e">
        <f t="shared" ca="1" si="36"/>
        <v>#N/A</v>
      </c>
      <c r="Z46" s="68" t="e">
        <f t="shared" ca="1" si="37"/>
        <v>#N/A</v>
      </c>
      <c r="AA46" s="5" t="str">
        <f>IF(Setup!$I$15="Yes",'Demand background (hide)'!AJ34+'SPC background (hide)'!C46,"")</f>
        <v/>
      </c>
      <c r="AC46" s="5" t="e">
        <f t="shared" ca="1" si="30"/>
        <v>#N/A</v>
      </c>
      <c r="AD46" s="5" t="e">
        <f t="shared" ca="1" si="31"/>
        <v>#N/A</v>
      </c>
      <c r="AG46" s="68">
        <f t="shared" ca="1" si="12"/>
        <v>45</v>
      </c>
      <c r="AH46" s="68">
        <v>45</v>
      </c>
      <c r="AI46" s="68">
        <f t="shared" ca="1" si="4"/>
        <v>5</v>
      </c>
      <c r="AJ46" s="40" t="e">
        <f t="shared" ca="1" si="5"/>
        <v>#DIV/0!</v>
      </c>
      <c r="AK46" s="40" t="e">
        <f t="shared" ca="1" si="6"/>
        <v>#DIV/0!</v>
      </c>
      <c r="AL46" s="40" t="e">
        <f t="shared" ca="1" si="7"/>
        <v>#DIV/0!</v>
      </c>
      <c r="AM46" s="40" t="e">
        <f t="shared" ca="1" si="8"/>
        <v>#DIV/0!</v>
      </c>
      <c r="AN46" s="40">
        <f t="shared" ca="1" si="9"/>
        <v>0</v>
      </c>
      <c r="AO46" s="40" t="e">
        <f t="shared" ca="1" si="0"/>
        <v>#DIV/0!</v>
      </c>
      <c r="AP46" s="40" t="e">
        <f t="shared" ca="1" si="1"/>
        <v>#DIV/0!</v>
      </c>
      <c r="AQ46" s="40" t="e">
        <f t="shared" ca="1" si="2"/>
        <v>#DIV/0!</v>
      </c>
      <c r="AR46" s="5" t="e">
        <f t="shared" ca="1" si="10"/>
        <v>#DIV/0!</v>
      </c>
      <c r="AS46" s="5" t="str">
        <f t="shared" ca="1" si="3"/>
        <v/>
      </c>
      <c r="AT46" s="5" t="str">
        <f t="shared" ca="1" si="11"/>
        <v/>
      </c>
    </row>
    <row r="47" spans="1:46" x14ac:dyDescent="0.2">
      <c r="A47" s="68" t="str">
        <f ca="1">Demand!C44</f>
        <v/>
      </c>
      <c r="B47" s="68">
        <v>32</v>
      </c>
      <c r="C47" s="5">
        <f ca="1">'Demand background (hide)'!Y35</f>
        <v>0</v>
      </c>
      <c r="D47" s="68">
        <f t="shared" si="15"/>
        <v>0</v>
      </c>
      <c r="E47" s="68" t="e">
        <f t="shared" ca="1" si="16"/>
        <v>#N/A</v>
      </c>
      <c r="F47" s="68" t="e">
        <f t="shared" ca="1" si="17"/>
        <v>#N/A</v>
      </c>
      <c r="G47" s="68" t="e">
        <f t="shared" ca="1" si="18"/>
        <v>#N/A</v>
      </c>
      <c r="H47" s="68" t="e">
        <f>IF('Demand background (hide)'!AN35&lt;&gt;"",'SPC background (hide)'!C47,NA())</f>
        <v>#N/A</v>
      </c>
      <c r="I47" s="68"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8" t="e">
        <f t="shared" ca="1" si="33"/>
        <v>#N/A</v>
      </c>
      <c r="T47" s="68" t="e">
        <f t="shared" ca="1" si="34"/>
        <v>#N/A</v>
      </c>
      <c r="U47" s="68" t="e">
        <f t="shared" ca="1" si="35"/>
        <v>#N/A</v>
      </c>
      <c r="V47" s="5" t="e">
        <f t="shared" ca="1" si="14"/>
        <v>#N/A</v>
      </c>
      <c r="W47" s="5" t="e">
        <f t="shared" ca="1" si="28"/>
        <v>#N/A</v>
      </c>
      <c r="X47" s="68">
        <f t="shared" ca="1" si="29"/>
        <v>0</v>
      </c>
      <c r="Y47" s="68" t="e">
        <f t="shared" ca="1" si="36"/>
        <v>#N/A</v>
      </c>
      <c r="Z47" s="68" t="e">
        <f t="shared" ca="1" si="37"/>
        <v>#N/A</v>
      </c>
      <c r="AA47" s="5" t="str">
        <f>IF(Setup!$I$15="Yes",'Demand background (hide)'!AJ35+'SPC background (hide)'!C47,"")</f>
        <v/>
      </c>
      <c r="AC47" s="5" t="e">
        <f t="shared" ca="1" si="30"/>
        <v>#N/A</v>
      </c>
      <c r="AD47" s="5" t="e">
        <f t="shared" ca="1" si="31"/>
        <v>#N/A</v>
      </c>
      <c r="AG47" s="68">
        <f t="shared" ca="1" si="12"/>
        <v>46</v>
      </c>
      <c r="AH47" s="68">
        <v>46</v>
      </c>
      <c r="AI47" s="68">
        <f t="shared" ca="1" si="4"/>
        <v>5</v>
      </c>
      <c r="AJ47" s="40" t="e">
        <f t="shared" ca="1" si="5"/>
        <v>#DIV/0!</v>
      </c>
      <c r="AK47" s="40" t="e">
        <f t="shared" ca="1" si="6"/>
        <v>#DIV/0!</v>
      </c>
      <c r="AL47" s="40" t="e">
        <f t="shared" ca="1" si="7"/>
        <v>#DIV/0!</v>
      </c>
      <c r="AM47" s="40" t="e">
        <f t="shared" ca="1" si="8"/>
        <v>#DIV/0!</v>
      </c>
      <c r="AN47" s="40">
        <f t="shared" ca="1" si="9"/>
        <v>0</v>
      </c>
      <c r="AO47" s="40" t="e">
        <f t="shared" ca="1" si="0"/>
        <v>#DIV/0!</v>
      </c>
      <c r="AP47" s="40" t="e">
        <f t="shared" ca="1" si="1"/>
        <v>#DIV/0!</v>
      </c>
      <c r="AQ47" s="40" t="e">
        <f t="shared" ca="1" si="2"/>
        <v>#DIV/0!</v>
      </c>
      <c r="AR47" s="5" t="e">
        <f t="shared" ca="1" si="10"/>
        <v>#DIV/0!</v>
      </c>
      <c r="AS47" s="5" t="str">
        <f t="shared" ca="1" si="3"/>
        <v/>
      </c>
      <c r="AT47" s="5" t="str">
        <f t="shared" ca="1" si="11"/>
        <v/>
      </c>
    </row>
    <row r="48" spans="1:46" x14ac:dyDescent="0.2">
      <c r="A48" s="68" t="str">
        <f ca="1">Demand!C45</f>
        <v/>
      </c>
      <c r="B48" s="68">
        <v>33</v>
      </c>
      <c r="C48" s="5">
        <f ca="1">'Demand background (hide)'!Y36</f>
        <v>0</v>
      </c>
      <c r="D48" s="68">
        <f t="shared" si="15"/>
        <v>0</v>
      </c>
      <c r="E48" s="68" t="e">
        <f t="shared" ca="1" si="16"/>
        <v>#N/A</v>
      </c>
      <c r="F48" s="68" t="e">
        <f t="shared" ca="1" si="17"/>
        <v>#N/A</v>
      </c>
      <c r="G48" s="68" t="e">
        <f t="shared" ca="1" si="18"/>
        <v>#N/A</v>
      </c>
      <c r="H48" s="68" t="e">
        <f>IF('Demand background (hide)'!AN36&lt;&gt;"",'SPC background (hide)'!C48,NA())</f>
        <v>#N/A</v>
      </c>
      <c r="I48" s="68"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8" t="e">
        <f t="shared" ca="1" si="33"/>
        <v>#N/A</v>
      </c>
      <c r="T48" s="68" t="e">
        <f t="shared" ca="1" si="34"/>
        <v>#N/A</v>
      </c>
      <c r="U48" s="68" t="e">
        <f t="shared" ca="1" si="35"/>
        <v>#N/A</v>
      </c>
      <c r="V48" s="5" t="e">
        <f t="shared" ca="1" si="14"/>
        <v>#N/A</v>
      </c>
      <c r="W48" s="5" t="e">
        <f t="shared" ca="1" si="28"/>
        <v>#N/A</v>
      </c>
      <c r="X48" s="68">
        <f t="shared" ca="1" si="29"/>
        <v>0</v>
      </c>
      <c r="Y48" s="68" t="e">
        <f t="shared" ca="1" si="36"/>
        <v>#N/A</v>
      </c>
      <c r="Z48" s="68" t="e">
        <f t="shared" ca="1" si="37"/>
        <v>#N/A</v>
      </c>
      <c r="AA48" s="5" t="str">
        <f>IF(Setup!$I$15="Yes",'Demand background (hide)'!AJ36+'SPC background (hide)'!C48,"")</f>
        <v/>
      </c>
      <c r="AC48" s="5" t="e">
        <f t="shared" ca="1" si="30"/>
        <v>#N/A</v>
      </c>
      <c r="AD48" s="5" t="e">
        <f t="shared" ca="1" si="31"/>
        <v>#N/A</v>
      </c>
      <c r="AG48" s="68">
        <f t="shared" ca="1" si="12"/>
        <v>47</v>
      </c>
      <c r="AH48" s="68">
        <v>47</v>
      </c>
      <c r="AI48" s="68">
        <f t="shared" ca="1" si="4"/>
        <v>5</v>
      </c>
      <c r="AJ48" s="40" t="e">
        <f t="shared" ca="1" si="5"/>
        <v>#DIV/0!</v>
      </c>
      <c r="AK48" s="40" t="e">
        <f t="shared" ca="1" si="6"/>
        <v>#DIV/0!</v>
      </c>
      <c r="AL48" s="40" t="e">
        <f t="shared" ca="1" si="7"/>
        <v>#DIV/0!</v>
      </c>
      <c r="AM48" s="40" t="e">
        <f t="shared" ca="1" si="8"/>
        <v>#DIV/0!</v>
      </c>
      <c r="AN48" s="40">
        <f t="shared" ca="1" si="9"/>
        <v>0</v>
      </c>
      <c r="AO48" s="40" t="e">
        <f t="shared" ca="1" si="0"/>
        <v>#DIV/0!</v>
      </c>
      <c r="AP48" s="40" t="e">
        <f t="shared" ca="1" si="1"/>
        <v>#DIV/0!</v>
      </c>
      <c r="AQ48" s="40" t="e">
        <f t="shared" ca="1" si="2"/>
        <v>#DIV/0!</v>
      </c>
      <c r="AR48" s="5" t="e">
        <f t="shared" ca="1" si="10"/>
        <v>#DIV/0!</v>
      </c>
      <c r="AS48" s="5" t="str">
        <f t="shared" ca="1" si="3"/>
        <v/>
      </c>
      <c r="AT48" s="5" t="str">
        <f t="shared" ca="1" si="11"/>
        <v/>
      </c>
    </row>
    <row r="49" spans="1:46" x14ac:dyDescent="0.2">
      <c r="A49" s="68" t="str">
        <f ca="1">Demand!C46</f>
        <v/>
      </c>
      <c r="B49" s="68">
        <v>34</v>
      </c>
      <c r="C49" s="5">
        <f ca="1">'Demand background (hide)'!Y37</f>
        <v>0</v>
      </c>
      <c r="D49" s="68">
        <f t="shared" si="15"/>
        <v>0</v>
      </c>
      <c r="E49" s="68" t="e">
        <f t="shared" ca="1" si="16"/>
        <v>#N/A</v>
      </c>
      <c r="F49" s="68" t="e">
        <f t="shared" ca="1" si="17"/>
        <v>#N/A</v>
      </c>
      <c r="G49" s="68" t="e">
        <f t="shared" ca="1" si="18"/>
        <v>#N/A</v>
      </c>
      <c r="H49" s="68" t="e">
        <f>IF('Demand background (hide)'!AN37&lt;&gt;"",'SPC background (hide)'!C49,NA())</f>
        <v>#N/A</v>
      </c>
      <c r="I49" s="68"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8" t="e">
        <f t="shared" ca="1" si="33"/>
        <v>#N/A</v>
      </c>
      <c r="T49" s="68" t="e">
        <f t="shared" ca="1" si="34"/>
        <v>#N/A</v>
      </c>
      <c r="U49" s="68" t="e">
        <f t="shared" ca="1" si="35"/>
        <v>#N/A</v>
      </c>
      <c r="V49" s="5" t="e">
        <f t="shared" ca="1" si="14"/>
        <v>#N/A</v>
      </c>
      <c r="W49" s="5" t="e">
        <f t="shared" ca="1" si="28"/>
        <v>#N/A</v>
      </c>
      <c r="X49" s="68">
        <f t="shared" ca="1" si="29"/>
        <v>0</v>
      </c>
      <c r="Y49" s="68" t="e">
        <f t="shared" ca="1" si="36"/>
        <v>#N/A</v>
      </c>
      <c r="Z49" s="68" t="e">
        <f t="shared" ca="1" si="37"/>
        <v>#N/A</v>
      </c>
      <c r="AA49" s="5" t="str">
        <f>IF(Setup!$I$15="Yes",'Demand background (hide)'!AJ37+'SPC background (hide)'!C49,"")</f>
        <v/>
      </c>
      <c r="AC49" s="5" t="e">
        <f t="shared" ca="1" si="30"/>
        <v>#N/A</v>
      </c>
      <c r="AD49" s="5" t="e">
        <f t="shared" ca="1" si="31"/>
        <v>#N/A</v>
      </c>
      <c r="AG49" s="68">
        <f t="shared" ca="1" si="12"/>
        <v>48</v>
      </c>
      <c r="AH49" s="68">
        <v>48</v>
      </c>
      <c r="AI49" s="68">
        <f t="shared" ca="1" si="4"/>
        <v>5</v>
      </c>
      <c r="AJ49" s="40" t="e">
        <f t="shared" ca="1" si="5"/>
        <v>#DIV/0!</v>
      </c>
      <c r="AK49" s="40" t="e">
        <f t="shared" ca="1" si="6"/>
        <v>#DIV/0!</v>
      </c>
      <c r="AL49" s="40" t="e">
        <f t="shared" ca="1" si="7"/>
        <v>#DIV/0!</v>
      </c>
      <c r="AM49" s="40" t="e">
        <f t="shared" ca="1" si="8"/>
        <v>#DIV/0!</v>
      </c>
      <c r="AN49" s="40">
        <f t="shared" ca="1" si="9"/>
        <v>0</v>
      </c>
      <c r="AO49" s="40" t="e">
        <f t="shared" ca="1" si="0"/>
        <v>#DIV/0!</v>
      </c>
      <c r="AP49" s="40" t="e">
        <f t="shared" ca="1" si="1"/>
        <v>#DIV/0!</v>
      </c>
      <c r="AQ49" s="40" t="e">
        <f t="shared" ca="1" si="2"/>
        <v>#DIV/0!</v>
      </c>
      <c r="AR49" s="5" t="e">
        <f t="shared" ca="1" si="10"/>
        <v>#DIV/0!</v>
      </c>
      <c r="AS49" s="5" t="str">
        <f t="shared" ca="1" si="3"/>
        <v/>
      </c>
      <c r="AT49" s="5" t="str">
        <f t="shared" ca="1" si="11"/>
        <v/>
      </c>
    </row>
    <row r="50" spans="1:46" x14ac:dyDescent="0.2">
      <c r="A50" s="68" t="str">
        <f ca="1">Demand!C47</f>
        <v/>
      </c>
      <c r="B50" s="68">
        <v>35</v>
      </c>
      <c r="C50" s="5">
        <f ca="1">'Demand background (hide)'!Y38</f>
        <v>0</v>
      </c>
      <c r="D50" s="68">
        <f t="shared" si="15"/>
        <v>0</v>
      </c>
      <c r="E50" s="68" t="e">
        <f t="shared" ca="1" si="16"/>
        <v>#N/A</v>
      </c>
      <c r="F50" s="68" t="e">
        <f t="shared" ca="1" si="17"/>
        <v>#N/A</v>
      </c>
      <c r="G50" s="68" t="e">
        <f t="shared" ca="1" si="18"/>
        <v>#N/A</v>
      </c>
      <c r="H50" s="68" t="e">
        <f>IF('Demand background (hide)'!AN38&lt;&gt;"",'SPC background (hide)'!C50,NA())</f>
        <v>#N/A</v>
      </c>
      <c r="I50" s="68"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8" t="e">
        <f t="shared" ca="1" si="33"/>
        <v>#N/A</v>
      </c>
      <c r="T50" s="68" t="e">
        <f t="shared" ca="1" si="34"/>
        <v>#N/A</v>
      </c>
      <c r="U50" s="68" t="e">
        <f t="shared" ca="1" si="35"/>
        <v>#N/A</v>
      </c>
      <c r="V50" s="5" t="e">
        <f t="shared" ca="1" si="14"/>
        <v>#N/A</v>
      </c>
      <c r="W50" s="5" t="e">
        <f t="shared" ca="1" si="28"/>
        <v>#N/A</v>
      </c>
      <c r="X50" s="68">
        <f t="shared" ca="1" si="29"/>
        <v>0</v>
      </c>
      <c r="Y50" s="68" t="e">
        <f t="shared" ca="1" si="36"/>
        <v>#N/A</v>
      </c>
      <c r="Z50" s="68" t="e">
        <f t="shared" ca="1" si="37"/>
        <v>#N/A</v>
      </c>
      <c r="AA50" s="5" t="str">
        <f>IF(Setup!$I$15="Yes",'Demand background (hide)'!AJ38+'SPC background (hide)'!C50,"")</f>
        <v/>
      </c>
      <c r="AC50" s="5" t="e">
        <f t="shared" ca="1" si="30"/>
        <v>#N/A</v>
      </c>
      <c r="AD50" s="5" t="e">
        <f t="shared" ca="1" si="31"/>
        <v>#N/A</v>
      </c>
      <c r="AG50" s="68">
        <f t="shared" ca="1" si="12"/>
        <v>49</v>
      </c>
      <c r="AH50" s="68">
        <v>49</v>
      </c>
      <c r="AI50" s="68">
        <f t="shared" ca="1" si="4"/>
        <v>5</v>
      </c>
      <c r="AJ50" s="40" t="e">
        <f t="shared" ca="1" si="5"/>
        <v>#DIV/0!</v>
      </c>
      <c r="AK50" s="40" t="e">
        <f t="shared" ca="1" si="6"/>
        <v>#DIV/0!</v>
      </c>
      <c r="AL50" s="40" t="e">
        <f t="shared" ca="1" si="7"/>
        <v>#DIV/0!</v>
      </c>
      <c r="AM50" s="40" t="e">
        <f t="shared" ca="1" si="8"/>
        <v>#DIV/0!</v>
      </c>
      <c r="AN50" s="40">
        <f t="shared" ca="1" si="9"/>
        <v>0</v>
      </c>
      <c r="AO50" s="40" t="e">
        <f t="shared" ca="1" si="0"/>
        <v>#DIV/0!</v>
      </c>
      <c r="AP50" s="40" t="e">
        <f t="shared" ca="1" si="1"/>
        <v>#DIV/0!</v>
      </c>
      <c r="AQ50" s="40" t="e">
        <f t="shared" ca="1" si="2"/>
        <v>#DIV/0!</v>
      </c>
      <c r="AR50" s="5" t="e">
        <f t="shared" ca="1" si="10"/>
        <v>#DIV/0!</v>
      </c>
      <c r="AS50" s="5" t="str">
        <f t="shared" ca="1" si="3"/>
        <v/>
      </c>
      <c r="AT50" s="5" t="str">
        <f t="shared" ca="1" si="11"/>
        <v/>
      </c>
    </row>
    <row r="51" spans="1:46" x14ac:dyDescent="0.2">
      <c r="A51" s="68" t="str">
        <f ca="1">Demand!C48</f>
        <v/>
      </c>
      <c r="B51" s="68">
        <v>36</v>
      </c>
      <c r="C51" s="5">
        <f ca="1">'Demand background (hide)'!Y39</f>
        <v>0</v>
      </c>
      <c r="D51" s="68">
        <f t="shared" si="15"/>
        <v>0</v>
      </c>
      <c r="E51" s="68" t="e">
        <f t="shared" ca="1" si="16"/>
        <v>#N/A</v>
      </c>
      <c r="F51" s="68" t="e">
        <f t="shared" ca="1" si="17"/>
        <v>#N/A</v>
      </c>
      <c r="G51" s="68" t="e">
        <f t="shared" ca="1" si="18"/>
        <v>#N/A</v>
      </c>
      <c r="H51" s="68" t="e">
        <f>IF('Demand background (hide)'!AN39&lt;&gt;"",'SPC background (hide)'!C51,NA())</f>
        <v>#N/A</v>
      </c>
      <c r="I51" s="68"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8" t="e">
        <f t="shared" ca="1" si="33"/>
        <v>#N/A</v>
      </c>
      <c r="T51" s="68" t="e">
        <f t="shared" ca="1" si="34"/>
        <v>#N/A</v>
      </c>
      <c r="U51" s="68" t="e">
        <f t="shared" ca="1" si="35"/>
        <v>#N/A</v>
      </c>
      <c r="V51" s="5" t="e">
        <f t="shared" ca="1" si="14"/>
        <v>#N/A</v>
      </c>
      <c r="W51" s="5" t="e">
        <f t="shared" ca="1" si="28"/>
        <v>#N/A</v>
      </c>
      <c r="X51" s="68">
        <f t="shared" ca="1" si="29"/>
        <v>0</v>
      </c>
      <c r="Y51" s="68" t="e">
        <f t="shared" ca="1" si="36"/>
        <v>#N/A</v>
      </c>
      <c r="Z51" s="68" t="e">
        <f t="shared" ca="1" si="37"/>
        <v>#N/A</v>
      </c>
      <c r="AA51" s="5" t="str">
        <f>IF(Setup!$I$15="Yes",'Demand background (hide)'!AJ39+'SPC background (hide)'!C51,"")</f>
        <v/>
      </c>
      <c r="AC51" s="5" t="e">
        <f t="shared" ca="1" si="30"/>
        <v>#N/A</v>
      </c>
      <c r="AD51" s="5" t="e">
        <f t="shared" ca="1" si="31"/>
        <v>#N/A</v>
      </c>
      <c r="AG51" s="68">
        <f t="shared" ca="1" si="12"/>
        <v>50</v>
      </c>
      <c r="AH51" s="68">
        <v>50</v>
      </c>
      <c r="AI51" s="68">
        <f t="shared" ca="1" si="4"/>
        <v>5</v>
      </c>
      <c r="AJ51" s="40" t="e">
        <f t="shared" ca="1" si="5"/>
        <v>#DIV/0!</v>
      </c>
      <c r="AK51" s="40" t="e">
        <f t="shared" ca="1" si="6"/>
        <v>#DIV/0!</v>
      </c>
      <c r="AL51" s="40" t="e">
        <f t="shared" ca="1" si="7"/>
        <v>#DIV/0!</v>
      </c>
      <c r="AM51" s="40" t="e">
        <f t="shared" ca="1" si="8"/>
        <v>#DIV/0!</v>
      </c>
      <c r="AN51" s="40">
        <f t="shared" ca="1" si="9"/>
        <v>0</v>
      </c>
      <c r="AO51" s="40" t="e">
        <f t="shared" ca="1" si="0"/>
        <v>#DIV/0!</v>
      </c>
      <c r="AP51" s="40" t="e">
        <f t="shared" ca="1" si="1"/>
        <v>#DIV/0!</v>
      </c>
      <c r="AQ51" s="40" t="e">
        <f t="shared" ca="1" si="2"/>
        <v>#DIV/0!</v>
      </c>
      <c r="AR51" s="5" t="e">
        <f t="shared" ca="1" si="10"/>
        <v>#DIV/0!</v>
      </c>
      <c r="AS51" s="5" t="str">
        <f t="shared" ca="1" si="3"/>
        <v/>
      </c>
      <c r="AT51" s="5" t="str">
        <f t="shared" ca="1" si="11"/>
        <v/>
      </c>
    </row>
    <row r="52" spans="1:46" x14ac:dyDescent="0.2">
      <c r="A52" s="68" t="str">
        <f ca="1">Demand!C49</f>
        <v/>
      </c>
      <c r="B52" s="68">
        <v>37</v>
      </c>
      <c r="C52" s="5">
        <f ca="1">'Demand background (hide)'!Y40</f>
        <v>0</v>
      </c>
      <c r="D52" s="68">
        <f t="shared" si="15"/>
        <v>0</v>
      </c>
      <c r="E52" s="68" t="e">
        <f t="shared" ca="1" si="16"/>
        <v>#N/A</v>
      </c>
      <c r="F52" s="68" t="e">
        <f t="shared" ca="1" si="17"/>
        <v>#N/A</v>
      </c>
      <c r="G52" s="68" t="e">
        <f t="shared" ca="1" si="18"/>
        <v>#N/A</v>
      </c>
      <c r="H52" s="68" t="e">
        <f>IF('Demand background (hide)'!AN40&lt;&gt;"",'SPC background (hide)'!C52,NA())</f>
        <v>#N/A</v>
      </c>
      <c r="I52" s="68"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8" t="e">
        <f t="shared" ca="1" si="33"/>
        <v>#N/A</v>
      </c>
      <c r="T52" s="68" t="e">
        <f t="shared" ca="1" si="34"/>
        <v>#N/A</v>
      </c>
      <c r="U52" s="68" t="e">
        <f t="shared" ca="1" si="35"/>
        <v>#N/A</v>
      </c>
      <c r="V52" s="5" t="e">
        <f t="shared" ca="1" si="14"/>
        <v>#N/A</v>
      </c>
      <c r="W52" s="5" t="e">
        <f t="shared" ca="1" si="28"/>
        <v>#N/A</v>
      </c>
      <c r="X52" s="68">
        <f t="shared" ca="1" si="29"/>
        <v>0</v>
      </c>
      <c r="Y52" s="68" t="e">
        <f t="shared" ca="1" si="36"/>
        <v>#N/A</v>
      </c>
      <c r="Z52" s="68" t="e">
        <f t="shared" ca="1" si="37"/>
        <v>#N/A</v>
      </c>
      <c r="AA52" s="5" t="str">
        <f>IF(Setup!$I$15="Yes",'Demand background (hide)'!AJ40+'SPC background (hide)'!C52,"")</f>
        <v/>
      </c>
      <c r="AC52" s="5" t="e">
        <f t="shared" ca="1" si="30"/>
        <v>#N/A</v>
      </c>
      <c r="AD52" s="5" t="e">
        <f t="shared" ca="1" si="31"/>
        <v>#N/A</v>
      </c>
      <c r="AG52" s="68">
        <f t="shared" ca="1" si="12"/>
        <v>51</v>
      </c>
      <c r="AH52" s="68">
        <v>51</v>
      </c>
      <c r="AI52" s="68">
        <f t="shared" ca="1" si="4"/>
        <v>5</v>
      </c>
      <c r="AJ52" s="40" t="e">
        <f t="shared" ca="1" si="5"/>
        <v>#DIV/0!</v>
      </c>
      <c r="AK52" s="40" t="e">
        <f t="shared" ca="1" si="6"/>
        <v>#DIV/0!</v>
      </c>
      <c r="AL52" s="40" t="e">
        <f t="shared" ca="1" si="7"/>
        <v>#DIV/0!</v>
      </c>
      <c r="AM52" s="40" t="e">
        <f t="shared" ca="1" si="8"/>
        <v>#DIV/0!</v>
      </c>
      <c r="AN52" s="40">
        <f t="shared" ca="1" si="9"/>
        <v>0</v>
      </c>
      <c r="AO52" s="40" t="e">
        <f t="shared" ca="1" si="0"/>
        <v>#DIV/0!</v>
      </c>
      <c r="AP52" s="40" t="e">
        <f t="shared" ca="1" si="1"/>
        <v>#DIV/0!</v>
      </c>
      <c r="AQ52" s="40" t="e">
        <f t="shared" ca="1" si="2"/>
        <v>#DIV/0!</v>
      </c>
      <c r="AR52" s="5" t="e">
        <f t="shared" ca="1" si="10"/>
        <v>#DIV/0!</v>
      </c>
      <c r="AS52" s="5" t="str">
        <f t="shared" ca="1" si="3"/>
        <v/>
      </c>
      <c r="AT52" s="5" t="str">
        <f t="shared" ca="1" si="11"/>
        <v/>
      </c>
    </row>
    <row r="53" spans="1:46" x14ac:dyDescent="0.2">
      <c r="A53" s="68" t="str">
        <f ca="1">Demand!C50</f>
        <v/>
      </c>
      <c r="B53" s="68">
        <v>38</v>
      </c>
      <c r="C53" s="5">
        <f ca="1">'Demand background (hide)'!Y41</f>
        <v>0</v>
      </c>
      <c r="D53" s="68">
        <f t="shared" si="15"/>
        <v>0</v>
      </c>
      <c r="E53" s="68" t="e">
        <f t="shared" ca="1" si="16"/>
        <v>#N/A</v>
      </c>
      <c r="F53" s="68" t="e">
        <f t="shared" ca="1" si="17"/>
        <v>#N/A</v>
      </c>
      <c r="G53" s="68" t="e">
        <f t="shared" ca="1" si="18"/>
        <v>#N/A</v>
      </c>
      <c r="H53" s="68" t="e">
        <f>IF('Demand background (hide)'!AN41&lt;&gt;"",'SPC background (hide)'!C53,NA())</f>
        <v>#N/A</v>
      </c>
      <c r="I53" s="68"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8" t="e">
        <f t="shared" ca="1" si="33"/>
        <v>#N/A</v>
      </c>
      <c r="T53" s="68" t="e">
        <f t="shared" ca="1" si="34"/>
        <v>#N/A</v>
      </c>
      <c r="U53" s="68" t="e">
        <f t="shared" ca="1" si="35"/>
        <v>#N/A</v>
      </c>
      <c r="V53" s="5" t="e">
        <f t="shared" ca="1" si="14"/>
        <v>#N/A</v>
      </c>
      <c r="W53" s="5" t="e">
        <f t="shared" ca="1" si="28"/>
        <v>#N/A</v>
      </c>
      <c r="X53" s="68">
        <f t="shared" ca="1" si="29"/>
        <v>0</v>
      </c>
      <c r="Y53" s="68" t="e">
        <f t="shared" ca="1" si="36"/>
        <v>#N/A</v>
      </c>
      <c r="Z53" s="68" t="e">
        <f t="shared" ca="1" si="37"/>
        <v>#N/A</v>
      </c>
      <c r="AA53" s="5" t="str">
        <f>IF(Setup!$I$15="Yes",'Demand background (hide)'!AJ41+'SPC background (hide)'!C53,"")</f>
        <v/>
      </c>
      <c r="AC53" s="5" t="e">
        <f t="shared" ca="1" si="30"/>
        <v>#N/A</v>
      </c>
      <c r="AD53" s="5" t="e">
        <f t="shared" ca="1" si="31"/>
        <v>#N/A</v>
      </c>
      <c r="AG53" s="68">
        <f t="shared" ca="1" si="12"/>
        <v>52</v>
      </c>
      <c r="AH53" s="68">
        <v>52</v>
      </c>
      <c r="AI53" s="68">
        <f t="shared" ca="1" si="4"/>
        <v>5</v>
      </c>
      <c r="AJ53" s="40" t="e">
        <f t="shared" ca="1" si="5"/>
        <v>#DIV/0!</v>
      </c>
      <c r="AK53" s="40" t="e">
        <f t="shared" ca="1" si="6"/>
        <v>#DIV/0!</v>
      </c>
      <c r="AL53" s="40" t="e">
        <f t="shared" ca="1" si="7"/>
        <v>#DIV/0!</v>
      </c>
      <c r="AM53" s="40" t="e">
        <f t="shared" ca="1" si="8"/>
        <v>#DIV/0!</v>
      </c>
      <c r="AN53" s="40">
        <f t="shared" ca="1" si="9"/>
        <v>0</v>
      </c>
      <c r="AO53" s="40" t="e">
        <f t="shared" ca="1" si="0"/>
        <v>#DIV/0!</v>
      </c>
      <c r="AP53" s="40" t="e">
        <f t="shared" ca="1" si="1"/>
        <v>#DIV/0!</v>
      </c>
      <c r="AQ53" s="40" t="e">
        <f t="shared" ca="1" si="2"/>
        <v>#DIV/0!</v>
      </c>
      <c r="AR53" s="5" t="e">
        <f t="shared" ca="1" si="10"/>
        <v>#DIV/0!</v>
      </c>
      <c r="AS53" s="5" t="str">
        <f t="shared" ca="1" si="3"/>
        <v/>
      </c>
      <c r="AT53" s="5" t="str">
        <f t="shared" ca="1" si="11"/>
        <v/>
      </c>
    </row>
    <row r="54" spans="1:46" x14ac:dyDescent="0.2">
      <c r="A54" s="68" t="str">
        <f ca="1">Demand!C51</f>
        <v/>
      </c>
      <c r="B54" s="68">
        <v>39</v>
      </c>
      <c r="C54" s="5">
        <f ca="1">'Demand background (hide)'!Y42</f>
        <v>0</v>
      </c>
      <c r="D54" s="68">
        <f t="shared" si="15"/>
        <v>0</v>
      </c>
      <c r="E54" s="68" t="e">
        <f t="shared" ca="1" si="16"/>
        <v>#N/A</v>
      </c>
      <c r="F54" s="68" t="e">
        <f t="shared" ca="1" si="17"/>
        <v>#N/A</v>
      </c>
      <c r="G54" s="68" t="e">
        <f t="shared" ca="1" si="18"/>
        <v>#N/A</v>
      </c>
      <c r="H54" s="68" t="e">
        <f>IF('Demand background (hide)'!AN42&lt;&gt;"",'SPC background (hide)'!C54,NA())</f>
        <v>#N/A</v>
      </c>
      <c r="I54" s="68"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8" t="e">
        <f t="shared" ca="1" si="33"/>
        <v>#N/A</v>
      </c>
      <c r="T54" s="68" t="e">
        <f t="shared" ca="1" si="34"/>
        <v>#N/A</v>
      </c>
      <c r="U54" s="68" t="e">
        <f t="shared" ca="1" si="35"/>
        <v>#N/A</v>
      </c>
      <c r="V54" s="5" t="e">
        <f t="shared" ca="1" si="14"/>
        <v>#N/A</v>
      </c>
      <c r="W54" s="5" t="e">
        <f t="shared" ca="1" si="28"/>
        <v>#N/A</v>
      </c>
      <c r="X54" s="68">
        <f t="shared" ca="1" si="29"/>
        <v>0</v>
      </c>
      <c r="Y54" s="68" t="e">
        <f t="shared" ca="1" si="36"/>
        <v>#N/A</v>
      </c>
      <c r="Z54" s="68" t="e">
        <f t="shared" ca="1" si="37"/>
        <v>#N/A</v>
      </c>
      <c r="AA54" s="5" t="str">
        <f>IF(Setup!$I$15="Yes",'Demand background (hide)'!AJ42+'SPC background (hide)'!C54,"")</f>
        <v/>
      </c>
      <c r="AC54" s="5" t="e">
        <f t="shared" ca="1" si="30"/>
        <v>#N/A</v>
      </c>
      <c r="AD54" s="5" t="e">
        <f t="shared" ca="1" si="31"/>
        <v>#N/A</v>
      </c>
      <c r="AG54" s="68">
        <f t="shared" ca="1" si="12"/>
        <v>53</v>
      </c>
      <c r="AH54" s="68">
        <v>53</v>
      </c>
      <c r="AI54" s="68">
        <f t="shared" ca="1" si="4"/>
        <v>5</v>
      </c>
      <c r="AJ54" s="40" t="e">
        <f t="shared" ca="1" si="5"/>
        <v>#DIV/0!</v>
      </c>
      <c r="AK54" s="40" t="e">
        <f t="shared" ca="1" si="6"/>
        <v>#DIV/0!</v>
      </c>
      <c r="AL54" s="40" t="e">
        <f t="shared" ca="1" si="7"/>
        <v>#DIV/0!</v>
      </c>
      <c r="AM54" s="40" t="e">
        <f t="shared" ca="1" si="8"/>
        <v>#DIV/0!</v>
      </c>
      <c r="AN54" s="40">
        <f t="shared" ca="1" si="9"/>
        <v>0</v>
      </c>
      <c r="AO54" s="40" t="e">
        <f t="shared" ca="1" si="0"/>
        <v>#DIV/0!</v>
      </c>
      <c r="AP54" s="40" t="e">
        <f t="shared" ca="1" si="1"/>
        <v>#DIV/0!</v>
      </c>
      <c r="AQ54" s="40" t="e">
        <f t="shared" ca="1" si="2"/>
        <v>#DIV/0!</v>
      </c>
      <c r="AR54" s="5" t="e">
        <f t="shared" ca="1" si="10"/>
        <v>#DIV/0!</v>
      </c>
      <c r="AS54" s="5" t="str">
        <f t="shared" ca="1" si="3"/>
        <v/>
      </c>
      <c r="AT54" s="5" t="str">
        <f t="shared" ca="1" si="11"/>
        <v/>
      </c>
    </row>
    <row r="55" spans="1:46" x14ac:dyDescent="0.2">
      <c r="A55" s="68" t="str">
        <f ca="1">Demand!C52</f>
        <v/>
      </c>
      <c r="B55" s="68">
        <v>40</v>
      </c>
      <c r="C55" s="5">
        <f ca="1">'Demand background (hide)'!Y43</f>
        <v>0</v>
      </c>
      <c r="D55" s="68">
        <f t="shared" si="15"/>
        <v>0</v>
      </c>
      <c r="E55" s="68" t="e">
        <f t="shared" ca="1" si="16"/>
        <v>#N/A</v>
      </c>
      <c r="F55" s="68" t="e">
        <f t="shared" ca="1" si="17"/>
        <v>#N/A</v>
      </c>
      <c r="G55" s="68" t="e">
        <f t="shared" ca="1" si="18"/>
        <v>#N/A</v>
      </c>
      <c r="H55" s="68" t="e">
        <f>IF('Demand background (hide)'!AN43&lt;&gt;"",'SPC background (hide)'!C55,NA())</f>
        <v>#N/A</v>
      </c>
      <c r="I55" s="68"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8" t="e">
        <f t="shared" ca="1" si="33"/>
        <v>#N/A</v>
      </c>
      <c r="T55" s="68" t="e">
        <f t="shared" ca="1" si="34"/>
        <v>#N/A</v>
      </c>
      <c r="U55" s="68" t="e">
        <f t="shared" ca="1" si="35"/>
        <v>#N/A</v>
      </c>
      <c r="V55" s="5" t="e">
        <f t="shared" ca="1" si="14"/>
        <v>#N/A</v>
      </c>
      <c r="W55" s="5" t="e">
        <f t="shared" ca="1" si="28"/>
        <v>#N/A</v>
      </c>
      <c r="X55" s="68">
        <f t="shared" ca="1" si="29"/>
        <v>0</v>
      </c>
      <c r="Y55" s="68" t="e">
        <f t="shared" ca="1" si="36"/>
        <v>#N/A</v>
      </c>
      <c r="Z55" s="68" t="e">
        <f t="shared" ca="1" si="37"/>
        <v>#N/A</v>
      </c>
      <c r="AA55" s="5" t="str">
        <f>IF(Setup!$I$15="Yes",'Demand background (hide)'!AJ43+'SPC background (hide)'!C55,"")</f>
        <v/>
      </c>
      <c r="AC55" s="5" t="e">
        <f t="shared" ca="1" si="30"/>
        <v>#N/A</v>
      </c>
      <c r="AD55" s="5" t="e">
        <f t="shared" ca="1" si="31"/>
        <v>#N/A</v>
      </c>
    </row>
    <row r="56" spans="1:46" x14ac:dyDescent="0.2">
      <c r="A56" s="68" t="str">
        <f ca="1">Demand!C53</f>
        <v/>
      </c>
      <c r="B56" s="68">
        <v>41</v>
      </c>
      <c r="C56" s="5">
        <f ca="1">'Demand background (hide)'!Y44</f>
        <v>0</v>
      </c>
      <c r="D56" s="68">
        <f t="shared" si="15"/>
        <v>0</v>
      </c>
      <c r="E56" s="68" t="e">
        <f t="shared" ca="1" si="16"/>
        <v>#N/A</v>
      </c>
      <c r="F56" s="68" t="e">
        <f t="shared" ca="1" si="17"/>
        <v>#N/A</v>
      </c>
      <c r="G56" s="68" t="e">
        <f t="shared" ca="1" si="18"/>
        <v>#N/A</v>
      </c>
      <c r="H56" s="68" t="e">
        <f>IF('Demand background (hide)'!AN44&lt;&gt;"",'SPC background (hide)'!C56,NA())</f>
        <v>#N/A</v>
      </c>
      <c r="I56" s="68"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8" t="e">
        <f t="shared" ca="1" si="33"/>
        <v>#N/A</v>
      </c>
      <c r="T56" s="68" t="e">
        <f t="shared" ca="1" si="34"/>
        <v>#N/A</v>
      </c>
      <c r="U56" s="68" t="e">
        <f t="shared" ca="1" si="35"/>
        <v>#N/A</v>
      </c>
      <c r="V56" s="5" t="e">
        <f t="shared" ca="1" si="14"/>
        <v>#N/A</v>
      </c>
      <c r="W56" s="5" t="e">
        <f t="shared" ca="1" si="28"/>
        <v>#N/A</v>
      </c>
      <c r="X56" s="68">
        <f t="shared" ca="1" si="29"/>
        <v>0</v>
      </c>
      <c r="Y56" s="68" t="e">
        <f t="shared" ca="1" si="36"/>
        <v>#N/A</v>
      </c>
      <c r="Z56" s="68" t="e">
        <f t="shared" ca="1" si="37"/>
        <v>#N/A</v>
      </c>
      <c r="AA56" s="5" t="str">
        <f>IF(Setup!$I$15="Yes",'Demand background (hide)'!AJ44+'SPC background (hide)'!C56,"")</f>
        <v/>
      </c>
      <c r="AC56" s="5" t="e">
        <f t="shared" ca="1" si="30"/>
        <v>#N/A</v>
      </c>
      <c r="AD56" s="5" t="e">
        <f t="shared" ca="1" si="31"/>
        <v>#N/A</v>
      </c>
    </row>
    <row r="57" spans="1:46" x14ac:dyDescent="0.2">
      <c r="A57" s="68" t="str">
        <f ca="1">Demand!C54</f>
        <v/>
      </c>
      <c r="B57" s="68">
        <v>42</v>
      </c>
      <c r="C57" s="5">
        <f ca="1">'Demand background (hide)'!Y45</f>
        <v>0</v>
      </c>
      <c r="D57" s="68">
        <f t="shared" si="15"/>
        <v>0</v>
      </c>
      <c r="E57" s="68" t="e">
        <f t="shared" ca="1" si="16"/>
        <v>#N/A</v>
      </c>
      <c r="F57" s="68" t="e">
        <f t="shared" ca="1" si="17"/>
        <v>#N/A</v>
      </c>
      <c r="G57" s="68" t="e">
        <f t="shared" ca="1" si="18"/>
        <v>#N/A</v>
      </c>
      <c r="H57" s="68" t="e">
        <f>IF('Demand background (hide)'!AN45&lt;&gt;"",'SPC background (hide)'!C57,NA())</f>
        <v>#N/A</v>
      </c>
      <c r="I57" s="68"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8" t="e">
        <f t="shared" ca="1" si="33"/>
        <v>#N/A</v>
      </c>
      <c r="T57" s="68" t="e">
        <f t="shared" ca="1" si="34"/>
        <v>#N/A</v>
      </c>
      <c r="U57" s="68" t="e">
        <f t="shared" ca="1" si="35"/>
        <v>#N/A</v>
      </c>
      <c r="V57" s="5" t="e">
        <f t="shared" ca="1" si="14"/>
        <v>#N/A</v>
      </c>
      <c r="W57" s="5" t="e">
        <f t="shared" ca="1" si="28"/>
        <v>#N/A</v>
      </c>
      <c r="X57" s="68">
        <f t="shared" ca="1" si="29"/>
        <v>0</v>
      </c>
      <c r="Y57" s="68" t="e">
        <f t="shared" ca="1" si="36"/>
        <v>#N/A</v>
      </c>
      <c r="Z57" s="68" t="e">
        <f t="shared" ca="1" si="37"/>
        <v>#N/A</v>
      </c>
      <c r="AA57" s="5" t="str">
        <f>IF(Setup!$I$15="Yes",'Demand background (hide)'!AJ45+'SPC background (hide)'!C57,"")</f>
        <v/>
      </c>
      <c r="AC57" s="5" t="e">
        <f t="shared" ca="1" si="30"/>
        <v>#N/A</v>
      </c>
      <c r="AD57" s="5" t="e">
        <f t="shared" ca="1" si="31"/>
        <v>#N/A</v>
      </c>
    </row>
    <row r="58" spans="1:46" x14ac:dyDescent="0.2">
      <c r="A58" s="68" t="str">
        <f ca="1">Demand!C55</f>
        <v/>
      </c>
      <c r="B58" s="68">
        <v>43</v>
      </c>
      <c r="C58" s="5">
        <f ca="1">'Demand background (hide)'!Y46</f>
        <v>0</v>
      </c>
      <c r="D58" s="68">
        <f t="shared" si="15"/>
        <v>0</v>
      </c>
      <c r="E58" s="68" t="e">
        <f t="shared" ca="1" si="16"/>
        <v>#N/A</v>
      </c>
      <c r="F58" s="68" t="e">
        <f t="shared" ca="1" si="17"/>
        <v>#N/A</v>
      </c>
      <c r="G58" s="68" t="e">
        <f t="shared" ca="1" si="18"/>
        <v>#N/A</v>
      </c>
      <c r="H58" s="68" t="e">
        <f>IF('Demand background (hide)'!AN46&lt;&gt;"",'SPC background (hide)'!C58,NA())</f>
        <v>#N/A</v>
      </c>
      <c r="I58" s="68"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8" t="e">
        <f t="shared" ca="1" si="33"/>
        <v>#N/A</v>
      </c>
      <c r="T58" s="68" t="e">
        <f t="shared" ca="1" si="34"/>
        <v>#N/A</v>
      </c>
      <c r="U58" s="68" t="e">
        <f t="shared" ca="1" si="35"/>
        <v>#N/A</v>
      </c>
      <c r="V58" s="5" t="e">
        <f t="shared" ca="1" si="14"/>
        <v>#N/A</v>
      </c>
      <c r="W58" s="5" t="e">
        <f t="shared" ca="1" si="28"/>
        <v>#N/A</v>
      </c>
      <c r="X58" s="68">
        <f t="shared" ca="1" si="29"/>
        <v>0</v>
      </c>
      <c r="Y58" s="68" t="e">
        <f t="shared" ca="1" si="36"/>
        <v>#N/A</v>
      </c>
      <c r="Z58" s="68" t="e">
        <f t="shared" ca="1" si="37"/>
        <v>#N/A</v>
      </c>
      <c r="AA58" s="5" t="str">
        <f>IF(Setup!$I$15="Yes",'Demand background (hide)'!AJ46+'SPC background (hide)'!C58,"")</f>
        <v/>
      </c>
      <c r="AC58" s="5" t="e">
        <f t="shared" ca="1" si="30"/>
        <v>#N/A</v>
      </c>
      <c r="AD58" s="5" t="e">
        <f t="shared" ca="1" si="31"/>
        <v>#N/A</v>
      </c>
    </row>
    <row r="59" spans="1:46" x14ac:dyDescent="0.2">
      <c r="A59" s="68" t="str">
        <f ca="1">Demand!C56</f>
        <v/>
      </c>
      <c r="B59" s="68">
        <v>44</v>
      </c>
      <c r="C59" s="5">
        <f ca="1">'Demand background (hide)'!Y47</f>
        <v>0</v>
      </c>
      <c r="D59" s="68">
        <f t="shared" si="15"/>
        <v>0</v>
      </c>
      <c r="E59" s="68" t="e">
        <f t="shared" ca="1" si="16"/>
        <v>#N/A</v>
      </c>
      <c r="F59" s="68" t="e">
        <f t="shared" ca="1" si="17"/>
        <v>#N/A</v>
      </c>
      <c r="G59" s="68" t="e">
        <f t="shared" ca="1" si="18"/>
        <v>#N/A</v>
      </c>
      <c r="H59" s="68" t="e">
        <f>IF('Demand background (hide)'!AN47&lt;&gt;"",'SPC background (hide)'!C59,NA())</f>
        <v>#N/A</v>
      </c>
      <c r="I59" s="68"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8" t="e">
        <f t="shared" ca="1" si="33"/>
        <v>#N/A</v>
      </c>
      <c r="T59" s="68" t="e">
        <f t="shared" ca="1" si="34"/>
        <v>#N/A</v>
      </c>
      <c r="U59" s="68" t="e">
        <f t="shared" ca="1" si="35"/>
        <v>#N/A</v>
      </c>
      <c r="V59" s="5" t="e">
        <f t="shared" ca="1" si="14"/>
        <v>#N/A</v>
      </c>
      <c r="W59" s="5" t="e">
        <f t="shared" ca="1" si="28"/>
        <v>#N/A</v>
      </c>
      <c r="X59" s="68">
        <f t="shared" ca="1" si="29"/>
        <v>0</v>
      </c>
      <c r="Y59" s="68" t="e">
        <f t="shared" ca="1" si="36"/>
        <v>#N/A</v>
      </c>
      <c r="Z59" s="68" t="e">
        <f t="shared" ca="1" si="37"/>
        <v>#N/A</v>
      </c>
      <c r="AA59" s="5" t="str">
        <f>IF(Setup!$I$15="Yes",'Demand background (hide)'!AJ47+'SPC background (hide)'!C59,"")</f>
        <v/>
      </c>
      <c r="AC59" s="5" t="e">
        <f t="shared" ca="1" si="30"/>
        <v>#N/A</v>
      </c>
      <c r="AD59" s="5" t="e">
        <f t="shared" ca="1" si="31"/>
        <v>#N/A</v>
      </c>
    </row>
    <row r="60" spans="1:46" x14ac:dyDescent="0.2">
      <c r="A60" s="68" t="str">
        <f ca="1">Demand!C57</f>
        <v/>
      </c>
      <c r="B60" s="68">
        <v>45</v>
      </c>
      <c r="C60" s="5">
        <f ca="1">'Demand background (hide)'!Y48</f>
        <v>0</v>
      </c>
      <c r="D60" s="68">
        <f t="shared" si="15"/>
        <v>0</v>
      </c>
      <c r="E60" s="68" t="e">
        <f t="shared" ca="1" si="16"/>
        <v>#N/A</v>
      </c>
      <c r="F60" s="68" t="e">
        <f t="shared" ca="1" si="17"/>
        <v>#N/A</v>
      </c>
      <c r="G60" s="68" t="e">
        <f t="shared" ca="1" si="18"/>
        <v>#N/A</v>
      </c>
      <c r="H60" s="68" t="e">
        <f>IF('Demand background (hide)'!AN48&lt;&gt;"",'SPC background (hide)'!C60,NA())</f>
        <v>#N/A</v>
      </c>
      <c r="I60" s="68"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8" t="e">
        <f t="shared" ca="1" si="33"/>
        <v>#N/A</v>
      </c>
      <c r="T60" s="68" t="e">
        <f t="shared" ca="1" si="34"/>
        <v>#N/A</v>
      </c>
      <c r="U60" s="68" t="e">
        <f t="shared" ca="1" si="35"/>
        <v>#N/A</v>
      </c>
      <c r="V60" s="5" t="e">
        <f t="shared" ca="1" si="14"/>
        <v>#N/A</v>
      </c>
      <c r="W60" s="5" t="e">
        <f t="shared" ca="1" si="28"/>
        <v>#N/A</v>
      </c>
      <c r="X60" s="68">
        <f t="shared" ca="1" si="29"/>
        <v>0</v>
      </c>
      <c r="Y60" s="68" t="e">
        <f t="shared" ca="1" si="36"/>
        <v>#N/A</v>
      </c>
      <c r="Z60" s="68" t="e">
        <f t="shared" ca="1" si="37"/>
        <v>#N/A</v>
      </c>
      <c r="AA60" s="5" t="str">
        <f>IF(Setup!$I$15="Yes",'Demand background (hide)'!AJ48+'SPC background (hide)'!C60,"")</f>
        <v/>
      </c>
      <c r="AC60" s="5" t="e">
        <f t="shared" ca="1" si="30"/>
        <v>#N/A</v>
      </c>
      <c r="AD60" s="5" t="e">
        <f t="shared" ca="1" si="31"/>
        <v>#N/A</v>
      </c>
    </row>
    <row r="61" spans="1:46" x14ac:dyDescent="0.2">
      <c r="A61" s="68" t="str">
        <f ca="1">Demand!C58</f>
        <v/>
      </c>
      <c r="B61" s="68">
        <v>46</v>
      </c>
      <c r="C61" s="5">
        <f ca="1">'Demand background (hide)'!Y49</f>
        <v>0</v>
      </c>
      <c r="D61" s="68">
        <f t="shared" si="15"/>
        <v>0</v>
      </c>
      <c r="E61" s="68" t="e">
        <f t="shared" ca="1" si="16"/>
        <v>#N/A</v>
      </c>
      <c r="F61" s="68" t="e">
        <f t="shared" ca="1" si="17"/>
        <v>#N/A</v>
      </c>
      <c r="G61" s="68" t="e">
        <f t="shared" ca="1" si="18"/>
        <v>#N/A</v>
      </c>
      <c r="H61" s="68" t="e">
        <f>IF('Demand background (hide)'!AN49&lt;&gt;"",'SPC background (hide)'!C61,NA())</f>
        <v>#N/A</v>
      </c>
      <c r="I61" s="68"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8" t="e">
        <f t="shared" ca="1" si="33"/>
        <v>#N/A</v>
      </c>
      <c r="T61" s="68" t="e">
        <f t="shared" ca="1" si="34"/>
        <v>#N/A</v>
      </c>
      <c r="U61" s="68" t="e">
        <f t="shared" ca="1" si="35"/>
        <v>#N/A</v>
      </c>
      <c r="V61" s="5" t="e">
        <f t="shared" ca="1" si="14"/>
        <v>#N/A</v>
      </c>
      <c r="W61" s="5" t="e">
        <f t="shared" ca="1" si="28"/>
        <v>#N/A</v>
      </c>
      <c r="X61" s="68">
        <f t="shared" ca="1" si="29"/>
        <v>0</v>
      </c>
      <c r="Y61" s="68" t="e">
        <f t="shared" ca="1" si="36"/>
        <v>#N/A</v>
      </c>
      <c r="Z61" s="68" t="e">
        <f t="shared" ca="1" si="37"/>
        <v>#N/A</v>
      </c>
      <c r="AA61" s="5" t="str">
        <f>IF(Setup!$I$15="Yes",'Demand background (hide)'!AJ49+'SPC background (hide)'!C61,"")</f>
        <v/>
      </c>
      <c r="AC61" s="5" t="e">
        <f t="shared" ca="1" si="30"/>
        <v>#N/A</v>
      </c>
      <c r="AD61" s="5" t="e">
        <f t="shared" ca="1" si="31"/>
        <v>#N/A</v>
      </c>
    </row>
    <row r="62" spans="1:46" x14ac:dyDescent="0.2">
      <c r="A62" s="68" t="str">
        <f ca="1">Demand!C59</f>
        <v/>
      </c>
      <c r="B62" s="68">
        <v>47</v>
      </c>
      <c r="C62" s="5">
        <f ca="1">'Demand background (hide)'!Y50</f>
        <v>0</v>
      </c>
      <c r="D62" s="68">
        <f t="shared" si="15"/>
        <v>0</v>
      </c>
      <c r="E62" s="68" t="e">
        <f t="shared" ca="1" si="16"/>
        <v>#N/A</v>
      </c>
      <c r="F62" s="68" t="e">
        <f t="shared" ca="1" si="17"/>
        <v>#N/A</v>
      </c>
      <c r="G62" s="68" t="e">
        <f t="shared" ca="1" si="18"/>
        <v>#N/A</v>
      </c>
      <c r="H62" s="68" t="e">
        <f>IF('Demand background (hide)'!AN50&lt;&gt;"",'SPC background (hide)'!C62,NA())</f>
        <v>#N/A</v>
      </c>
      <c r="I62" s="68"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8" t="e">
        <f t="shared" ca="1" si="33"/>
        <v>#N/A</v>
      </c>
      <c r="T62" s="68" t="e">
        <f t="shared" ca="1" si="34"/>
        <v>#N/A</v>
      </c>
      <c r="U62" s="68" t="e">
        <f t="shared" ca="1" si="35"/>
        <v>#N/A</v>
      </c>
      <c r="V62" s="5" t="e">
        <f t="shared" ca="1" si="14"/>
        <v>#N/A</v>
      </c>
      <c r="W62" s="5" t="e">
        <f t="shared" ca="1" si="28"/>
        <v>#N/A</v>
      </c>
      <c r="X62" s="68">
        <f t="shared" ca="1" si="29"/>
        <v>0</v>
      </c>
      <c r="Y62" s="68" t="e">
        <f t="shared" ca="1" si="36"/>
        <v>#N/A</v>
      </c>
      <c r="Z62" s="68" t="e">
        <f t="shared" ca="1" si="37"/>
        <v>#N/A</v>
      </c>
      <c r="AA62" s="5" t="str">
        <f>IF(Setup!$I$15="Yes",'Demand background (hide)'!AJ50+'SPC background (hide)'!C62,"")</f>
        <v/>
      </c>
      <c r="AC62" s="5" t="e">
        <f t="shared" ca="1" si="30"/>
        <v>#N/A</v>
      </c>
      <c r="AD62" s="5" t="e">
        <f t="shared" ca="1" si="31"/>
        <v>#N/A</v>
      </c>
    </row>
    <row r="63" spans="1:46" x14ac:dyDescent="0.2">
      <c r="A63" s="68" t="str">
        <f ca="1">Demand!C60</f>
        <v/>
      </c>
      <c r="B63" s="68">
        <v>48</v>
      </c>
      <c r="C63" s="5">
        <f ca="1">'Demand background (hide)'!Y51</f>
        <v>0</v>
      </c>
      <c r="D63" s="68">
        <f t="shared" si="15"/>
        <v>0</v>
      </c>
      <c r="E63" s="68" t="e">
        <f t="shared" ca="1" si="16"/>
        <v>#N/A</v>
      </c>
      <c r="F63" s="68" t="e">
        <f t="shared" ca="1" si="17"/>
        <v>#N/A</v>
      </c>
      <c r="G63" s="68" t="e">
        <f t="shared" ca="1" si="18"/>
        <v>#N/A</v>
      </c>
      <c r="H63" s="68" t="e">
        <f>IF('Demand background (hide)'!AN51&lt;&gt;"",'SPC background (hide)'!C63,NA())</f>
        <v>#N/A</v>
      </c>
      <c r="I63" s="68"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8" t="e">
        <f t="shared" ca="1" si="33"/>
        <v>#N/A</v>
      </c>
      <c r="T63" s="68" t="e">
        <f t="shared" ca="1" si="34"/>
        <v>#N/A</v>
      </c>
      <c r="U63" s="68" t="e">
        <f t="shared" ca="1" si="35"/>
        <v>#N/A</v>
      </c>
      <c r="V63" s="5" t="e">
        <f t="shared" ca="1" si="14"/>
        <v>#N/A</v>
      </c>
      <c r="W63" s="5" t="e">
        <f t="shared" ca="1" si="28"/>
        <v>#N/A</v>
      </c>
      <c r="X63" s="68">
        <f t="shared" ca="1" si="29"/>
        <v>0</v>
      </c>
      <c r="Y63" s="68" t="e">
        <f t="shared" ca="1" si="36"/>
        <v>#N/A</v>
      </c>
      <c r="Z63" s="68" t="e">
        <f t="shared" ca="1" si="37"/>
        <v>#N/A</v>
      </c>
      <c r="AA63" s="5" t="str">
        <f>IF(Setup!$I$15="Yes",'Demand background (hide)'!AJ51+'SPC background (hide)'!C63,"")</f>
        <v/>
      </c>
      <c r="AC63" s="5" t="e">
        <f t="shared" ca="1" si="30"/>
        <v>#N/A</v>
      </c>
      <c r="AD63" s="5" t="e">
        <f t="shared" ca="1" si="31"/>
        <v>#N/A</v>
      </c>
    </row>
    <row r="64" spans="1:46" x14ac:dyDescent="0.2">
      <c r="A64" s="68" t="str">
        <f ca="1">Demand!C61</f>
        <v/>
      </c>
      <c r="B64" s="68">
        <v>49</v>
      </c>
      <c r="C64" s="5">
        <f ca="1">'Demand background (hide)'!Y52</f>
        <v>0</v>
      </c>
      <c r="D64" s="68">
        <f t="shared" si="15"/>
        <v>0</v>
      </c>
      <c r="E64" s="68" t="e">
        <f t="shared" ca="1" si="16"/>
        <v>#N/A</v>
      </c>
      <c r="F64" s="68" t="e">
        <f t="shared" ca="1" si="17"/>
        <v>#N/A</v>
      </c>
      <c r="G64" s="68" t="e">
        <f t="shared" ca="1" si="18"/>
        <v>#N/A</v>
      </c>
      <c r="H64" s="68" t="e">
        <f>IF('Demand background (hide)'!AN52&lt;&gt;"",'SPC background (hide)'!C64,NA())</f>
        <v>#N/A</v>
      </c>
      <c r="I64" s="68"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8" t="e">
        <f t="shared" ca="1" si="33"/>
        <v>#N/A</v>
      </c>
      <c r="T64" s="68" t="e">
        <f t="shared" ca="1" si="34"/>
        <v>#N/A</v>
      </c>
      <c r="U64" s="68" t="e">
        <f t="shared" ca="1" si="35"/>
        <v>#N/A</v>
      </c>
      <c r="V64" s="5" t="e">
        <f t="shared" ca="1" si="14"/>
        <v>#N/A</v>
      </c>
      <c r="W64" s="5" t="e">
        <f t="shared" ca="1" si="28"/>
        <v>#N/A</v>
      </c>
      <c r="X64" s="68">
        <f t="shared" ca="1" si="29"/>
        <v>0</v>
      </c>
      <c r="Y64" s="68" t="e">
        <f t="shared" ca="1" si="36"/>
        <v>#N/A</v>
      </c>
      <c r="Z64" s="68" t="e">
        <f t="shared" ca="1" si="37"/>
        <v>#N/A</v>
      </c>
      <c r="AA64" s="5" t="str">
        <f>IF(Setup!$I$15="Yes",'Demand background (hide)'!AJ52+'SPC background (hide)'!C64,"")</f>
        <v/>
      </c>
      <c r="AC64" s="5" t="e">
        <f t="shared" ca="1" si="30"/>
        <v>#N/A</v>
      </c>
      <c r="AD64" s="5" t="e">
        <f t="shared" ca="1" si="31"/>
        <v>#N/A</v>
      </c>
    </row>
    <row r="65" spans="1:30" x14ac:dyDescent="0.2">
      <c r="A65" s="68" t="str">
        <f ca="1">Demand!C62</f>
        <v/>
      </c>
      <c r="B65" s="68">
        <v>50</v>
      </c>
      <c r="C65" s="5">
        <f ca="1">'Demand background (hide)'!Y53</f>
        <v>0</v>
      </c>
      <c r="D65" s="68">
        <f t="shared" si="15"/>
        <v>0</v>
      </c>
      <c r="E65" s="68" t="e">
        <f t="shared" ca="1" si="16"/>
        <v>#N/A</v>
      </c>
      <c r="F65" s="68" t="e">
        <f t="shared" ca="1" si="17"/>
        <v>#N/A</v>
      </c>
      <c r="G65" s="68" t="e">
        <f t="shared" ca="1" si="18"/>
        <v>#N/A</v>
      </c>
      <c r="H65" s="68" t="e">
        <f>IF('Demand background (hide)'!AN53&lt;&gt;"",'SPC background (hide)'!C65,NA())</f>
        <v>#N/A</v>
      </c>
      <c r="I65" s="68"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8" t="e">
        <f t="shared" ca="1" si="33"/>
        <v>#N/A</v>
      </c>
      <c r="T65" s="68" t="e">
        <f t="shared" ca="1" si="34"/>
        <v>#N/A</v>
      </c>
      <c r="U65" s="68" t="e">
        <f t="shared" ca="1" si="35"/>
        <v>#N/A</v>
      </c>
      <c r="V65" s="5" t="e">
        <f t="shared" ca="1" si="14"/>
        <v>#N/A</v>
      </c>
      <c r="W65" s="5" t="e">
        <f t="shared" ca="1" si="28"/>
        <v>#N/A</v>
      </c>
      <c r="X65" s="68">
        <f t="shared" ca="1" si="29"/>
        <v>0</v>
      </c>
      <c r="Y65" s="68" t="e">
        <f t="shared" ca="1" si="36"/>
        <v>#N/A</v>
      </c>
      <c r="Z65" s="68" t="e">
        <f t="shared" ca="1" si="37"/>
        <v>#N/A</v>
      </c>
      <c r="AA65" s="5" t="str">
        <f>IF(Setup!$I$15="Yes",'Demand background (hide)'!AJ53+'SPC background (hide)'!C65,"")</f>
        <v/>
      </c>
      <c r="AC65" s="5" t="e">
        <f t="shared" ca="1" si="30"/>
        <v>#N/A</v>
      </c>
      <c r="AD65" s="5" t="e">
        <f t="shared" ca="1" si="31"/>
        <v>#N/A</v>
      </c>
    </row>
    <row r="66" spans="1:30" x14ac:dyDescent="0.2">
      <c r="A66" s="68" t="str">
        <f ca="1">Demand!C63</f>
        <v/>
      </c>
      <c r="B66" s="68">
        <v>51</v>
      </c>
      <c r="C66" s="5">
        <f ca="1">'Demand background (hide)'!Y54</f>
        <v>0</v>
      </c>
      <c r="D66" s="68">
        <f t="shared" si="15"/>
        <v>0</v>
      </c>
      <c r="E66" s="68" t="e">
        <f t="shared" ca="1" si="16"/>
        <v>#N/A</v>
      </c>
      <c r="F66" s="68" t="e">
        <f t="shared" ca="1" si="17"/>
        <v>#N/A</v>
      </c>
      <c r="G66" s="68" t="e">
        <f t="shared" ca="1" si="18"/>
        <v>#N/A</v>
      </c>
      <c r="H66" s="68" t="e">
        <f>IF('Demand background (hide)'!AN54&lt;&gt;"",'SPC background (hide)'!C66,NA())</f>
        <v>#N/A</v>
      </c>
      <c r="I66" s="68"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8" t="e">
        <f t="shared" ca="1" si="33"/>
        <v>#N/A</v>
      </c>
      <c r="T66" s="68" t="e">
        <f t="shared" ca="1" si="34"/>
        <v>#N/A</v>
      </c>
      <c r="U66" s="68" t="e">
        <f t="shared" ca="1" si="35"/>
        <v>#N/A</v>
      </c>
      <c r="V66" s="5" t="e">
        <f t="shared" ca="1" si="14"/>
        <v>#N/A</v>
      </c>
      <c r="W66" s="5" t="e">
        <f t="shared" ca="1" si="28"/>
        <v>#N/A</v>
      </c>
      <c r="X66" s="68">
        <f t="shared" ca="1" si="29"/>
        <v>0</v>
      </c>
      <c r="Y66" s="68" t="e">
        <f t="shared" ca="1" si="36"/>
        <v>#N/A</v>
      </c>
      <c r="Z66" s="68" t="e">
        <f t="shared" ca="1" si="37"/>
        <v>#N/A</v>
      </c>
      <c r="AA66" s="5" t="str">
        <f>IF(Setup!$I$15="Yes",'Demand background (hide)'!AJ54+'SPC background (hide)'!C66,"")</f>
        <v/>
      </c>
      <c r="AC66" s="5" t="e">
        <f t="shared" ca="1" si="30"/>
        <v>#N/A</v>
      </c>
      <c r="AD66" s="5" t="e">
        <f t="shared" ca="1" si="31"/>
        <v>#N/A</v>
      </c>
    </row>
    <row r="67" spans="1:30" x14ac:dyDescent="0.2">
      <c r="A67" s="68" t="str">
        <f ca="1">Demand!C64</f>
        <v/>
      </c>
      <c r="B67" s="68">
        <v>52</v>
      </c>
      <c r="C67" s="5">
        <f ca="1">'Demand background (hide)'!Y55</f>
        <v>0</v>
      </c>
      <c r="D67" s="68">
        <f t="shared" si="15"/>
        <v>0</v>
      </c>
      <c r="E67" s="68" t="e">
        <f t="shared" ca="1" si="16"/>
        <v>#N/A</v>
      </c>
      <c r="F67" s="68" t="e">
        <f t="shared" ca="1" si="17"/>
        <v>#N/A</v>
      </c>
      <c r="G67" s="68" t="e">
        <f t="shared" ca="1" si="18"/>
        <v>#N/A</v>
      </c>
      <c r="H67" s="68" t="e">
        <f>IF('Demand background (hide)'!AN55&lt;&gt;"",'SPC background (hide)'!C67,NA())</f>
        <v>#N/A</v>
      </c>
      <c r="I67" s="68"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8" t="e">
        <f t="shared" ca="1" si="33"/>
        <v>#N/A</v>
      </c>
      <c r="T67" s="68" t="e">
        <f t="shared" ca="1" si="34"/>
        <v>#N/A</v>
      </c>
      <c r="U67" s="68" t="e">
        <f t="shared" ca="1" si="35"/>
        <v>#N/A</v>
      </c>
      <c r="V67" s="5" t="e">
        <f t="shared" ca="1" si="14"/>
        <v>#N/A</v>
      </c>
      <c r="W67" s="5" t="e">
        <f t="shared" ca="1" si="28"/>
        <v>#N/A</v>
      </c>
      <c r="X67" s="68">
        <f t="shared" ca="1" si="29"/>
        <v>0</v>
      </c>
      <c r="Y67" s="68" t="e">
        <f t="shared" ca="1" si="36"/>
        <v>#N/A</v>
      </c>
      <c r="Z67" s="68" t="e">
        <f t="shared" ca="1" si="37"/>
        <v>#N/A</v>
      </c>
      <c r="AA67" s="5" t="str">
        <f>IF(Setup!$I$15="Yes",'Demand background (hide)'!AJ55+'SPC background (hide)'!C67,"")</f>
        <v/>
      </c>
      <c r="AC67" s="5" t="e">
        <f t="shared" ca="1" si="30"/>
        <v>#N/A</v>
      </c>
      <c r="AD67" s="5" t="e">
        <f t="shared" ca="1" si="31"/>
        <v>#N/A</v>
      </c>
    </row>
    <row r="68" spans="1:30" x14ac:dyDescent="0.2">
      <c r="A68" s="68" t="str">
        <f ca="1">Demand!C65</f>
        <v/>
      </c>
      <c r="B68" s="68">
        <v>53</v>
      </c>
      <c r="C68" s="5">
        <f ca="1">'Demand background (hide)'!Y56</f>
        <v>0</v>
      </c>
      <c r="D68" s="68">
        <f t="shared" si="15"/>
        <v>0</v>
      </c>
      <c r="E68" s="68" t="e">
        <f t="shared" ca="1" si="16"/>
        <v>#N/A</v>
      </c>
      <c r="F68" s="68" t="e">
        <f t="shared" ca="1" si="17"/>
        <v>#N/A</v>
      </c>
      <c r="G68" s="68" t="e">
        <f t="shared" ca="1" si="18"/>
        <v>#N/A</v>
      </c>
      <c r="H68" s="68" t="e">
        <f>IF('Demand background (hide)'!AN56&lt;&gt;"",'SPC background (hide)'!C68,NA())</f>
        <v>#N/A</v>
      </c>
      <c r="I68" s="68"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8" t="e">
        <f t="shared" ca="1" si="33"/>
        <v>#N/A</v>
      </c>
      <c r="T68" s="68" t="e">
        <f t="shared" ca="1" si="34"/>
        <v>#N/A</v>
      </c>
      <c r="U68" s="68" t="e">
        <f t="shared" ca="1" si="35"/>
        <v>#N/A</v>
      </c>
      <c r="V68" s="5" t="e">
        <f t="shared" ca="1" si="14"/>
        <v>#N/A</v>
      </c>
      <c r="W68" s="5" t="e">
        <f t="shared" ca="1" si="28"/>
        <v>#N/A</v>
      </c>
      <c r="X68" s="68">
        <f t="shared" ca="1" si="29"/>
        <v>0</v>
      </c>
      <c r="Y68" s="68" t="e">
        <f t="shared" ca="1" si="36"/>
        <v>#N/A</v>
      </c>
      <c r="Z68" s="68" t="e">
        <f t="shared" ca="1" si="37"/>
        <v>#N/A</v>
      </c>
      <c r="AA68" s="5" t="str">
        <f>IF(Setup!$I$15="Yes",'Demand background (hide)'!AJ56+'SPC background (hide)'!C68,"")</f>
        <v/>
      </c>
      <c r="AC68" s="5" t="e">
        <f t="shared" ca="1" si="30"/>
        <v>#N/A</v>
      </c>
      <c r="AD68" s="5" t="e">
        <f t="shared" ca="1" si="31"/>
        <v>#N/A</v>
      </c>
    </row>
    <row r="69" spans="1:30" x14ac:dyDescent="0.2">
      <c r="A69" s="68" t="str">
        <f ca="1">Demand!C66</f>
        <v/>
      </c>
      <c r="B69" s="68">
        <v>54</v>
      </c>
      <c r="C69" s="5">
        <f ca="1">'Demand background (hide)'!Y57</f>
        <v>0</v>
      </c>
      <c r="D69" s="68">
        <f t="shared" si="15"/>
        <v>0</v>
      </c>
      <c r="E69" s="68" t="e">
        <f t="shared" ca="1" si="16"/>
        <v>#N/A</v>
      </c>
      <c r="F69" s="68" t="e">
        <f t="shared" ca="1" si="17"/>
        <v>#N/A</v>
      </c>
      <c r="G69" s="68" t="e">
        <f t="shared" ca="1" si="18"/>
        <v>#N/A</v>
      </c>
      <c r="H69" s="68" t="e">
        <f>IF('Demand background (hide)'!AN57&lt;&gt;"",'SPC background (hide)'!C69,NA())</f>
        <v>#N/A</v>
      </c>
      <c r="I69" s="68"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8" t="e">
        <f t="shared" ca="1" si="33"/>
        <v>#N/A</v>
      </c>
      <c r="T69" s="68" t="e">
        <f t="shared" ca="1" si="34"/>
        <v>#N/A</v>
      </c>
      <c r="U69" s="68" t="e">
        <f t="shared" ca="1" si="35"/>
        <v>#N/A</v>
      </c>
      <c r="V69" s="5" t="e">
        <f t="shared" ca="1" si="14"/>
        <v>#N/A</v>
      </c>
      <c r="W69" s="5" t="e">
        <f t="shared" ca="1" si="28"/>
        <v>#N/A</v>
      </c>
      <c r="X69" s="68">
        <f t="shared" ca="1" si="29"/>
        <v>0</v>
      </c>
      <c r="Y69" s="68" t="e">
        <f t="shared" ca="1" si="36"/>
        <v>#N/A</v>
      </c>
      <c r="Z69" s="68" t="e">
        <f t="shared" ca="1" si="37"/>
        <v>#N/A</v>
      </c>
      <c r="AA69" s="5" t="str">
        <f>IF(Setup!$I$15="Yes",'Demand background (hide)'!AJ57+'SPC background (hide)'!C69,"")</f>
        <v/>
      </c>
      <c r="AC69" s="5" t="e">
        <f t="shared" ca="1" si="30"/>
        <v>#N/A</v>
      </c>
      <c r="AD69" s="5" t="e">
        <f t="shared" ca="1" si="31"/>
        <v>#N/A</v>
      </c>
    </row>
    <row r="70" spans="1:30" x14ac:dyDescent="0.2">
      <c r="A70" s="68" t="str">
        <f ca="1">Demand!C67</f>
        <v/>
      </c>
      <c r="B70" s="68">
        <v>55</v>
      </c>
      <c r="C70" s="5">
        <f ca="1">'Demand background (hide)'!Y58</f>
        <v>0</v>
      </c>
      <c r="D70" s="68">
        <f t="shared" si="15"/>
        <v>0</v>
      </c>
      <c r="E70" s="68" t="e">
        <f t="shared" ca="1" si="16"/>
        <v>#N/A</v>
      </c>
      <c r="F70" s="68" t="e">
        <f t="shared" ca="1" si="17"/>
        <v>#N/A</v>
      </c>
      <c r="G70" s="68" t="e">
        <f t="shared" ca="1" si="18"/>
        <v>#N/A</v>
      </c>
      <c r="H70" s="68" t="e">
        <f>IF('Demand background (hide)'!AN58&lt;&gt;"",'SPC background (hide)'!C70,NA())</f>
        <v>#N/A</v>
      </c>
      <c r="I70" s="68"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8" t="e">
        <f t="shared" ca="1" si="33"/>
        <v>#N/A</v>
      </c>
      <c r="T70" s="68" t="e">
        <f t="shared" ca="1" si="34"/>
        <v>#N/A</v>
      </c>
      <c r="U70" s="68" t="e">
        <f t="shared" ca="1" si="35"/>
        <v>#N/A</v>
      </c>
      <c r="V70" s="5" t="e">
        <f t="shared" ca="1" si="14"/>
        <v>#N/A</v>
      </c>
      <c r="W70" s="5" t="e">
        <f t="shared" ca="1" si="28"/>
        <v>#N/A</v>
      </c>
      <c r="X70" s="68">
        <f t="shared" ca="1" si="29"/>
        <v>0</v>
      </c>
      <c r="Y70" s="68" t="e">
        <f t="shared" ca="1" si="36"/>
        <v>#N/A</v>
      </c>
      <c r="Z70" s="68" t="e">
        <f t="shared" ca="1" si="37"/>
        <v>#N/A</v>
      </c>
      <c r="AA70" s="5" t="str">
        <f>IF(Setup!$I$15="Yes",'Demand background (hide)'!AJ58+'SPC background (hide)'!C70,"")</f>
        <v/>
      </c>
      <c r="AC70" s="5" t="e">
        <f t="shared" ca="1" si="30"/>
        <v>#N/A</v>
      </c>
      <c r="AD70" s="5" t="e">
        <f t="shared" ca="1" si="31"/>
        <v>#N/A</v>
      </c>
    </row>
    <row r="71" spans="1:30" x14ac:dyDescent="0.2">
      <c r="A71" s="68" t="str">
        <f ca="1">Demand!C68</f>
        <v/>
      </c>
      <c r="B71" s="68">
        <v>56</v>
      </c>
      <c r="C71" s="5">
        <f ca="1">'Demand background (hide)'!Y59</f>
        <v>0</v>
      </c>
      <c r="D71" s="68">
        <f t="shared" si="15"/>
        <v>0</v>
      </c>
      <c r="E71" s="68" t="e">
        <f t="shared" ca="1" si="16"/>
        <v>#N/A</v>
      </c>
      <c r="F71" s="68" t="e">
        <f t="shared" ca="1" si="17"/>
        <v>#N/A</v>
      </c>
      <c r="G71" s="68" t="e">
        <f t="shared" ca="1" si="18"/>
        <v>#N/A</v>
      </c>
      <c r="H71" s="68" t="e">
        <f>IF('Demand background (hide)'!AN59&lt;&gt;"",'SPC background (hide)'!C71,NA())</f>
        <v>#N/A</v>
      </c>
      <c r="I71" s="68"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8" t="e">
        <f t="shared" ca="1" si="33"/>
        <v>#N/A</v>
      </c>
      <c r="T71" s="68" t="e">
        <f t="shared" ca="1" si="34"/>
        <v>#N/A</v>
      </c>
      <c r="U71" s="68" t="e">
        <f t="shared" ca="1" si="35"/>
        <v>#N/A</v>
      </c>
      <c r="V71" s="5" t="e">
        <f t="shared" ca="1" si="14"/>
        <v>#N/A</v>
      </c>
      <c r="W71" s="5" t="e">
        <f t="shared" ca="1" si="28"/>
        <v>#N/A</v>
      </c>
      <c r="X71" s="68">
        <f t="shared" ca="1" si="29"/>
        <v>0</v>
      </c>
      <c r="Y71" s="68" t="e">
        <f t="shared" ca="1" si="36"/>
        <v>#N/A</v>
      </c>
      <c r="Z71" s="68" t="e">
        <f t="shared" ca="1" si="37"/>
        <v>#N/A</v>
      </c>
      <c r="AA71" s="5" t="str">
        <f>IF(Setup!$I$15="Yes",'Demand background (hide)'!AJ59+'SPC background (hide)'!C71,"")</f>
        <v/>
      </c>
      <c r="AC71" s="5" t="e">
        <f t="shared" ca="1" si="30"/>
        <v>#N/A</v>
      </c>
      <c r="AD71" s="5" t="e">
        <f t="shared" ca="1" si="31"/>
        <v>#N/A</v>
      </c>
    </row>
    <row r="72" spans="1:30" x14ac:dyDescent="0.2">
      <c r="A72" s="68" t="str">
        <f ca="1">Demand!C69</f>
        <v/>
      </c>
      <c r="B72" s="68">
        <v>57</v>
      </c>
      <c r="C72" s="5">
        <f ca="1">'Demand background (hide)'!Y60</f>
        <v>0</v>
      </c>
      <c r="D72" s="68">
        <f t="shared" si="15"/>
        <v>0</v>
      </c>
      <c r="E72" s="68" t="e">
        <f t="shared" ca="1" si="16"/>
        <v>#N/A</v>
      </c>
      <c r="F72" s="68" t="e">
        <f t="shared" ca="1" si="17"/>
        <v>#N/A</v>
      </c>
      <c r="G72" s="68" t="e">
        <f t="shared" ca="1" si="18"/>
        <v>#N/A</v>
      </c>
      <c r="H72" s="68" t="e">
        <f>IF('Demand background (hide)'!AN60&lt;&gt;"",'SPC background (hide)'!C72,NA())</f>
        <v>#N/A</v>
      </c>
      <c r="I72" s="68"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8" t="e">
        <f t="shared" ca="1" si="33"/>
        <v>#N/A</v>
      </c>
      <c r="T72" s="68" t="e">
        <f t="shared" ca="1" si="34"/>
        <v>#N/A</v>
      </c>
      <c r="U72" s="68" t="e">
        <f t="shared" ca="1" si="35"/>
        <v>#N/A</v>
      </c>
      <c r="V72" s="5" t="e">
        <f t="shared" ca="1" si="14"/>
        <v>#N/A</v>
      </c>
      <c r="W72" s="5" t="e">
        <f t="shared" ca="1" si="28"/>
        <v>#N/A</v>
      </c>
      <c r="X72" s="68">
        <f t="shared" ca="1" si="29"/>
        <v>0</v>
      </c>
      <c r="Y72" s="68" t="e">
        <f t="shared" ca="1" si="36"/>
        <v>#N/A</v>
      </c>
      <c r="Z72" s="68" t="e">
        <f t="shared" ca="1" si="37"/>
        <v>#N/A</v>
      </c>
      <c r="AA72" s="5" t="str">
        <f>IF(Setup!$I$15="Yes",'Demand background (hide)'!AJ60+'SPC background (hide)'!C72,"")</f>
        <v/>
      </c>
      <c r="AC72" s="5" t="e">
        <f t="shared" ca="1" si="30"/>
        <v>#N/A</v>
      </c>
      <c r="AD72" s="5" t="e">
        <f t="shared" ca="1" si="31"/>
        <v>#N/A</v>
      </c>
    </row>
    <row r="73" spans="1:30" x14ac:dyDescent="0.2">
      <c r="A73" s="68" t="str">
        <f ca="1">Demand!C70</f>
        <v/>
      </c>
      <c r="B73" s="68">
        <v>58</v>
      </c>
      <c r="C73" s="5">
        <f ca="1">'Demand background (hide)'!Y61</f>
        <v>0</v>
      </c>
      <c r="D73" s="68">
        <f t="shared" si="15"/>
        <v>0</v>
      </c>
      <c r="E73" s="68" t="e">
        <f t="shared" ca="1" si="16"/>
        <v>#N/A</v>
      </c>
      <c r="F73" s="68" t="e">
        <f t="shared" ca="1" si="17"/>
        <v>#N/A</v>
      </c>
      <c r="G73" s="68" t="e">
        <f t="shared" ca="1" si="18"/>
        <v>#N/A</v>
      </c>
      <c r="H73" s="68" t="e">
        <f>IF('Demand background (hide)'!AN61&lt;&gt;"",'SPC background (hide)'!C73,NA())</f>
        <v>#N/A</v>
      </c>
      <c r="I73" s="68"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8" t="e">
        <f t="shared" ca="1" si="33"/>
        <v>#N/A</v>
      </c>
      <c r="T73" s="68" t="e">
        <f t="shared" ca="1" si="34"/>
        <v>#N/A</v>
      </c>
      <c r="U73" s="68" t="e">
        <f t="shared" ca="1" si="35"/>
        <v>#N/A</v>
      </c>
      <c r="V73" s="5" t="e">
        <f t="shared" ca="1" si="14"/>
        <v>#N/A</v>
      </c>
      <c r="W73" s="5" t="e">
        <f t="shared" ca="1" si="28"/>
        <v>#N/A</v>
      </c>
      <c r="X73" s="68">
        <f t="shared" ca="1" si="29"/>
        <v>0</v>
      </c>
      <c r="Y73" s="68" t="e">
        <f t="shared" ca="1" si="36"/>
        <v>#N/A</v>
      </c>
      <c r="Z73" s="68" t="e">
        <f t="shared" ca="1" si="37"/>
        <v>#N/A</v>
      </c>
      <c r="AA73" s="5" t="str">
        <f>IF(Setup!$I$15="Yes",'Demand background (hide)'!AJ61+'SPC background (hide)'!C73,"")</f>
        <v/>
      </c>
      <c r="AC73" s="5" t="e">
        <f t="shared" ca="1" si="30"/>
        <v>#N/A</v>
      </c>
      <c r="AD73" s="5" t="e">
        <f t="shared" ca="1" si="31"/>
        <v>#N/A</v>
      </c>
    </row>
    <row r="74" spans="1:30" x14ac:dyDescent="0.2">
      <c r="A74" s="68" t="str">
        <f ca="1">Demand!C71</f>
        <v/>
      </c>
      <c r="B74" s="68">
        <v>59</v>
      </c>
      <c r="C74" s="5">
        <f ca="1">'Demand background (hide)'!Y62</f>
        <v>0</v>
      </c>
      <c r="D74" s="68">
        <f t="shared" si="15"/>
        <v>0</v>
      </c>
      <c r="E74" s="68" t="e">
        <f t="shared" ca="1" si="16"/>
        <v>#N/A</v>
      </c>
      <c r="F74" s="68" t="e">
        <f t="shared" ca="1" si="17"/>
        <v>#N/A</v>
      </c>
      <c r="G74" s="68" t="e">
        <f t="shared" ca="1" si="18"/>
        <v>#N/A</v>
      </c>
      <c r="H74" s="68" t="e">
        <f>IF('Demand background (hide)'!AN62&lt;&gt;"",'SPC background (hide)'!C74,NA())</f>
        <v>#N/A</v>
      </c>
      <c r="I74" s="68"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8" t="e">
        <f t="shared" ca="1" si="33"/>
        <v>#N/A</v>
      </c>
      <c r="T74" s="68" t="e">
        <f t="shared" ca="1" si="34"/>
        <v>#N/A</v>
      </c>
      <c r="U74" s="68" t="e">
        <f t="shared" ca="1" si="35"/>
        <v>#N/A</v>
      </c>
      <c r="V74" s="5" t="e">
        <f t="shared" ca="1" si="14"/>
        <v>#N/A</v>
      </c>
      <c r="W74" s="5" t="e">
        <f t="shared" ca="1" si="28"/>
        <v>#N/A</v>
      </c>
      <c r="X74" s="68">
        <f t="shared" ca="1" si="29"/>
        <v>0</v>
      </c>
      <c r="Y74" s="68" t="e">
        <f t="shared" ca="1" si="36"/>
        <v>#N/A</v>
      </c>
      <c r="Z74" s="68" t="e">
        <f t="shared" ca="1" si="37"/>
        <v>#N/A</v>
      </c>
      <c r="AA74" s="5" t="str">
        <f>IF(Setup!$I$15="Yes",'Demand background (hide)'!AJ62+'SPC background (hide)'!C74,"")</f>
        <v/>
      </c>
      <c r="AC74" s="5" t="e">
        <f t="shared" ca="1" si="30"/>
        <v>#N/A</v>
      </c>
      <c r="AD74" s="5" t="e">
        <f t="shared" ca="1" si="31"/>
        <v>#N/A</v>
      </c>
    </row>
    <row r="75" spans="1:30" x14ac:dyDescent="0.2">
      <c r="A75" s="68" t="str">
        <f ca="1">Demand!C72</f>
        <v/>
      </c>
      <c r="B75" s="68">
        <v>60</v>
      </c>
      <c r="C75" s="5">
        <f ca="1">'Demand background (hide)'!Y63</f>
        <v>0</v>
      </c>
      <c r="D75" s="68">
        <f t="shared" si="15"/>
        <v>0</v>
      </c>
      <c r="E75" s="68" t="e">
        <f t="shared" ca="1" si="16"/>
        <v>#N/A</v>
      </c>
      <c r="F75" s="68" t="e">
        <f t="shared" ca="1" si="17"/>
        <v>#N/A</v>
      </c>
      <c r="G75" s="68" t="e">
        <f t="shared" ca="1" si="18"/>
        <v>#N/A</v>
      </c>
      <c r="H75" s="68" t="e">
        <f>IF('Demand background (hide)'!AN63&lt;&gt;"",'SPC background (hide)'!C75,NA())</f>
        <v>#N/A</v>
      </c>
      <c r="I75" s="68"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8" t="e">
        <f t="shared" ca="1" si="33"/>
        <v>#N/A</v>
      </c>
      <c r="T75" s="68" t="e">
        <f t="shared" ca="1" si="34"/>
        <v>#N/A</v>
      </c>
      <c r="U75" s="68" t="e">
        <f t="shared" ca="1" si="35"/>
        <v>#N/A</v>
      </c>
      <c r="V75" s="5" t="e">
        <f t="shared" ca="1" si="14"/>
        <v>#N/A</v>
      </c>
      <c r="W75" s="5" t="e">
        <f t="shared" ca="1" si="28"/>
        <v>#N/A</v>
      </c>
      <c r="X75" s="68">
        <f t="shared" ca="1" si="29"/>
        <v>0</v>
      </c>
      <c r="Y75" s="68" t="e">
        <f t="shared" ca="1" si="36"/>
        <v>#N/A</v>
      </c>
      <c r="Z75" s="68" t="e">
        <f t="shared" ca="1" si="37"/>
        <v>#N/A</v>
      </c>
      <c r="AA75" s="5" t="str">
        <f>IF(Setup!$I$15="Yes",'Demand background (hide)'!AJ63+'SPC background (hide)'!C75,"")</f>
        <v/>
      </c>
      <c r="AC75" s="5" t="e">
        <f t="shared" ca="1" si="30"/>
        <v>#N/A</v>
      </c>
      <c r="AD75" s="5" t="e">
        <f t="shared" ca="1" si="31"/>
        <v>#N/A</v>
      </c>
    </row>
    <row r="76" spans="1:30" x14ac:dyDescent="0.2">
      <c r="A76" s="68" t="str">
        <f ca="1">Demand!C73</f>
        <v/>
      </c>
      <c r="B76" s="68">
        <v>61</v>
      </c>
      <c r="C76" s="5">
        <f ca="1">'Demand background (hide)'!Y64</f>
        <v>0</v>
      </c>
      <c r="D76" s="68">
        <f t="shared" si="15"/>
        <v>0</v>
      </c>
      <c r="E76" s="68" t="e">
        <f t="shared" ca="1" si="16"/>
        <v>#N/A</v>
      </c>
      <c r="F76" s="68" t="e">
        <f t="shared" ca="1" si="17"/>
        <v>#N/A</v>
      </c>
      <c r="G76" s="68" t="e">
        <f t="shared" ca="1" si="18"/>
        <v>#N/A</v>
      </c>
      <c r="H76" s="68" t="e">
        <f>IF('Demand background (hide)'!AN64&lt;&gt;"",'SPC background (hide)'!C76,NA())</f>
        <v>#N/A</v>
      </c>
      <c r="I76" s="68"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8" t="e">
        <f t="shared" ca="1" si="33"/>
        <v>#N/A</v>
      </c>
      <c r="T76" s="68" t="e">
        <f t="shared" ca="1" si="34"/>
        <v>#N/A</v>
      </c>
      <c r="U76" s="68" t="e">
        <f t="shared" ca="1" si="35"/>
        <v>#N/A</v>
      </c>
      <c r="V76" s="5" t="e">
        <f t="shared" ca="1" si="14"/>
        <v>#N/A</v>
      </c>
      <c r="W76" s="5" t="e">
        <f t="shared" ca="1" si="28"/>
        <v>#N/A</v>
      </c>
      <c r="X76" s="68">
        <f t="shared" ca="1" si="29"/>
        <v>0</v>
      </c>
      <c r="Y76" s="68" t="e">
        <f t="shared" ca="1" si="36"/>
        <v>#N/A</v>
      </c>
      <c r="Z76" s="68" t="e">
        <f t="shared" ca="1" si="37"/>
        <v>#N/A</v>
      </c>
      <c r="AA76" s="5" t="str">
        <f>IF(Setup!$I$15="Yes",'Demand background (hide)'!AJ64+'SPC background (hide)'!C76,"")</f>
        <v/>
      </c>
      <c r="AC76" s="5" t="e">
        <f t="shared" ca="1" si="30"/>
        <v>#N/A</v>
      </c>
      <c r="AD76" s="5" t="e">
        <f t="shared" ca="1" si="31"/>
        <v>#N/A</v>
      </c>
    </row>
    <row r="77" spans="1:30" x14ac:dyDescent="0.2">
      <c r="A77" s="68" t="str">
        <f ca="1">Demand!C74</f>
        <v/>
      </c>
      <c r="B77" s="68">
        <v>62</v>
      </c>
      <c r="C77" s="5">
        <f ca="1">'Demand background (hide)'!Y65</f>
        <v>0</v>
      </c>
      <c r="D77" s="68">
        <f t="shared" si="15"/>
        <v>0</v>
      </c>
      <c r="E77" s="68" t="e">
        <f t="shared" ca="1" si="16"/>
        <v>#N/A</v>
      </c>
      <c r="F77" s="68" t="e">
        <f t="shared" ca="1" si="17"/>
        <v>#N/A</v>
      </c>
      <c r="G77" s="68" t="e">
        <f t="shared" ca="1" si="18"/>
        <v>#N/A</v>
      </c>
      <c r="H77" s="68" t="e">
        <f>IF('Demand background (hide)'!AN65&lt;&gt;"",'SPC background (hide)'!C77,NA())</f>
        <v>#N/A</v>
      </c>
      <c r="I77" s="68"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8" t="e">
        <f t="shared" ca="1" si="33"/>
        <v>#N/A</v>
      </c>
      <c r="T77" s="68" t="e">
        <f t="shared" ca="1" si="34"/>
        <v>#N/A</v>
      </c>
      <c r="U77" s="68" t="e">
        <f t="shared" ca="1" si="35"/>
        <v>#N/A</v>
      </c>
      <c r="V77" s="5" t="e">
        <f t="shared" ca="1" si="14"/>
        <v>#N/A</v>
      </c>
      <c r="W77" s="5" t="e">
        <f t="shared" ca="1" si="28"/>
        <v>#N/A</v>
      </c>
      <c r="X77" s="68">
        <f t="shared" ca="1" si="29"/>
        <v>0</v>
      </c>
      <c r="Y77" s="68" t="e">
        <f t="shared" ca="1" si="36"/>
        <v>#N/A</v>
      </c>
      <c r="Z77" s="68" t="e">
        <f t="shared" ca="1" si="37"/>
        <v>#N/A</v>
      </c>
      <c r="AA77" s="5" t="str">
        <f>IF(Setup!$I$15="Yes",'Demand background (hide)'!AJ65+'SPC background (hide)'!C77,"")</f>
        <v/>
      </c>
      <c r="AC77" s="5" t="e">
        <f t="shared" ca="1" si="30"/>
        <v>#N/A</v>
      </c>
      <c r="AD77" s="5" t="e">
        <f t="shared" ca="1" si="31"/>
        <v>#N/A</v>
      </c>
    </row>
    <row r="78" spans="1:30" x14ac:dyDescent="0.2">
      <c r="A78" s="68" t="str">
        <f ca="1">Demand!C75</f>
        <v/>
      </c>
      <c r="B78" s="68">
        <v>63</v>
      </c>
      <c r="C78" s="5">
        <f ca="1">'Demand background (hide)'!Y66</f>
        <v>0</v>
      </c>
      <c r="D78" s="68">
        <f t="shared" si="15"/>
        <v>0</v>
      </c>
      <c r="E78" s="68" t="e">
        <f t="shared" ca="1" si="16"/>
        <v>#N/A</v>
      </c>
      <c r="F78" s="68" t="e">
        <f t="shared" ca="1" si="17"/>
        <v>#N/A</v>
      </c>
      <c r="G78" s="68" t="e">
        <f t="shared" ca="1" si="18"/>
        <v>#N/A</v>
      </c>
      <c r="H78" s="68" t="e">
        <f>IF('Demand background (hide)'!AN66&lt;&gt;"",'SPC background (hide)'!C78,NA())</f>
        <v>#N/A</v>
      </c>
      <c r="I78" s="68"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8" t="e">
        <f t="shared" ca="1" si="33"/>
        <v>#N/A</v>
      </c>
      <c r="T78" s="68" t="e">
        <f t="shared" ca="1" si="34"/>
        <v>#N/A</v>
      </c>
      <c r="U78" s="68" t="e">
        <f t="shared" ca="1" si="35"/>
        <v>#N/A</v>
      </c>
      <c r="V78" s="5" t="e">
        <f t="shared" ca="1" si="14"/>
        <v>#N/A</v>
      </c>
      <c r="W78" s="5" t="e">
        <f t="shared" ca="1" si="28"/>
        <v>#N/A</v>
      </c>
      <c r="X78" s="68">
        <f t="shared" ca="1" si="29"/>
        <v>0</v>
      </c>
      <c r="Y78" s="68" t="e">
        <f t="shared" ca="1" si="36"/>
        <v>#N/A</v>
      </c>
      <c r="Z78" s="68" t="e">
        <f t="shared" ca="1" si="37"/>
        <v>#N/A</v>
      </c>
      <c r="AA78" s="5" t="str">
        <f>IF(Setup!$I$15="Yes",'Demand background (hide)'!AJ66+'SPC background (hide)'!C78,"")</f>
        <v/>
      </c>
      <c r="AC78" s="5" t="e">
        <f t="shared" ca="1" si="30"/>
        <v>#N/A</v>
      </c>
      <c r="AD78" s="5" t="e">
        <f t="shared" ca="1" si="31"/>
        <v>#N/A</v>
      </c>
    </row>
    <row r="79" spans="1:30" x14ac:dyDescent="0.2">
      <c r="A79" s="68" t="str">
        <f ca="1">Demand!C76</f>
        <v/>
      </c>
      <c r="B79" s="68">
        <v>64</v>
      </c>
      <c r="C79" s="5">
        <f ca="1">'Demand background (hide)'!Y67</f>
        <v>0</v>
      </c>
      <c r="D79" s="68">
        <f t="shared" si="15"/>
        <v>0</v>
      </c>
      <c r="E79" s="68" t="e">
        <f t="shared" ca="1" si="16"/>
        <v>#N/A</v>
      </c>
      <c r="F79" s="68" t="e">
        <f t="shared" ca="1" si="17"/>
        <v>#N/A</v>
      </c>
      <c r="G79" s="68" t="e">
        <f t="shared" ca="1" si="18"/>
        <v>#N/A</v>
      </c>
      <c r="H79" s="68" t="e">
        <f>IF('Demand background (hide)'!AN67&lt;&gt;"",'SPC background (hide)'!C79,NA())</f>
        <v>#N/A</v>
      </c>
      <c r="I79" s="68"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8" t="e">
        <f t="shared" ca="1" si="33"/>
        <v>#N/A</v>
      </c>
      <c r="T79" s="68" t="e">
        <f t="shared" ca="1" si="34"/>
        <v>#N/A</v>
      </c>
      <c r="U79" s="68" t="e">
        <f t="shared" ca="1" si="35"/>
        <v>#N/A</v>
      </c>
      <c r="V79" s="5" t="e">
        <f t="shared" ca="1" si="14"/>
        <v>#N/A</v>
      </c>
      <c r="W79" s="5" t="e">
        <f t="shared" ca="1" si="28"/>
        <v>#N/A</v>
      </c>
      <c r="X79" s="68">
        <f t="shared" ca="1" si="29"/>
        <v>0</v>
      </c>
      <c r="Y79" s="68" t="e">
        <f t="shared" ca="1" si="36"/>
        <v>#N/A</v>
      </c>
      <c r="Z79" s="68" t="e">
        <f t="shared" ca="1" si="37"/>
        <v>#N/A</v>
      </c>
      <c r="AA79" s="5" t="str">
        <f>IF(Setup!$I$15="Yes",'Demand background (hide)'!AJ67+'SPC background (hide)'!C79,"")</f>
        <v/>
      </c>
      <c r="AC79" s="5" t="e">
        <f t="shared" ca="1" si="30"/>
        <v>#N/A</v>
      </c>
      <c r="AD79" s="5" t="e">
        <f t="shared" ca="1" si="31"/>
        <v>#N/A</v>
      </c>
    </row>
    <row r="80" spans="1:30" x14ac:dyDescent="0.2">
      <c r="A80" s="68" t="str">
        <f ca="1">Demand!C77</f>
        <v/>
      </c>
      <c r="B80" s="68">
        <v>65</v>
      </c>
      <c r="C80" s="5">
        <f ca="1">'Demand background (hide)'!Y68</f>
        <v>0</v>
      </c>
      <c r="D80" s="68">
        <f t="shared" si="15"/>
        <v>0</v>
      </c>
      <c r="E80" s="68" t="e">
        <f t="shared" ca="1" si="16"/>
        <v>#N/A</v>
      </c>
      <c r="F80" s="68" t="e">
        <f t="shared" ca="1" si="17"/>
        <v>#N/A</v>
      </c>
      <c r="G80" s="68" t="e">
        <f t="shared" ca="1" si="18"/>
        <v>#N/A</v>
      </c>
      <c r="H80" s="68" t="e">
        <f>IF('Demand background (hide)'!AN68&lt;&gt;"",'SPC background (hide)'!C80,NA())</f>
        <v>#N/A</v>
      </c>
      <c r="I80" s="68"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8" t="e">
        <f t="shared" ca="1" si="33"/>
        <v>#N/A</v>
      </c>
      <c r="T80" s="68" t="e">
        <f t="shared" ca="1" si="34"/>
        <v>#N/A</v>
      </c>
      <c r="U80" s="68" t="e">
        <f t="shared" ca="1" si="35"/>
        <v>#N/A</v>
      </c>
      <c r="V80" s="5" t="e">
        <f t="shared" ref="V80:V143" ca="1" si="38">IF(C80&lt;M80,-1,IF(C80&gt;M80,1,0))</f>
        <v>#N/A</v>
      </c>
      <c r="W80" s="5" t="e">
        <f t="shared" ca="1" si="28"/>
        <v>#N/A</v>
      </c>
      <c r="X80" s="68">
        <f t="shared" ca="1" si="29"/>
        <v>0</v>
      </c>
      <c r="Y80" s="68" t="e">
        <f t="shared" ca="1" si="36"/>
        <v>#N/A</v>
      </c>
      <c r="Z80" s="68" t="e">
        <f t="shared" ca="1" si="37"/>
        <v>#N/A</v>
      </c>
      <c r="AA80" s="5" t="str">
        <f>IF(Setup!$I$15="Yes",'Demand background (hide)'!AJ68+'SPC background (hide)'!C80,"")</f>
        <v/>
      </c>
      <c r="AC80" s="5" t="e">
        <f t="shared" ca="1" si="30"/>
        <v>#N/A</v>
      </c>
      <c r="AD80" s="5" t="e">
        <f t="shared" ca="1" si="31"/>
        <v>#N/A</v>
      </c>
    </row>
    <row r="81" spans="1:30" x14ac:dyDescent="0.2">
      <c r="A81" s="68" t="str">
        <f ca="1">Demand!C78</f>
        <v/>
      </c>
      <c r="B81" s="68">
        <v>66</v>
      </c>
      <c r="C81" s="5">
        <f ca="1">'Demand background (hide)'!Y69</f>
        <v>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8" t="e">
        <f t="shared" ca="1" si="33"/>
        <v>#N/A</v>
      </c>
      <c r="T81" s="68" t="e">
        <f t="shared" ca="1" si="34"/>
        <v>#N/A</v>
      </c>
      <c r="U81" s="68" t="e">
        <f t="shared" ca="1" si="35"/>
        <v>#N/A</v>
      </c>
      <c r="V81" s="5" t="e">
        <f t="shared" ca="1" si="38"/>
        <v>#N/A</v>
      </c>
      <c r="W81" s="5" t="e">
        <f t="shared" ref="W81:W144" ca="1" si="52">IF(ISNA(H81)=TRUE,IF(ABS(SUM(V81:V89))=9,C81,NA()),NA())</f>
        <v>#N/A</v>
      </c>
      <c r="X81" s="68">
        <f t="shared" ref="X81:X144" ca="1" si="53">IF(C81&gt;C80,1,IF(C81&lt;C80,-1,0))</f>
        <v>0</v>
      </c>
      <c r="Y81" s="68" t="e">
        <f t="shared" ca="1" si="36"/>
        <v>#N/A</v>
      </c>
      <c r="Z81" s="68"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
      <c r="A82" s="68" t="str">
        <f ca="1">Demand!C79</f>
        <v/>
      </c>
      <c r="B82" s="68">
        <v>67</v>
      </c>
      <c r="C82" s="5">
        <f ca="1">'Demand background (hide)'!Y70</f>
        <v>0</v>
      </c>
      <c r="D82" s="68">
        <f t="shared" si="39"/>
        <v>0</v>
      </c>
      <c r="E82" s="68" t="e">
        <f t="shared" ca="1" si="40"/>
        <v>#N/A</v>
      </c>
      <c r="F82" s="68" t="e">
        <f t="shared" ca="1" si="41"/>
        <v>#N/A</v>
      </c>
      <c r="G82" s="68" t="e">
        <f t="shared" ca="1" si="42"/>
        <v>#N/A</v>
      </c>
      <c r="H82" s="68" t="e">
        <f>IF('Demand background (hide)'!AN70&lt;&gt;"",'SPC background (hide)'!C82,NA())</f>
        <v>#N/A</v>
      </c>
      <c r="I82" s="68"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8" t="e">
        <f t="shared" ref="S82:S145" ca="1" si="57">IF(ISNA(H82),IF(ABS(SUM(R82:R84))&gt;=5,C82,NA()),NA())</f>
        <v>#N/A</v>
      </c>
      <c r="T82" s="68" t="e">
        <f t="shared" ref="T82:T145" ca="1" si="58">IF(C82&gt;N82,2,IF(C82&lt;L82,-2,IF(C82&gt;M82,1,IF(C82&lt;M82,-1,0))))</f>
        <v>#N/A</v>
      </c>
      <c r="U82" s="68" t="e">
        <f t="shared" ref="U82:U145" ca="1" si="59">IF(ISNA(H82)=TRUE,IF(ABS(SUM(T82:T86))&gt;=9,C82,NA()),NA())</f>
        <v>#N/A</v>
      </c>
      <c r="V82" s="5" t="e">
        <f t="shared" ca="1" si="38"/>
        <v>#N/A</v>
      </c>
      <c r="W82" s="5" t="e">
        <f t="shared" ca="1" si="52"/>
        <v>#N/A</v>
      </c>
      <c r="X82" s="68">
        <f t="shared" ca="1" si="53"/>
        <v>0</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
      <c r="A83" s="68" t="str">
        <f ca="1">Demand!C80</f>
        <v/>
      </c>
      <c r="B83" s="68">
        <v>68</v>
      </c>
      <c r="C83" s="5">
        <f ca="1">'Demand background (hide)'!Y71</f>
        <v>0</v>
      </c>
      <c r="D83" s="68">
        <f t="shared" si="39"/>
        <v>0</v>
      </c>
      <c r="E83" s="68" t="e">
        <f t="shared" ca="1" si="40"/>
        <v>#N/A</v>
      </c>
      <c r="F83" s="68" t="e">
        <f t="shared" ca="1" si="41"/>
        <v>#N/A</v>
      </c>
      <c r="G83" s="68" t="e">
        <f t="shared" ca="1" si="42"/>
        <v>#N/A</v>
      </c>
      <c r="H83" s="68" t="e">
        <f>IF('Demand background (hide)'!AN71&lt;&gt;"",'SPC background (hide)'!C83,NA())</f>
        <v>#N/A</v>
      </c>
      <c r="I83" s="68"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8" t="e">
        <f t="shared" ca="1" si="57"/>
        <v>#N/A</v>
      </c>
      <c r="T83" s="68" t="e">
        <f t="shared" ca="1" si="58"/>
        <v>#N/A</v>
      </c>
      <c r="U83" s="68" t="e">
        <f t="shared" ca="1" si="59"/>
        <v>#N/A</v>
      </c>
      <c r="V83" s="5" t="e">
        <f t="shared" ca="1" si="38"/>
        <v>#N/A</v>
      </c>
      <c r="W83" s="5" t="e">
        <f t="shared" ca="1" si="52"/>
        <v>#N/A</v>
      </c>
      <c r="X83" s="68">
        <f t="shared" ca="1" si="53"/>
        <v>0</v>
      </c>
      <c r="Y83" s="68" t="e">
        <f t="shared" ca="1" si="60"/>
        <v>#N/A</v>
      </c>
      <c r="Z83" s="68" t="e">
        <f t="shared" ca="1" si="61"/>
        <v>#N/A</v>
      </c>
      <c r="AA83" s="5" t="str">
        <f>IF(Setup!$I$15="Yes",'Demand background (hide)'!AJ71+'SPC background (hide)'!C83,"")</f>
        <v/>
      </c>
      <c r="AC83" s="5" t="e">
        <f t="shared" ca="1" si="54"/>
        <v>#N/A</v>
      </c>
      <c r="AD83" s="5" t="e">
        <f t="shared" ca="1" si="55"/>
        <v>#N/A</v>
      </c>
    </row>
    <row r="84" spans="1:30" x14ac:dyDescent="0.2">
      <c r="A84" s="68" t="str">
        <f ca="1">Demand!C81</f>
        <v/>
      </c>
      <c r="B84" s="68">
        <v>69</v>
      </c>
      <c r="C84" s="5">
        <f ca="1">'Demand background (hide)'!Y72</f>
        <v>0</v>
      </c>
      <c r="D84" s="68">
        <f t="shared" si="39"/>
        <v>0</v>
      </c>
      <c r="E84" s="68" t="e">
        <f t="shared" ca="1" si="40"/>
        <v>#N/A</v>
      </c>
      <c r="F84" s="68" t="e">
        <f t="shared" ca="1" si="41"/>
        <v>#N/A</v>
      </c>
      <c r="G84" s="68" t="e">
        <f t="shared" ca="1" si="42"/>
        <v>#N/A</v>
      </c>
      <c r="H84" s="68" t="e">
        <f>IF('Demand background (hide)'!AN72&lt;&gt;"",'SPC background (hide)'!C84,NA())</f>
        <v>#N/A</v>
      </c>
      <c r="I84" s="68"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8" t="e">
        <f t="shared" ca="1" si="57"/>
        <v>#N/A</v>
      </c>
      <c r="T84" s="68" t="e">
        <f t="shared" ca="1" si="58"/>
        <v>#N/A</v>
      </c>
      <c r="U84" s="68" t="e">
        <f t="shared" ca="1" si="59"/>
        <v>#N/A</v>
      </c>
      <c r="V84" s="5" t="e">
        <f t="shared" ca="1" si="38"/>
        <v>#N/A</v>
      </c>
      <c r="W84" s="5" t="e">
        <f t="shared" ca="1" si="52"/>
        <v>#N/A</v>
      </c>
      <c r="X84" s="68">
        <f t="shared" ca="1" si="53"/>
        <v>0</v>
      </c>
      <c r="Y84" s="68" t="e">
        <f t="shared" ca="1" si="60"/>
        <v>#N/A</v>
      </c>
      <c r="Z84" s="68" t="e">
        <f t="shared" ca="1" si="61"/>
        <v>#N/A</v>
      </c>
      <c r="AA84" s="5" t="str">
        <f>IF(Setup!$I$15="Yes",'Demand background (hide)'!AJ72+'SPC background (hide)'!C84,"")</f>
        <v/>
      </c>
      <c r="AC84" s="5" t="e">
        <f t="shared" ca="1" si="54"/>
        <v>#N/A</v>
      </c>
      <c r="AD84" s="5" t="e">
        <f t="shared" ca="1" si="55"/>
        <v>#N/A</v>
      </c>
    </row>
    <row r="85" spans="1:30" x14ac:dyDescent="0.2">
      <c r="A85" s="68" t="str">
        <f ca="1">Demand!C82</f>
        <v/>
      </c>
      <c r="B85" s="68">
        <v>70</v>
      </c>
      <c r="C85" s="5">
        <f ca="1">'Demand background (hide)'!Y73</f>
        <v>0</v>
      </c>
      <c r="D85" s="68">
        <f t="shared" si="39"/>
        <v>0</v>
      </c>
      <c r="E85" s="68" t="e">
        <f t="shared" ca="1" si="40"/>
        <v>#N/A</v>
      </c>
      <c r="F85" s="68" t="e">
        <f t="shared" ca="1" si="41"/>
        <v>#N/A</v>
      </c>
      <c r="G85" s="68" t="e">
        <f t="shared" ca="1" si="42"/>
        <v>#N/A</v>
      </c>
      <c r="H85" s="68" t="e">
        <f>IF('Demand background (hide)'!AN73&lt;&gt;"",'SPC background (hide)'!C85,NA())</f>
        <v>#N/A</v>
      </c>
      <c r="I85" s="68"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8" t="e">
        <f t="shared" ca="1" si="57"/>
        <v>#N/A</v>
      </c>
      <c r="T85" s="68" t="e">
        <f t="shared" ca="1" si="58"/>
        <v>#N/A</v>
      </c>
      <c r="U85" s="68" t="e">
        <f t="shared" ca="1" si="59"/>
        <v>#N/A</v>
      </c>
      <c r="V85" s="5" t="e">
        <f t="shared" ca="1" si="38"/>
        <v>#N/A</v>
      </c>
      <c r="W85" s="5" t="e">
        <f t="shared" ca="1" si="52"/>
        <v>#N/A</v>
      </c>
      <c r="X85" s="68">
        <f t="shared" ca="1" si="53"/>
        <v>0</v>
      </c>
      <c r="Y85" s="68" t="e">
        <f t="shared" ca="1" si="60"/>
        <v>#N/A</v>
      </c>
      <c r="Z85" s="68" t="e">
        <f t="shared" ca="1" si="61"/>
        <v>#N/A</v>
      </c>
      <c r="AA85" s="5" t="str">
        <f>IF(Setup!$I$15="Yes",'Demand background (hide)'!AJ73+'SPC background (hide)'!C85,"")</f>
        <v/>
      </c>
      <c r="AC85" s="5" t="e">
        <f t="shared" ca="1" si="54"/>
        <v>#N/A</v>
      </c>
      <c r="AD85" s="5" t="e">
        <f t="shared" ca="1" si="55"/>
        <v>#N/A</v>
      </c>
    </row>
    <row r="86" spans="1:30" x14ac:dyDescent="0.2">
      <c r="A86" s="68" t="str">
        <f ca="1">Demand!C83</f>
        <v/>
      </c>
      <c r="B86" s="68">
        <v>71</v>
      </c>
      <c r="C86" s="5">
        <f ca="1">'Demand background (hide)'!Y74</f>
        <v>0</v>
      </c>
      <c r="D86" s="68">
        <f t="shared" si="39"/>
        <v>0</v>
      </c>
      <c r="E86" s="68" t="e">
        <f t="shared" ca="1" si="40"/>
        <v>#N/A</v>
      </c>
      <c r="F86" s="68" t="e">
        <f t="shared" ca="1" si="41"/>
        <v>#N/A</v>
      </c>
      <c r="G86" s="68" t="e">
        <f t="shared" ca="1" si="42"/>
        <v>#N/A</v>
      </c>
      <c r="H86" s="68" t="e">
        <f>IF('Demand background (hide)'!AN74&lt;&gt;"",'SPC background (hide)'!C86,NA())</f>
        <v>#N/A</v>
      </c>
      <c r="I86" s="68"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8" t="e">
        <f t="shared" ca="1" si="57"/>
        <v>#N/A</v>
      </c>
      <c r="T86" s="68" t="e">
        <f t="shared" ca="1" si="58"/>
        <v>#N/A</v>
      </c>
      <c r="U86" s="68" t="e">
        <f t="shared" ca="1" si="59"/>
        <v>#N/A</v>
      </c>
      <c r="V86" s="5" t="e">
        <f t="shared" ca="1" si="38"/>
        <v>#N/A</v>
      </c>
      <c r="W86" s="5" t="e">
        <f t="shared" ca="1" si="52"/>
        <v>#N/A</v>
      </c>
      <c r="X86" s="68">
        <f t="shared" ca="1" si="53"/>
        <v>0</v>
      </c>
      <c r="Y86" s="68" t="e">
        <f t="shared" ca="1" si="60"/>
        <v>#N/A</v>
      </c>
      <c r="Z86" s="68" t="e">
        <f t="shared" ca="1" si="61"/>
        <v>#N/A</v>
      </c>
      <c r="AA86" s="5" t="str">
        <f>IF(Setup!$I$15="Yes",'Demand background (hide)'!AJ74+'SPC background (hide)'!C86,"")</f>
        <v/>
      </c>
      <c r="AC86" s="5" t="e">
        <f t="shared" ca="1" si="54"/>
        <v>#N/A</v>
      </c>
      <c r="AD86" s="5" t="e">
        <f t="shared" ca="1" si="55"/>
        <v>#N/A</v>
      </c>
    </row>
    <row r="87" spans="1:30" x14ac:dyDescent="0.2">
      <c r="A87" s="68" t="str">
        <f ca="1">Demand!C84</f>
        <v/>
      </c>
      <c r="B87" s="68">
        <v>72</v>
      </c>
      <c r="C87" s="5">
        <f ca="1">'Demand background (hide)'!Y75</f>
        <v>0</v>
      </c>
      <c r="D87" s="68">
        <f t="shared" si="39"/>
        <v>0</v>
      </c>
      <c r="E87" s="68" t="e">
        <f t="shared" ca="1" si="40"/>
        <v>#N/A</v>
      </c>
      <c r="F87" s="68" t="e">
        <f t="shared" ca="1" si="41"/>
        <v>#N/A</v>
      </c>
      <c r="G87" s="68" t="e">
        <f t="shared" ca="1" si="42"/>
        <v>#N/A</v>
      </c>
      <c r="H87" s="68" t="e">
        <f>IF('Demand background (hide)'!AN75&lt;&gt;"",'SPC background (hide)'!C87,NA())</f>
        <v>#N/A</v>
      </c>
      <c r="I87" s="68"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8" t="e">
        <f t="shared" ca="1" si="57"/>
        <v>#N/A</v>
      </c>
      <c r="T87" s="68" t="e">
        <f t="shared" ca="1" si="58"/>
        <v>#N/A</v>
      </c>
      <c r="U87" s="68" t="e">
        <f t="shared" ca="1" si="59"/>
        <v>#N/A</v>
      </c>
      <c r="V87" s="5" t="e">
        <f t="shared" ca="1" si="38"/>
        <v>#N/A</v>
      </c>
      <c r="W87" s="5" t="e">
        <f t="shared" ca="1" si="52"/>
        <v>#N/A</v>
      </c>
      <c r="X87" s="68">
        <f t="shared" ca="1" si="53"/>
        <v>0</v>
      </c>
      <c r="Y87" s="68" t="e">
        <f t="shared" ca="1" si="60"/>
        <v>#N/A</v>
      </c>
      <c r="Z87" s="68" t="e">
        <f t="shared" ca="1" si="61"/>
        <v>#N/A</v>
      </c>
      <c r="AA87" s="5" t="str">
        <f>IF(Setup!$I$15="Yes",'Demand background (hide)'!AJ75+'SPC background (hide)'!C87,"")</f>
        <v/>
      </c>
      <c r="AC87" s="5" t="e">
        <f t="shared" ca="1" si="54"/>
        <v>#N/A</v>
      </c>
      <c r="AD87" s="5" t="e">
        <f t="shared" ca="1" si="55"/>
        <v>#N/A</v>
      </c>
    </row>
    <row r="88" spans="1:30" x14ac:dyDescent="0.2">
      <c r="A88" s="68" t="str">
        <f ca="1">Demand!C85</f>
        <v/>
      </c>
      <c r="B88" s="68">
        <v>73</v>
      </c>
      <c r="C88" s="5">
        <f ca="1">'Demand background (hide)'!Y76</f>
        <v>0</v>
      </c>
      <c r="D88" s="68">
        <f t="shared" si="39"/>
        <v>0</v>
      </c>
      <c r="E88" s="68" t="e">
        <f t="shared" ca="1" si="40"/>
        <v>#N/A</v>
      </c>
      <c r="F88" s="68" t="e">
        <f t="shared" ca="1" si="41"/>
        <v>#N/A</v>
      </c>
      <c r="G88" s="68" t="e">
        <f t="shared" ca="1" si="42"/>
        <v>#N/A</v>
      </c>
      <c r="H88" s="68" t="e">
        <f>IF('Demand background (hide)'!AN76&lt;&gt;"",'SPC background (hide)'!C88,NA())</f>
        <v>#N/A</v>
      </c>
      <c r="I88" s="68"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8" t="e">
        <f t="shared" ca="1" si="57"/>
        <v>#N/A</v>
      </c>
      <c r="T88" s="68" t="e">
        <f t="shared" ca="1" si="58"/>
        <v>#N/A</v>
      </c>
      <c r="U88" s="68" t="e">
        <f t="shared" ca="1" si="59"/>
        <v>#N/A</v>
      </c>
      <c r="V88" s="5" t="e">
        <f t="shared" ca="1" si="38"/>
        <v>#N/A</v>
      </c>
      <c r="W88" s="5" t="e">
        <f t="shared" ca="1" si="52"/>
        <v>#N/A</v>
      </c>
      <c r="X88" s="68">
        <f t="shared" ca="1" si="53"/>
        <v>0</v>
      </c>
      <c r="Y88" s="68" t="e">
        <f t="shared" ca="1" si="60"/>
        <v>#N/A</v>
      </c>
      <c r="Z88" s="68" t="e">
        <f t="shared" ca="1" si="61"/>
        <v>#N/A</v>
      </c>
      <c r="AA88" s="5" t="str">
        <f>IF(Setup!$I$15="Yes",'Demand background (hide)'!AJ76+'SPC background (hide)'!C88,"")</f>
        <v/>
      </c>
      <c r="AC88" s="5" t="e">
        <f t="shared" ca="1" si="54"/>
        <v>#N/A</v>
      </c>
      <c r="AD88" s="5" t="e">
        <f t="shared" ca="1" si="55"/>
        <v>#N/A</v>
      </c>
    </row>
    <row r="89" spans="1:30" x14ac:dyDescent="0.2">
      <c r="A89" s="68" t="str">
        <f ca="1">Demand!C86</f>
        <v/>
      </c>
      <c r="B89" s="68">
        <v>74</v>
      </c>
      <c r="C89" s="5">
        <f ca="1">'Demand background (hide)'!Y77</f>
        <v>0</v>
      </c>
      <c r="D89" s="68">
        <f t="shared" si="39"/>
        <v>0</v>
      </c>
      <c r="E89" s="68" t="e">
        <f t="shared" ca="1" si="40"/>
        <v>#N/A</v>
      </c>
      <c r="F89" s="68" t="e">
        <f t="shared" ca="1" si="41"/>
        <v>#N/A</v>
      </c>
      <c r="G89" s="68" t="e">
        <f t="shared" ca="1" si="42"/>
        <v>#N/A</v>
      </c>
      <c r="H89" s="68" t="e">
        <f>IF('Demand background (hide)'!AN77&lt;&gt;"",'SPC background (hide)'!C89,NA())</f>
        <v>#N/A</v>
      </c>
      <c r="I89" s="68"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8" t="e">
        <f t="shared" ca="1" si="57"/>
        <v>#N/A</v>
      </c>
      <c r="T89" s="68" t="e">
        <f t="shared" ca="1" si="58"/>
        <v>#N/A</v>
      </c>
      <c r="U89" s="68" t="e">
        <f t="shared" ca="1" si="59"/>
        <v>#N/A</v>
      </c>
      <c r="V89" s="5" t="e">
        <f t="shared" ca="1" si="38"/>
        <v>#N/A</v>
      </c>
      <c r="W89" s="5" t="e">
        <f t="shared" ca="1" si="52"/>
        <v>#N/A</v>
      </c>
      <c r="X89" s="68">
        <f t="shared" ca="1" si="53"/>
        <v>0</v>
      </c>
      <c r="Y89" s="68" t="e">
        <f t="shared" ca="1" si="60"/>
        <v>#N/A</v>
      </c>
      <c r="Z89" s="68" t="e">
        <f t="shared" ca="1" si="61"/>
        <v>#N/A</v>
      </c>
      <c r="AA89" s="5" t="str">
        <f>IF(Setup!$I$15="Yes",'Demand background (hide)'!AJ77+'SPC background (hide)'!C89,"")</f>
        <v/>
      </c>
      <c r="AC89" s="5" t="e">
        <f t="shared" ca="1" si="54"/>
        <v>#N/A</v>
      </c>
      <c r="AD89" s="5" t="e">
        <f t="shared" ca="1" si="55"/>
        <v>#N/A</v>
      </c>
    </row>
    <row r="90" spans="1:30" x14ac:dyDescent="0.2">
      <c r="A90" s="68" t="str">
        <f ca="1">Demand!C87</f>
        <v/>
      </c>
      <c r="B90" s="68">
        <v>75</v>
      </c>
      <c r="C90" s="5">
        <f ca="1">'Demand background (hide)'!Y78</f>
        <v>0</v>
      </c>
      <c r="D90" s="68">
        <f t="shared" si="39"/>
        <v>0</v>
      </c>
      <c r="E90" s="68" t="e">
        <f t="shared" ca="1" si="40"/>
        <v>#N/A</v>
      </c>
      <c r="F90" s="68" t="e">
        <f t="shared" ca="1" si="41"/>
        <v>#N/A</v>
      </c>
      <c r="G90" s="68" t="e">
        <f t="shared" ca="1" si="42"/>
        <v>#N/A</v>
      </c>
      <c r="H90" s="68" t="e">
        <f>IF('Demand background (hide)'!AN78&lt;&gt;"",'SPC background (hide)'!C90,NA())</f>
        <v>#N/A</v>
      </c>
      <c r="I90" s="68"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8" t="e">
        <f t="shared" ca="1" si="57"/>
        <v>#N/A</v>
      </c>
      <c r="T90" s="68" t="e">
        <f t="shared" ca="1" si="58"/>
        <v>#N/A</v>
      </c>
      <c r="U90" s="68" t="e">
        <f t="shared" ca="1" si="59"/>
        <v>#N/A</v>
      </c>
      <c r="V90" s="5" t="e">
        <f t="shared" ca="1" si="38"/>
        <v>#N/A</v>
      </c>
      <c r="W90" s="5" t="e">
        <f t="shared" ca="1" si="52"/>
        <v>#N/A</v>
      </c>
      <c r="X90" s="68">
        <f t="shared" ca="1" si="53"/>
        <v>0</v>
      </c>
      <c r="Y90" s="68" t="e">
        <f t="shared" ca="1" si="60"/>
        <v>#N/A</v>
      </c>
      <c r="Z90" s="68" t="e">
        <f t="shared" ca="1" si="61"/>
        <v>#N/A</v>
      </c>
      <c r="AA90" s="5" t="str">
        <f>IF(Setup!$I$15="Yes",'Demand background (hide)'!AJ78+'SPC background (hide)'!C90,"")</f>
        <v/>
      </c>
      <c r="AC90" s="5" t="e">
        <f t="shared" ca="1" si="54"/>
        <v>#N/A</v>
      </c>
      <c r="AD90" s="5" t="e">
        <f t="shared" ca="1" si="55"/>
        <v>#N/A</v>
      </c>
    </row>
    <row r="91" spans="1:30" x14ac:dyDescent="0.2">
      <c r="A91" s="68" t="str">
        <f ca="1">Demand!C88</f>
        <v/>
      </c>
      <c r="B91" s="68">
        <v>76</v>
      </c>
      <c r="C91" s="5">
        <f ca="1">'Demand background (hide)'!Y79</f>
        <v>0</v>
      </c>
      <c r="D91" s="68">
        <f t="shared" si="39"/>
        <v>0</v>
      </c>
      <c r="E91" s="68" t="e">
        <f t="shared" ca="1" si="40"/>
        <v>#N/A</v>
      </c>
      <c r="F91" s="68" t="e">
        <f t="shared" ca="1" si="41"/>
        <v>#N/A</v>
      </c>
      <c r="G91" s="68" t="e">
        <f t="shared" ca="1" si="42"/>
        <v>#N/A</v>
      </c>
      <c r="H91" s="68" t="e">
        <f>IF('Demand background (hide)'!AN79&lt;&gt;"",'SPC background (hide)'!C91,NA())</f>
        <v>#N/A</v>
      </c>
      <c r="I91" s="68"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8" t="e">
        <f t="shared" ca="1" si="57"/>
        <v>#N/A</v>
      </c>
      <c r="T91" s="68" t="e">
        <f t="shared" ca="1" si="58"/>
        <v>#N/A</v>
      </c>
      <c r="U91" s="68" t="e">
        <f t="shared" ca="1" si="59"/>
        <v>#N/A</v>
      </c>
      <c r="V91" s="5" t="e">
        <f t="shared" ca="1" si="38"/>
        <v>#N/A</v>
      </c>
      <c r="W91" s="5" t="e">
        <f t="shared" ca="1" si="52"/>
        <v>#N/A</v>
      </c>
      <c r="X91" s="68">
        <f t="shared" ca="1" si="53"/>
        <v>0</v>
      </c>
      <c r="Y91" s="68" t="e">
        <f t="shared" ca="1" si="60"/>
        <v>#N/A</v>
      </c>
      <c r="Z91" s="68" t="e">
        <f t="shared" ca="1" si="61"/>
        <v>#N/A</v>
      </c>
      <c r="AA91" s="5" t="str">
        <f>IF(Setup!$I$15="Yes",'Demand background (hide)'!AJ79+'SPC background (hide)'!C91,"")</f>
        <v/>
      </c>
      <c r="AC91" s="5" t="e">
        <f t="shared" ca="1" si="54"/>
        <v>#N/A</v>
      </c>
      <c r="AD91" s="5" t="e">
        <f t="shared" ca="1" si="55"/>
        <v>#N/A</v>
      </c>
    </row>
    <row r="92" spans="1:30" x14ac:dyDescent="0.2">
      <c r="A92" s="68" t="str">
        <f ca="1">Demand!C89</f>
        <v/>
      </c>
      <c r="B92" s="68">
        <v>77</v>
      </c>
      <c r="C92" s="5">
        <f ca="1">'Demand background (hide)'!Y80</f>
        <v>0</v>
      </c>
      <c r="D92" s="68">
        <f t="shared" si="39"/>
        <v>0</v>
      </c>
      <c r="E92" s="68" t="e">
        <f t="shared" ca="1" si="40"/>
        <v>#N/A</v>
      </c>
      <c r="F92" s="68" t="e">
        <f t="shared" ca="1" si="41"/>
        <v>#N/A</v>
      </c>
      <c r="G92" s="68" t="e">
        <f t="shared" ca="1" si="42"/>
        <v>#N/A</v>
      </c>
      <c r="H92" s="68" t="e">
        <f>IF('Demand background (hide)'!AN80&lt;&gt;"",'SPC background (hide)'!C92,NA())</f>
        <v>#N/A</v>
      </c>
      <c r="I92" s="68"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8" t="e">
        <f t="shared" ca="1" si="57"/>
        <v>#N/A</v>
      </c>
      <c r="T92" s="68" t="e">
        <f t="shared" ca="1" si="58"/>
        <v>#N/A</v>
      </c>
      <c r="U92" s="68" t="e">
        <f t="shared" ca="1" si="59"/>
        <v>#N/A</v>
      </c>
      <c r="V92" s="5" t="e">
        <f t="shared" ca="1" si="38"/>
        <v>#N/A</v>
      </c>
      <c r="W92" s="5" t="e">
        <f t="shared" ca="1" si="52"/>
        <v>#N/A</v>
      </c>
      <c r="X92" s="68">
        <f t="shared" ca="1" si="53"/>
        <v>0</v>
      </c>
      <c r="Y92" s="68" t="e">
        <f t="shared" ca="1" si="60"/>
        <v>#N/A</v>
      </c>
      <c r="Z92" s="68" t="e">
        <f t="shared" ca="1" si="61"/>
        <v>#N/A</v>
      </c>
      <c r="AA92" s="5" t="str">
        <f>IF(Setup!$I$15="Yes",'Demand background (hide)'!AJ80+'SPC background (hide)'!C92,"")</f>
        <v/>
      </c>
      <c r="AC92" s="5" t="e">
        <f t="shared" ca="1" si="54"/>
        <v>#N/A</v>
      </c>
      <c r="AD92" s="5" t="e">
        <f t="shared" ca="1" si="55"/>
        <v>#N/A</v>
      </c>
    </row>
    <row r="93" spans="1:30" x14ac:dyDescent="0.2">
      <c r="A93" s="68" t="str">
        <f ca="1">Demand!C90</f>
        <v/>
      </c>
      <c r="B93" s="68">
        <v>78</v>
      </c>
      <c r="C93" s="5">
        <f ca="1">'Demand background (hide)'!Y81</f>
        <v>0</v>
      </c>
      <c r="D93" s="68">
        <f t="shared" si="39"/>
        <v>0</v>
      </c>
      <c r="E93" s="68" t="e">
        <f t="shared" ca="1" si="40"/>
        <v>#N/A</v>
      </c>
      <c r="F93" s="68" t="e">
        <f t="shared" ca="1" si="41"/>
        <v>#N/A</v>
      </c>
      <c r="G93" s="68" t="e">
        <f t="shared" ca="1" si="42"/>
        <v>#N/A</v>
      </c>
      <c r="H93" s="68" t="e">
        <f>IF('Demand background (hide)'!AN81&lt;&gt;"",'SPC background (hide)'!C93,NA())</f>
        <v>#N/A</v>
      </c>
      <c r="I93" s="68"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8" t="e">
        <f t="shared" ca="1" si="57"/>
        <v>#N/A</v>
      </c>
      <c r="T93" s="68" t="e">
        <f t="shared" ca="1" si="58"/>
        <v>#N/A</v>
      </c>
      <c r="U93" s="68" t="e">
        <f t="shared" ca="1" si="59"/>
        <v>#N/A</v>
      </c>
      <c r="V93" s="5" t="e">
        <f t="shared" ca="1" si="38"/>
        <v>#N/A</v>
      </c>
      <c r="W93" s="5" t="e">
        <f t="shared" ca="1" si="52"/>
        <v>#N/A</v>
      </c>
      <c r="X93" s="68">
        <f t="shared" ca="1" si="53"/>
        <v>0</v>
      </c>
      <c r="Y93" s="68" t="e">
        <f t="shared" ca="1" si="60"/>
        <v>#N/A</v>
      </c>
      <c r="Z93" s="68" t="e">
        <f t="shared" ca="1" si="61"/>
        <v>#N/A</v>
      </c>
      <c r="AA93" s="5" t="str">
        <f>IF(Setup!$I$15="Yes",'Demand background (hide)'!AJ81+'SPC background (hide)'!C93,"")</f>
        <v/>
      </c>
      <c r="AC93" s="5" t="e">
        <f t="shared" ca="1" si="54"/>
        <v>#N/A</v>
      </c>
      <c r="AD93" s="5" t="e">
        <f t="shared" ca="1" si="55"/>
        <v>#N/A</v>
      </c>
    </row>
    <row r="94" spans="1:30" x14ac:dyDescent="0.2">
      <c r="A94" s="68" t="str">
        <f ca="1">Demand!C91</f>
        <v/>
      </c>
      <c r="B94" s="68">
        <v>79</v>
      </c>
      <c r="C94" s="5">
        <f ca="1">'Demand background (hide)'!Y82</f>
        <v>0</v>
      </c>
      <c r="D94" s="68">
        <f t="shared" si="39"/>
        <v>0</v>
      </c>
      <c r="E94" s="68" t="e">
        <f t="shared" ca="1" si="40"/>
        <v>#N/A</v>
      </c>
      <c r="F94" s="68" t="e">
        <f t="shared" ca="1" si="41"/>
        <v>#N/A</v>
      </c>
      <c r="G94" s="68" t="e">
        <f t="shared" ca="1" si="42"/>
        <v>#N/A</v>
      </c>
      <c r="H94" s="68" t="e">
        <f>IF('Demand background (hide)'!AN82&lt;&gt;"",'SPC background (hide)'!C94,NA())</f>
        <v>#N/A</v>
      </c>
      <c r="I94" s="68"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8" t="e">
        <f t="shared" ca="1" si="57"/>
        <v>#N/A</v>
      </c>
      <c r="T94" s="68" t="e">
        <f t="shared" ca="1" si="58"/>
        <v>#N/A</v>
      </c>
      <c r="U94" s="68" t="e">
        <f t="shared" ca="1" si="59"/>
        <v>#N/A</v>
      </c>
      <c r="V94" s="5" t="e">
        <f t="shared" ca="1" si="38"/>
        <v>#N/A</v>
      </c>
      <c r="W94" s="5" t="e">
        <f t="shared" ca="1" si="52"/>
        <v>#N/A</v>
      </c>
      <c r="X94" s="68">
        <f t="shared" ca="1" si="53"/>
        <v>0</v>
      </c>
      <c r="Y94" s="68" t="e">
        <f t="shared" ca="1" si="60"/>
        <v>#N/A</v>
      </c>
      <c r="Z94" s="68" t="e">
        <f t="shared" ca="1" si="61"/>
        <v>#N/A</v>
      </c>
      <c r="AA94" s="5" t="str">
        <f>IF(Setup!$I$15="Yes",'Demand background (hide)'!AJ82+'SPC background (hide)'!C94,"")</f>
        <v/>
      </c>
      <c r="AC94" s="5" t="e">
        <f t="shared" ca="1" si="54"/>
        <v>#N/A</v>
      </c>
      <c r="AD94" s="5" t="e">
        <f t="shared" ca="1" si="55"/>
        <v>#N/A</v>
      </c>
    </row>
    <row r="95" spans="1:30" x14ac:dyDescent="0.2">
      <c r="A95" s="68" t="str">
        <f ca="1">Demand!C92</f>
        <v/>
      </c>
      <c r="B95" s="68">
        <v>80</v>
      </c>
      <c r="C95" s="5">
        <f ca="1">'Demand background (hide)'!Y83</f>
        <v>0</v>
      </c>
      <c r="D95" s="68">
        <f t="shared" si="39"/>
        <v>0</v>
      </c>
      <c r="E95" s="68" t="e">
        <f t="shared" ca="1" si="40"/>
        <v>#N/A</v>
      </c>
      <c r="F95" s="68" t="e">
        <f t="shared" ca="1" si="41"/>
        <v>#N/A</v>
      </c>
      <c r="G95" s="68" t="e">
        <f t="shared" ca="1" si="42"/>
        <v>#N/A</v>
      </c>
      <c r="H95" s="68" t="e">
        <f>IF('Demand background (hide)'!AN83&lt;&gt;"",'SPC background (hide)'!C95,NA())</f>
        <v>#N/A</v>
      </c>
      <c r="I95" s="68"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8" t="e">
        <f t="shared" ca="1" si="57"/>
        <v>#N/A</v>
      </c>
      <c r="T95" s="68" t="e">
        <f t="shared" ca="1" si="58"/>
        <v>#N/A</v>
      </c>
      <c r="U95" s="68" t="e">
        <f t="shared" ca="1" si="59"/>
        <v>#N/A</v>
      </c>
      <c r="V95" s="5" t="e">
        <f t="shared" ca="1" si="38"/>
        <v>#N/A</v>
      </c>
      <c r="W95" s="5" t="e">
        <f t="shared" ca="1" si="52"/>
        <v>#N/A</v>
      </c>
      <c r="X95" s="68">
        <f t="shared" ca="1" si="53"/>
        <v>0</v>
      </c>
      <c r="Y95" s="68" t="e">
        <f t="shared" ca="1" si="60"/>
        <v>#N/A</v>
      </c>
      <c r="Z95" s="68" t="e">
        <f t="shared" ca="1" si="61"/>
        <v>#N/A</v>
      </c>
      <c r="AA95" s="5" t="str">
        <f>IF(Setup!$I$15="Yes",'Demand background (hide)'!AJ83+'SPC background (hide)'!C95,"")</f>
        <v/>
      </c>
      <c r="AC95" s="5" t="e">
        <f t="shared" ca="1" si="54"/>
        <v>#N/A</v>
      </c>
      <c r="AD95" s="5" t="e">
        <f t="shared" ca="1" si="55"/>
        <v>#N/A</v>
      </c>
    </row>
    <row r="96" spans="1:30" x14ac:dyDescent="0.2">
      <c r="A96" s="68" t="str">
        <f ca="1">Demand!C93</f>
        <v/>
      </c>
      <c r="B96" s="68">
        <v>81</v>
      </c>
      <c r="C96" s="5">
        <f ca="1">'Demand background (hide)'!Y84</f>
        <v>0</v>
      </c>
      <c r="D96" s="68">
        <f t="shared" si="39"/>
        <v>0</v>
      </c>
      <c r="E96" s="68" t="e">
        <f t="shared" ca="1" si="40"/>
        <v>#N/A</v>
      </c>
      <c r="F96" s="68" t="e">
        <f t="shared" ca="1" si="41"/>
        <v>#N/A</v>
      </c>
      <c r="G96" s="68" t="e">
        <f t="shared" ca="1" si="42"/>
        <v>#N/A</v>
      </c>
      <c r="H96" s="68" t="e">
        <f>IF('Demand background (hide)'!AN84&lt;&gt;"",'SPC background (hide)'!C96,NA())</f>
        <v>#N/A</v>
      </c>
      <c r="I96" s="68"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8" t="e">
        <f t="shared" ca="1" si="57"/>
        <v>#N/A</v>
      </c>
      <c r="T96" s="68" t="e">
        <f t="shared" ca="1" si="58"/>
        <v>#N/A</v>
      </c>
      <c r="U96" s="68" t="e">
        <f t="shared" ca="1" si="59"/>
        <v>#N/A</v>
      </c>
      <c r="V96" s="5" t="e">
        <f t="shared" ca="1" si="38"/>
        <v>#N/A</v>
      </c>
      <c r="W96" s="5" t="e">
        <f t="shared" ca="1" si="52"/>
        <v>#N/A</v>
      </c>
      <c r="X96" s="68">
        <f t="shared" ca="1" si="53"/>
        <v>0</v>
      </c>
      <c r="Y96" s="68" t="e">
        <f t="shared" ca="1" si="60"/>
        <v>#N/A</v>
      </c>
      <c r="Z96" s="68" t="e">
        <f t="shared" ca="1" si="61"/>
        <v>#N/A</v>
      </c>
      <c r="AA96" s="5" t="str">
        <f>IF(Setup!$I$15="Yes",'Demand background (hide)'!AJ84+'SPC background (hide)'!C96,"")</f>
        <v/>
      </c>
      <c r="AC96" s="5" t="e">
        <f t="shared" ca="1" si="54"/>
        <v>#N/A</v>
      </c>
      <c r="AD96" s="5" t="e">
        <f t="shared" ca="1" si="55"/>
        <v>#N/A</v>
      </c>
    </row>
    <row r="97" spans="1:30" x14ac:dyDescent="0.2">
      <c r="A97" s="68" t="str">
        <f ca="1">Demand!C94</f>
        <v/>
      </c>
      <c r="B97" s="68">
        <v>82</v>
      </c>
      <c r="C97" s="5">
        <f ca="1">'Demand background (hide)'!Y85</f>
        <v>0</v>
      </c>
      <c r="D97" s="68">
        <f t="shared" si="39"/>
        <v>0</v>
      </c>
      <c r="E97" s="68" t="e">
        <f t="shared" ca="1" si="40"/>
        <v>#N/A</v>
      </c>
      <c r="F97" s="68" t="e">
        <f t="shared" ca="1" si="41"/>
        <v>#N/A</v>
      </c>
      <c r="G97" s="68" t="e">
        <f t="shared" ca="1" si="42"/>
        <v>#N/A</v>
      </c>
      <c r="H97" s="68" t="e">
        <f>IF('Demand background (hide)'!AN85&lt;&gt;"",'SPC background (hide)'!C97,NA())</f>
        <v>#N/A</v>
      </c>
      <c r="I97" s="68"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8" t="e">
        <f t="shared" ca="1" si="57"/>
        <v>#N/A</v>
      </c>
      <c r="T97" s="68" t="e">
        <f t="shared" ca="1" si="58"/>
        <v>#N/A</v>
      </c>
      <c r="U97" s="68" t="e">
        <f t="shared" ca="1" si="59"/>
        <v>#N/A</v>
      </c>
      <c r="V97" s="5" t="e">
        <f t="shared" ca="1" si="38"/>
        <v>#N/A</v>
      </c>
      <c r="W97" s="5" t="e">
        <f t="shared" ca="1" si="52"/>
        <v>#N/A</v>
      </c>
      <c r="X97" s="68">
        <f t="shared" ca="1" si="53"/>
        <v>0</v>
      </c>
      <c r="Y97" s="68" t="e">
        <f t="shared" ca="1" si="60"/>
        <v>#N/A</v>
      </c>
      <c r="Z97" s="68" t="e">
        <f t="shared" ca="1" si="61"/>
        <v>#N/A</v>
      </c>
      <c r="AA97" s="5" t="str">
        <f>IF(Setup!$I$15="Yes",'Demand background (hide)'!AJ85+'SPC background (hide)'!C97,"")</f>
        <v/>
      </c>
      <c r="AC97" s="5" t="e">
        <f t="shared" ca="1" si="54"/>
        <v>#N/A</v>
      </c>
      <c r="AD97" s="5" t="e">
        <f t="shared" ca="1" si="55"/>
        <v>#N/A</v>
      </c>
    </row>
    <row r="98" spans="1:30" x14ac:dyDescent="0.2">
      <c r="A98" s="68" t="str">
        <f ca="1">Demand!C95</f>
        <v/>
      </c>
      <c r="B98" s="68">
        <v>83</v>
      </c>
      <c r="C98" s="5">
        <f ca="1">'Demand background (hide)'!Y86</f>
        <v>0</v>
      </c>
      <c r="D98" s="68">
        <f t="shared" si="39"/>
        <v>0</v>
      </c>
      <c r="E98" s="68" t="e">
        <f t="shared" ca="1" si="40"/>
        <v>#N/A</v>
      </c>
      <c r="F98" s="68" t="e">
        <f t="shared" ca="1" si="41"/>
        <v>#N/A</v>
      </c>
      <c r="G98" s="68" t="e">
        <f t="shared" ca="1" si="42"/>
        <v>#N/A</v>
      </c>
      <c r="H98" s="68" t="e">
        <f>IF('Demand background (hide)'!AN86&lt;&gt;"",'SPC background (hide)'!C98,NA())</f>
        <v>#N/A</v>
      </c>
      <c r="I98" s="68"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8" t="e">
        <f t="shared" ca="1" si="57"/>
        <v>#N/A</v>
      </c>
      <c r="T98" s="68" t="e">
        <f t="shared" ca="1" si="58"/>
        <v>#N/A</v>
      </c>
      <c r="U98" s="68" t="e">
        <f t="shared" ca="1" si="59"/>
        <v>#N/A</v>
      </c>
      <c r="V98" s="5" t="e">
        <f t="shared" ca="1" si="38"/>
        <v>#N/A</v>
      </c>
      <c r="W98" s="5" t="e">
        <f t="shared" ca="1" si="52"/>
        <v>#N/A</v>
      </c>
      <c r="X98" s="68">
        <f t="shared" ca="1" si="53"/>
        <v>0</v>
      </c>
      <c r="Y98" s="68" t="e">
        <f t="shared" ca="1" si="60"/>
        <v>#N/A</v>
      </c>
      <c r="Z98" s="68" t="e">
        <f t="shared" ca="1" si="61"/>
        <v>#N/A</v>
      </c>
      <c r="AA98" s="5" t="str">
        <f>IF(Setup!$I$15="Yes",'Demand background (hide)'!AJ86+'SPC background (hide)'!C98,"")</f>
        <v/>
      </c>
      <c r="AC98" s="5" t="e">
        <f t="shared" ca="1" si="54"/>
        <v>#N/A</v>
      </c>
      <c r="AD98" s="5" t="e">
        <f t="shared" ca="1" si="55"/>
        <v>#N/A</v>
      </c>
    </row>
    <row r="99" spans="1:30" x14ac:dyDescent="0.2">
      <c r="A99" s="68" t="str">
        <f ca="1">Demand!C96</f>
        <v/>
      </c>
      <c r="B99" s="68">
        <v>84</v>
      </c>
      <c r="C99" s="5">
        <f ca="1">'Demand background (hide)'!Y87</f>
        <v>0</v>
      </c>
      <c r="D99" s="68">
        <f t="shared" si="39"/>
        <v>0</v>
      </c>
      <c r="E99" s="68" t="e">
        <f t="shared" ca="1" si="40"/>
        <v>#N/A</v>
      </c>
      <c r="F99" s="68" t="e">
        <f t="shared" ca="1" si="41"/>
        <v>#N/A</v>
      </c>
      <c r="G99" s="68" t="e">
        <f t="shared" ca="1" si="42"/>
        <v>#N/A</v>
      </c>
      <c r="H99" s="68" t="e">
        <f>IF('Demand background (hide)'!AN87&lt;&gt;"",'SPC background (hide)'!C99,NA())</f>
        <v>#N/A</v>
      </c>
      <c r="I99" s="68"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8" t="e">
        <f t="shared" ca="1" si="57"/>
        <v>#N/A</v>
      </c>
      <c r="T99" s="68" t="e">
        <f t="shared" ca="1" si="58"/>
        <v>#N/A</v>
      </c>
      <c r="U99" s="68" t="e">
        <f t="shared" ca="1" si="59"/>
        <v>#N/A</v>
      </c>
      <c r="V99" s="5" t="e">
        <f t="shared" ca="1" si="38"/>
        <v>#N/A</v>
      </c>
      <c r="W99" s="5" t="e">
        <f t="shared" ca="1" si="52"/>
        <v>#N/A</v>
      </c>
      <c r="X99" s="68">
        <f t="shared" ca="1" si="53"/>
        <v>0</v>
      </c>
      <c r="Y99" s="68" t="e">
        <f t="shared" ca="1" si="60"/>
        <v>#N/A</v>
      </c>
      <c r="Z99" s="68" t="e">
        <f t="shared" ca="1" si="61"/>
        <v>#N/A</v>
      </c>
      <c r="AA99" s="5" t="str">
        <f>IF(Setup!$I$15="Yes",'Demand background (hide)'!AJ87+'SPC background (hide)'!C99,"")</f>
        <v/>
      </c>
      <c r="AC99" s="5" t="e">
        <f t="shared" ca="1" si="54"/>
        <v>#N/A</v>
      </c>
      <c r="AD99" s="5" t="e">
        <f t="shared" ca="1" si="55"/>
        <v>#N/A</v>
      </c>
    </row>
    <row r="100" spans="1:30" x14ac:dyDescent="0.2">
      <c r="A100" s="68" t="str">
        <f ca="1">Demand!C97</f>
        <v/>
      </c>
      <c r="B100" s="68">
        <v>85</v>
      </c>
      <c r="C100" s="5">
        <f ca="1">'Demand background (hide)'!Y88</f>
        <v>0</v>
      </c>
      <c r="D100" s="68">
        <f t="shared" si="39"/>
        <v>0</v>
      </c>
      <c r="E100" s="68" t="e">
        <f t="shared" ca="1" si="40"/>
        <v>#N/A</v>
      </c>
      <c r="F100" s="68" t="e">
        <f t="shared" ca="1" si="41"/>
        <v>#N/A</v>
      </c>
      <c r="G100" s="68" t="e">
        <f t="shared" ca="1" si="42"/>
        <v>#N/A</v>
      </c>
      <c r="H100" s="68" t="e">
        <f>IF('Demand background (hide)'!AN88&lt;&gt;"",'SPC background (hide)'!C100,NA())</f>
        <v>#N/A</v>
      </c>
      <c r="I100" s="68"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8" t="e">
        <f t="shared" ca="1" si="57"/>
        <v>#N/A</v>
      </c>
      <c r="T100" s="68" t="e">
        <f t="shared" ca="1" si="58"/>
        <v>#N/A</v>
      </c>
      <c r="U100" s="68" t="e">
        <f t="shared" ca="1" si="59"/>
        <v>#N/A</v>
      </c>
      <c r="V100" s="5" t="e">
        <f t="shared" ca="1" si="38"/>
        <v>#N/A</v>
      </c>
      <c r="W100" s="5" t="e">
        <f t="shared" ca="1" si="52"/>
        <v>#N/A</v>
      </c>
      <c r="X100" s="68">
        <f t="shared" ca="1" si="53"/>
        <v>0</v>
      </c>
      <c r="Y100" s="68" t="e">
        <f t="shared" ca="1" si="60"/>
        <v>#N/A</v>
      </c>
      <c r="Z100" s="68" t="e">
        <f t="shared" ca="1" si="61"/>
        <v>#N/A</v>
      </c>
      <c r="AA100" s="5" t="str">
        <f>IF(Setup!$I$15="Yes",'Demand background (hide)'!AJ88+'SPC background (hide)'!C100,"")</f>
        <v/>
      </c>
      <c r="AC100" s="5" t="e">
        <f t="shared" ca="1" si="54"/>
        <v>#N/A</v>
      </c>
      <c r="AD100" s="5" t="e">
        <f t="shared" ca="1" si="55"/>
        <v>#N/A</v>
      </c>
    </row>
    <row r="101" spans="1:30" x14ac:dyDescent="0.2">
      <c r="A101" s="68" t="str">
        <f ca="1">Demand!C98</f>
        <v/>
      </c>
      <c r="B101" s="68">
        <v>86</v>
      </c>
      <c r="C101" s="5">
        <f ca="1">'Demand background (hide)'!Y89</f>
        <v>0</v>
      </c>
      <c r="D101" s="68">
        <f t="shared" si="39"/>
        <v>0</v>
      </c>
      <c r="E101" s="68" t="e">
        <f t="shared" ca="1" si="40"/>
        <v>#N/A</v>
      </c>
      <c r="F101" s="68" t="e">
        <f t="shared" ca="1" si="41"/>
        <v>#N/A</v>
      </c>
      <c r="G101" s="68" t="e">
        <f t="shared" ca="1" si="42"/>
        <v>#N/A</v>
      </c>
      <c r="H101" s="68" t="e">
        <f>IF('Demand background (hide)'!AN89&lt;&gt;"",'SPC background (hide)'!C101,NA())</f>
        <v>#N/A</v>
      </c>
      <c r="I101" s="68"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8" t="e">
        <f t="shared" ca="1" si="57"/>
        <v>#N/A</v>
      </c>
      <c r="T101" s="68" t="e">
        <f t="shared" ca="1" si="58"/>
        <v>#N/A</v>
      </c>
      <c r="U101" s="68" t="e">
        <f t="shared" ca="1" si="59"/>
        <v>#N/A</v>
      </c>
      <c r="V101" s="5" t="e">
        <f t="shared" ca="1" si="38"/>
        <v>#N/A</v>
      </c>
      <c r="W101" s="5" t="e">
        <f t="shared" ca="1" si="52"/>
        <v>#N/A</v>
      </c>
      <c r="X101" s="68">
        <f t="shared" ca="1" si="53"/>
        <v>0</v>
      </c>
      <c r="Y101" s="68" t="e">
        <f t="shared" ca="1" si="60"/>
        <v>#N/A</v>
      </c>
      <c r="Z101" s="68" t="e">
        <f t="shared" ca="1" si="61"/>
        <v>#N/A</v>
      </c>
      <c r="AA101" s="5" t="str">
        <f>IF(Setup!$I$15="Yes",'Demand background (hide)'!AJ89+'SPC background (hide)'!C101,"")</f>
        <v/>
      </c>
      <c r="AC101" s="5" t="e">
        <f t="shared" ca="1" si="54"/>
        <v>#N/A</v>
      </c>
      <c r="AD101" s="5" t="e">
        <f t="shared" ca="1" si="55"/>
        <v>#N/A</v>
      </c>
    </row>
    <row r="102" spans="1:30" x14ac:dyDescent="0.2">
      <c r="A102" s="68" t="str">
        <f ca="1">Demand!C99</f>
        <v/>
      </c>
      <c r="B102" s="68">
        <v>87</v>
      </c>
      <c r="C102" s="5">
        <f ca="1">'Demand background (hide)'!Y90</f>
        <v>0</v>
      </c>
      <c r="D102" s="68">
        <f t="shared" si="39"/>
        <v>0</v>
      </c>
      <c r="E102" s="68" t="e">
        <f t="shared" ca="1" si="40"/>
        <v>#N/A</v>
      </c>
      <c r="F102" s="68" t="e">
        <f t="shared" ca="1" si="41"/>
        <v>#N/A</v>
      </c>
      <c r="G102" s="68" t="e">
        <f t="shared" ca="1" si="42"/>
        <v>#N/A</v>
      </c>
      <c r="H102" s="68" t="e">
        <f>IF('Demand background (hide)'!AN90&lt;&gt;"",'SPC background (hide)'!C102,NA())</f>
        <v>#N/A</v>
      </c>
      <c r="I102" s="68"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8" t="e">
        <f t="shared" ca="1" si="57"/>
        <v>#N/A</v>
      </c>
      <c r="T102" s="68" t="e">
        <f t="shared" ca="1" si="58"/>
        <v>#N/A</v>
      </c>
      <c r="U102" s="68" t="e">
        <f t="shared" ca="1" si="59"/>
        <v>#N/A</v>
      </c>
      <c r="V102" s="5" t="e">
        <f t="shared" ca="1" si="38"/>
        <v>#N/A</v>
      </c>
      <c r="W102" s="5" t="e">
        <f t="shared" ca="1" si="52"/>
        <v>#N/A</v>
      </c>
      <c r="X102" s="68">
        <f t="shared" ca="1" si="53"/>
        <v>0</v>
      </c>
      <c r="Y102" s="68" t="e">
        <f t="shared" ca="1" si="60"/>
        <v>#N/A</v>
      </c>
      <c r="Z102" s="68" t="e">
        <f t="shared" ca="1" si="61"/>
        <v>#N/A</v>
      </c>
      <c r="AA102" s="5" t="str">
        <f>IF(Setup!$I$15="Yes",'Demand background (hide)'!AJ90+'SPC background (hide)'!C102,"")</f>
        <v/>
      </c>
      <c r="AC102" s="5" t="e">
        <f t="shared" ca="1" si="54"/>
        <v>#N/A</v>
      </c>
      <c r="AD102" s="5" t="e">
        <f t="shared" ca="1" si="55"/>
        <v>#N/A</v>
      </c>
    </row>
    <row r="103" spans="1:30" x14ac:dyDescent="0.2">
      <c r="A103" s="68" t="str">
        <f ca="1">Demand!C100</f>
        <v/>
      </c>
      <c r="B103" s="68">
        <v>88</v>
      </c>
      <c r="C103" s="5">
        <f ca="1">'Demand background (hide)'!Y91</f>
        <v>0</v>
      </c>
      <c r="D103" s="68">
        <f t="shared" si="39"/>
        <v>0</v>
      </c>
      <c r="E103" s="68" t="e">
        <f t="shared" ca="1" si="40"/>
        <v>#N/A</v>
      </c>
      <c r="F103" s="68" t="e">
        <f t="shared" ca="1" si="41"/>
        <v>#N/A</v>
      </c>
      <c r="G103" s="68" t="e">
        <f t="shared" ca="1" si="42"/>
        <v>#N/A</v>
      </c>
      <c r="H103" s="68" t="e">
        <f>IF('Demand background (hide)'!AN91&lt;&gt;"",'SPC background (hide)'!C103,NA())</f>
        <v>#N/A</v>
      </c>
      <c r="I103" s="68"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8" t="e">
        <f t="shared" ca="1" si="57"/>
        <v>#N/A</v>
      </c>
      <c r="T103" s="68" t="e">
        <f t="shared" ca="1" si="58"/>
        <v>#N/A</v>
      </c>
      <c r="U103" s="68" t="e">
        <f t="shared" ca="1" si="59"/>
        <v>#N/A</v>
      </c>
      <c r="V103" s="5" t="e">
        <f t="shared" ca="1" si="38"/>
        <v>#N/A</v>
      </c>
      <c r="W103" s="5" t="e">
        <f t="shared" ca="1" si="52"/>
        <v>#N/A</v>
      </c>
      <c r="X103" s="68">
        <f t="shared" ca="1" si="53"/>
        <v>0</v>
      </c>
      <c r="Y103" s="68" t="e">
        <f t="shared" ca="1" si="60"/>
        <v>#N/A</v>
      </c>
      <c r="Z103" s="68" t="e">
        <f t="shared" ca="1" si="61"/>
        <v>#N/A</v>
      </c>
      <c r="AA103" s="5" t="str">
        <f>IF(Setup!$I$15="Yes",'Demand background (hide)'!AJ91+'SPC background (hide)'!C103,"")</f>
        <v/>
      </c>
      <c r="AC103" s="5" t="e">
        <f t="shared" ca="1" si="54"/>
        <v>#N/A</v>
      </c>
      <c r="AD103" s="5" t="e">
        <f t="shared" ca="1" si="55"/>
        <v>#N/A</v>
      </c>
    </row>
    <row r="104" spans="1:30" x14ac:dyDescent="0.2">
      <c r="A104" s="68" t="str">
        <f ca="1">Demand!C101</f>
        <v/>
      </c>
      <c r="B104" s="68">
        <v>89</v>
      </c>
      <c r="C104" s="5">
        <f ca="1">'Demand background (hide)'!Y92</f>
        <v>0</v>
      </c>
      <c r="D104" s="68">
        <f t="shared" si="39"/>
        <v>0</v>
      </c>
      <c r="E104" s="68" t="e">
        <f t="shared" ca="1" si="40"/>
        <v>#N/A</v>
      </c>
      <c r="F104" s="68" t="e">
        <f t="shared" ca="1" si="41"/>
        <v>#N/A</v>
      </c>
      <c r="G104" s="68" t="e">
        <f t="shared" ca="1" si="42"/>
        <v>#N/A</v>
      </c>
      <c r="H104" s="68" t="e">
        <f>IF('Demand background (hide)'!AN92&lt;&gt;"",'SPC background (hide)'!C104,NA())</f>
        <v>#N/A</v>
      </c>
      <c r="I104" s="68"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8" t="e">
        <f t="shared" ca="1" si="57"/>
        <v>#N/A</v>
      </c>
      <c r="T104" s="68" t="e">
        <f t="shared" ca="1" si="58"/>
        <v>#N/A</v>
      </c>
      <c r="U104" s="68" t="e">
        <f t="shared" ca="1" si="59"/>
        <v>#N/A</v>
      </c>
      <c r="V104" s="5" t="e">
        <f t="shared" ca="1" si="38"/>
        <v>#N/A</v>
      </c>
      <c r="W104" s="5" t="e">
        <f t="shared" ca="1" si="52"/>
        <v>#N/A</v>
      </c>
      <c r="X104" s="68">
        <f t="shared" ca="1" si="53"/>
        <v>0</v>
      </c>
      <c r="Y104" s="68" t="e">
        <f t="shared" ca="1" si="60"/>
        <v>#N/A</v>
      </c>
      <c r="Z104" s="68" t="e">
        <f t="shared" ca="1" si="61"/>
        <v>#N/A</v>
      </c>
      <c r="AA104" s="5" t="str">
        <f>IF(Setup!$I$15="Yes",'Demand background (hide)'!AJ92+'SPC background (hide)'!C104,"")</f>
        <v/>
      </c>
      <c r="AC104" s="5" t="e">
        <f t="shared" ca="1" si="54"/>
        <v>#N/A</v>
      </c>
      <c r="AD104" s="5" t="e">
        <f t="shared" ca="1" si="55"/>
        <v>#N/A</v>
      </c>
    </row>
    <row r="105" spans="1:30" x14ac:dyDescent="0.2">
      <c r="A105" s="68" t="str">
        <f ca="1">Demand!C102</f>
        <v/>
      </c>
      <c r="B105" s="68">
        <v>90</v>
      </c>
      <c r="C105" s="5">
        <f ca="1">'Demand background (hide)'!Y93</f>
        <v>0</v>
      </c>
      <c r="D105" s="68">
        <f t="shared" si="39"/>
        <v>0</v>
      </c>
      <c r="E105" s="68" t="e">
        <f t="shared" ca="1" si="40"/>
        <v>#N/A</v>
      </c>
      <c r="F105" s="68" t="e">
        <f t="shared" ca="1" si="41"/>
        <v>#N/A</v>
      </c>
      <c r="G105" s="68" t="e">
        <f t="shared" ca="1" si="42"/>
        <v>#N/A</v>
      </c>
      <c r="H105" s="68" t="e">
        <f>IF('Demand background (hide)'!AN93&lt;&gt;"",'SPC background (hide)'!C105,NA())</f>
        <v>#N/A</v>
      </c>
      <c r="I105" s="68"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8" t="e">
        <f t="shared" ca="1" si="57"/>
        <v>#N/A</v>
      </c>
      <c r="T105" s="68" t="e">
        <f t="shared" ca="1" si="58"/>
        <v>#N/A</v>
      </c>
      <c r="U105" s="68" t="e">
        <f t="shared" ca="1" si="59"/>
        <v>#N/A</v>
      </c>
      <c r="V105" s="5" t="e">
        <f t="shared" ca="1" si="38"/>
        <v>#N/A</v>
      </c>
      <c r="W105" s="5" t="e">
        <f t="shared" ca="1" si="52"/>
        <v>#N/A</v>
      </c>
      <c r="X105" s="68">
        <f t="shared" ca="1" si="53"/>
        <v>0</v>
      </c>
      <c r="Y105" s="68" t="e">
        <f t="shared" ca="1" si="60"/>
        <v>#N/A</v>
      </c>
      <c r="Z105" s="68" t="e">
        <f t="shared" ca="1" si="61"/>
        <v>#N/A</v>
      </c>
      <c r="AA105" s="5" t="str">
        <f>IF(Setup!$I$15="Yes",'Demand background (hide)'!AJ93+'SPC background (hide)'!C105,"")</f>
        <v/>
      </c>
      <c r="AC105" s="5" t="e">
        <f t="shared" ca="1" si="54"/>
        <v>#N/A</v>
      </c>
      <c r="AD105" s="5" t="e">
        <f t="shared" ca="1" si="55"/>
        <v>#N/A</v>
      </c>
    </row>
    <row r="106" spans="1:30" x14ac:dyDescent="0.2">
      <c r="A106" s="68" t="str">
        <f ca="1">Demand!C103</f>
        <v/>
      </c>
      <c r="B106" s="68">
        <v>91</v>
      </c>
      <c r="C106" s="5">
        <f ca="1">'Demand background (hide)'!Y94</f>
        <v>0</v>
      </c>
      <c r="D106" s="68">
        <f t="shared" si="39"/>
        <v>0</v>
      </c>
      <c r="E106" s="68" t="e">
        <f t="shared" ca="1" si="40"/>
        <v>#N/A</v>
      </c>
      <c r="F106" s="68" t="e">
        <f t="shared" ca="1" si="41"/>
        <v>#N/A</v>
      </c>
      <c r="G106" s="68" t="e">
        <f t="shared" ca="1" si="42"/>
        <v>#N/A</v>
      </c>
      <c r="H106" s="68" t="e">
        <f>IF('Demand background (hide)'!AN94&lt;&gt;"",'SPC background (hide)'!C106,NA())</f>
        <v>#N/A</v>
      </c>
      <c r="I106" s="68"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8" t="e">
        <f t="shared" ca="1" si="57"/>
        <v>#N/A</v>
      </c>
      <c r="T106" s="68" t="e">
        <f t="shared" ca="1" si="58"/>
        <v>#N/A</v>
      </c>
      <c r="U106" s="68" t="e">
        <f t="shared" ca="1" si="59"/>
        <v>#N/A</v>
      </c>
      <c r="V106" s="5" t="e">
        <f t="shared" ca="1" si="38"/>
        <v>#N/A</v>
      </c>
      <c r="W106" s="5" t="e">
        <f t="shared" ca="1" si="52"/>
        <v>#N/A</v>
      </c>
      <c r="X106" s="68">
        <f t="shared" ca="1" si="53"/>
        <v>0</v>
      </c>
      <c r="Y106" s="68" t="e">
        <f t="shared" ca="1" si="60"/>
        <v>#N/A</v>
      </c>
      <c r="Z106" s="68" t="e">
        <f t="shared" ca="1" si="61"/>
        <v>#N/A</v>
      </c>
      <c r="AA106" s="5" t="str">
        <f>IF(Setup!$I$15="Yes",'Demand background (hide)'!AJ94+'SPC background (hide)'!C106,"")</f>
        <v/>
      </c>
      <c r="AC106" s="5" t="e">
        <f t="shared" ca="1" si="54"/>
        <v>#N/A</v>
      </c>
      <c r="AD106" s="5" t="e">
        <f t="shared" ca="1" si="55"/>
        <v>#N/A</v>
      </c>
    </row>
    <row r="107" spans="1:30" x14ac:dyDescent="0.2">
      <c r="A107" s="68" t="str">
        <f ca="1">Demand!C104</f>
        <v/>
      </c>
      <c r="B107" s="68">
        <v>92</v>
      </c>
      <c r="C107" s="5">
        <f ca="1">'Demand background (hide)'!Y95</f>
        <v>0</v>
      </c>
      <c r="D107" s="68">
        <f t="shared" si="39"/>
        <v>0</v>
      </c>
      <c r="E107" s="68" t="e">
        <f t="shared" ca="1" si="40"/>
        <v>#N/A</v>
      </c>
      <c r="F107" s="68" t="e">
        <f t="shared" ca="1" si="41"/>
        <v>#N/A</v>
      </c>
      <c r="G107" s="68" t="e">
        <f t="shared" ca="1" si="42"/>
        <v>#N/A</v>
      </c>
      <c r="H107" s="68" t="e">
        <f>IF('Demand background (hide)'!AN95&lt;&gt;"",'SPC background (hide)'!C107,NA())</f>
        <v>#N/A</v>
      </c>
      <c r="I107" s="68"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8" t="e">
        <f t="shared" ca="1" si="57"/>
        <v>#N/A</v>
      </c>
      <c r="T107" s="68" t="e">
        <f t="shared" ca="1" si="58"/>
        <v>#N/A</v>
      </c>
      <c r="U107" s="68" t="e">
        <f t="shared" ca="1" si="59"/>
        <v>#N/A</v>
      </c>
      <c r="V107" s="5" t="e">
        <f t="shared" ca="1" si="38"/>
        <v>#N/A</v>
      </c>
      <c r="W107" s="5" t="e">
        <f t="shared" ca="1" si="52"/>
        <v>#N/A</v>
      </c>
      <c r="X107" s="68">
        <f t="shared" ca="1" si="53"/>
        <v>0</v>
      </c>
      <c r="Y107" s="68" t="e">
        <f t="shared" ca="1" si="60"/>
        <v>#N/A</v>
      </c>
      <c r="Z107" s="68" t="e">
        <f t="shared" ca="1" si="61"/>
        <v>#N/A</v>
      </c>
      <c r="AA107" s="5" t="str">
        <f>IF(Setup!$I$15="Yes",'Demand background (hide)'!AJ95+'SPC background (hide)'!C107,"")</f>
        <v/>
      </c>
      <c r="AC107" s="5" t="e">
        <f t="shared" ca="1" si="54"/>
        <v>#N/A</v>
      </c>
      <c r="AD107" s="5" t="e">
        <f t="shared" ca="1" si="55"/>
        <v>#N/A</v>
      </c>
    </row>
    <row r="108" spans="1:30" x14ac:dyDescent="0.2">
      <c r="A108" s="68" t="str">
        <f ca="1">Demand!C105</f>
        <v/>
      </c>
      <c r="B108" s="68">
        <v>93</v>
      </c>
      <c r="C108" s="5">
        <f ca="1">'Demand background (hide)'!Y96</f>
        <v>0</v>
      </c>
      <c r="D108" s="68">
        <f t="shared" si="39"/>
        <v>0</v>
      </c>
      <c r="E108" s="68" t="e">
        <f t="shared" ca="1" si="40"/>
        <v>#N/A</v>
      </c>
      <c r="F108" s="68" t="e">
        <f t="shared" ca="1" si="41"/>
        <v>#N/A</v>
      </c>
      <c r="G108" s="68" t="e">
        <f t="shared" ca="1" si="42"/>
        <v>#N/A</v>
      </c>
      <c r="H108" s="68" t="e">
        <f>IF('Demand background (hide)'!AN96&lt;&gt;"",'SPC background (hide)'!C108,NA())</f>
        <v>#N/A</v>
      </c>
      <c r="I108" s="68"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8" t="e">
        <f t="shared" ca="1" si="57"/>
        <v>#N/A</v>
      </c>
      <c r="T108" s="68" t="e">
        <f t="shared" ca="1" si="58"/>
        <v>#N/A</v>
      </c>
      <c r="U108" s="68" t="e">
        <f t="shared" ca="1" si="59"/>
        <v>#N/A</v>
      </c>
      <c r="V108" s="5" t="e">
        <f t="shared" ca="1" si="38"/>
        <v>#N/A</v>
      </c>
      <c r="W108" s="5" t="e">
        <f t="shared" ca="1" si="52"/>
        <v>#N/A</v>
      </c>
      <c r="X108" s="68">
        <f t="shared" ca="1" si="53"/>
        <v>0</v>
      </c>
      <c r="Y108" s="68" t="e">
        <f t="shared" ca="1" si="60"/>
        <v>#N/A</v>
      </c>
      <c r="Z108" s="68" t="e">
        <f t="shared" ca="1" si="61"/>
        <v>#N/A</v>
      </c>
      <c r="AA108" s="5" t="str">
        <f>IF(Setup!$I$15="Yes",'Demand background (hide)'!AJ96+'SPC background (hide)'!C108,"")</f>
        <v/>
      </c>
      <c r="AC108" s="5" t="e">
        <f t="shared" ca="1" si="54"/>
        <v>#N/A</v>
      </c>
      <c r="AD108" s="5" t="e">
        <f t="shared" ca="1" si="55"/>
        <v>#N/A</v>
      </c>
    </row>
    <row r="109" spans="1:30" x14ac:dyDescent="0.2">
      <c r="A109" s="68" t="str">
        <f ca="1">Demand!C106</f>
        <v/>
      </c>
      <c r="B109" s="68">
        <v>94</v>
      </c>
      <c r="C109" s="5">
        <f ca="1">'Demand background (hide)'!Y97</f>
        <v>0</v>
      </c>
      <c r="D109" s="68">
        <f t="shared" si="39"/>
        <v>0</v>
      </c>
      <c r="E109" s="68" t="e">
        <f t="shared" ca="1" si="40"/>
        <v>#N/A</v>
      </c>
      <c r="F109" s="68" t="e">
        <f t="shared" ca="1" si="41"/>
        <v>#N/A</v>
      </c>
      <c r="G109" s="68" t="e">
        <f t="shared" ca="1" si="42"/>
        <v>#N/A</v>
      </c>
      <c r="H109" s="68" t="e">
        <f>IF('Demand background (hide)'!AN97&lt;&gt;"",'SPC background (hide)'!C109,NA())</f>
        <v>#N/A</v>
      </c>
      <c r="I109" s="68"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8" t="e">
        <f t="shared" ca="1" si="57"/>
        <v>#N/A</v>
      </c>
      <c r="T109" s="68" t="e">
        <f t="shared" ca="1" si="58"/>
        <v>#N/A</v>
      </c>
      <c r="U109" s="68" t="e">
        <f t="shared" ca="1" si="59"/>
        <v>#N/A</v>
      </c>
      <c r="V109" s="5" t="e">
        <f t="shared" ca="1" si="38"/>
        <v>#N/A</v>
      </c>
      <c r="W109" s="5" t="e">
        <f t="shared" ca="1" si="52"/>
        <v>#N/A</v>
      </c>
      <c r="X109" s="68">
        <f t="shared" ca="1" si="53"/>
        <v>0</v>
      </c>
      <c r="Y109" s="68" t="e">
        <f t="shared" ca="1" si="60"/>
        <v>#N/A</v>
      </c>
      <c r="Z109" s="68" t="e">
        <f t="shared" ca="1" si="61"/>
        <v>#N/A</v>
      </c>
      <c r="AA109" s="5" t="str">
        <f>IF(Setup!$I$15="Yes",'Demand background (hide)'!AJ97+'SPC background (hide)'!C109,"")</f>
        <v/>
      </c>
      <c r="AC109" s="5" t="e">
        <f t="shared" ca="1" si="54"/>
        <v>#N/A</v>
      </c>
      <c r="AD109" s="5" t="e">
        <f t="shared" ca="1" si="55"/>
        <v>#N/A</v>
      </c>
    </row>
    <row r="110" spans="1:30" x14ac:dyDescent="0.2">
      <c r="A110" s="68" t="str">
        <f ca="1">Demand!C107</f>
        <v/>
      </c>
      <c r="B110" s="68">
        <v>95</v>
      </c>
      <c r="C110" s="5">
        <f ca="1">'Demand background (hide)'!Y98</f>
        <v>0</v>
      </c>
      <c r="D110" s="68">
        <f t="shared" si="39"/>
        <v>0</v>
      </c>
      <c r="E110" s="68" t="e">
        <f t="shared" ca="1" si="40"/>
        <v>#N/A</v>
      </c>
      <c r="F110" s="68" t="e">
        <f t="shared" ca="1" si="41"/>
        <v>#N/A</v>
      </c>
      <c r="G110" s="68" t="e">
        <f t="shared" ca="1" si="42"/>
        <v>#N/A</v>
      </c>
      <c r="H110" s="68" t="e">
        <f>IF('Demand background (hide)'!AN98&lt;&gt;"",'SPC background (hide)'!C110,NA())</f>
        <v>#N/A</v>
      </c>
      <c r="I110" s="68"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8" t="e">
        <f t="shared" ca="1" si="57"/>
        <v>#N/A</v>
      </c>
      <c r="T110" s="68" t="e">
        <f t="shared" ca="1" si="58"/>
        <v>#N/A</v>
      </c>
      <c r="U110" s="68" t="e">
        <f t="shared" ca="1" si="59"/>
        <v>#N/A</v>
      </c>
      <c r="V110" s="5" t="e">
        <f t="shared" ca="1" si="38"/>
        <v>#N/A</v>
      </c>
      <c r="W110" s="5" t="e">
        <f t="shared" ca="1" si="52"/>
        <v>#N/A</v>
      </c>
      <c r="X110" s="68">
        <f t="shared" ca="1" si="53"/>
        <v>0</v>
      </c>
      <c r="Y110" s="68" t="e">
        <f t="shared" ca="1" si="60"/>
        <v>#N/A</v>
      </c>
      <c r="Z110" s="68" t="e">
        <f t="shared" ca="1" si="61"/>
        <v>#N/A</v>
      </c>
      <c r="AA110" s="5" t="str">
        <f>IF(Setup!$I$15="Yes",'Demand background (hide)'!AJ98+'SPC background (hide)'!C110,"")</f>
        <v/>
      </c>
      <c r="AC110" s="5" t="e">
        <f t="shared" ca="1" si="54"/>
        <v>#N/A</v>
      </c>
      <c r="AD110" s="5" t="e">
        <f t="shared" ca="1" si="55"/>
        <v>#N/A</v>
      </c>
    </row>
    <row r="111" spans="1:30" x14ac:dyDescent="0.2">
      <c r="A111" s="68" t="str">
        <f ca="1">Demand!C108</f>
        <v/>
      </c>
      <c r="B111" s="68">
        <v>96</v>
      </c>
      <c r="C111" s="5">
        <f ca="1">'Demand background (hide)'!Y99</f>
        <v>0</v>
      </c>
      <c r="D111" s="68">
        <f t="shared" si="39"/>
        <v>0</v>
      </c>
      <c r="E111" s="68" t="e">
        <f t="shared" ca="1" si="40"/>
        <v>#N/A</v>
      </c>
      <c r="F111" s="68" t="e">
        <f t="shared" ca="1" si="41"/>
        <v>#N/A</v>
      </c>
      <c r="G111" s="68" t="e">
        <f t="shared" ca="1" si="42"/>
        <v>#N/A</v>
      </c>
      <c r="H111" s="68" t="e">
        <f>IF('Demand background (hide)'!AN99&lt;&gt;"",'SPC background (hide)'!C111,NA())</f>
        <v>#N/A</v>
      </c>
      <c r="I111" s="68"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8" t="e">
        <f t="shared" ca="1" si="57"/>
        <v>#N/A</v>
      </c>
      <c r="T111" s="68" t="e">
        <f t="shared" ca="1" si="58"/>
        <v>#N/A</v>
      </c>
      <c r="U111" s="68" t="e">
        <f t="shared" ca="1" si="59"/>
        <v>#N/A</v>
      </c>
      <c r="V111" s="5" t="e">
        <f t="shared" ca="1" si="38"/>
        <v>#N/A</v>
      </c>
      <c r="W111" s="5" t="e">
        <f t="shared" ca="1" si="52"/>
        <v>#N/A</v>
      </c>
      <c r="X111" s="68">
        <f t="shared" ca="1" si="53"/>
        <v>0</v>
      </c>
      <c r="Y111" s="68" t="e">
        <f t="shared" ca="1" si="60"/>
        <v>#N/A</v>
      </c>
      <c r="Z111" s="68" t="e">
        <f t="shared" ca="1" si="61"/>
        <v>#N/A</v>
      </c>
      <c r="AA111" s="5" t="str">
        <f>IF(Setup!$I$15="Yes",'Demand background (hide)'!AJ99+'SPC background (hide)'!C111,"")</f>
        <v/>
      </c>
      <c r="AC111" s="5" t="e">
        <f t="shared" ca="1" si="54"/>
        <v>#N/A</v>
      </c>
      <c r="AD111" s="5" t="e">
        <f t="shared" ca="1" si="55"/>
        <v>#N/A</v>
      </c>
    </row>
    <row r="112" spans="1:30" x14ac:dyDescent="0.2">
      <c r="A112" s="68" t="str">
        <f ca="1">Demand!C109</f>
        <v/>
      </c>
      <c r="B112" s="68">
        <v>97</v>
      </c>
      <c r="C112" s="5">
        <f ca="1">'Demand background (hide)'!Y100</f>
        <v>0</v>
      </c>
      <c r="D112" s="68">
        <f t="shared" si="39"/>
        <v>0</v>
      </c>
      <c r="E112" s="68" t="e">
        <f t="shared" ca="1" si="40"/>
        <v>#N/A</v>
      </c>
      <c r="F112" s="68" t="e">
        <f t="shared" ca="1" si="41"/>
        <v>#N/A</v>
      </c>
      <c r="G112" s="68" t="e">
        <f t="shared" ca="1" si="42"/>
        <v>#N/A</v>
      </c>
      <c r="H112" s="68" t="e">
        <f>IF('Demand background (hide)'!AN100&lt;&gt;"",'SPC background (hide)'!C112,NA())</f>
        <v>#N/A</v>
      </c>
      <c r="I112" s="68"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8" t="e">
        <f t="shared" ca="1" si="57"/>
        <v>#N/A</v>
      </c>
      <c r="T112" s="68" t="e">
        <f t="shared" ca="1" si="58"/>
        <v>#N/A</v>
      </c>
      <c r="U112" s="68" t="e">
        <f t="shared" ca="1" si="59"/>
        <v>#N/A</v>
      </c>
      <c r="V112" s="5" t="e">
        <f t="shared" ca="1" si="38"/>
        <v>#N/A</v>
      </c>
      <c r="W112" s="5" t="e">
        <f t="shared" ca="1" si="52"/>
        <v>#N/A</v>
      </c>
      <c r="X112" s="68">
        <f t="shared" ca="1" si="53"/>
        <v>0</v>
      </c>
      <c r="Y112" s="68" t="e">
        <f t="shared" ca="1" si="60"/>
        <v>#N/A</v>
      </c>
      <c r="Z112" s="68" t="e">
        <f t="shared" ca="1" si="61"/>
        <v>#N/A</v>
      </c>
      <c r="AA112" s="5" t="str">
        <f>IF(Setup!$I$15="Yes",'Demand background (hide)'!AJ100+'SPC background (hide)'!C112,"")</f>
        <v/>
      </c>
      <c r="AC112" s="5" t="e">
        <f t="shared" ca="1" si="54"/>
        <v>#N/A</v>
      </c>
      <c r="AD112" s="5" t="e">
        <f t="shared" ca="1" si="55"/>
        <v>#N/A</v>
      </c>
    </row>
    <row r="113" spans="1:30" x14ac:dyDescent="0.2">
      <c r="A113" s="68" t="str">
        <f ca="1">Demand!C110</f>
        <v/>
      </c>
      <c r="B113" s="68">
        <v>98</v>
      </c>
      <c r="C113" s="5">
        <f ca="1">'Demand background (hide)'!Y101</f>
        <v>0</v>
      </c>
      <c r="D113" s="68">
        <f t="shared" si="39"/>
        <v>0</v>
      </c>
      <c r="E113" s="68" t="e">
        <f t="shared" ca="1" si="40"/>
        <v>#N/A</v>
      </c>
      <c r="F113" s="68" t="e">
        <f t="shared" ca="1" si="41"/>
        <v>#N/A</v>
      </c>
      <c r="G113" s="68" t="e">
        <f t="shared" ca="1" si="42"/>
        <v>#N/A</v>
      </c>
      <c r="H113" s="68" t="e">
        <f>IF('Demand background (hide)'!AN101&lt;&gt;"",'SPC background (hide)'!C113,NA())</f>
        <v>#N/A</v>
      </c>
      <c r="I113" s="68"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8" t="e">
        <f t="shared" ca="1" si="57"/>
        <v>#N/A</v>
      </c>
      <c r="T113" s="68" t="e">
        <f t="shared" ca="1" si="58"/>
        <v>#N/A</v>
      </c>
      <c r="U113" s="68" t="e">
        <f t="shared" ca="1" si="59"/>
        <v>#N/A</v>
      </c>
      <c r="V113" s="5" t="e">
        <f t="shared" ca="1" si="38"/>
        <v>#N/A</v>
      </c>
      <c r="W113" s="5" t="e">
        <f t="shared" ca="1" si="52"/>
        <v>#N/A</v>
      </c>
      <c r="X113" s="68">
        <f t="shared" ca="1" si="53"/>
        <v>0</v>
      </c>
      <c r="Y113" s="68" t="e">
        <f t="shared" ca="1" si="60"/>
        <v>#N/A</v>
      </c>
      <c r="Z113" s="68" t="e">
        <f t="shared" ca="1" si="61"/>
        <v>#N/A</v>
      </c>
      <c r="AA113" s="5" t="str">
        <f>IF(Setup!$I$15="Yes",'Demand background (hide)'!AJ101+'SPC background (hide)'!C113,"")</f>
        <v/>
      </c>
      <c r="AC113" s="5" t="e">
        <f t="shared" ca="1" si="54"/>
        <v>#N/A</v>
      </c>
      <c r="AD113" s="5" t="e">
        <f t="shared" ca="1" si="55"/>
        <v>#N/A</v>
      </c>
    </row>
    <row r="114" spans="1:30" x14ac:dyDescent="0.2">
      <c r="A114" s="68" t="str">
        <f ca="1">Demand!C111</f>
        <v/>
      </c>
      <c r="B114" s="68">
        <v>99</v>
      </c>
      <c r="C114" s="5">
        <f ca="1">'Demand background (hide)'!Y102</f>
        <v>0</v>
      </c>
      <c r="D114" s="68">
        <f t="shared" si="39"/>
        <v>0</v>
      </c>
      <c r="E114" s="68" t="e">
        <f t="shared" ca="1" si="40"/>
        <v>#N/A</v>
      </c>
      <c r="F114" s="68" t="e">
        <f t="shared" ca="1" si="41"/>
        <v>#N/A</v>
      </c>
      <c r="G114" s="68" t="e">
        <f t="shared" ca="1" si="42"/>
        <v>#N/A</v>
      </c>
      <c r="H114" s="68" t="e">
        <f>IF('Demand background (hide)'!AN102&lt;&gt;"",'SPC background (hide)'!C114,NA())</f>
        <v>#N/A</v>
      </c>
      <c r="I114" s="68"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8" t="e">
        <f t="shared" ca="1" si="57"/>
        <v>#N/A</v>
      </c>
      <c r="T114" s="68" t="e">
        <f t="shared" ca="1" si="58"/>
        <v>#N/A</v>
      </c>
      <c r="U114" s="68" t="e">
        <f t="shared" ca="1" si="59"/>
        <v>#N/A</v>
      </c>
      <c r="V114" s="5" t="e">
        <f t="shared" ca="1" si="38"/>
        <v>#N/A</v>
      </c>
      <c r="W114" s="5" t="e">
        <f t="shared" ca="1" si="52"/>
        <v>#N/A</v>
      </c>
      <c r="X114" s="68">
        <f t="shared" ca="1" si="53"/>
        <v>0</v>
      </c>
      <c r="Y114" s="68" t="e">
        <f t="shared" ca="1" si="60"/>
        <v>#N/A</v>
      </c>
      <c r="Z114" s="68" t="e">
        <f t="shared" ca="1" si="61"/>
        <v>#N/A</v>
      </c>
      <c r="AA114" s="5" t="str">
        <f>IF(Setup!$I$15="Yes",'Demand background (hide)'!AJ102+'SPC background (hide)'!C114,"")</f>
        <v/>
      </c>
      <c r="AC114" s="5" t="e">
        <f t="shared" ca="1" si="54"/>
        <v>#N/A</v>
      </c>
      <c r="AD114" s="5" t="e">
        <f t="shared" ca="1" si="55"/>
        <v>#N/A</v>
      </c>
    </row>
    <row r="115" spans="1:30" x14ac:dyDescent="0.2">
      <c r="A115" s="68" t="str">
        <f ca="1">Demand!C112</f>
        <v/>
      </c>
      <c r="B115" s="68">
        <v>100</v>
      </c>
      <c r="C115" s="5">
        <f ca="1">'Demand background (hide)'!Y103</f>
        <v>0</v>
      </c>
      <c r="D115" s="68">
        <f t="shared" si="39"/>
        <v>0</v>
      </c>
      <c r="E115" s="68" t="e">
        <f t="shared" ca="1" si="40"/>
        <v>#N/A</v>
      </c>
      <c r="F115" s="68" t="e">
        <f t="shared" ca="1" si="41"/>
        <v>#N/A</v>
      </c>
      <c r="G115" s="68" t="e">
        <f t="shared" ca="1" si="42"/>
        <v>#N/A</v>
      </c>
      <c r="H115" s="68" t="e">
        <f>IF('Demand background (hide)'!AN103&lt;&gt;"",'SPC background (hide)'!C115,NA())</f>
        <v>#N/A</v>
      </c>
      <c r="I115" s="68"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8" t="e">
        <f t="shared" ca="1" si="57"/>
        <v>#N/A</v>
      </c>
      <c r="T115" s="68" t="e">
        <f t="shared" ca="1" si="58"/>
        <v>#N/A</v>
      </c>
      <c r="U115" s="68" t="e">
        <f t="shared" ca="1" si="59"/>
        <v>#N/A</v>
      </c>
      <c r="V115" s="5" t="e">
        <f t="shared" ca="1" si="38"/>
        <v>#N/A</v>
      </c>
      <c r="W115" s="5" t="e">
        <f t="shared" ca="1" si="52"/>
        <v>#N/A</v>
      </c>
      <c r="X115" s="68">
        <f t="shared" ca="1" si="53"/>
        <v>0</v>
      </c>
      <c r="Y115" s="68" t="e">
        <f t="shared" ca="1" si="60"/>
        <v>#N/A</v>
      </c>
      <c r="Z115" s="68" t="e">
        <f t="shared" ca="1" si="61"/>
        <v>#N/A</v>
      </c>
      <c r="AA115" s="5" t="str">
        <f>IF(Setup!$I$15="Yes",'Demand background (hide)'!AJ103+'SPC background (hide)'!C115,"")</f>
        <v/>
      </c>
      <c r="AC115" s="5" t="e">
        <f t="shared" ca="1" si="54"/>
        <v>#N/A</v>
      </c>
      <c r="AD115" s="5" t="e">
        <f t="shared" ca="1" si="55"/>
        <v>#N/A</v>
      </c>
    </row>
    <row r="116" spans="1:30" x14ac:dyDescent="0.2">
      <c r="A116" s="68" t="str">
        <f ca="1">Demand!C113</f>
        <v/>
      </c>
      <c r="B116" s="68">
        <v>101</v>
      </c>
      <c r="C116" s="5">
        <f ca="1">'Demand background (hide)'!Y104</f>
        <v>0</v>
      </c>
      <c r="D116" s="68">
        <f t="shared" si="39"/>
        <v>0</v>
      </c>
      <c r="E116" s="68" t="e">
        <f t="shared" ca="1" si="40"/>
        <v>#N/A</v>
      </c>
      <c r="F116" s="68" t="e">
        <f t="shared" ca="1" si="41"/>
        <v>#N/A</v>
      </c>
      <c r="G116" s="68" t="e">
        <f t="shared" ca="1" si="42"/>
        <v>#N/A</v>
      </c>
      <c r="H116" s="68" t="e">
        <f>IF('Demand background (hide)'!AN104&lt;&gt;"",'SPC background (hide)'!C116,NA())</f>
        <v>#N/A</v>
      </c>
      <c r="I116" s="68"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8" t="e">
        <f t="shared" ca="1" si="57"/>
        <v>#N/A</v>
      </c>
      <c r="T116" s="68" t="e">
        <f t="shared" ca="1" si="58"/>
        <v>#N/A</v>
      </c>
      <c r="U116" s="68" t="e">
        <f t="shared" ca="1" si="59"/>
        <v>#N/A</v>
      </c>
      <c r="V116" s="5" t="e">
        <f t="shared" ca="1" si="38"/>
        <v>#N/A</v>
      </c>
      <c r="W116" s="5" t="e">
        <f t="shared" ca="1" si="52"/>
        <v>#N/A</v>
      </c>
      <c r="X116" s="68">
        <f t="shared" ca="1" si="53"/>
        <v>0</v>
      </c>
      <c r="Y116" s="68" t="e">
        <f t="shared" ca="1" si="60"/>
        <v>#N/A</v>
      </c>
      <c r="Z116" s="68" t="e">
        <f t="shared" ca="1" si="61"/>
        <v>#N/A</v>
      </c>
      <c r="AA116" s="5" t="str">
        <f>IF(Setup!$I$15="Yes",'Demand background (hide)'!AJ104+'SPC background (hide)'!C116,"")</f>
        <v/>
      </c>
      <c r="AC116" s="5" t="e">
        <f t="shared" ca="1" si="54"/>
        <v>#N/A</v>
      </c>
      <c r="AD116" s="5" t="e">
        <f t="shared" ca="1" si="55"/>
        <v>#N/A</v>
      </c>
    </row>
    <row r="117" spans="1:30" x14ac:dyDescent="0.2">
      <c r="A117" s="68" t="str">
        <f ca="1">Demand!C114</f>
        <v/>
      </c>
      <c r="B117" s="68">
        <v>102</v>
      </c>
      <c r="C117" s="5">
        <f ca="1">'Demand background (hide)'!Y105</f>
        <v>0</v>
      </c>
      <c r="D117" s="68">
        <f t="shared" si="39"/>
        <v>0</v>
      </c>
      <c r="E117" s="68" t="e">
        <f t="shared" ca="1" si="40"/>
        <v>#N/A</v>
      </c>
      <c r="F117" s="68" t="e">
        <f t="shared" ca="1" si="41"/>
        <v>#N/A</v>
      </c>
      <c r="G117" s="68" t="e">
        <f t="shared" ca="1" si="42"/>
        <v>#N/A</v>
      </c>
      <c r="H117" s="68" t="e">
        <f>IF('Demand background (hide)'!AN105&lt;&gt;"",'SPC background (hide)'!C117,NA())</f>
        <v>#N/A</v>
      </c>
      <c r="I117" s="68"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8" t="e">
        <f t="shared" ca="1" si="57"/>
        <v>#N/A</v>
      </c>
      <c r="T117" s="68" t="e">
        <f t="shared" ca="1" si="58"/>
        <v>#N/A</v>
      </c>
      <c r="U117" s="68" t="e">
        <f t="shared" ca="1" si="59"/>
        <v>#N/A</v>
      </c>
      <c r="V117" s="5" t="e">
        <f t="shared" ca="1" si="38"/>
        <v>#N/A</v>
      </c>
      <c r="W117" s="5" t="e">
        <f t="shared" ca="1" si="52"/>
        <v>#N/A</v>
      </c>
      <c r="X117" s="68">
        <f t="shared" ca="1" si="53"/>
        <v>0</v>
      </c>
      <c r="Y117" s="68" t="e">
        <f t="shared" ca="1" si="60"/>
        <v>#N/A</v>
      </c>
      <c r="Z117" s="68" t="e">
        <f t="shared" ca="1" si="61"/>
        <v>#N/A</v>
      </c>
      <c r="AA117" s="5" t="str">
        <f>IF(Setup!$I$15="Yes",'Demand background (hide)'!AJ105+'SPC background (hide)'!C117,"")</f>
        <v/>
      </c>
      <c r="AC117" s="5" t="e">
        <f t="shared" ca="1" si="54"/>
        <v>#N/A</v>
      </c>
      <c r="AD117" s="5" t="e">
        <f t="shared" ca="1" si="55"/>
        <v>#N/A</v>
      </c>
    </row>
    <row r="118" spans="1:30" x14ac:dyDescent="0.2">
      <c r="A118" s="68" t="str">
        <f ca="1">Demand!C115</f>
        <v/>
      </c>
      <c r="B118" s="68">
        <v>103</v>
      </c>
      <c r="C118" s="5">
        <f ca="1">'Demand background (hide)'!Y106</f>
        <v>0</v>
      </c>
      <c r="D118" s="68">
        <f t="shared" si="39"/>
        <v>0</v>
      </c>
      <c r="E118" s="68" t="e">
        <f t="shared" ca="1" si="40"/>
        <v>#N/A</v>
      </c>
      <c r="F118" s="68" t="e">
        <f t="shared" ca="1" si="41"/>
        <v>#N/A</v>
      </c>
      <c r="G118" s="68" t="e">
        <f t="shared" ca="1" si="42"/>
        <v>#N/A</v>
      </c>
      <c r="H118" s="68" t="e">
        <f>IF('Demand background (hide)'!AN106&lt;&gt;"",'SPC background (hide)'!C118,NA())</f>
        <v>#N/A</v>
      </c>
      <c r="I118" s="68"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8" t="e">
        <f t="shared" ca="1" si="57"/>
        <v>#N/A</v>
      </c>
      <c r="T118" s="68" t="e">
        <f t="shared" ca="1" si="58"/>
        <v>#N/A</v>
      </c>
      <c r="U118" s="68" t="e">
        <f t="shared" ca="1" si="59"/>
        <v>#N/A</v>
      </c>
      <c r="V118" s="5" t="e">
        <f t="shared" ca="1" si="38"/>
        <v>#N/A</v>
      </c>
      <c r="W118" s="5" t="e">
        <f t="shared" ca="1" si="52"/>
        <v>#N/A</v>
      </c>
      <c r="X118" s="68">
        <f t="shared" ca="1" si="53"/>
        <v>0</v>
      </c>
      <c r="Y118" s="68" t="e">
        <f t="shared" ca="1" si="60"/>
        <v>#N/A</v>
      </c>
      <c r="Z118" s="68" t="e">
        <f t="shared" ca="1" si="61"/>
        <v>#N/A</v>
      </c>
      <c r="AA118" s="5" t="str">
        <f>IF(Setup!$I$15="Yes",'Demand background (hide)'!AJ106+'SPC background (hide)'!C118,"")</f>
        <v/>
      </c>
      <c r="AC118" s="5" t="e">
        <f t="shared" ca="1" si="54"/>
        <v>#N/A</v>
      </c>
      <c r="AD118" s="5" t="e">
        <f t="shared" ca="1" si="55"/>
        <v>#N/A</v>
      </c>
    </row>
    <row r="119" spans="1:30" x14ac:dyDescent="0.2">
      <c r="A119" s="68" t="str">
        <f ca="1">Demand!C116</f>
        <v/>
      </c>
      <c r="B119" s="68">
        <v>104</v>
      </c>
      <c r="C119" s="5">
        <f ca="1">'Demand background (hide)'!Y107</f>
        <v>0</v>
      </c>
      <c r="D119" s="68">
        <f t="shared" si="39"/>
        <v>0</v>
      </c>
      <c r="E119" s="68" t="e">
        <f t="shared" ca="1" si="40"/>
        <v>#N/A</v>
      </c>
      <c r="F119" s="68" t="e">
        <f t="shared" ca="1" si="41"/>
        <v>#N/A</v>
      </c>
      <c r="G119" s="68" t="e">
        <f t="shared" ca="1" si="42"/>
        <v>#N/A</v>
      </c>
      <c r="H119" s="68" t="e">
        <f>IF('Demand background (hide)'!AN107&lt;&gt;"",'SPC background (hide)'!C119,NA())</f>
        <v>#N/A</v>
      </c>
      <c r="I119" s="68"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8" t="e">
        <f t="shared" ca="1" si="57"/>
        <v>#N/A</v>
      </c>
      <c r="T119" s="68" t="e">
        <f t="shared" ca="1" si="58"/>
        <v>#N/A</v>
      </c>
      <c r="U119" s="68" t="e">
        <f t="shared" ca="1" si="59"/>
        <v>#N/A</v>
      </c>
      <c r="V119" s="5" t="e">
        <f t="shared" ca="1" si="38"/>
        <v>#N/A</v>
      </c>
      <c r="W119" s="5" t="e">
        <f t="shared" ca="1" si="52"/>
        <v>#N/A</v>
      </c>
      <c r="X119" s="68">
        <f t="shared" ca="1" si="53"/>
        <v>0</v>
      </c>
      <c r="Y119" s="68" t="e">
        <f t="shared" ca="1" si="60"/>
        <v>#N/A</v>
      </c>
      <c r="Z119" s="68" t="e">
        <f t="shared" ca="1" si="61"/>
        <v>#N/A</v>
      </c>
      <c r="AA119" s="5" t="str">
        <f>IF(Setup!$I$15="Yes",'Demand background (hide)'!AJ107+'SPC background (hide)'!C119,"")</f>
        <v/>
      </c>
      <c r="AC119" s="5" t="e">
        <f t="shared" ca="1" si="54"/>
        <v>#N/A</v>
      </c>
      <c r="AD119" s="5" t="e">
        <f t="shared" ca="1" si="55"/>
        <v>#N/A</v>
      </c>
    </row>
    <row r="120" spans="1:30" x14ac:dyDescent="0.2">
      <c r="A120" s="68" t="str">
        <f ca="1">Demand!C117</f>
        <v/>
      </c>
      <c r="B120" s="68">
        <v>105</v>
      </c>
      <c r="C120" s="5">
        <f ca="1">'Demand background (hide)'!Y108</f>
        <v>0</v>
      </c>
      <c r="D120" s="68">
        <f t="shared" si="39"/>
        <v>0</v>
      </c>
      <c r="E120" s="68" t="e">
        <f t="shared" ca="1" si="40"/>
        <v>#N/A</v>
      </c>
      <c r="F120" s="68" t="e">
        <f t="shared" ca="1" si="41"/>
        <v>#N/A</v>
      </c>
      <c r="G120" s="68" t="e">
        <f t="shared" ca="1" si="42"/>
        <v>#N/A</v>
      </c>
      <c r="H120" s="68" t="e">
        <f>IF('Demand background (hide)'!AN108&lt;&gt;"",'SPC background (hide)'!C120,NA())</f>
        <v>#N/A</v>
      </c>
      <c r="I120" s="68"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8" t="e">
        <f t="shared" ca="1" si="57"/>
        <v>#N/A</v>
      </c>
      <c r="T120" s="68" t="e">
        <f t="shared" ca="1" si="58"/>
        <v>#N/A</v>
      </c>
      <c r="U120" s="68" t="e">
        <f t="shared" ca="1" si="59"/>
        <v>#N/A</v>
      </c>
      <c r="V120" s="5" t="e">
        <f t="shared" ca="1" si="38"/>
        <v>#N/A</v>
      </c>
      <c r="W120" s="5" t="e">
        <f t="shared" ca="1" si="52"/>
        <v>#N/A</v>
      </c>
      <c r="X120" s="68">
        <f t="shared" ca="1" si="53"/>
        <v>0</v>
      </c>
      <c r="Y120" s="68" t="e">
        <f t="shared" ca="1" si="60"/>
        <v>#N/A</v>
      </c>
      <c r="Z120" s="68" t="e">
        <f t="shared" ca="1" si="61"/>
        <v>#N/A</v>
      </c>
      <c r="AA120" s="5" t="str">
        <f>IF(Setup!$I$15="Yes",'Demand background (hide)'!AJ108+'SPC background (hide)'!C120,"")</f>
        <v/>
      </c>
      <c r="AC120" s="5" t="e">
        <f t="shared" ca="1" si="54"/>
        <v>#N/A</v>
      </c>
      <c r="AD120" s="5" t="e">
        <f t="shared" ca="1" si="55"/>
        <v>#N/A</v>
      </c>
    </row>
    <row r="121" spans="1:30" x14ac:dyDescent="0.2">
      <c r="A121" s="68" t="str">
        <f ca="1">Demand!C118</f>
        <v/>
      </c>
      <c r="B121" s="68">
        <v>106</v>
      </c>
      <c r="C121" s="5">
        <f ca="1">'Demand background (hide)'!Y109</f>
        <v>0</v>
      </c>
      <c r="D121" s="68">
        <f t="shared" si="39"/>
        <v>0</v>
      </c>
      <c r="E121" s="68" t="e">
        <f t="shared" ca="1" si="40"/>
        <v>#N/A</v>
      </c>
      <c r="F121" s="68" t="e">
        <f t="shared" ca="1" si="41"/>
        <v>#N/A</v>
      </c>
      <c r="G121" s="68" t="e">
        <f t="shared" ca="1" si="42"/>
        <v>#N/A</v>
      </c>
      <c r="H121" s="68" t="e">
        <f>IF('Demand background (hide)'!AN109&lt;&gt;"",'SPC background (hide)'!C121,NA())</f>
        <v>#N/A</v>
      </c>
      <c r="I121" s="68"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8" t="e">
        <f t="shared" ca="1" si="57"/>
        <v>#N/A</v>
      </c>
      <c r="T121" s="68" t="e">
        <f t="shared" ca="1" si="58"/>
        <v>#N/A</v>
      </c>
      <c r="U121" s="68" t="e">
        <f t="shared" ca="1" si="59"/>
        <v>#N/A</v>
      </c>
      <c r="V121" s="5" t="e">
        <f t="shared" ca="1" si="38"/>
        <v>#N/A</v>
      </c>
      <c r="W121" s="5" t="e">
        <f t="shared" ca="1" si="52"/>
        <v>#N/A</v>
      </c>
      <c r="X121" s="68">
        <f t="shared" ca="1" si="53"/>
        <v>0</v>
      </c>
      <c r="Y121" s="68" t="e">
        <f t="shared" ca="1" si="60"/>
        <v>#N/A</v>
      </c>
      <c r="Z121" s="68" t="e">
        <f t="shared" ca="1" si="61"/>
        <v>#N/A</v>
      </c>
      <c r="AA121" s="5" t="str">
        <f>IF(Setup!$I$15="Yes",'Demand background (hide)'!AJ109+'SPC background (hide)'!C121,"")</f>
        <v/>
      </c>
      <c r="AC121" s="5" t="e">
        <f t="shared" ca="1" si="54"/>
        <v>#N/A</v>
      </c>
      <c r="AD121" s="5" t="e">
        <f t="shared" ca="1" si="55"/>
        <v>#N/A</v>
      </c>
    </row>
    <row r="122" spans="1:30" x14ac:dyDescent="0.2">
      <c r="A122" s="68" t="str">
        <f ca="1">Demand!C119</f>
        <v/>
      </c>
      <c r="B122" s="68">
        <v>107</v>
      </c>
      <c r="C122" s="5">
        <f ca="1">'Demand background (hide)'!Y110</f>
        <v>0</v>
      </c>
      <c r="D122" s="68">
        <f t="shared" si="39"/>
        <v>0</v>
      </c>
      <c r="E122" s="68" t="e">
        <f t="shared" ca="1" si="40"/>
        <v>#N/A</v>
      </c>
      <c r="F122" s="68" t="e">
        <f t="shared" ca="1" si="41"/>
        <v>#N/A</v>
      </c>
      <c r="G122" s="68" t="e">
        <f t="shared" ca="1" si="42"/>
        <v>#N/A</v>
      </c>
      <c r="H122" s="68" t="e">
        <f>IF('Demand background (hide)'!AN110&lt;&gt;"",'SPC background (hide)'!C122,NA())</f>
        <v>#N/A</v>
      </c>
      <c r="I122" s="68"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8" t="e">
        <f t="shared" ca="1" si="57"/>
        <v>#N/A</v>
      </c>
      <c r="T122" s="68" t="e">
        <f t="shared" ca="1" si="58"/>
        <v>#N/A</v>
      </c>
      <c r="U122" s="68" t="e">
        <f t="shared" ca="1" si="59"/>
        <v>#N/A</v>
      </c>
      <c r="V122" s="5" t="e">
        <f t="shared" ca="1" si="38"/>
        <v>#N/A</v>
      </c>
      <c r="W122" s="5" t="e">
        <f t="shared" ca="1" si="52"/>
        <v>#N/A</v>
      </c>
      <c r="X122" s="68">
        <f t="shared" ca="1" si="53"/>
        <v>0</v>
      </c>
      <c r="Y122" s="68" t="e">
        <f t="shared" ca="1" si="60"/>
        <v>#N/A</v>
      </c>
      <c r="Z122" s="68" t="e">
        <f t="shared" ca="1" si="61"/>
        <v>#N/A</v>
      </c>
      <c r="AA122" s="5" t="str">
        <f>IF(Setup!$I$15="Yes",'Demand background (hide)'!AJ110+'SPC background (hide)'!C122,"")</f>
        <v/>
      </c>
      <c r="AC122" s="5" t="e">
        <f t="shared" ca="1" si="54"/>
        <v>#N/A</v>
      </c>
      <c r="AD122" s="5" t="e">
        <f t="shared" ca="1" si="55"/>
        <v>#N/A</v>
      </c>
    </row>
    <row r="123" spans="1:30" x14ac:dyDescent="0.2">
      <c r="A123" s="68" t="str">
        <f ca="1">Demand!C120</f>
        <v/>
      </c>
      <c r="B123" s="68">
        <v>108</v>
      </c>
      <c r="C123" s="5">
        <f ca="1">'Demand background (hide)'!Y111</f>
        <v>0</v>
      </c>
      <c r="D123" s="68">
        <f t="shared" si="39"/>
        <v>0</v>
      </c>
      <c r="E123" s="68" t="e">
        <f t="shared" ca="1" si="40"/>
        <v>#N/A</v>
      </c>
      <c r="F123" s="68" t="e">
        <f t="shared" ca="1" si="41"/>
        <v>#N/A</v>
      </c>
      <c r="G123" s="68" t="e">
        <f t="shared" ca="1" si="42"/>
        <v>#N/A</v>
      </c>
      <c r="H123" s="68" t="e">
        <f>IF('Demand background (hide)'!AN111&lt;&gt;"",'SPC background (hide)'!C123,NA())</f>
        <v>#N/A</v>
      </c>
      <c r="I123" s="68"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8" t="e">
        <f t="shared" ca="1" si="57"/>
        <v>#N/A</v>
      </c>
      <c r="T123" s="68" t="e">
        <f t="shared" ca="1" si="58"/>
        <v>#N/A</v>
      </c>
      <c r="U123" s="68" t="e">
        <f t="shared" ca="1" si="59"/>
        <v>#N/A</v>
      </c>
      <c r="V123" s="5" t="e">
        <f t="shared" ca="1" si="38"/>
        <v>#N/A</v>
      </c>
      <c r="W123" s="5" t="e">
        <f t="shared" ca="1" si="52"/>
        <v>#N/A</v>
      </c>
      <c r="X123" s="68">
        <f t="shared" ca="1" si="53"/>
        <v>0</v>
      </c>
      <c r="Y123" s="68" t="e">
        <f t="shared" ca="1" si="60"/>
        <v>#N/A</v>
      </c>
      <c r="Z123" s="68" t="e">
        <f t="shared" ca="1" si="61"/>
        <v>#N/A</v>
      </c>
      <c r="AA123" s="5" t="str">
        <f>IF(Setup!$I$15="Yes",'Demand background (hide)'!AJ111+'SPC background (hide)'!C123,"")</f>
        <v/>
      </c>
      <c r="AC123" s="5" t="e">
        <f t="shared" ca="1" si="54"/>
        <v>#N/A</v>
      </c>
      <c r="AD123" s="5" t="e">
        <f t="shared" ca="1" si="55"/>
        <v>#N/A</v>
      </c>
    </row>
    <row r="124" spans="1:30" x14ac:dyDescent="0.2">
      <c r="A124" s="68" t="str">
        <f ca="1">Demand!C121</f>
        <v/>
      </c>
      <c r="B124" s="68">
        <v>109</v>
      </c>
      <c r="C124" s="5">
        <f ca="1">'Demand background (hide)'!Y112</f>
        <v>0</v>
      </c>
      <c r="D124" s="68">
        <f t="shared" si="39"/>
        <v>0</v>
      </c>
      <c r="E124" s="68" t="e">
        <f t="shared" ca="1" si="40"/>
        <v>#N/A</v>
      </c>
      <c r="F124" s="68" t="e">
        <f t="shared" ca="1" si="41"/>
        <v>#N/A</v>
      </c>
      <c r="G124" s="68" t="e">
        <f t="shared" ca="1" si="42"/>
        <v>#N/A</v>
      </c>
      <c r="H124" s="68" t="e">
        <f>IF('Demand background (hide)'!AN112&lt;&gt;"",'SPC background (hide)'!C124,NA())</f>
        <v>#N/A</v>
      </c>
      <c r="I124" s="68"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8" t="e">
        <f t="shared" ca="1" si="57"/>
        <v>#N/A</v>
      </c>
      <c r="T124" s="68" t="e">
        <f t="shared" ca="1" si="58"/>
        <v>#N/A</v>
      </c>
      <c r="U124" s="68" t="e">
        <f t="shared" ca="1" si="59"/>
        <v>#N/A</v>
      </c>
      <c r="V124" s="5" t="e">
        <f t="shared" ca="1" si="38"/>
        <v>#N/A</v>
      </c>
      <c r="W124" s="5" t="e">
        <f t="shared" ca="1" si="52"/>
        <v>#N/A</v>
      </c>
      <c r="X124" s="68">
        <f t="shared" ca="1" si="53"/>
        <v>0</v>
      </c>
      <c r="Y124" s="68" t="e">
        <f t="shared" ca="1" si="60"/>
        <v>#N/A</v>
      </c>
      <c r="Z124" s="68" t="e">
        <f t="shared" ca="1" si="61"/>
        <v>#N/A</v>
      </c>
      <c r="AA124" s="5" t="str">
        <f>IF(Setup!$I$15="Yes",'Demand background (hide)'!AJ112+'SPC background (hide)'!C124,"")</f>
        <v/>
      </c>
      <c r="AC124" s="5" t="e">
        <f t="shared" ca="1" si="54"/>
        <v>#N/A</v>
      </c>
      <c r="AD124" s="5" t="e">
        <f t="shared" ca="1" si="55"/>
        <v>#N/A</v>
      </c>
    </row>
    <row r="125" spans="1:30" x14ac:dyDescent="0.2">
      <c r="A125" s="68" t="str">
        <f ca="1">Demand!C122</f>
        <v/>
      </c>
      <c r="B125" s="68">
        <v>110</v>
      </c>
      <c r="C125" s="5">
        <f ca="1">'Demand background (hide)'!Y113</f>
        <v>0</v>
      </c>
      <c r="D125" s="68">
        <f t="shared" si="39"/>
        <v>0</v>
      </c>
      <c r="E125" s="68" t="e">
        <f t="shared" ca="1" si="40"/>
        <v>#N/A</v>
      </c>
      <c r="F125" s="68" t="e">
        <f t="shared" ca="1" si="41"/>
        <v>#N/A</v>
      </c>
      <c r="G125" s="68" t="e">
        <f t="shared" ca="1" si="42"/>
        <v>#N/A</v>
      </c>
      <c r="H125" s="68" t="e">
        <f>IF('Demand background (hide)'!AN113&lt;&gt;"",'SPC background (hide)'!C125,NA())</f>
        <v>#N/A</v>
      </c>
      <c r="I125" s="68"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8" t="e">
        <f t="shared" ca="1" si="57"/>
        <v>#N/A</v>
      </c>
      <c r="T125" s="68" t="e">
        <f t="shared" ca="1" si="58"/>
        <v>#N/A</v>
      </c>
      <c r="U125" s="68" t="e">
        <f t="shared" ca="1" si="59"/>
        <v>#N/A</v>
      </c>
      <c r="V125" s="5" t="e">
        <f t="shared" ca="1" si="38"/>
        <v>#N/A</v>
      </c>
      <c r="W125" s="5" t="e">
        <f t="shared" ca="1" si="52"/>
        <v>#N/A</v>
      </c>
      <c r="X125" s="68">
        <f t="shared" ca="1" si="53"/>
        <v>0</v>
      </c>
      <c r="Y125" s="68" t="e">
        <f t="shared" ca="1" si="60"/>
        <v>#N/A</v>
      </c>
      <c r="Z125" s="68" t="e">
        <f t="shared" ca="1" si="61"/>
        <v>#N/A</v>
      </c>
      <c r="AA125" s="5" t="str">
        <f>IF(Setup!$I$15="Yes",'Demand background (hide)'!AJ113+'SPC background (hide)'!C125,"")</f>
        <v/>
      </c>
      <c r="AC125" s="5" t="e">
        <f t="shared" ca="1" si="54"/>
        <v>#N/A</v>
      </c>
      <c r="AD125" s="5" t="e">
        <f t="shared" ca="1" si="55"/>
        <v>#N/A</v>
      </c>
    </row>
    <row r="126" spans="1:30" x14ac:dyDescent="0.2">
      <c r="A126" s="68" t="str">
        <f ca="1">Demand!C123</f>
        <v/>
      </c>
      <c r="B126" s="68">
        <v>111</v>
      </c>
      <c r="C126" s="5">
        <f ca="1">'Demand background (hide)'!Y114</f>
        <v>0</v>
      </c>
      <c r="D126" s="68">
        <f t="shared" si="39"/>
        <v>0</v>
      </c>
      <c r="E126" s="68" t="e">
        <f t="shared" ca="1" si="40"/>
        <v>#N/A</v>
      </c>
      <c r="F126" s="68" t="e">
        <f t="shared" ca="1" si="41"/>
        <v>#N/A</v>
      </c>
      <c r="G126" s="68" t="e">
        <f t="shared" ca="1" si="42"/>
        <v>#N/A</v>
      </c>
      <c r="H126" s="68" t="e">
        <f>IF('Demand background (hide)'!AN114&lt;&gt;"",'SPC background (hide)'!C126,NA())</f>
        <v>#N/A</v>
      </c>
      <c r="I126" s="68"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8" t="e">
        <f t="shared" ca="1" si="57"/>
        <v>#N/A</v>
      </c>
      <c r="T126" s="68" t="e">
        <f t="shared" ca="1" si="58"/>
        <v>#N/A</v>
      </c>
      <c r="U126" s="68" t="e">
        <f t="shared" ca="1" si="59"/>
        <v>#N/A</v>
      </c>
      <c r="V126" s="5" t="e">
        <f t="shared" ca="1" si="38"/>
        <v>#N/A</v>
      </c>
      <c r="W126" s="5" t="e">
        <f t="shared" ca="1" si="52"/>
        <v>#N/A</v>
      </c>
      <c r="X126" s="68">
        <f t="shared" ca="1" si="53"/>
        <v>0</v>
      </c>
      <c r="Y126" s="68" t="e">
        <f t="shared" ca="1" si="60"/>
        <v>#N/A</v>
      </c>
      <c r="Z126" s="68" t="e">
        <f t="shared" ca="1" si="61"/>
        <v>#N/A</v>
      </c>
      <c r="AA126" s="5" t="str">
        <f>IF(Setup!$I$15="Yes",'Demand background (hide)'!AJ114+'SPC background (hide)'!C126,"")</f>
        <v/>
      </c>
      <c r="AC126" s="5" t="e">
        <f t="shared" ca="1" si="54"/>
        <v>#N/A</v>
      </c>
      <c r="AD126" s="5" t="e">
        <f t="shared" ca="1" si="55"/>
        <v>#N/A</v>
      </c>
    </row>
    <row r="127" spans="1:30" x14ac:dyDescent="0.2">
      <c r="A127" s="68" t="str">
        <f ca="1">Demand!C124</f>
        <v/>
      </c>
      <c r="B127" s="68">
        <v>112</v>
      </c>
      <c r="C127" s="5">
        <f ca="1">'Demand background (hide)'!Y115</f>
        <v>0</v>
      </c>
      <c r="D127" s="68">
        <f t="shared" si="39"/>
        <v>0</v>
      </c>
      <c r="E127" s="68" t="e">
        <f t="shared" ca="1" si="40"/>
        <v>#N/A</v>
      </c>
      <c r="F127" s="68" t="e">
        <f t="shared" ca="1" si="41"/>
        <v>#N/A</v>
      </c>
      <c r="G127" s="68" t="e">
        <f t="shared" ca="1" si="42"/>
        <v>#N/A</v>
      </c>
      <c r="H127" s="68" t="e">
        <f>IF('Demand background (hide)'!AN115&lt;&gt;"",'SPC background (hide)'!C127,NA())</f>
        <v>#N/A</v>
      </c>
      <c r="I127" s="68"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8" t="e">
        <f t="shared" ca="1" si="57"/>
        <v>#N/A</v>
      </c>
      <c r="T127" s="68" t="e">
        <f t="shared" ca="1" si="58"/>
        <v>#N/A</v>
      </c>
      <c r="U127" s="68" t="e">
        <f t="shared" ca="1" si="59"/>
        <v>#N/A</v>
      </c>
      <c r="V127" s="5" t="e">
        <f t="shared" ca="1" si="38"/>
        <v>#N/A</v>
      </c>
      <c r="W127" s="5" t="e">
        <f t="shared" ca="1" si="52"/>
        <v>#N/A</v>
      </c>
      <c r="X127" s="68">
        <f t="shared" ca="1" si="53"/>
        <v>0</v>
      </c>
      <c r="Y127" s="68" t="e">
        <f t="shared" ca="1" si="60"/>
        <v>#N/A</v>
      </c>
      <c r="Z127" s="68" t="e">
        <f t="shared" ca="1" si="61"/>
        <v>#N/A</v>
      </c>
      <c r="AA127" s="5" t="str">
        <f>IF(Setup!$I$15="Yes",'Demand background (hide)'!AJ115+'SPC background (hide)'!C127,"")</f>
        <v/>
      </c>
      <c r="AC127" s="5" t="e">
        <f t="shared" ca="1" si="54"/>
        <v>#N/A</v>
      </c>
      <c r="AD127" s="5" t="e">
        <f t="shared" ca="1" si="55"/>
        <v>#N/A</v>
      </c>
    </row>
    <row r="128" spans="1:30" x14ac:dyDescent="0.2">
      <c r="A128" s="68" t="str">
        <f ca="1">Demand!C125</f>
        <v/>
      </c>
      <c r="B128" s="68">
        <v>113</v>
      </c>
      <c r="C128" s="5">
        <f ca="1">'Demand background (hide)'!Y116</f>
        <v>0</v>
      </c>
      <c r="D128" s="68">
        <f t="shared" si="39"/>
        <v>0</v>
      </c>
      <c r="E128" s="68" t="e">
        <f t="shared" ca="1" si="40"/>
        <v>#N/A</v>
      </c>
      <c r="F128" s="68" t="e">
        <f t="shared" ca="1" si="41"/>
        <v>#N/A</v>
      </c>
      <c r="G128" s="68" t="e">
        <f t="shared" ca="1" si="42"/>
        <v>#N/A</v>
      </c>
      <c r="H128" s="68" t="e">
        <f>IF('Demand background (hide)'!AN116&lt;&gt;"",'SPC background (hide)'!C128,NA())</f>
        <v>#N/A</v>
      </c>
      <c r="I128" s="68"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8" t="e">
        <f t="shared" ca="1" si="57"/>
        <v>#N/A</v>
      </c>
      <c r="T128" s="68" t="e">
        <f t="shared" ca="1" si="58"/>
        <v>#N/A</v>
      </c>
      <c r="U128" s="68" t="e">
        <f t="shared" ca="1" si="59"/>
        <v>#N/A</v>
      </c>
      <c r="V128" s="5" t="e">
        <f t="shared" ca="1" si="38"/>
        <v>#N/A</v>
      </c>
      <c r="W128" s="5" t="e">
        <f t="shared" ca="1" si="52"/>
        <v>#N/A</v>
      </c>
      <c r="X128" s="68">
        <f t="shared" ca="1" si="53"/>
        <v>0</v>
      </c>
      <c r="Y128" s="68" t="e">
        <f t="shared" ca="1" si="60"/>
        <v>#N/A</v>
      </c>
      <c r="Z128" s="68" t="e">
        <f t="shared" ca="1" si="61"/>
        <v>#N/A</v>
      </c>
      <c r="AA128" s="5" t="str">
        <f>IF(Setup!$I$15="Yes",'Demand background (hide)'!AJ116+'SPC background (hide)'!C128,"")</f>
        <v/>
      </c>
      <c r="AC128" s="5" t="e">
        <f t="shared" ca="1" si="54"/>
        <v>#N/A</v>
      </c>
      <c r="AD128" s="5" t="e">
        <f t="shared" ca="1" si="55"/>
        <v>#N/A</v>
      </c>
    </row>
    <row r="129" spans="1:30" x14ac:dyDescent="0.2">
      <c r="A129" s="68" t="str">
        <f ca="1">Demand!C126</f>
        <v/>
      </c>
      <c r="B129" s="68">
        <v>114</v>
      </c>
      <c r="C129" s="5">
        <f ca="1">'Demand background (hide)'!Y117</f>
        <v>0</v>
      </c>
      <c r="D129" s="68">
        <f t="shared" si="39"/>
        <v>0</v>
      </c>
      <c r="E129" s="68" t="e">
        <f t="shared" ca="1" si="40"/>
        <v>#N/A</v>
      </c>
      <c r="F129" s="68" t="e">
        <f t="shared" ca="1" si="41"/>
        <v>#N/A</v>
      </c>
      <c r="G129" s="68" t="e">
        <f t="shared" ca="1" si="42"/>
        <v>#N/A</v>
      </c>
      <c r="H129" s="68" t="e">
        <f>IF('Demand background (hide)'!AN117&lt;&gt;"",'SPC background (hide)'!C129,NA())</f>
        <v>#N/A</v>
      </c>
      <c r="I129" s="68"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8" t="e">
        <f t="shared" ca="1" si="57"/>
        <v>#N/A</v>
      </c>
      <c r="T129" s="68" t="e">
        <f t="shared" ca="1" si="58"/>
        <v>#N/A</v>
      </c>
      <c r="U129" s="68" t="e">
        <f t="shared" ca="1" si="59"/>
        <v>#N/A</v>
      </c>
      <c r="V129" s="5" t="e">
        <f t="shared" ca="1" si="38"/>
        <v>#N/A</v>
      </c>
      <c r="W129" s="5" t="e">
        <f t="shared" ca="1" si="52"/>
        <v>#N/A</v>
      </c>
      <c r="X129" s="68">
        <f t="shared" ca="1" si="53"/>
        <v>0</v>
      </c>
      <c r="Y129" s="68" t="e">
        <f t="shared" ca="1" si="60"/>
        <v>#N/A</v>
      </c>
      <c r="Z129" s="68" t="e">
        <f t="shared" ca="1" si="61"/>
        <v>#N/A</v>
      </c>
      <c r="AA129" s="5" t="str">
        <f>IF(Setup!$I$15="Yes",'Demand background (hide)'!AJ117+'SPC background (hide)'!C129,"")</f>
        <v/>
      </c>
      <c r="AC129" s="5" t="e">
        <f t="shared" ca="1" si="54"/>
        <v>#N/A</v>
      </c>
      <c r="AD129" s="5" t="e">
        <f t="shared" ca="1" si="55"/>
        <v>#N/A</v>
      </c>
    </row>
    <row r="130" spans="1:30" x14ac:dyDescent="0.2">
      <c r="A130" s="68" t="str">
        <f ca="1">Demand!C127</f>
        <v/>
      </c>
      <c r="B130" s="68">
        <v>115</v>
      </c>
      <c r="C130" s="5">
        <f ca="1">'Demand background (hide)'!Y118</f>
        <v>0</v>
      </c>
      <c r="D130" s="68">
        <f t="shared" si="39"/>
        <v>0</v>
      </c>
      <c r="E130" s="68" t="e">
        <f t="shared" ca="1" si="40"/>
        <v>#N/A</v>
      </c>
      <c r="F130" s="68" t="e">
        <f t="shared" ca="1" si="41"/>
        <v>#N/A</v>
      </c>
      <c r="G130" s="68" t="e">
        <f t="shared" ca="1" si="42"/>
        <v>#N/A</v>
      </c>
      <c r="H130" s="68" t="e">
        <f>IF('Demand background (hide)'!AN118&lt;&gt;"",'SPC background (hide)'!C130,NA())</f>
        <v>#N/A</v>
      </c>
      <c r="I130" s="68"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8" t="e">
        <f t="shared" ca="1" si="57"/>
        <v>#N/A</v>
      </c>
      <c r="T130" s="68" t="e">
        <f t="shared" ca="1" si="58"/>
        <v>#N/A</v>
      </c>
      <c r="U130" s="68" t="e">
        <f t="shared" ca="1" si="59"/>
        <v>#N/A</v>
      </c>
      <c r="V130" s="5" t="e">
        <f t="shared" ca="1" si="38"/>
        <v>#N/A</v>
      </c>
      <c r="W130" s="5" t="e">
        <f t="shared" ca="1" si="52"/>
        <v>#N/A</v>
      </c>
      <c r="X130" s="68">
        <f t="shared" ca="1" si="53"/>
        <v>0</v>
      </c>
      <c r="Y130" s="68" t="e">
        <f t="shared" ca="1" si="60"/>
        <v>#N/A</v>
      </c>
      <c r="Z130" s="68" t="e">
        <f t="shared" ca="1" si="61"/>
        <v>#N/A</v>
      </c>
      <c r="AA130" s="5" t="str">
        <f>IF(Setup!$I$15="Yes",'Demand background (hide)'!AJ118+'SPC background (hide)'!C130,"")</f>
        <v/>
      </c>
      <c r="AC130" s="5" t="e">
        <f t="shared" ca="1" si="54"/>
        <v>#N/A</v>
      </c>
      <c r="AD130" s="5" t="e">
        <f t="shared" ca="1" si="55"/>
        <v>#N/A</v>
      </c>
    </row>
    <row r="131" spans="1:30" x14ac:dyDescent="0.2">
      <c r="A131" s="68" t="str">
        <f ca="1">Demand!C128</f>
        <v/>
      </c>
      <c r="B131" s="68">
        <v>116</v>
      </c>
      <c r="C131" s="5">
        <f ca="1">'Demand background (hide)'!Y119</f>
        <v>0</v>
      </c>
      <c r="D131" s="68">
        <f t="shared" si="39"/>
        <v>0</v>
      </c>
      <c r="E131" s="68" t="e">
        <f t="shared" ca="1" si="40"/>
        <v>#N/A</v>
      </c>
      <c r="F131" s="68" t="e">
        <f t="shared" ca="1" si="41"/>
        <v>#N/A</v>
      </c>
      <c r="G131" s="68" t="e">
        <f t="shared" ca="1" si="42"/>
        <v>#N/A</v>
      </c>
      <c r="H131" s="68" t="e">
        <f>IF('Demand background (hide)'!AN119&lt;&gt;"",'SPC background (hide)'!C131,NA())</f>
        <v>#N/A</v>
      </c>
      <c r="I131" s="68"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8" t="e">
        <f t="shared" ca="1" si="57"/>
        <v>#N/A</v>
      </c>
      <c r="T131" s="68" t="e">
        <f t="shared" ca="1" si="58"/>
        <v>#N/A</v>
      </c>
      <c r="U131" s="68" t="e">
        <f t="shared" ca="1" si="59"/>
        <v>#N/A</v>
      </c>
      <c r="V131" s="5" t="e">
        <f t="shared" ca="1" si="38"/>
        <v>#N/A</v>
      </c>
      <c r="W131" s="5" t="e">
        <f t="shared" ca="1" si="52"/>
        <v>#N/A</v>
      </c>
      <c r="X131" s="68">
        <f t="shared" ca="1" si="53"/>
        <v>0</v>
      </c>
      <c r="Y131" s="68" t="e">
        <f t="shared" ca="1" si="60"/>
        <v>#N/A</v>
      </c>
      <c r="Z131" s="68" t="e">
        <f t="shared" ca="1" si="61"/>
        <v>#N/A</v>
      </c>
      <c r="AA131" s="5" t="str">
        <f>IF(Setup!$I$15="Yes",'Demand background (hide)'!AJ119+'SPC background (hide)'!C131,"")</f>
        <v/>
      </c>
      <c r="AC131" s="5" t="e">
        <f t="shared" ca="1" si="54"/>
        <v>#N/A</v>
      </c>
      <c r="AD131" s="5" t="e">
        <f t="shared" ca="1" si="55"/>
        <v>#N/A</v>
      </c>
    </row>
    <row r="132" spans="1:30" x14ac:dyDescent="0.2">
      <c r="A132" s="68" t="str">
        <f ca="1">Demand!C129</f>
        <v/>
      </c>
      <c r="B132" s="68">
        <v>117</v>
      </c>
      <c r="C132" s="5">
        <f ca="1">'Demand background (hide)'!Y120</f>
        <v>0</v>
      </c>
      <c r="D132" s="68">
        <f t="shared" si="39"/>
        <v>0</v>
      </c>
      <c r="E132" s="68" t="e">
        <f t="shared" ca="1" si="40"/>
        <v>#N/A</v>
      </c>
      <c r="F132" s="68" t="e">
        <f t="shared" ca="1" si="41"/>
        <v>#N/A</v>
      </c>
      <c r="G132" s="68" t="e">
        <f t="shared" ca="1" si="42"/>
        <v>#N/A</v>
      </c>
      <c r="H132" s="68" t="e">
        <f>IF('Demand background (hide)'!AN120&lt;&gt;"",'SPC background (hide)'!C132,NA())</f>
        <v>#N/A</v>
      </c>
      <c r="I132" s="68"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8" t="e">
        <f t="shared" ca="1" si="57"/>
        <v>#N/A</v>
      </c>
      <c r="T132" s="68" t="e">
        <f t="shared" ca="1" si="58"/>
        <v>#N/A</v>
      </c>
      <c r="U132" s="68" t="e">
        <f t="shared" ca="1" si="59"/>
        <v>#N/A</v>
      </c>
      <c r="V132" s="5" t="e">
        <f t="shared" ca="1" si="38"/>
        <v>#N/A</v>
      </c>
      <c r="W132" s="5" t="e">
        <f t="shared" ca="1" si="52"/>
        <v>#N/A</v>
      </c>
      <c r="X132" s="68">
        <f t="shared" ca="1" si="53"/>
        <v>0</v>
      </c>
      <c r="Y132" s="68" t="e">
        <f t="shared" ca="1" si="60"/>
        <v>#N/A</v>
      </c>
      <c r="Z132" s="68" t="e">
        <f t="shared" ca="1" si="61"/>
        <v>#N/A</v>
      </c>
      <c r="AA132" s="5" t="str">
        <f>IF(Setup!$I$15="Yes",'Demand background (hide)'!AJ120+'SPC background (hide)'!C132,"")</f>
        <v/>
      </c>
      <c r="AC132" s="5" t="e">
        <f t="shared" ca="1" si="54"/>
        <v>#N/A</v>
      </c>
      <c r="AD132" s="5" t="e">
        <f t="shared" ca="1" si="55"/>
        <v>#N/A</v>
      </c>
    </row>
    <row r="133" spans="1:30" x14ac:dyDescent="0.2">
      <c r="A133" s="68" t="str">
        <f ca="1">Demand!C130</f>
        <v/>
      </c>
      <c r="B133" s="68">
        <v>118</v>
      </c>
      <c r="C133" s="5">
        <f ca="1">'Demand background (hide)'!Y121</f>
        <v>0</v>
      </c>
      <c r="D133" s="68">
        <f t="shared" si="39"/>
        <v>0</v>
      </c>
      <c r="E133" s="68" t="e">
        <f t="shared" ca="1" si="40"/>
        <v>#N/A</v>
      </c>
      <c r="F133" s="68" t="e">
        <f t="shared" ca="1" si="41"/>
        <v>#N/A</v>
      </c>
      <c r="G133" s="68" t="e">
        <f t="shared" ca="1" si="42"/>
        <v>#N/A</v>
      </c>
      <c r="H133" s="68" t="e">
        <f>IF('Demand background (hide)'!AN121&lt;&gt;"",'SPC background (hide)'!C133,NA())</f>
        <v>#N/A</v>
      </c>
      <c r="I133" s="68"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8" t="e">
        <f t="shared" ca="1" si="57"/>
        <v>#N/A</v>
      </c>
      <c r="T133" s="68" t="e">
        <f t="shared" ca="1" si="58"/>
        <v>#N/A</v>
      </c>
      <c r="U133" s="68" t="e">
        <f t="shared" ca="1" si="59"/>
        <v>#N/A</v>
      </c>
      <c r="V133" s="5" t="e">
        <f t="shared" ca="1" si="38"/>
        <v>#N/A</v>
      </c>
      <c r="W133" s="5" t="e">
        <f t="shared" ca="1" si="52"/>
        <v>#N/A</v>
      </c>
      <c r="X133" s="68">
        <f t="shared" ca="1" si="53"/>
        <v>0</v>
      </c>
      <c r="Y133" s="68" t="e">
        <f t="shared" ca="1" si="60"/>
        <v>#N/A</v>
      </c>
      <c r="Z133" s="68" t="e">
        <f t="shared" ca="1" si="61"/>
        <v>#N/A</v>
      </c>
      <c r="AA133" s="5" t="str">
        <f>IF(Setup!$I$15="Yes",'Demand background (hide)'!AJ121+'SPC background (hide)'!C133,"")</f>
        <v/>
      </c>
      <c r="AC133" s="5" t="e">
        <f t="shared" ca="1" si="54"/>
        <v>#N/A</v>
      </c>
      <c r="AD133" s="5" t="e">
        <f t="shared" ca="1" si="55"/>
        <v>#N/A</v>
      </c>
    </row>
    <row r="134" spans="1:30" x14ac:dyDescent="0.2">
      <c r="A134" s="68" t="str">
        <f ca="1">Demand!C131</f>
        <v/>
      </c>
      <c r="B134" s="68">
        <v>119</v>
      </c>
      <c r="C134" s="5">
        <f ca="1">'Demand background (hide)'!Y122</f>
        <v>0</v>
      </c>
      <c r="D134" s="68">
        <f t="shared" si="39"/>
        <v>0</v>
      </c>
      <c r="E134" s="68" t="e">
        <f t="shared" ca="1" si="40"/>
        <v>#N/A</v>
      </c>
      <c r="F134" s="68" t="e">
        <f t="shared" ca="1" si="41"/>
        <v>#N/A</v>
      </c>
      <c r="G134" s="68" t="e">
        <f t="shared" ca="1" si="42"/>
        <v>#N/A</v>
      </c>
      <c r="H134" s="68" t="e">
        <f>IF('Demand background (hide)'!AN122&lt;&gt;"",'SPC background (hide)'!C134,NA())</f>
        <v>#N/A</v>
      </c>
      <c r="I134" s="68"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8" t="e">
        <f t="shared" ca="1" si="57"/>
        <v>#N/A</v>
      </c>
      <c r="T134" s="68" t="e">
        <f t="shared" ca="1" si="58"/>
        <v>#N/A</v>
      </c>
      <c r="U134" s="68" t="e">
        <f t="shared" ca="1" si="59"/>
        <v>#N/A</v>
      </c>
      <c r="V134" s="5" t="e">
        <f t="shared" ca="1" si="38"/>
        <v>#N/A</v>
      </c>
      <c r="W134" s="5" t="e">
        <f t="shared" ca="1" si="52"/>
        <v>#N/A</v>
      </c>
      <c r="X134" s="68">
        <f t="shared" ca="1" si="53"/>
        <v>0</v>
      </c>
      <c r="Y134" s="68" t="e">
        <f t="shared" ca="1" si="60"/>
        <v>#N/A</v>
      </c>
      <c r="Z134" s="68" t="e">
        <f t="shared" ca="1" si="61"/>
        <v>#N/A</v>
      </c>
      <c r="AA134" s="5" t="str">
        <f>IF(Setup!$I$15="Yes",'Demand background (hide)'!AJ122+'SPC background (hide)'!C134,"")</f>
        <v/>
      </c>
      <c r="AC134" s="5" t="e">
        <f t="shared" ca="1" si="54"/>
        <v>#N/A</v>
      </c>
      <c r="AD134" s="5" t="e">
        <f t="shared" ca="1" si="55"/>
        <v>#N/A</v>
      </c>
    </row>
    <row r="135" spans="1:30" x14ac:dyDescent="0.2">
      <c r="A135" s="68" t="str">
        <f ca="1">Demand!C132</f>
        <v/>
      </c>
      <c r="B135" s="68">
        <v>120</v>
      </c>
      <c r="C135" s="5">
        <f ca="1">'Demand background (hide)'!Y123</f>
        <v>0</v>
      </c>
      <c r="D135" s="68">
        <f t="shared" si="39"/>
        <v>0</v>
      </c>
      <c r="E135" s="68" t="e">
        <f t="shared" ca="1" si="40"/>
        <v>#N/A</v>
      </c>
      <c r="F135" s="68" t="e">
        <f t="shared" ca="1" si="41"/>
        <v>#N/A</v>
      </c>
      <c r="G135" s="68" t="e">
        <f t="shared" ca="1" si="42"/>
        <v>#N/A</v>
      </c>
      <c r="H135" s="68" t="e">
        <f>IF('Demand background (hide)'!AN123&lt;&gt;"",'SPC background (hide)'!C135,NA())</f>
        <v>#N/A</v>
      </c>
      <c r="I135" s="68"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8" t="e">
        <f t="shared" ca="1" si="57"/>
        <v>#N/A</v>
      </c>
      <c r="T135" s="68" t="e">
        <f t="shared" ca="1" si="58"/>
        <v>#N/A</v>
      </c>
      <c r="U135" s="68" t="e">
        <f t="shared" ca="1" si="59"/>
        <v>#N/A</v>
      </c>
      <c r="V135" s="5" t="e">
        <f t="shared" ca="1" si="38"/>
        <v>#N/A</v>
      </c>
      <c r="W135" s="5" t="e">
        <f t="shared" ca="1" si="52"/>
        <v>#N/A</v>
      </c>
      <c r="X135" s="68">
        <f t="shared" ca="1" si="53"/>
        <v>0</v>
      </c>
      <c r="Y135" s="68" t="e">
        <f t="shared" ca="1" si="60"/>
        <v>#N/A</v>
      </c>
      <c r="Z135" s="68" t="e">
        <f t="shared" ca="1" si="61"/>
        <v>#N/A</v>
      </c>
      <c r="AA135" s="5" t="str">
        <f>IF(Setup!$I$15="Yes",'Demand background (hide)'!AJ123+'SPC background (hide)'!C135,"")</f>
        <v/>
      </c>
      <c r="AC135" s="5" t="e">
        <f t="shared" ca="1" si="54"/>
        <v>#N/A</v>
      </c>
      <c r="AD135" s="5" t="e">
        <f t="shared" ca="1" si="55"/>
        <v>#N/A</v>
      </c>
    </row>
    <row r="136" spans="1:30" x14ac:dyDescent="0.2">
      <c r="A136" s="68" t="str">
        <f ca="1">Demand!C133</f>
        <v/>
      </c>
      <c r="B136" s="68">
        <v>121</v>
      </c>
      <c r="C136" s="5">
        <f ca="1">'Demand background (hide)'!Y124</f>
        <v>0</v>
      </c>
      <c r="D136" s="68">
        <f t="shared" si="39"/>
        <v>0</v>
      </c>
      <c r="E136" s="68" t="e">
        <f t="shared" ca="1" si="40"/>
        <v>#N/A</v>
      </c>
      <c r="F136" s="68" t="e">
        <f t="shared" ca="1" si="41"/>
        <v>#N/A</v>
      </c>
      <c r="G136" s="68" t="e">
        <f t="shared" ca="1" si="42"/>
        <v>#N/A</v>
      </c>
      <c r="H136" s="68" t="e">
        <f>IF('Demand background (hide)'!AN124&lt;&gt;"",'SPC background (hide)'!C136,NA())</f>
        <v>#N/A</v>
      </c>
      <c r="I136" s="68"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8" t="e">
        <f t="shared" ca="1" si="57"/>
        <v>#N/A</v>
      </c>
      <c r="T136" s="68" t="e">
        <f t="shared" ca="1" si="58"/>
        <v>#N/A</v>
      </c>
      <c r="U136" s="68" t="e">
        <f t="shared" ca="1" si="59"/>
        <v>#N/A</v>
      </c>
      <c r="V136" s="5" t="e">
        <f t="shared" ca="1" si="38"/>
        <v>#N/A</v>
      </c>
      <c r="W136" s="5" t="e">
        <f t="shared" ca="1" si="52"/>
        <v>#N/A</v>
      </c>
      <c r="X136" s="68">
        <f t="shared" ca="1" si="53"/>
        <v>0</v>
      </c>
      <c r="Y136" s="68" t="e">
        <f t="shared" ca="1" si="60"/>
        <v>#N/A</v>
      </c>
      <c r="Z136" s="68" t="e">
        <f t="shared" ca="1" si="61"/>
        <v>#N/A</v>
      </c>
      <c r="AA136" s="5" t="str">
        <f>IF(Setup!$I$15="Yes",'Demand background (hide)'!AJ124+'SPC background (hide)'!C136,"")</f>
        <v/>
      </c>
      <c r="AC136" s="5" t="e">
        <f t="shared" ca="1" si="54"/>
        <v>#N/A</v>
      </c>
      <c r="AD136" s="5" t="e">
        <f t="shared" ca="1" si="55"/>
        <v>#N/A</v>
      </c>
    </row>
    <row r="137" spans="1:30" x14ac:dyDescent="0.2">
      <c r="A137" s="68" t="str">
        <f ca="1">Demand!C134</f>
        <v/>
      </c>
      <c r="B137" s="68">
        <v>122</v>
      </c>
      <c r="C137" s="5">
        <f ca="1">'Demand background (hide)'!Y125</f>
        <v>0</v>
      </c>
      <c r="D137" s="68">
        <f t="shared" si="39"/>
        <v>0</v>
      </c>
      <c r="E137" s="68" t="e">
        <f t="shared" ca="1" si="40"/>
        <v>#N/A</v>
      </c>
      <c r="F137" s="68" t="e">
        <f t="shared" ca="1" si="41"/>
        <v>#N/A</v>
      </c>
      <c r="G137" s="68" t="e">
        <f t="shared" ca="1" si="42"/>
        <v>#N/A</v>
      </c>
      <c r="H137" s="68" t="e">
        <f>IF('Demand background (hide)'!AN125&lt;&gt;"",'SPC background (hide)'!C137,NA())</f>
        <v>#N/A</v>
      </c>
      <c r="I137" s="68"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8" t="e">
        <f t="shared" ca="1" si="57"/>
        <v>#N/A</v>
      </c>
      <c r="T137" s="68" t="e">
        <f t="shared" ca="1" si="58"/>
        <v>#N/A</v>
      </c>
      <c r="U137" s="68" t="e">
        <f t="shared" ca="1" si="59"/>
        <v>#N/A</v>
      </c>
      <c r="V137" s="5" t="e">
        <f t="shared" ca="1" si="38"/>
        <v>#N/A</v>
      </c>
      <c r="W137" s="5" t="e">
        <f t="shared" ca="1" si="52"/>
        <v>#N/A</v>
      </c>
      <c r="X137" s="68">
        <f t="shared" ca="1" si="53"/>
        <v>0</v>
      </c>
      <c r="Y137" s="68" t="e">
        <f t="shared" ca="1" si="60"/>
        <v>#N/A</v>
      </c>
      <c r="Z137" s="68" t="e">
        <f t="shared" ca="1" si="61"/>
        <v>#N/A</v>
      </c>
      <c r="AA137" s="5" t="str">
        <f>IF(Setup!$I$15="Yes",'Demand background (hide)'!AJ125+'SPC background (hide)'!C137,"")</f>
        <v/>
      </c>
      <c r="AC137" s="5" t="e">
        <f t="shared" ca="1" si="54"/>
        <v>#N/A</v>
      </c>
      <c r="AD137" s="5" t="e">
        <f t="shared" ca="1" si="55"/>
        <v>#N/A</v>
      </c>
    </row>
    <row r="138" spans="1:30" x14ac:dyDescent="0.2">
      <c r="A138" s="68" t="str">
        <f ca="1">Demand!C135</f>
        <v/>
      </c>
      <c r="B138" s="68">
        <v>123</v>
      </c>
      <c r="C138" s="5">
        <f ca="1">'Demand background (hide)'!Y126</f>
        <v>0</v>
      </c>
      <c r="D138" s="68">
        <f t="shared" si="39"/>
        <v>0</v>
      </c>
      <c r="E138" s="68" t="e">
        <f t="shared" ca="1" si="40"/>
        <v>#N/A</v>
      </c>
      <c r="F138" s="68" t="e">
        <f t="shared" ca="1" si="41"/>
        <v>#N/A</v>
      </c>
      <c r="G138" s="68" t="e">
        <f t="shared" ca="1" si="42"/>
        <v>#N/A</v>
      </c>
      <c r="H138" s="68" t="e">
        <f>IF('Demand background (hide)'!AN126&lt;&gt;"",'SPC background (hide)'!C138,NA())</f>
        <v>#N/A</v>
      </c>
      <c r="I138" s="68"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8" t="e">
        <f t="shared" ca="1" si="57"/>
        <v>#N/A</v>
      </c>
      <c r="T138" s="68" t="e">
        <f t="shared" ca="1" si="58"/>
        <v>#N/A</v>
      </c>
      <c r="U138" s="68" t="e">
        <f t="shared" ca="1" si="59"/>
        <v>#N/A</v>
      </c>
      <c r="V138" s="5" t="e">
        <f t="shared" ca="1" si="38"/>
        <v>#N/A</v>
      </c>
      <c r="W138" s="5" t="e">
        <f t="shared" ca="1" si="52"/>
        <v>#N/A</v>
      </c>
      <c r="X138" s="68">
        <f t="shared" ca="1" si="53"/>
        <v>0</v>
      </c>
      <c r="Y138" s="68" t="e">
        <f t="shared" ca="1" si="60"/>
        <v>#N/A</v>
      </c>
      <c r="Z138" s="68" t="e">
        <f t="shared" ca="1" si="61"/>
        <v>#N/A</v>
      </c>
      <c r="AA138" s="5" t="str">
        <f>IF(Setup!$I$15="Yes",'Demand background (hide)'!AJ126+'SPC background (hide)'!C138,"")</f>
        <v/>
      </c>
      <c r="AC138" s="5" t="e">
        <f t="shared" ca="1" si="54"/>
        <v>#N/A</v>
      </c>
      <c r="AD138" s="5" t="e">
        <f t="shared" ca="1" si="55"/>
        <v>#N/A</v>
      </c>
    </row>
    <row r="139" spans="1:30" x14ac:dyDescent="0.2">
      <c r="A139" s="68" t="str">
        <f ca="1">Demand!C136</f>
        <v/>
      </c>
      <c r="B139" s="68">
        <v>124</v>
      </c>
      <c r="C139" s="5">
        <f ca="1">'Demand background (hide)'!Y127</f>
        <v>0</v>
      </c>
      <c r="D139" s="68">
        <f t="shared" si="39"/>
        <v>0</v>
      </c>
      <c r="E139" s="68" t="e">
        <f t="shared" ca="1" si="40"/>
        <v>#N/A</v>
      </c>
      <c r="F139" s="68" t="e">
        <f t="shared" ca="1" si="41"/>
        <v>#N/A</v>
      </c>
      <c r="G139" s="68" t="e">
        <f t="shared" ca="1" si="42"/>
        <v>#N/A</v>
      </c>
      <c r="H139" s="68" t="e">
        <f>IF('Demand background (hide)'!AN127&lt;&gt;"",'SPC background (hide)'!C139,NA())</f>
        <v>#N/A</v>
      </c>
      <c r="I139" s="68"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8" t="e">
        <f t="shared" ca="1" si="57"/>
        <v>#N/A</v>
      </c>
      <c r="T139" s="68" t="e">
        <f t="shared" ca="1" si="58"/>
        <v>#N/A</v>
      </c>
      <c r="U139" s="68" t="e">
        <f t="shared" ca="1" si="59"/>
        <v>#N/A</v>
      </c>
      <c r="V139" s="5" t="e">
        <f t="shared" ca="1" si="38"/>
        <v>#N/A</v>
      </c>
      <c r="W139" s="5" t="e">
        <f t="shared" ca="1" si="52"/>
        <v>#N/A</v>
      </c>
      <c r="X139" s="68">
        <f t="shared" ca="1" si="53"/>
        <v>0</v>
      </c>
      <c r="Y139" s="68" t="e">
        <f t="shared" ca="1" si="60"/>
        <v>#N/A</v>
      </c>
      <c r="Z139" s="68" t="e">
        <f t="shared" ca="1" si="61"/>
        <v>#N/A</v>
      </c>
      <c r="AA139" s="5" t="str">
        <f>IF(Setup!$I$15="Yes",'Demand background (hide)'!AJ127+'SPC background (hide)'!C139,"")</f>
        <v/>
      </c>
      <c r="AC139" s="5" t="e">
        <f t="shared" ca="1" si="54"/>
        <v>#N/A</v>
      </c>
      <c r="AD139" s="5" t="e">
        <f t="shared" ca="1" si="55"/>
        <v>#N/A</v>
      </c>
    </row>
    <row r="140" spans="1:30" x14ac:dyDescent="0.2">
      <c r="A140" s="68" t="str">
        <f ca="1">Demand!C137</f>
        <v/>
      </c>
      <c r="B140" s="68">
        <v>125</v>
      </c>
      <c r="C140" s="5">
        <f ca="1">'Demand background (hide)'!Y128</f>
        <v>0</v>
      </c>
      <c r="D140" s="68">
        <f t="shared" si="39"/>
        <v>0</v>
      </c>
      <c r="E140" s="68" t="e">
        <f t="shared" ca="1" si="40"/>
        <v>#N/A</v>
      </c>
      <c r="F140" s="68" t="e">
        <f t="shared" ca="1" si="41"/>
        <v>#N/A</v>
      </c>
      <c r="G140" s="68" t="e">
        <f t="shared" ca="1" si="42"/>
        <v>#N/A</v>
      </c>
      <c r="H140" s="68" t="e">
        <f>IF('Demand background (hide)'!AN128&lt;&gt;"",'SPC background (hide)'!C140,NA())</f>
        <v>#N/A</v>
      </c>
      <c r="I140" s="68"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8" t="e">
        <f t="shared" ca="1" si="57"/>
        <v>#N/A</v>
      </c>
      <c r="T140" s="68" t="e">
        <f t="shared" ca="1" si="58"/>
        <v>#N/A</v>
      </c>
      <c r="U140" s="68" t="e">
        <f t="shared" ca="1" si="59"/>
        <v>#N/A</v>
      </c>
      <c r="V140" s="5" t="e">
        <f t="shared" ca="1" si="38"/>
        <v>#N/A</v>
      </c>
      <c r="W140" s="5" t="e">
        <f t="shared" ca="1" si="52"/>
        <v>#N/A</v>
      </c>
      <c r="X140" s="68">
        <f t="shared" ca="1" si="53"/>
        <v>0</v>
      </c>
      <c r="Y140" s="68" t="e">
        <f t="shared" ca="1" si="60"/>
        <v>#N/A</v>
      </c>
      <c r="Z140" s="68" t="e">
        <f t="shared" ca="1" si="61"/>
        <v>#N/A</v>
      </c>
      <c r="AA140" s="5" t="str">
        <f>IF(Setup!$I$15="Yes",'Demand background (hide)'!AJ128+'SPC background (hide)'!C140,"")</f>
        <v/>
      </c>
      <c r="AC140" s="5" t="e">
        <f t="shared" ca="1" si="54"/>
        <v>#N/A</v>
      </c>
      <c r="AD140" s="5" t="e">
        <f t="shared" ca="1" si="55"/>
        <v>#N/A</v>
      </c>
    </row>
    <row r="141" spans="1:30" x14ac:dyDescent="0.2">
      <c r="A141" s="68" t="str">
        <f ca="1">Demand!C138</f>
        <v/>
      </c>
      <c r="B141" s="68">
        <v>126</v>
      </c>
      <c r="C141" s="5">
        <f ca="1">'Demand background (hide)'!Y129</f>
        <v>0</v>
      </c>
      <c r="D141" s="68">
        <f t="shared" si="39"/>
        <v>0</v>
      </c>
      <c r="E141" s="68" t="e">
        <f t="shared" ca="1" si="40"/>
        <v>#N/A</v>
      </c>
      <c r="F141" s="68" t="e">
        <f t="shared" ca="1" si="41"/>
        <v>#N/A</v>
      </c>
      <c r="G141" s="68" t="e">
        <f t="shared" ca="1" si="42"/>
        <v>#N/A</v>
      </c>
      <c r="H141" s="68" t="e">
        <f>IF('Demand background (hide)'!AN129&lt;&gt;"",'SPC background (hide)'!C141,NA())</f>
        <v>#N/A</v>
      </c>
      <c r="I141" s="68"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8" t="e">
        <f t="shared" ca="1" si="57"/>
        <v>#N/A</v>
      </c>
      <c r="T141" s="68" t="e">
        <f t="shared" ca="1" si="58"/>
        <v>#N/A</v>
      </c>
      <c r="U141" s="68" t="e">
        <f t="shared" ca="1" si="59"/>
        <v>#N/A</v>
      </c>
      <c r="V141" s="5" t="e">
        <f t="shared" ca="1" si="38"/>
        <v>#N/A</v>
      </c>
      <c r="W141" s="5" t="e">
        <f t="shared" ca="1" si="52"/>
        <v>#N/A</v>
      </c>
      <c r="X141" s="68">
        <f t="shared" ca="1" si="53"/>
        <v>0</v>
      </c>
      <c r="Y141" s="68" t="e">
        <f t="shared" ca="1" si="60"/>
        <v>#N/A</v>
      </c>
      <c r="Z141" s="68" t="e">
        <f t="shared" ca="1" si="61"/>
        <v>#N/A</v>
      </c>
      <c r="AA141" s="5" t="str">
        <f>IF(Setup!$I$15="Yes",'Demand background (hide)'!AJ129+'SPC background (hide)'!C141,"")</f>
        <v/>
      </c>
      <c r="AC141" s="5" t="e">
        <f t="shared" ca="1" si="54"/>
        <v>#N/A</v>
      </c>
      <c r="AD141" s="5" t="e">
        <f t="shared" ca="1" si="55"/>
        <v>#N/A</v>
      </c>
    </row>
    <row r="142" spans="1:30" x14ac:dyDescent="0.2">
      <c r="A142" s="68" t="str">
        <f ca="1">Demand!C139</f>
        <v/>
      </c>
      <c r="B142" s="68">
        <v>127</v>
      </c>
      <c r="C142" s="5">
        <f ca="1">'Demand background (hide)'!Y130</f>
        <v>0</v>
      </c>
      <c r="D142" s="68">
        <f t="shared" si="39"/>
        <v>0</v>
      </c>
      <c r="E142" s="68" t="e">
        <f t="shared" ca="1" si="40"/>
        <v>#N/A</v>
      </c>
      <c r="F142" s="68" t="e">
        <f t="shared" ca="1" si="41"/>
        <v>#N/A</v>
      </c>
      <c r="G142" s="68" t="e">
        <f t="shared" ca="1" si="42"/>
        <v>#N/A</v>
      </c>
      <c r="H142" s="68" t="e">
        <f>IF('Demand background (hide)'!AN130&lt;&gt;"",'SPC background (hide)'!C142,NA())</f>
        <v>#N/A</v>
      </c>
      <c r="I142" s="68"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8" t="e">
        <f t="shared" ca="1" si="57"/>
        <v>#N/A</v>
      </c>
      <c r="T142" s="68" t="e">
        <f t="shared" ca="1" si="58"/>
        <v>#N/A</v>
      </c>
      <c r="U142" s="68" t="e">
        <f t="shared" ca="1" si="59"/>
        <v>#N/A</v>
      </c>
      <c r="V142" s="5" t="e">
        <f t="shared" ca="1" si="38"/>
        <v>#N/A</v>
      </c>
      <c r="W142" s="5" t="e">
        <f t="shared" ca="1" si="52"/>
        <v>#N/A</v>
      </c>
      <c r="X142" s="68">
        <f t="shared" ca="1" si="53"/>
        <v>0</v>
      </c>
      <c r="Y142" s="68" t="e">
        <f t="shared" ca="1" si="60"/>
        <v>#N/A</v>
      </c>
      <c r="Z142" s="68" t="e">
        <f t="shared" ca="1" si="61"/>
        <v>#N/A</v>
      </c>
      <c r="AA142" s="5" t="str">
        <f>IF(Setup!$I$15="Yes",'Demand background (hide)'!AJ130+'SPC background (hide)'!C142,"")</f>
        <v/>
      </c>
      <c r="AC142" s="5" t="e">
        <f t="shared" ca="1" si="54"/>
        <v>#N/A</v>
      </c>
      <c r="AD142" s="5" t="e">
        <f t="shared" ca="1" si="55"/>
        <v>#N/A</v>
      </c>
    </row>
    <row r="143" spans="1:30" x14ac:dyDescent="0.2">
      <c r="A143" s="68" t="str">
        <f ca="1">Demand!C140</f>
        <v/>
      </c>
      <c r="B143" s="68">
        <v>128</v>
      </c>
      <c r="C143" s="5">
        <f ca="1">'Demand background (hide)'!Y131</f>
        <v>0</v>
      </c>
      <c r="D143" s="68">
        <f t="shared" si="39"/>
        <v>0</v>
      </c>
      <c r="E143" s="68" t="e">
        <f t="shared" ca="1" si="40"/>
        <v>#N/A</v>
      </c>
      <c r="F143" s="68" t="e">
        <f t="shared" ca="1" si="41"/>
        <v>#N/A</v>
      </c>
      <c r="G143" s="68" t="e">
        <f t="shared" ca="1" si="42"/>
        <v>#N/A</v>
      </c>
      <c r="H143" s="68" t="e">
        <f>IF('Demand background (hide)'!AN131&lt;&gt;"",'SPC background (hide)'!C143,NA())</f>
        <v>#N/A</v>
      </c>
      <c r="I143" s="68"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8" t="e">
        <f t="shared" ca="1" si="57"/>
        <v>#N/A</v>
      </c>
      <c r="T143" s="68" t="e">
        <f t="shared" ca="1" si="58"/>
        <v>#N/A</v>
      </c>
      <c r="U143" s="68" t="e">
        <f t="shared" ca="1" si="59"/>
        <v>#N/A</v>
      </c>
      <c r="V143" s="5" t="e">
        <f t="shared" ca="1" si="38"/>
        <v>#N/A</v>
      </c>
      <c r="W143" s="5" t="e">
        <f t="shared" ca="1" si="52"/>
        <v>#N/A</v>
      </c>
      <c r="X143" s="68">
        <f t="shared" ca="1" si="53"/>
        <v>0</v>
      </c>
      <c r="Y143" s="68" t="e">
        <f t="shared" ca="1" si="60"/>
        <v>#N/A</v>
      </c>
      <c r="Z143" s="68" t="e">
        <f t="shared" ca="1" si="61"/>
        <v>#N/A</v>
      </c>
      <c r="AA143" s="5" t="str">
        <f>IF(Setup!$I$15="Yes",'Demand background (hide)'!AJ131+'SPC background (hide)'!C143,"")</f>
        <v/>
      </c>
      <c r="AC143" s="5" t="e">
        <f t="shared" ca="1" si="54"/>
        <v>#N/A</v>
      </c>
      <c r="AD143" s="5" t="e">
        <f t="shared" ca="1" si="55"/>
        <v>#N/A</v>
      </c>
    </row>
    <row r="144" spans="1:30" x14ac:dyDescent="0.2">
      <c r="A144" s="68" t="str">
        <f ca="1">Demand!C141</f>
        <v/>
      </c>
      <c r="B144" s="68">
        <v>129</v>
      </c>
      <c r="C144" s="5">
        <f ca="1">'Demand background (hide)'!Y132</f>
        <v>0</v>
      </c>
      <c r="D144" s="68">
        <f t="shared" si="39"/>
        <v>0</v>
      </c>
      <c r="E144" s="68" t="e">
        <f t="shared" ca="1" si="40"/>
        <v>#N/A</v>
      </c>
      <c r="F144" s="68" t="e">
        <f t="shared" ca="1" si="41"/>
        <v>#N/A</v>
      </c>
      <c r="G144" s="68" t="e">
        <f t="shared" ca="1" si="42"/>
        <v>#N/A</v>
      </c>
      <c r="H144" s="68" t="e">
        <f>IF('Demand background (hide)'!AN132&lt;&gt;"",'SPC background (hide)'!C144,NA())</f>
        <v>#N/A</v>
      </c>
      <c r="I144" s="68"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8" t="e">
        <f t="shared" ca="1" si="57"/>
        <v>#N/A</v>
      </c>
      <c r="T144" s="68" t="e">
        <f t="shared" ca="1" si="58"/>
        <v>#N/A</v>
      </c>
      <c r="U144" s="68" t="e">
        <f t="shared" ca="1" si="59"/>
        <v>#N/A</v>
      </c>
      <c r="V144" s="5" t="e">
        <f t="shared" ref="V144:V207" ca="1" si="62">IF(C144&lt;M144,-1,IF(C144&gt;M144,1,0))</f>
        <v>#N/A</v>
      </c>
      <c r="W144" s="5" t="e">
        <f t="shared" ca="1" si="52"/>
        <v>#N/A</v>
      </c>
      <c r="X144" s="68">
        <f t="shared" ca="1" si="53"/>
        <v>0</v>
      </c>
      <c r="Y144" s="68" t="e">
        <f t="shared" ca="1" si="60"/>
        <v>#N/A</v>
      </c>
      <c r="Z144" s="68" t="e">
        <f t="shared" ca="1" si="61"/>
        <v>#N/A</v>
      </c>
      <c r="AA144" s="5" t="str">
        <f>IF(Setup!$I$15="Yes",'Demand background (hide)'!AJ132+'SPC background (hide)'!C144,"")</f>
        <v/>
      </c>
      <c r="AC144" s="5" t="e">
        <f t="shared" ca="1" si="54"/>
        <v>#N/A</v>
      </c>
      <c r="AD144" s="5" t="e">
        <f t="shared" ca="1" si="55"/>
        <v>#N/A</v>
      </c>
    </row>
    <row r="145" spans="1:30" x14ac:dyDescent="0.2">
      <c r="A145" s="68" t="str">
        <f ca="1">Demand!C142</f>
        <v/>
      </c>
      <c r="B145" s="68">
        <v>130</v>
      </c>
      <c r="C145" s="5">
        <f ca="1">'Demand background (hide)'!Y133</f>
        <v>0</v>
      </c>
      <c r="D145" s="68">
        <f t="shared" ref="D145:D208" si="63">IF(AND($B145&gt;=$C$4,$B145&lt;=$D$5+$C$5-1),1,0)</f>
        <v>0</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8" t="e">
        <f t="shared" ca="1" si="57"/>
        <v>#N/A</v>
      </c>
      <c r="T145" s="68" t="e">
        <f t="shared" ca="1" si="58"/>
        <v>#N/A</v>
      </c>
      <c r="U145" s="68" t="e">
        <f t="shared" ca="1" si="59"/>
        <v>#N/A</v>
      </c>
      <c r="V145" s="5" t="e">
        <f t="shared" ca="1" si="62"/>
        <v>#N/A</v>
      </c>
      <c r="W145" s="5" t="e">
        <f t="shared" ref="W145:W208" ca="1" si="76">IF(ISNA(H145)=TRUE,IF(ABS(SUM(V145:V153))=9,C145,NA()),NA())</f>
        <v>#N/A</v>
      </c>
      <c r="X145" s="68">
        <f t="shared" ref="X145:X208" ca="1" si="77">IF(C145&gt;C144,1,IF(C145&lt;C144,-1,0))</f>
        <v>0</v>
      </c>
      <c r="Y145" s="68" t="e">
        <f t="shared" ca="1" si="60"/>
        <v>#N/A</v>
      </c>
      <c r="Z145" s="68"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
      <c r="A146" s="68" t="str">
        <f ca="1">Demand!C143</f>
        <v/>
      </c>
      <c r="B146" s="68">
        <v>131</v>
      </c>
      <c r="C146" s="5">
        <f ca="1">'Demand background (hide)'!Y134</f>
        <v>0</v>
      </c>
      <c r="D146" s="68">
        <f t="shared" si="63"/>
        <v>0</v>
      </c>
      <c r="E146" s="68" t="e">
        <f t="shared" ca="1" si="64"/>
        <v>#N/A</v>
      </c>
      <c r="F146" s="68" t="e">
        <f t="shared" ca="1" si="65"/>
        <v>#N/A</v>
      </c>
      <c r="G146" s="68" t="e">
        <f t="shared" ca="1" si="66"/>
        <v>#N/A</v>
      </c>
      <c r="H146" s="68" t="e">
        <f>IF('Demand background (hide)'!AN134&lt;&gt;"",'SPC background (hide)'!C146,NA())</f>
        <v>#N/A</v>
      </c>
      <c r="I146" s="68"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8" t="e">
        <f t="shared" ref="S146:S209" ca="1" si="81">IF(ISNA(H146),IF(ABS(SUM(R146:R148))&gt;=5,C146,NA()),NA())</f>
        <v>#N/A</v>
      </c>
      <c r="T146" s="68" t="e">
        <f t="shared" ref="T146:T209" ca="1" si="82">IF(C146&gt;N146,2,IF(C146&lt;L146,-2,IF(C146&gt;M146,1,IF(C146&lt;M146,-1,0))))</f>
        <v>#N/A</v>
      </c>
      <c r="U146" s="68" t="e">
        <f t="shared" ref="U146:U209" ca="1" si="83">IF(ISNA(H146)=TRUE,IF(ABS(SUM(T146:T150))&gt;=9,C146,NA()),NA())</f>
        <v>#N/A</v>
      </c>
      <c r="V146" s="5" t="e">
        <f t="shared" ca="1" si="62"/>
        <v>#N/A</v>
      </c>
      <c r="W146" s="5" t="e">
        <f t="shared" ca="1" si="76"/>
        <v>#N/A</v>
      </c>
      <c r="X146" s="68">
        <f t="shared" ca="1" si="77"/>
        <v>0</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
      <c r="A147" s="68" t="str">
        <f ca="1">Demand!C144</f>
        <v/>
      </c>
      <c r="B147" s="68">
        <v>132</v>
      </c>
      <c r="C147" s="5">
        <f ca="1">'Demand background (hide)'!Y135</f>
        <v>0</v>
      </c>
      <c r="D147" s="68">
        <f t="shared" si="63"/>
        <v>0</v>
      </c>
      <c r="E147" s="68" t="e">
        <f t="shared" ca="1" si="64"/>
        <v>#N/A</v>
      </c>
      <c r="F147" s="68" t="e">
        <f t="shared" ca="1" si="65"/>
        <v>#N/A</v>
      </c>
      <c r="G147" s="68" t="e">
        <f t="shared" ca="1" si="66"/>
        <v>#N/A</v>
      </c>
      <c r="H147" s="68" t="e">
        <f>IF('Demand background (hide)'!AN135&lt;&gt;"",'SPC background (hide)'!C147,NA())</f>
        <v>#N/A</v>
      </c>
      <c r="I147" s="68"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8" t="e">
        <f t="shared" ca="1" si="81"/>
        <v>#N/A</v>
      </c>
      <c r="T147" s="68" t="e">
        <f t="shared" ca="1" si="82"/>
        <v>#N/A</v>
      </c>
      <c r="U147" s="68" t="e">
        <f t="shared" ca="1" si="83"/>
        <v>#N/A</v>
      </c>
      <c r="V147" s="5" t="e">
        <f t="shared" ca="1" si="62"/>
        <v>#N/A</v>
      </c>
      <c r="W147" s="5" t="e">
        <f t="shared" ca="1" si="76"/>
        <v>#N/A</v>
      </c>
      <c r="X147" s="68">
        <f t="shared" ca="1" si="77"/>
        <v>0</v>
      </c>
      <c r="Y147" s="68" t="e">
        <f t="shared" ca="1" si="84"/>
        <v>#N/A</v>
      </c>
      <c r="Z147" s="68" t="e">
        <f t="shared" ca="1" si="85"/>
        <v>#N/A</v>
      </c>
      <c r="AA147" s="5" t="str">
        <f>IF(Setup!$I$15="Yes",'Demand background (hide)'!AJ135+'SPC background (hide)'!C147,"")</f>
        <v/>
      </c>
      <c r="AC147" s="5" t="e">
        <f t="shared" ca="1" si="78"/>
        <v>#N/A</v>
      </c>
      <c r="AD147" s="5" t="e">
        <f t="shared" ca="1" si="79"/>
        <v>#N/A</v>
      </c>
    </row>
    <row r="148" spans="1:30" x14ac:dyDescent="0.2">
      <c r="A148" s="68" t="str">
        <f ca="1">Demand!C145</f>
        <v/>
      </c>
      <c r="B148" s="68">
        <v>133</v>
      </c>
      <c r="C148" s="5">
        <f ca="1">'Demand background (hide)'!Y136</f>
        <v>0</v>
      </c>
      <c r="D148" s="68">
        <f t="shared" si="63"/>
        <v>0</v>
      </c>
      <c r="E148" s="68" t="e">
        <f t="shared" ca="1" si="64"/>
        <v>#N/A</v>
      </c>
      <c r="F148" s="68" t="e">
        <f t="shared" ca="1" si="65"/>
        <v>#N/A</v>
      </c>
      <c r="G148" s="68" t="e">
        <f t="shared" ca="1" si="66"/>
        <v>#N/A</v>
      </c>
      <c r="H148" s="68" t="e">
        <f>IF('Demand background (hide)'!AN136&lt;&gt;"",'SPC background (hide)'!C148,NA())</f>
        <v>#N/A</v>
      </c>
      <c r="I148" s="68"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8" t="e">
        <f t="shared" ca="1" si="81"/>
        <v>#N/A</v>
      </c>
      <c r="T148" s="68" t="e">
        <f t="shared" ca="1" si="82"/>
        <v>#N/A</v>
      </c>
      <c r="U148" s="68" t="e">
        <f t="shared" ca="1" si="83"/>
        <v>#N/A</v>
      </c>
      <c r="V148" s="5" t="e">
        <f t="shared" ca="1" si="62"/>
        <v>#N/A</v>
      </c>
      <c r="W148" s="5" t="e">
        <f t="shared" ca="1" si="76"/>
        <v>#N/A</v>
      </c>
      <c r="X148" s="68">
        <f t="shared" ca="1" si="77"/>
        <v>0</v>
      </c>
      <c r="Y148" s="68" t="e">
        <f t="shared" ca="1" si="84"/>
        <v>#N/A</v>
      </c>
      <c r="Z148" s="68" t="e">
        <f t="shared" ca="1" si="85"/>
        <v>#N/A</v>
      </c>
      <c r="AA148" s="5" t="str">
        <f>IF(Setup!$I$15="Yes",'Demand background (hide)'!AJ136+'SPC background (hide)'!C148,"")</f>
        <v/>
      </c>
      <c r="AC148" s="5" t="e">
        <f t="shared" ca="1" si="78"/>
        <v>#N/A</v>
      </c>
      <c r="AD148" s="5" t="e">
        <f t="shared" ca="1" si="79"/>
        <v>#N/A</v>
      </c>
    </row>
    <row r="149" spans="1:30" x14ac:dyDescent="0.2">
      <c r="A149" s="68" t="str">
        <f ca="1">Demand!C146</f>
        <v/>
      </c>
      <c r="B149" s="68">
        <v>134</v>
      </c>
      <c r="C149" s="5">
        <f ca="1">'Demand background (hide)'!Y137</f>
        <v>0</v>
      </c>
      <c r="D149" s="68">
        <f t="shared" si="63"/>
        <v>0</v>
      </c>
      <c r="E149" s="68" t="e">
        <f t="shared" ca="1" si="64"/>
        <v>#N/A</v>
      </c>
      <c r="F149" s="68" t="e">
        <f t="shared" ca="1" si="65"/>
        <v>#N/A</v>
      </c>
      <c r="G149" s="68" t="e">
        <f t="shared" ca="1" si="66"/>
        <v>#N/A</v>
      </c>
      <c r="H149" s="68" t="e">
        <f>IF('Demand background (hide)'!AN137&lt;&gt;"",'SPC background (hide)'!C149,NA())</f>
        <v>#N/A</v>
      </c>
      <c r="I149" s="68"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8" t="e">
        <f t="shared" ca="1" si="81"/>
        <v>#N/A</v>
      </c>
      <c r="T149" s="68" t="e">
        <f t="shared" ca="1" si="82"/>
        <v>#N/A</v>
      </c>
      <c r="U149" s="68" t="e">
        <f t="shared" ca="1" si="83"/>
        <v>#N/A</v>
      </c>
      <c r="V149" s="5" t="e">
        <f t="shared" ca="1" si="62"/>
        <v>#N/A</v>
      </c>
      <c r="W149" s="5" t="e">
        <f t="shared" ca="1" si="76"/>
        <v>#N/A</v>
      </c>
      <c r="X149" s="68">
        <f t="shared" ca="1" si="77"/>
        <v>0</v>
      </c>
      <c r="Y149" s="68" t="e">
        <f t="shared" ca="1" si="84"/>
        <v>#N/A</v>
      </c>
      <c r="Z149" s="68" t="e">
        <f t="shared" ca="1" si="85"/>
        <v>#N/A</v>
      </c>
      <c r="AA149" s="5" t="str">
        <f>IF(Setup!$I$15="Yes",'Demand background (hide)'!AJ137+'SPC background (hide)'!C149,"")</f>
        <v/>
      </c>
      <c r="AC149" s="5" t="e">
        <f t="shared" ca="1" si="78"/>
        <v>#N/A</v>
      </c>
      <c r="AD149" s="5" t="e">
        <f t="shared" ca="1" si="79"/>
        <v>#N/A</v>
      </c>
    </row>
    <row r="150" spans="1:30" x14ac:dyDescent="0.2">
      <c r="A150" s="68" t="str">
        <f ca="1">Demand!C147</f>
        <v/>
      </c>
      <c r="B150" s="68">
        <v>135</v>
      </c>
      <c r="C150" s="5">
        <f ca="1">'Demand background (hide)'!Y138</f>
        <v>0</v>
      </c>
      <c r="D150" s="68">
        <f t="shared" si="63"/>
        <v>0</v>
      </c>
      <c r="E150" s="68" t="e">
        <f t="shared" ca="1" si="64"/>
        <v>#N/A</v>
      </c>
      <c r="F150" s="68" t="e">
        <f t="shared" ca="1" si="65"/>
        <v>#N/A</v>
      </c>
      <c r="G150" s="68" t="e">
        <f t="shared" ca="1" si="66"/>
        <v>#N/A</v>
      </c>
      <c r="H150" s="68" t="e">
        <f>IF('Demand background (hide)'!AN138&lt;&gt;"",'SPC background (hide)'!C150,NA())</f>
        <v>#N/A</v>
      </c>
      <c r="I150" s="68"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8" t="e">
        <f t="shared" ca="1" si="81"/>
        <v>#N/A</v>
      </c>
      <c r="T150" s="68" t="e">
        <f t="shared" ca="1" si="82"/>
        <v>#N/A</v>
      </c>
      <c r="U150" s="68" t="e">
        <f t="shared" ca="1" si="83"/>
        <v>#N/A</v>
      </c>
      <c r="V150" s="5" t="e">
        <f t="shared" ca="1" si="62"/>
        <v>#N/A</v>
      </c>
      <c r="W150" s="5" t="e">
        <f t="shared" ca="1" si="76"/>
        <v>#N/A</v>
      </c>
      <c r="X150" s="68">
        <f t="shared" ca="1" si="77"/>
        <v>0</v>
      </c>
      <c r="Y150" s="68" t="e">
        <f t="shared" ca="1" si="84"/>
        <v>#N/A</v>
      </c>
      <c r="Z150" s="68" t="e">
        <f t="shared" ca="1" si="85"/>
        <v>#N/A</v>
      </c>
      <c r="AA150" s="5" t="str">
        <f>IF(Setup!$I$15="Yes",'Demand background (hide)'!AJ138+'SPC background (hide)'!C150,"")</f>
        <v/>
      </c>
      <c r="AC150" s="5" t="e">
        <f t="shared" ca="1" si="78"/>
        <v>#N/A</v>
      </c>
      <c r="AD150" s="5" t="e">
        <f t="shared" ca="1" si="79"/>
        <v>#N/A</v>
      </c>
    </row>
    <row r="151" spans="1:30" x14ac:dyDescent="0.2">
      <c r="A151" s="68" t="str">
        <f ca="1">Demand!C148</f>
        <v/>
      </c>
      <c r="B151" s="68">
        <v>136</v>
      </c>
      <c r="C151" s="5">
        <f ca="1">'Demand background (hide)'!Y139</f>
        <v>0</v>
      </c>
      <c r="D151" s="68">
        <f t="shared" si="63"/>
        <v>0</v>
      </c>
      <c r="E151" s="68" t="e">
        <f t="shared" ca="1" si="64"/>
        <v>#N/A</v>
      </c>
      <c r="F151" s="68" t="e">
        <f t="shared" ca="1" si="65"/>
        <v>#N/A</v>
      </c>
      <c r="G151" s="68" t="e">
        <f t="shared" ca="1" si="66"/>
        <v>#N/A</v>
      </c>
      <c r="H151" s="68" t="e">
        <f>IF('Demand background (hide)'!AN139&lt;&gt;"",'SPC background (hide)'!C151,NA())</f>
        <v>#N/A</v>
      </c>
      <c r="I151" s="68"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8" t="e">
        <f t="shared" ca="1" si="81"/>
        <v>#N/A</v>
      </c>
      <c r="T151" s="68" t="e">
        <f t="shared" ca="1" si="82"/>
        <v>#N/A</v>
      </c>
      <c r="U151" s="68" t="e">
        <f t="shared" ca="1" si="83"/>
        <v>#N/A</v>
      </c>
      <c r="V151" s="5" t="e">
        <f t="shared" ca="1" si="62"/>
        <v>#N/A</v>
      </c>
      <c r="W151" s="5" t="e">
        <f t="shared" ca="1" si="76"/>
        <v>#N/A</v>
      </c>
      <c r="X151" s="68">
        <f t="shared" ca="1" si="77"/>
        <v>0</v>
      </c>
      <c r="Y151" s="68" t="e">
        <f t="shared" ca="1" si="84"/>
        <v>#N/A</v>
      </c>
      <c r="Z151" s="68" t="e">
        <f t="shared" ca="1" si="85"/>
        <v>#N/A</v>
      </c>
      <c r="AA151" s="5" t="str">
        <f>IF(Setup!$I$15="Yes",'Demand background (hide)'!AJ139+'SPC background (hide)'!C151,"")</f>
        <v/>
      </c>
      <c r="AC151" s="5" t="e">
        <f t="shared" ca="1" si="78"/>
        <v>#N/A</v>
      </c>
      <c r="AD151" s="5" t="e">
        <f t="shared" ca="1" si="79"/>
        <v>#N/A</v>
      </c>
    </row>
    <row r="152" spans="1:30" x14ac:dyDescent="0.2">
      <c r="A152" s="68" t="str">
        <f ca="1">Demand!C149</f>
        <v/>
      </c>
      <c r="B152" s="68">
        <v>137</v>
      </c>
      <c r="C152" s="5">
        <f ca="1">'Demand background (hide)'!Y140</f>
        <v>0</v>
      </c>
      <c r="D152" s="68">
        <f t="shared" si="63"/>
        <v>0</v>
      </c>
      <c r="E152" s="68" t="e">
        <f t="shared" ca="1" si="64"/>
        <v>#N/A</v>
      </c>
      <c r="F152" s="68" t="e">
        <f t="shared" ca="1" si="65"/>
        <v>#N/A</v>
      </c>
      <c r="G152" s="68" t="e">
        <f t="shared" ca="1" si="66"/>
        <v>#N/A</v>
      </c>
      <c r="H152" s="68" t="e">
        <f>IF('Demand background (hide)'!AN140&lt;&gt;"",'SPC background (hide)'!C152,NA())</f>
        <v>#N/A</v>
      </c>
      <c r="I152" s="68"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8" t="e">
        <f t="shared" ca="1" si="81"/>
        <v>#N/A</v>
      </c>
      <c r="T152" s="68" t="e">
        <f t="shared" ca="1" si="82"/>
        <v>#N/A</v>
      </c>
      <c r="U152" s="68" t="e">
        <f t="shared" ca="1" si="83"/>
        <v>#N/A</v>
      </c>
      <c r="V152" s="5" t="e">
        <f t="shared" ca="1" si="62"/>
        <v>#N/A</v>
      </c>
      <c r="W152" s="5" t="e">
        <f t="shared" ca="1" si="76"/>
        <v>#N/A</v>
      </c>
      <c r="X152" s="68">
        <f t="shared" ca="1" si="77"/>
        <v>0</v>
      </c>
      <c r="Y152" s="68" t="e">
        <f t="shared" ca="1" si="84"/>
        <v>#N/A</v>
      </c>
      <c r="Z152" s="68" t="e">
        <f t="shared" ca="1" si="85"/>
        <v>#N/A</v>
      </c>
      <c r="AA152" s="5" t="str">
        <f>IF(Setup!$I$15="Yes",'Demand background (hide)'!AJ140+'SPC background (hide)'!C152,"")</f>
        <v/>
      </c>
      <c r="AC152" s="5" t="e">
        <f t="shared" ca="1" si="78"/>
        <v>#N/A</v>
      </c>
      <c r="AD152" s="5" t="e">
        <f t="shared" ca="1" si="79"/>
        <v>#N/A</v>
      </c>
    </row>
    <row r="153" spans="1:30" x14ac:dyDescent="0.2">
      <c r="A153" s="68" t="str">
        <f ca="1">Demand!C150</f>
        <v/>
      </c>
      <c r="B153" s="68">
        <v>138</v>
      </c>
      <c r="C153" s="5">
        <f ca="1">'Demand background (hide)'!Y141</f>
        <v>0</v>
      </c>
      <c r="D153" s="68">
        <f t="shared" si="63"/>
        <v>0</v>
      </c>
      <c r="E153" s="68" t="e">
        <f t="shared" ca="1" si="64"/>
        <v>#N/A</v>
      </c>
      <c r="F153" s="68" t="e">
        <f t="shared" ca="1" si="65"/>
        <v>#N/A</v>
      </c>
      <c r="G153" s="68" t="e">
        <f t="shared" ca="1" si="66"/>
        <v>#N/A</v>
      </c>
      <c r="H153" s="68" t="e">
        <f>IF('Demand background (hide)'!AN141&lt;&gt;"",'SPC background (hide)'!C153,NA())</f>
        <v>#N/A</v>
      </c>
      <c r="I153" s="68"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8" t="e">
        <f t="shared" ca="1" si="81"/>
        <v>#N/A</v>
      </c>
      <c r="T153" s="68" t="e">
        <f t="shared" ca="1" si="82"/>
        <v>#N/A</v>
      </c>
      <c r="U153" s="68" t="e">
        <f t="shared" ca="1" si="83"/>
        <v>#N/A</v>
      </c>
      <c r="V153" s="5" t="e">
        <f t="shared" ca="1" si="62"/>
        <v>#N/A</v>
      </c>
      <c r="W153" s="5" t="e">
        <f t="shared" ca="1" si="76"/>
        <v>#N/A</v>
      </c>
      <c r="X153" s="68">
        <f t="shared" ca="1" si="77"/>
        <v>0</v>
      </c>
      <c r="Y153" s="68" t="e">
        <f t="shared" ca="1" si="84"/>
        <v>#N/A</v>
      </c>
      <c r="Z153" s="68" t="e">
        <f t="shared" ca="1" si="85"/>
        <v>#N/A</v>
      </c>
      <c r="AA153" s="5" t="str">
        <f>IF(Setup!$I$15="Yes",'Demand background (hide)'!AJ141+'SPC background (hide)'!C153,"")</f>
        <v/>
      </c>
      <c r="AC153" s="5" t="e">
        <f t="shared" ca="1" si="78"/>
        <v>#N/A</v>
      </c>
      <c r="AD153" s="5" t="e">
        <f t="shared" ca="1" si="79"/>
        <v>#N/A</v>
      </c>
    </row>
    <row r="154" spans="1:30" x14ac:dyDescent="0.2">
      <c r="A154" s="68" t="str">
        <f ca="1">Demand!C151</f>
        <v/>
      </c>
      <c r="B154" s="68">
        <v>139</v>
      </c>
      <c r="C154" s="5">
        <f ca="1">'Demand background (hide)'!Y142</f>
        <v>0</v>
      </c>
      <c r="D154" s="68">
        <f t="shared" si="63"/>
        <v>0</v>
      </c>
      <c r="E154" s="68" t="e">
        <f t="shared" ca="1" si="64"/>
        <v>#N/A</v>
      </c>
      <c r="F154" s="68" t="e">
        <f t="shared" ca="1" si="65"/>
        <v>#N/A</v>
      </c>
      <c r="G154" s="68" t="e">
        <f t="shared" ca="1" si="66"/>
        <v>#N/A</v>
      </c>
      <c r="H154" s="68" t="e">
        <f>IF('Demand background (hide)'!AN142&lt;&gt;"",'SPC background (hide)'!C154,NA())</f>
        <v>#N/A</v>
      </c>
      <c r="I154" s="68"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8" t="e">
        <f t="shared" ca="1" si="81"/>
        <v>#N/A</v>
      </c>
      <c r="T154" s="68" t="e">
        <f t="shared" ca="1" si="82"/>
        <v>#N/A</v>
      </c>
      <c r="U154" s="68" t="e">
        <f t="shared" ca="1" si="83"/>
        <v>#N/A</v>
      </c>
      <c r="V154" s="5" t="e">
        <f t="shared" ca="1" si="62"/>
        <v>#N/A</v>
      </c>
      <c r="W154" s="5" t="e">
        <f t="shared" ca="1" si="76"/>
        <v>#N/A</v>
      </c>
      <c r="X154" s="68">
        <f t="shared" ca="1" si="77"/>
        <v>0</v>
      </c>
      <c r="Y154" s="68" t="e">
        <f t="shared" ca="1" si="84"/>
        <v>#N/A</v>
      </c>
      <c r="Z154" s="68" t="e">
        <f t="shared" ca="1" si="85"/>
        <v>#N/A</v>
      </c>
      <c r="AA154" s="5" t="str">
        <f>IF(Setup!$I$15="Yes",'Demand background (hide)'!AJ142+'SPC background (hide)'!C154,"")</f>
        <v/>
      </c>
      <c r="AC154" s="5" t="e">
        <f t="shared" ca="1" si="78"/>
        <v>#N/A</v>
      </c>
      <c r="AD154" s="5" t="e">
        <f t="shared" ca="1" si="79"/>
        <v>#N/A</v>
      </c>
    </row>
    <row r="155" spans="1:30" x14ac:dyDescent="0.2">
      <c r="A155" s="68" t="str">
        <f ca="1">Demand!C152</f>
        <v/>
      </c>
      <c r="B155" s="68">
        <v>140</v>
      </c>
      <c r="C155" s="5">
        <f ca="1">'Demand background (hide)'!Y143</f>
        <v>0</v>
      </c>
      <c r="D155" s="68">
        <f t="shared" si="63"/>
        <v>0</v>
      </c>
      <c r="E155" s="68" t="e">
        <f t="shared" ca="1" si="64"/>
        <v>#N/A</v>
      </c>
      <c r="F155" s="68" t="e">
        <f t="shared" ca="1" si="65"/>
        <v>#N/A</v>
      </c>
      <c r="G155" s="68" t="e">
        <f t="shared" ca="1" si="66"/>
        <v>#N/A</v>
      </c>
      <c r="H155" s="68" t="e">
        <f>IF('Demand background (hide)'!AN143&lt;&gt;"",'SPC background (hide)'!C155,NA())</f>
        <v>#N/A</v>
      </c>
      <c r="I155" s="68"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8" t="e">
        <f t="shared" ca="1" si="81"/>
        <v>#N/A</v>
      </c>
      <c r="T155" s="68" t="e">
        <f t="shared" ca="1" si="82"/>
        <v>#N/A</v>
      </c>
      <c r="U155" s="68" t="e">
        <f t="shared" ca="1" si="83"/>
        <v>#N/A</v>
      </c>
      <c r="V155" s="5" t="e">
        <f t="shared" ca="1" si="62"/>
        <v>#N/A</v>
      </c>
      <c r="W155" s="5" t="e">
        <f t="shared" ca="1" si="76"/>
        <v>#N/A</v>
      </c>
      <c r="X155" s="68">
        <f t="shared" ca="1" si="77"/>
        <v>0</v>
      </c>
      <c r="Y155" s="68" t="e">
        <f t="shared" ca="1" si="84"/>
        <v>#N/A</v>
      </c>
      <c r="Z155" s="68" t="e">
        <f t="shared" ca="1" si="85"/>
        <v>#N/A</v>
      </c>
      <c r="AA155" s="5" t="str">
        <f>IF(Setup!$I$15="Yes",'Demand background (hide)'!AJ143+'SPC background (hide)'!C155,"")</f>
        <v/>
      </c>
      <c r="AC155" s="5" t="e">
        <f t="shared" ca="1" si="78"/>
        <v>#N/A</v>
      </c>
      <c r="AD155" s="5" t="e">
        <f t="shared" ca="1" si="79"/>
        <v>#N/A</v>
      </c>
    </row>
    <row r="156" spans="1:30" x14ac:dyDescent="0.2">
      <c r="A156" s="68" t="str">
        <f ca="1">Demand!C153</f>
        <v/>
      </c>
      <c r="B156" s="68">
        <v>141</v>
      </c>
      <c r="C156" s="5">
        <f ca="1">'Demand background (hide)'!Y144</f>
        <v>0</v>
      </c>
      <c r="D156" s="68">
        <f t="shared" si="63"/>
        <v>0</v>
      </c>
      <c r="E156" s="68" t="e">
        <f t="shared" ca="1" si="64"/>
        <v>#N/A</v>
      </c>
      <c r="F156" s="68" t="e">
        <f t="shared" ca="1" si="65"/>
        <v>#N/A</v>
      </c>
      <c r="G156" s="68" t="e">
        <f t="shared" ca="1" si="66"/>
        <v>#N/A</v>
      </c>
      <c r="H156" s="68" t="e">
        <f>IF('Demand background (hide)'!AN144&lt;&gt;"",'SPC background (hide)'!C156,NA())</f>
        <v>#N/A</v>
      </c>
      <c r="I156" s="68"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8" t="e">
        <f t="shared" ca="1" si="81"/>
        <v>#N/A</v>
      </c>
      <c r="T156" s="68" t="e">
        <f t="shared" ca="1" si="82"/>
        <v>#N/A</v>
      </c>
      <c r="U156" s="68" t="e">
        <f t="shared" ca="1" si="83"/>
        <v>#N/A</v>
      </c>
      <c r="V156" s="5" t="e">
        <f t="shared" ca="1" si="62"/>
        <v>#N/A</v>
      </c>
      <c r="W156" s="5" t="e">
        <f t="shared" ca="1" si="76"/>
        <v>#N/A</v>
      </c>
      <c r="X156" s="68">
        <f t="shared" ca="1" si="77"/>
        <v>0</v>
      </c>
      <c r="Y156" s="68" t="e">
        <f t="shared" ca="1" si="84"/>
        <v>#N/A</v>
      </c>
      <c r="Z156" s="68" t="e">
        <f t="shared" ca="1" si="85"/>
        <v>#N/A</v>
      </c>
      <c r="AA156" s="5" t="str">
        <f>IF(Setup!$I$15="Yes",'Demand background (hide)'!AJ144+'SPC background (hide)'!C156,"")</f>
        <v/>
      </c>
      <c r="AC156" s="5" t="e">
        <f t="shared" ca="1" si="78"/>
        <v>#N/A</v>
      </c>
      <c r="AD156" s="5" t="e">
        <f t="shared" ca="1" si="79"/>
        <v>#N/A</v>
      </c>
    </row>
    <row r="157" spans="1:30" x14ac:dyDescent="0.2">
      <c r="A157" s="68" t="str">
        <f ca="1">Demand!C154</f>
        <v/>
      </c>
      <c r="B157" s="68">
        <v>142</v>
      </c>
      <c r="C157" s="5">
        <f ca="1">'Demand background (hide)'!Y145</f>
        <v>0</v>
      </c>
      <c r="D157" s="68">
        <f t="shared" si="63"/>
        <v>0</v>
      </c>
      <c r="E157" s="68" t="e">
        <f t="shared" ca="1" si="64"/>
        <v>#N/A</v>
      </c>
      <c r="F157" s="68" t="e">
        <f t="shared" ca="1" si="65"/>
        <v>#N/A</v>
      </c>
      <c r="G157" s="68" t="e">
        <f t="shared" ca="1" si="66"/>
        <v>#N/A</v>
      </c>
      <c r="H157" s="68" t="e">
        <f>IF('Demand background (hide)'!AN145&lt;&gt;"",'SPC background (hide)'!C157,NA())</f>
        <v>#N/A</v>
      </c>
      <c r="I157" s="68"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8" t="e">
        <f t="shared" ca="1" si="81"/>
        <v>#N/A</v>
      </c>
      <c r="T157" s="68" t="e">
        <f t="shared" ca="1" si="82"/>
        <v>#N/A</v>
      </c>
      <c r="U157" s="68" t="e">
        <f t="shared" ca="1" si="83"/>
        <v>#N/A</v>
      </c>
      <c r="V157" s="5" t="e">
        <f t="shared" ca="1" si="62"/>
        <v>#N/A</v>
      </c>
      <c r="W157" s="5" t="e">
        <f t="shared" ca="1" si="76"/>
        <v>#N/A</v>
      </c>
      <c r="X157" s="68">
        <f t="shared" ca="1" si="77"/>
        <v>0</v>
      </c>
      <c r="Y157" s="68" t="e">
        <f t="shared" ca="1" si="84"/>
        <v>#N/A</v>
      </c>
      <c r="Z157" s="68" t="e">
        <f t="shared" ca="1" si="85"/>
        <v>#N/A</v>
      </c>
      <c r="AA157" s="5" t="str">
        <f>IF(Setup!$I$15="Yes",'Demand background (hide)'!AJ145+'SPC background (hide)'!C157,"")</f>
        <v/>
      </c>
      <c r="AC157" s="5" t="e">
        <f t="shared" ca="1" si="78"/>
        <v>#N/A</v>
      </c>
      <c r="AD157" s="5" t="e">
        <f t="shared" ca="1" si="79"/>
        <v>#N/A</v>
      </c>
    </row>
    <row r="158" spans="1:30" x14ac:dyDescent="0.2">
      <c r="A158" s="68" t="str">
        <f ca="1">Demand!C155</f>
        <v/>
      </c>
      <c r="B158" s="68">
        <v>143</v>
      </c>
      <c r="C158" s="5">
        <f ca="1">'Demand background (hide)'!Y146</f>
        <v>0</v>
      </c>
      <c r="D158" s="68">
        <f t="shared" si="63"/>
        <v>0</v>
      </c>
      <c r="E158" s="68" t="e">
        <f t="shared" ca="1" si="64"/>
        <v>#N/A</v>
      </c>
      <c r="F158" s="68" t="e">
        <f t="shared" ca="1" si="65"/>
        <v>#N/A</v>
      </c>
      <c r="G158" s="68" t="e">
        <f t="shared" ca="1" si="66"/>
        <v>#N/A</v>
      </c>
      <c r="H158" s="68" t="e">
        <f>IF('Demand background (hide)'!AN146&lt;&gt;"",'SPC background (hide)'!C158,NA())</f>
        <v>#N/A</v>
      </c>
      <c r="I158" s="68"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8" t="e">
        <f t="shared" ca="1" si="81"/>
        <v>#N/A</v>
      </c>
      <c r="T158" s="68" t="e">
        <f t="shared" ca="1" si="82"/>
        <v>#N/A</v>
      </c>
      <c r="U158" s="68" t="e">
        <f t="shared" ca="1" si="83"/>
        <v>#N/A</v>
      </c>
      <c r="V158" s="5" t="e">
        <f t="shared" ca="1" si="62"/>
        <v>#N/A</v>
      </c>
      <c r="W158" s="5" t="e">
        <f t="shared" ca="1" si="76"/>
        <v>#N/A</v>
      </c>
      <c r="X158" s="68">
        <f t="shared" ca="1" si="77"/>
        <v>0</v>
      </c>
      <c r="Y158" s="68" t="e">
        <f t="shared" ca="1" si="84"/>
        <v>#N/A</v>
      </c>
      <c r="Z158" s="68" t="e">
        <f t="shared" ca="1" si="85"/>
        <v>#N/A</v>
      </c>
      <c r="AA158" s="5" t="str">
        <f>IF(Setup!$I$15="Yes",'Demand background (hide)'!AJ146+'SPC background (hide)'!C158,"")</f>
        <v/>
      </c>
      <c r="AC158" s="5" t="e">
        <f t="shared" ca="1" si="78"/>
        <v>#N/A</v>
      </c>
      <c r="AD158" s="5" t="e">
        <f t="shared" ca="1" si="79"/>
        <v>#N/A</v>
      </c>
    </row>
    <row r="159" spans="1:30" x14ac:dyDescent="0.2">
      <c r="A159" s="68" t="str">
        <f ca="1">Demand!C156</f>
        <v/>
      </c>
      <c r="B159" s="68">
        <v>144</v>
      </c>
      <c r="C159" s="5">
        <f ca="1">'Demand background (hide)'!Y147</f>
        <v>0</v>
      </c>
      <c r="D159" s="68">
        <f t="shared" si="63"/>
        <v>0</v>
      </c>
      <c r="E159" s="68" t="e">
        <f t="shared" ca="1" si="64"/>
        <v>#N/A</v>
      </c>
      <c r="F159" s="68" t="e">
        <f t="shared" ca="1" si="65"/>
        <v>#N/A</v>
      </c>
      <c r="G159" s="68" t="e">
        <f t="shared" ca="1" si="66"/>
        <v>#N/A</v>
      </c>
      <c r="H159" s="68" t="e">
        <f>IF('Demand background (hide)'!AN147&lt;&gt;"",'SPC background (hide)'!C159,NA())</f>
        <v>#N/A</v>
      </c>
      <c r="I159" s="68"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8" t="e">
        <f t="shared" ca="1" si="81"/>
        <v>#N/A</v>
      </c>
      <c r="T159" s="68" t="e">
        <f t="shared" ca="1" si="82"/>
        <v>#N/A</v>
      </c>
      <c r="U159" s="68" t="e">
        <f t="shared" ca="1" si="83"/>
        <v>#N/A</v>
      </c>
      <c r="V159" s="5" t="e">
        <f t="shared" ca="1" si="62"/>
        <v>#N/A</v>
      </c>
      <c r="W159" s="5" t="e">
        <f t="shared" ca="1" si="76"/>
        <v>#N/A</v>
      </c>
      <c r="X159" s="68">
        <f t="shared" ca="1" si="77"/>
        <v>0</v>
      </c>
      <c r="Y159" s="68" t="e">
        <f t="shared" ca="1" si="84"/>
        <v>#N/A</v>
      </c>
      <c r="Z159" s="68" t="e">
        <f t="shared" ca="1" si="85"/>
        <v>#N/A</v>
      </c>
      <c r="AA159" s="5" t="str">
        <f>IF(Setup!$I$15="Yes",'Demand background (hide)'!AJ147+'SPC background (hide)'!C159,"")</f>
        <v/>
      </c>
      <c r="AC159" s="5" t="e">
        <f t="shared" ca="1" si="78"/>
        <v>#N/A</v>
      </c>
      <c r="AD159" s="5" t="e">
        <f t="shared" ca="1" si="79"/>
        <v>#N/A</v>
      </c>
    </row>
    <row r="160" spans="1:30" x14ac:dyDescent="0.2">
      <c r="A160" s="68" t="str">
        <f ca="1">Demand!C157</f>
        <v/>
      </c>
      <c r="B160" s="68">
        <v>145</v>
      </c>
      <c r="C160" s="5">
        <f ca="1">'Demand background (hide)'!Y148</f>
        <v>0</v>
      </c>
      <c r="D160" s="68">
        <f t="shared" si="63"/>
        <v>0</v>
      </c>
      <c r="E160" s="68" t="e">
        <f t="shared" ca="1" si="64"/>
        <v>#N/A</v>
      </c>
      <c r="F160" s="68" t="e">
        <f t="shared" ca="1" si="65"/>
        <v>#N/A</v>
      </c>
      <c r="G160" s="68" t="e">
        <f t="shared" ca="1" si="66"/>
        <v>#N/A</v>
      </c>
      <c r="H160" s="68" t="e">
        <f>IF('Demand background (hide)'!AN148&lt;&gt;"",'SPC background (hide)'!C160,NA())</f>
        <v>#N/A</v>
      </c>
      <c r="I160" s="68"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8" t="e">
        <f t="shared" ca="1" si="81"/>
        <v>#N/A</v>
      </c>
      <c r="T160" s="68" t="e">
        <f t="shared" ca="1" si="82"/>
        <v>#N/A</v>
      </c>
      <c r="U160" s="68" t="e">
        <f t="shared" ca="1" si="83"/>
        <v>#N/A</v>
      </c>
      <c r="V160" s="5" t="e">
        <f t="shared" ca="1" si="62"/>
        <v>#N/A</v>
      </c>
      <c r="W160" s="5" t="e">
        <f t="shared" ca="1" si="76"/>
        <v>#N/A</v>
      </c>
      <c r="X160" s="68">
        <f t="shared" ca="1" si="77"/>
        <v>0</v>
      </c>
      <c r="Y160" s="68" t="e">
        <f t="shared" ca="1" si="84"/>
        <v>#N/A</v>
      </c>
      <c r="Z160" s="68" t="e">
        <f t="shared" ca="1" si="85"/>
        <v>#N/A</v>
      </c>
      <c r="AA160" s="5" t="str">
        <f>IF(Setup!$I$15="Yes",'Demand background (hide)'!AJ148+'SPC background (hide)'!C160,"")</f>
        <v/>
      </c>
      <c r="AC160" s="5" t="e">
        <f t="shared" ca="1" si="78"/>
        <v>#N/A</v>
      </c>
      <c r="AD160" s="5" t="e">
        <f t="shared" ca="1" si="79"/>
        <v>#N/A</v>
      </c>
    </row>
    <row r="161" spans="1:30" x14ac:dyDescent="0.2">
      <c r="A161" s="68" t="str">
        <f ca="1">Demand!C158</f>
        <v/>
      </c>
      <c r="B161" s="68">
        <v>146</v>
      </c>
      <c r="C161" s="5">
        <f ca="1">'Demand background (hide)'!Y149</f>
        <v>0</v>
      </c>
      <c r="D161" s="68">
        <f t="shared" si="63"/>
        <v>0</v>
      </c>
      <c r="E161" s="68" t="e">
        <f t="shared" ca="1" si="64"/>
        <v>#N/A</v>
      </c>
      <c r="F161" s="68" t="e">
        <f t="shared" ca="1" si="65"/>
        <v>#N/A</v>
      </c>
      <c r="G161" s="68" t="e">
        <f t="shared" ca="1" si="66"/>
        <v>#N/A</v>
      </c>
      <c r="H161" s="68" t="e">
        <f>IF('Demand background (hide)'!AN149&lt;&gt;"",'SPC background (hide)'!C161,NA())</f>
        <v>#N/A</v>
      </c>
      <c r="I161" s="68"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8" t="e">
        <f t="shared" ca="1" si="81"/>
        <v>#N/A</v>
      </c>
      <c r="T161" s="68" t="e">
        <f t="shared" ca="1" si="82"/>
        <v>#N/A</v>
      </c>
      <c r="U161" s="68" t="e">
        <f t="shared" ca="1" si="83"/>
        <v>#N/A</v>
      </c>
      <c r="V161" s="5" t="e">
        <f t="shared" ca="1" si="62"/>
        <v>#N/A</v>
      </c>
      <c r="W161" s="5" t="e">
        <f t="shared" ca="1" si="76"/>
        <v>#N/A</v>
      </c>
      <c r="X161" s="68">
        <f t="shared" ca="1" si="77"/>
        <v>0</v>
      </c>
      <c r="Y161" s="68" t="e">
        <f t="shared" ca="1" si="84"/>
        <v>#N/A</v>
      </c>
      <c r="Z161" s="68" t="e">
        <f t="shared" ca="1" si="85"/>
        <v>#N/A</v>
      </c>
      <c r="AA161" s="5" t="str">
        <f>IF(Setup!$I$15="Yes",'Demand background (hide)'!AJ149+'SPC background (hide)'!C161,"")</f>
        <v/>
      </c>
      <c r="AC161" s="5" t="e">
        <f t="shared" ca="1" si="78"/>
        <v>#N/A</v>
      </c>
      <c r="AD161" s="5" t="e">
        <f t="shared" ca="1" si="79"/>
        <v>#N/A</v>
      </c>
    </row>
    <row r="162" spans="1:30" x14ac:dyDescent="0.2">
      <c r="A162" s="68" t="str">
        <f ca="1">Demand!C159</f>
        <v/>
      </c>
      <c r="B162" s="68">
        <v>147</v>
      </c>
      <c r="C162" s="5">
        <f ca="1">'Demand background (hide)'!Y150</f>
        <v>0</v>
      </c>
      <c r="D162" s="68">
        <f t="shared" si="63"/>
        <v>0</v>
      </c>
      <c r="E162" s="68" t="e">
        <f t="shared" ca="1" si="64"/>
        <v>#N/A</v>
      </c>
      <c r="F162" s="68" t="e">
        <f t="shared" ca="1" si="65"/>
        <v>#N/A</v>
      </c>
      <c r="G162" s="68" t="e">
        <f t="shared" ca="1" si="66"/>
        <v>#N/A</v>
      </c>
      <c r="H162" s="68" t="e">
        <f>IF('Demand background (hide)'!AN150&lt;&gt;"",'SPC background (hide)'!C162,NA())</f>
        <v>#N/A</v>
      </c>
      <c r="I162" s="68"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8" t="e">
        <f t="shared" ca="1" si="81"/>
        <v>#N/A</v>
      </c>
      <c r="T162" s="68" t="e">
        <f t="shared" ca="1" si="82"/>
        <v>#N/A</v>
      </c>
      <c r="U162" s="68" t="e">
        <f t="shared" ca="1" si="83"/>
        <v>#N/A</v>
      </c>
      <c r="V162" s="5" t="e">
        <f t="shared" ca="1" si="62"/>
        <v>#N/A</v>
      </c>
      <c r="W162" s="5" t="e">
        <f t="shared" ca="1" si="76"/>
        <v>#N/A</v>
      </c>
      <c r="X162" s="68">
        <f t="shared" ca="1" si="77"/>
        <v>0</v>
      </c>
      <c r="Y162" s="68" t="e">
        <f t="shared" ca="1" si="84"/>
        <v>#N/A</v>
      </c>
      <c r="Z162" s="68" t="e">
        <f t="shared" ca="1" si="85"/>
        <v>#N/A</v>
      </c>
      <c r="AA162" s="5" t="str">
        <f>IF(Setup!$I$15="Yes",'Demand background (hide)'!AJ150+'SPC background (hide)'!C162,"")</f>
        <v/>
      </c>
      <c r="AC162" s="5" t="e">
        <f t="shared" ca="1" si="78"/>
        <v>#N/A</v>
      </c>
      <c r="AD162" s="5" t="e">
        <f t="shared" ca="1" si="79"/>
        <v>#N/A</v>
      </c>
    </row>
    <row r="163" spans="1:30" x14ac:dyDescent="0.2">
      <c r="A163" s="68" t="str">
        <f ca="1">Demand!C160</f>
        <v/>
      </c>
      <c r="B163" s="68">
        <v>148</v>
      </c>
      <c r="C163" s="5">
        <f ca="1">'Demand background (hide)'!Y151</f>
        <v>0</v>
      </c>
      <c r="D163" s="68">
        <f t="shared" si="63"/>
        <v>0</v>
      </c>
      <c r="E163" s="68" t="e">
        <f t="shared" ca="1" si="64"/>
        <v>#N/A</v>
      </c>
      <c r="F163" s="68" t="e">
        <f t="shared" ca="1" si="65"/>
        <v>#N/A</v>
      </c>
      <c r="G163" s="68" t="e">
        <f t="shared" ca="1" si="66"/>
        <v>#N/A</v>
      </c>
      <c r="H163" s="68" t="e">
        <f>IF('Demand background (hide)'!AN151&lt;&gt;"",'SPC background (hide)'!C163,NA())</f>
        <v>#N/A</v>
      </c>
      <c r="I163" s="68"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8" t="e">
        <f t="shared" ca="1" si="81"/>
        <v>#N/A</v>
      </c>
      <c r="T163" s="68" t="e">
        <f t="shared" ca="1" si="82"/>
        <v>#N/A</v>
      </c>
      <c r="U163" s="68" t="e">
        <f t="shared" ca="1" si="83"/>
        <v>#N/A</v>
      </c>
      <c r="V163" s="5" t="e">
        <f t="shared" ca="1" si="62"/>
        <v>#N/A</v>
      </c>
      <c r="W163" s="5" t="e">
        <f t="shared" ca="1" si="76"/>
        <v>#N/A</v>
      </c>
      <c r="X163" s="68">
        <f t="shared" ca="1" si="77"/>
        <v>0</v>
      </c>
      <c r="Y163" s="68" t="e">
        <f t="shared" ca="1" si="84"/>
        <v>#N/A</v>
      </c>
      <c r="Z163" s="68" t="e">
        <f t="shared" ca="1" si="85"/>
        <v>#N/A</v>
      </c>
      <c r="AA163" s="5" t="str">
        <f>IF(Setup!$I$15="Yes",'Demand background (hide)'!AJ151+'SPC background (hide)'!C163,"")</f>
        <v/>
      </c>
      <c r="AC163" s="5" t="e">
        <f t="shared" ca="1" si="78"/>
        <v>#N/A</v>
      </c>
      <c r="AD163" s="5" t="e">
        <f t="shared" ca="1" si="79"/>
        <v>#N/A</v>
      </c>
    </row>
    <row r="164" spans="1:30" x14ac:dyDescent="0.2">
      <c r="A164" s="68" t="str">
        <f ca="1">Demand!C161</f>
        <v/>
      </c>
      <c r="B164" s="68">
        <v>149</v>
      </c>
      <c r="C164" s="5">
        <f ca="1">'Demand background (hide)'!Y152</f>
        <v>0</v>
      </c>
      <c r="D164" s="68">
        <f t="shared" si="63"/>
        <v>0</v>
      </c>
      <c r="E164" s="68" t="e">
        <f t="shared" ca="1" si="64"/>
        <v>#N/A</v>
      </c>
      <c r="F164" s="68" t="e">
        <f t="shared" ca="1" si="65"/>
        <v>#N/A</v>
      </c>
      <c r="G164" s="68" t="e">
        <f t="shared" ca="1" si="66"/>
        <v>#N/A</v>
      </c>
      <c r="H164" s="68" t="e">
        <f>IF('Demand background (hide)'!AN152&lt;&gt;"",'SPC background (hide)'!C164,NA())</f>
        <v>#N/A</v>
      </c>
      <c r="I164" s="68"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8" t="e">
        <f t="shared" ca="1" si="81"/>
        <v>#N/A</v>
      </c>
      <c r="T164" s="68" t="e">
        <f t="shared" ca="1" si="82"/>
        <v>#N/A</v>
      </c>
      <c r="U164" s="68" t="e">
        <f t="shared" ca="1" si="83"/>
        <v>#N/A</v>
      </c>
      <c r="V164" s="5" t="e">
        <f t="shared" ca="1" si="62"/>
        <v>#N/A</v>
      </c>
      <c r="W164" s="5" t="e">
        <f t="shared" ca="1" si="76"/>
        <v>#N/A</v>
      </c>
      <c r="X164" s="68">
        <f t="shared" ca="1" si="77"/>
        <v>0</v>
      </c>
      <c r="Y164" s="68" t="e">
        <f t="shared" ca="1" si="84"/>
        <v>#N/A</v>
      </c>
      <c r="Z164" s="68" t="e">
        <f t="shared" ca="1" si="85"/>
        <v>#N/A</v>
      </c>
      <c r="AA164" s="5" t="str">
        <f>IF(Setup!$I$15="Yes",'Demand background (hide)'!AJ152+'SPC background (hide)'!C164,"")</f>
        <v/>
      </c>
      <c r="AC164" s="5" t="e">
        <f t="shared" ca="1" si="78"/>
        <v>#N/A</v>
      </c>
      <c r="AD164" s="5" t="e">
        <f t="shared" ca="1" si="79"/>
        <v>#N/A</v>
      </c>
    </row>
    <row r="165" spans="1:30" x14ac:dyDescent="0.2">
      <c r="A165" s="68" t="str">
        <f ca="1">Demand!C162</f>
        <v/>
      </c>
      <c r="B165" s="68">
        <v>150</v>
      </c>
      <c r="C165" s="5">
        <f ca="1">'Demand background (hide)'!Y153</f>
        <v>0</v>
      </c>
      <c r="D165" s="68">
        <f t="shared" si="63"/>
        <v>0</v>
      </c>
      <c r="E165" s="68" t="e">
        <f t="shared" ca="1" si="64"/>
        <v>#N/A</v>
      </c>
      <c r="F165" s="68" t="e">
        <f t="shared" ca="1" si="65"/>
        <v>#N/A</v>
      </c>
      <c r="G165" s="68" t="e">
        <f t="shared" ca="1" si="66"/>
        <v>#N/A</v>
      </c>
      <c r="H165" s="68" t="e">
        <f>IF('Demand background (hide)'!AN153&lt;&gt;"",'SPC background (hide)'!C165,NA())</f>
        <v>#N/A</v>
      </c>
      <c r="I165" s="68"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8" t="e">
        <f t="shared" ca="1" si="81"/>
        <v>#N/A</v>
      </c>
      <c r="T165" s="68" t="e">
        <f t="shared" ca="1" si="82"/>
        <v>#N/A</v>
      </c>
      <c r="U165" s="68" t="e">
        <f t="shared" ca="1" si="83"/>
        <v>#N/A</v>
      </c>
      <c r="V165" s="5" t="e">
        <f t="shared" ca="1" si="62"/>
        <v>#N/A</v>
      </c>
      <c r="W165" s="5" t="e">
        <f t="shared" ca="1" si="76"/>
        <v>#N/A</v>
      </c>
      <c r="X165" s="68">
        <f t="shared" ca="1" si="77"/>
        <v>0</v>
      </c>
      <c r="Y165" s="68" t="e">
        <f t="shared" ca="1" si="84"/>
        <v>#N/A</v>
      </c>
      <c r="Z165" s="68" t="e">
        <f t="shared" ca="1" si="85"/>
        <v>#N/A</v>
      </c>
      <c r="AA165" s="5" t="str">
        <f>IF(Setup!$I$15="Yes",'Demand background (hide)'!AJ153+'SPC background (hide)'!C165,"")</f>
        <v/>
      </c>
      <c r="AC165" s="5" t="e">
        <f t="shared" ca="1" si="78"/>
        <v>#N/A</v>
      </c>
      <c r="AD165" s="5" t="e">
        <f t="shared" ca="1" si="79"/>
        <v>#N/A</v>
      </c>
    </row>
    <row r="166" spans="1:30" x14ac:dyDescent="0.2">
      <c r="A166" s="68" t="str">
        <f ca="1">Demand!C163</f>
        <v/>
      </c>
      <c r="B166" s="68">
        <v>151</v>
      </c>
      <c r="C166" s="5">
        <f ca="1">'Demand background (hide)'!Y154</f>
        <v>0</v>
      </c>
      <c r="D166" s="68">
        <f t="shared" si="63"/>
        <v>0</v>
      </c>
      <c r="E166" s="68" t="e">
        <f t="shared" ca="1" si="64"/>
        <v>#N/A</v>
      </c>
      <c r="F166" s="68" t="e">
        <f t="shared" ca="1" si="65"/>
        <v>#N/A</v>
      </c>
      <c r="G166" s="68" t="e">
        <f t="shared" ca="1" si="66"/>
        <v>#N/A</v>
      </c>
      <c r="H166" s="68" t="e">
        <f>IF('Demand background (hide)'!AN154&lt;&gt;"",'SPC background (hide)'!C166,NA())</f>
        <v>#N/A</v>
      </c>
      <c r="I166" s="68"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8" t="e">
        <f t="shared" ca="1" si="81"/>
        <v>#N/A</v>
      </c>
      <c r="T166" s="68" t="e">
        <f t="shared" ca="1" si="82"/>
        <v>#N/A</v>
      </c>
      <c r="U166" s="68" t="e">
        <f t="shared" ca="1" si="83"/>
        <v>#N/A</v>
      </c>
      <c r="V166" s="5" t="e">
        <f t="shared" ca="1" si="62"/>
        <v>#N/A</v>
      </c>
      <c r="W166" s="5" t="e">
        <f t="shared" ca="1" si="76"/>
        <v>#N/A</v>
      </c>
      <c r="X166" s="68">
        <f t="shared" ca="1" si="77"/>
        <v>0</v>
      </c>
      <c r="Y166" s="68" t="e">
        <f t="shared" ca="1" si="84"/>
        <v>#N/A</v>
      </c>
      <c r="Z166" s="68" t="e">
        <f t="shared" ca="1" si="85"/>
        <v>#N/A</v>
      </c>
      <c r="AA166" s="5" t="str">
        <f>IF(Setup!$I$15="Yes",'Demand background (hide)'!AJ154+'SPC background (hide)'!C166,"")</f>
        <v/>
      </c>
      <c r="AC166" s="5" t="e">
        <f t="shared" ca="1" si="78"/>
        <v>#N/A</v>
      </c>
      <c r="AD166" s="5" t="e">
        <f t="shared" ca="1" si="79"/>
        <v>#N/A</v>
      </c>
    </row>
    <row r="167" spans="1:30" x14ac:dyDescent="0.2">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0</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defaultRowHeight="14.25" x14ac:dyDescent="0.2"/>
  <cols>
    <col min="1" max="1" width="9" hidden="1" customWidth="1"/>
    <col min="2" max="2" width="12.625" bestFit="1" customWidth="1"/>
    <col min="3" max="3" width="20.75" customWidth="1"/>
    <col min="4" max="4" width="20.75" hidden="1" customWidth="1"/>
    <col min="5" max="5" width="20.75" customWidth="1"/>
    <col min="6" max="14" width="13.125" hidden="1" customWidth="1"/>
    <col min="15" max="15" width="18.875" hidden="1" customWidth="1"/>
    <col min="17" max="17" width="9" hidden="1" customWidth="1"/>
    <col min="18" max="18" width="9" customWidth="1"/>
    <col min="20" max="20" width="9.875" bestFit="1" customWidth="1"/>
  </cols>
  <sheetData>
    <row r="1" spans="1:20" x14ac:dyDescent="0.2">
      <c r="A1" t="s">
        <v>53</v>
      </c>
    </row>
    <row r="2" spans="1:20" x14ac:dyDescent="0.2">
      <c r="B2" t="s">
        <v>226</v>
      </c>
    </row>
    <row r="3" spans="1:20" x14ac:dyDescent="0.2">
      <c r="A3" t="s">
        <v>55</v>
      </c>
      <c r="B3" t="s">
        <v>227</v>
      </c>
    </row>
    <row r="5" spans="1:20" x14ac:dyDescent="0.2">
      <c r="A5" t="s">
        <v>54</v>
      </c>
    </row>
    <row r="6" spans="1:20" x14ac:dyDescent="0.2">
      <c r="A6">
        <f ca="1">MAX(A13:A272)</f>
        <v>1</v>
      </c>
      <c r="B6" t="s">
        <v>219</v>
      </c>
      <c r="C6" s="343" t="s">
        <v>25</v>
      </c>
      <c r="D6" s="68"/>
    </row>
    <row r="8" spans="1:20" x14ac:dyDescent="0.2">
      <c r="B8" t="s">
        <v>220</v>
      </c>
      <c r="C8" s="213"/>
    </row>
    <row r="10" spans="1:20" x14ac:dyDescent="0.2">
      <c r="B10" s="357" t="s">
        <v>130</v>
      </c>
      <c r="C10" s="357" t="s">
        <v>57</v>
      </c>
      <c r="D10" s="357" t="s">
        <v>1</v>
      </c>
      <c r="E10" s="271" t="str">
        <f ca="1">OFFSET('Control sheet (hide)'!$AA$3,COLUMN(A1)-1,0,1,1)</f>
        <v>Modality 1</v>
      </c>
      <c r="F10" s="271" t="str">
        <f ca="1">OFFSET('Control sheet (hide)'!$AA$3,COLUMN(B1)-1,0,1,1)</f>
        <v>Modality 2</v>
      </c>
      <c r="G10" s="271" t="str">
        <f ca="1">OFFSET('Control sheet (hide)'!$AA$3,COLUMN(C1)-1,0,1,1)</f>
        <v>Modality 3</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56" t="s">
        <v>224</v>
      </c>
      <c r="Q10" s="356" t="str">
        <f>"Total "&amp;"("&amp;Setup!$I$17&amp;")"</f>
        <v>Total (Patients)</v>
      </c>
      <c r="R10" s="356" t="s">
        <v>113</v>
      </c>
    </row>
    <row r="11" spans="1:20" hidden="1" x14ac:dyDescent="0.2">
      <c r="B11" s="357"/>
      <c r="C11" s="357"/>
      <c r="D11" s="357"/>
      <c r="E11" s="271" t="str">
        <f ca="1">IF(Setup!$I$17&lt;&gt;"Patients",Setup!$I$17&amp;": "&amp;OFFSET('Demand background (hide)'!$BN$6,COLUMN(A1)-1,0,1,1),"")</f>
        <v/>
      </c>
      <c r="F11" s="271" t="str">
        <f ca="1">IF(Setup!$I$17&lt;&gt;"Patients",Setup!$I$17&amp;": "&amp;OFFSET('Demand background (hide)'!$BN$6,COLUMN(B1)-1,0,1,1),"")</f>
        <v/>
      </c>
      <c r="G11" s="271" t="str">
        <f ca="1">IF(Setup!$I$17&lt;&gt;"Patients",Setup!$I$17&amp;": "&amp;OFFSET('Demand background (hide)'!$BN$6,COLUMN(C1)-1,0,1,1),"")</f>
        <v/>
      </c>
      <c r="H11" s="271" t="str">
        <f ca="1">IF(Setup!$I$17&lt;&gt;"Patients",Setup!$I$17&amp;": "&amp;OFFSET('Demand background (hide)'!$BN$6,COLUMN(D1)-1,0,1,1),"")</f>
        <v/>
      </c>
      <c r="I11" s="271" t="str">
        <f ca="1">IF(Setup!$I$17&lt;&gt;"Patients",Setup!$I$17&amp;": "&amp;OFFSET('Demand background (hide)'!$BN$6,COLUMN(E1)-1,0,1,1),"")</f>
        <v/>
      </c>
      <c r="J11" s="271" t="str">
        <f ca="1">IF(Setup!$I$17&lt;&gt;"Patients",Setup!$I$17&amp;": "&amp;OFFSET('Demand background (hide)'!$BN$6,COLUMN(F1)-1,0,1,1),"")</f>
        <v/>
      </c>
      <c r="K11" s="271" t="str">
        <f ca="1">IF(Setup!$I$17&lt;&gt;"Patients",Setup!$I$17&amp;": "&amp;OFFSET('Demand background (hide)'!$BN$6,COLUMN(G1)-1,0,1,1),"")</f>
        <v/>
      </c>
      <c r="L11" s="271" t="str">
        <f ca="1">IF(Setup!$I$17&lt;&gt;"Patients",Setup!$I$17&amp;": "&amp;OFFSET('Demand background (hide)'!$BN$6,COLUMN(H1)-1,0,1,1),"")</f>
        <v/>
      </c>
      <c r="M11" s="271" t="str">
        <f ca="1">IF(Setup!$I$17&lt;&gt;"Patients",Setup!$I$17&amp;": "&amp;OFFSET('Demand background (hide)'!$BN$6,COLUMN(I1)-1,0,1,1),"")</f>
        <v/>
      </c>
      <c r="N11" s="271" t="str">
        <f ca="1">IF(Setup!$I$17&lt;&gt;"Patients",Setup!$I$17&amp;": "&amp;OFFSET('Demand background (hide)'!$BN$6,COLUMN(J1)-1,0,1,1),"")</f>
        <v/>
      </c>
      <c r="O11" s="7" t="str">
        <f ca="1">IF(Setup!$I$17&lt;&gt;"Patients",Setup!$I$17&amp;": "&amp;TEXT(OFFSET('Demand background (hide)'!$BN$6,COLUMN(K1)-1,0,1,1),"#"),"")</f>
        <v/>
      </c>
      <c r="P11" s="356"/>
      <c r="Q11" s="356"/>
      <c r="R11" s="356"/>
    </row>
    <row r="12" spans="1:20" x14ac:dyDescent="0.2">
      <c r="B12" s="357"/>
      <c r="C12" s="357"/>
      <c r="D12" s="357"/>
      <c r="E12" s="7"/>
      <c r="F12" s="7"/>
      <c r="G12" s="7"/>
      <c r="H12" s="7"/>
      <c r="I12" s="7"/>
      <c r="J12" s="7"/>
      <c r="K12" s="7"/>
      <c r="L12" s="7"/>
      <c r="M12" s="7"/>
      <c r="N12" s="7"/>
      <c r="O12" s="7"/>
      <c r="P12" s="356"/>
      <c r="Q12" s="356"/>
      <c r="R12" s="356"/>
    </row>
    <row r="13" spans="1:20" x14ac:dyDescent="0.2">
      <c r="A13">
        <f>1</f>
        <v>1</v>
      </c>
      <c r="B13" s="273">
        <f>IF(C8&lt;&gt;"",YEAR(C8),1)</f>
        <v>1</v>
      </c>
      <c r="C13" s="274">
        <f>IF($C$8&lt;&gt;"",WEEKNUM($C$8,21),1)</f>
        <v>1</v>
      </c>
      <c r="D13" s="336" t="str">
        <f>IF($C$8&lt;&gt;"",C8,"")</f>
        <v/>
      </c>
      <c r="E13" s="154"/>
      <c r="F13" s="154"/>
      <c r="G13" s="154"/>
      <c r="H13" s="154"/>
      <c r="I13" s="154"/>
      <c r="J13" s="154"/>
      <c r="K13" s="154"/>
      <c r="L13" s="154"/>
      <c r="M13" s="154"/>
      <c r="N13" s="154"/>
      <c r="O13" s="154"/>
      <c r="P13" s="274" t="str">
        <f ca="1">IF('Planned background (hide)'!B2&lt;Num_Modalities,IF($C$6="Overall",O13,SUM(OFFSET($E13,0,0,1,Num_Modalities))),"")</f>
        <v/>
      </c>
      <c r="Q13" s="278" t="str">
        <f ca="1">IF(AND('Planned background (hide)'!B2&lt;Num_Modalities,R13&lt;&gt;"Yes"),'Planned background (hide)'!S3,"")</f>
        <v/>
      </c>
      <c r="R13" s="154"/>
      <c r="T13" s="37"/>
    </row>
    <row r="14" spans="1:20" x14ac:dyDescent="0.2">
      <c r="A14" t="str">
        <f ca="1">IF(P14&lt;&gt;"",ROW(A2),"")</f>
        <v/>
      </c>
      <c r="B14" s="273" t="str">
        <f t="shared" ref="B14:B45" ca="1" si="0">IF(A14&lt;=PMaxRows,IF($C$8&lt;&gt;"",IF(YEAR(D14)&lt;&gt;YEAR(D13),YEAR(D14)," "),IF(C14&lt;&gt;1,"",OFFSET(B14,-C13,0,1,1)+1))," ")</f>
        <v xml:space="preserve"> </v>
      </c>
      <c r="C14" s="274" t="str">
        <f t="shared" ref="C14:C45" ca="1" si="1">IF(ROW(A2)&lt;=PMaxRows,IF($C$8&lt;&gt;"",WEEKNUM(D14,21),IF(MOD((C13+1),53)&gt;0,MOD((C13+1),53),53)),"")</f>
        <v/>
      </c>
      <c r="D14" s="336" t="str">
        <f t="shared" ref="D14:D45" ca="1" si="2">IF(ROW(A2)&lt;=PMaxRows,IF($C$8&lt;&gt;"",D13+7,""),"")</f>
        <v/>
      </c>
      <c r="E14" s="154"/>
      <c r="F14" s="154"/>
      <c r="G14" s="154"/>
      <c r="H14" s="154"/>
      <c r="I14" s="154"/>
      <c r="J14" s="154"/>
      <c r="K14" s="154"/>
      <c r="L14" s="154"/>
      <c r="M14" s="154"/>
      <c r="N14" s="154"/>
      <c r="O14" s="154"/>
      <c r="P14" s="274" t="str">
        <f ca="1">IF('Planned background (hide)'!B3&lt;Num_Modalities,IF($C$6="Overall",O14,SUM(OFFSET($E14,0,0,1,Num_Modalities))),"")</f>
        <v/>
      </c>
      <c r="Q14" s="278" t="str">
        <f ca="1">IF(AND('Planned background (hide)'!B3&lt;Num_Modalities,R14&lt;&gt;"Yes"),'Planned background (hide)'!S4,"")</f>
        <v/>
      </c>
      <c r="R14" s="154"/>
      <c r="T14" s="37"/>
    </row>
    <row r="15" spans="1:20" x14ac:dyDescent="0.2">
      <c r="A15" s="68" t="str">
        <f t="shared" ref="A15:A64" ca="1" si="3">IF(P15&lt;&gt;"",ROW(A3),"")</f>
        <v/>
      </c>
      <c r="B15" s="273" t="str">
        <f t="shared" ca="1" si="0"/>
        <v xml:space="preserve"> </v>
      </c>
      <c r="C15" s="274" t="str">
        <f t="shared" ca="1" si="1"/>
        <v/>
      </c>
      <c r="D15" s="336" t="str">
        <f t="shared" ca="1" si="2"/>
        <v/>
      </c>
      <c r="E15" s="154"/>
      <c r="F15" s="154"/>
      <c r="G15" s="154"/>
      <c r="H15" s="154"/>
      <c r="I15" s="154"/>
      <c r="J15" s="154"/>
      <c r="K15" s="154"/>
      <c r="L15" s="154"/>
      <c r="M15" s="154"/>
      <c r="N15" s="154"/>
      <c r="O15" s="154"/>
      <c r="P15" s="274" t="str">
        <f ca="1">IF('Planned background (hide)'!B4&lt;Num_Modalities,IF($C$6="Overall",O15,SUM(OFFSET($E15,0,0,1,Num_Modalities))),"")</f>
        <v/>
      </c>
      <c r="Q15" s="278" t="str">
        <f ca="1">IF(AND('Planned background (hide)'!B4&lt;Num_Modalities,R15&lt;&gt;"Yes"),'Planned background (hide)'!S5,"")</f>
        <v/>
      </c>
      <c r="R15" s="154"/>
      <c r="T15" s="37"/>
    </row>
    <row r="16" spans="1:20" x14ac:dyDescent="0.2">
      <c r="A16" s="68" t="str">
        <f t="shared" ca="1" si="3"/>
        <v/>
      </c>
      <c r="B16" s="273" t="str">
        <f t="shared" ca="1" si="0"/>
        <v xml:space="preserve"> </v>
      </c>
      <c r="C16" s="274" t="str">
        <f t="shared" ca="1" si="1"/>
        <v/>
      </c>
      <c r="D16" s="336" t="str">
        <f t="shared" ca="1" si="2"/>
        <v/>
      </c>
      <c r="E16" s="154"/>
      <c r="F16" s="154"/>
      <c r="G16" s="154"/>
      <c r="H16" s="154"/>
      <c r="I16" s="154"/>
      <c r="J16" s="154"/>
      <c r="K16" s="154"/>
      <c r="L16" s="154"/>
      <c r="M16" s="154"/>
      <c r="N16" s="154"/>
      <c r="O16" s="154"/>
      <c r="P16" s="274" t="str">
        <f ca="1">IF('Planned background (hide)'!B5&lt;Num_Modalities,IF($C$6="Overall",O16,SUM(OFFSET($E16,0,0,1,Num_Modalities))),"")</f>
        <v/>
      </c>
      <c r="Q16" s="278" t="str">
        <f ca="1">IF(AND('Planned background (hide)'!B5&lt;Num_Modalities,R16&lt;&gt;"Yes"),'Planned background (hide)'!S6,"")</f>
        <v/>
      </c>
      <c r="R16" s="154"/>
      <c r="T16" s="37"/>
    </row>
    <row r="17" spans="1:20" x14ac:dyDescent="0.2">
      <c r="A17" s="68" t="str">
        <f t="shared" ca="1" si="3"/>
        <v/>
      </c>
      <c r="B17" s="273" t="str">
        <f t="shared" ca="1" si="0"/>
        <v xml:space="preserve"> </v>
      </c>
      <c r="C17" s="274" t="str">
        <f t="shared" ca="1" si="1"/>
        <v/>
      </c>
      <c r="D17" s="336" t="str">
        <f t="shared" ca="1" si="2"/>
        <v/>
      </c>
      <c r="E17" s="154"/>
      <c r="F17" s="154"/>
      <c r="G17" s="154"/>
      <c r="H17" s="154"/>
      <c r="I17" s="154"/>
      <c r="J17" s="154"/>
      <c r="K17" s="154"/>
      <c r="L17" s="154"/>
      <c r="M17" s="154"/>
      <c r="N17" s="154"/>
      <c r="O17" s="154"/>
      <c r="P17" s="274" t="str">
        <f ca="1">IF('Planned background (hide)'!B6&lt;Num_Modalities,IF($C$6="Overall",O17,SUM(OFFSET($E17,0,0,1,Num_Modalities))),"")</f>
        <v/>
      </c>
      <c r="Q17" s="278" t="str">
        <f ca="1">IF(AND('Planned background (hide)'!B6&lt;Num_Modalities,R17&lt;&gt;"Yes"),'Planned background (hide)'!S7,"")</f>
        <v/>
      </c>
      <c r="R17" s="154"/>
      <c r="T17" s="37"/>
    </row>
    <row r="18" spans="1:20" x14ac:dyDescent="0.2">
      <c r="A18" s="68" t="str">
        <f t="shared" ca="1" si="3"/>
        <v/>
      </c>
      <c r="B18" s="273" t="str">
        <f t="shared" ca="1" si="0"/>
        <v xml:space="preserve"> </v>
      </c>
      <c r="C18" s="274" t="str">
        <f t="shared" ca="1" si="1"/>
        <v/>
      </c>
      <c r="D18" s="336" t="str">
        <f t="shared" ca="1" si="2"/>
        <v/>
      </c>
      <c r="E18" s="154"/>
      <c r="F18" s="154"/>
      <c r="G18" s="154"/>
      <c r="H18" s="154"/>
      <c r="I18" s="154"/>
      <c r="J18" s="154"/>
      <c r="K18" s="154"/>
      <c r="L18" s="154"/>
      <c r="M18" s="154"/>
      <c r="N18" s="154"/>
      <c r="O18" s="154"/>
      <c r="P18" s="274" t="str">
        <f ca="1">IF('Planned background (hide)'!B7&lt;Num_Modalities,IF($C$6="Overall",O18,SUM(OFFSET($E18,0,0,1,Num_Modalities))),"")</f>
        <v/>
      </c>
      <c r="Q18" s="278" t="str">
        <f ca="1">IF(AND('Planned background (hide)'!B7&lt;Num_Modalities,R18&lt;&gt;"Yes"),'Planned background (hide)'!S8,"")</f>
        <v/>
      </c>
      <c r="R18" s="154"/>
      <c r="T18" s="37"/>
    </row>
    <row r="19" spans="1:20" x14ac:dyDescent="0.2">
      <c r="A19" s="68" t="str">
        <f t="shared" ca="1" si="3"/>
        <v/>
      </c>
      <c r="B19" s="273" t="str">
        <f t="shared" ca="1" si="0"/>
        <v xml:space="preserve"> </v>
      </c>
      <c r="C19" s="274" t="str">
        <f t="shared" ca="1" si="1"/>
        <v/>
      </c>
      <c r="D19" s="336" t="str">
        <f t="shared" ca="1" si="2"/>
        <v/>
      </c>
      <c r="E19" s="154"/>
      <c r="F19" s="154"/>
      <c r="G19" s="154"/>
      <c r="H19" s="154"/>
      <c r="I19" s="154"/>
      <c r="J19" s="154"/>
      <c r="K19" s="154"/>
      <c r="L19" s="154"/>
      <c r="M19" s="154"/>
      <c r="N19" s="154"/>
      <c r="O19" s="154"/>
      <c r="P19" s="274" t="str">
        <f ca="1">IF('Planned background (hide)'!B8&lt;Num_Modalities,IF($C$6="Overall",O19,SUM(OFFSET($E19,0,0,1,Num_Modalities))),"")</f>
        <v/>
      </c>
      <c r="Q19" s="278" t="str">
        <f ca="1">IF(AND('Planned background (hide)'!B8&lt;Num_Modalities,R19&lt;&gt;"Yes"),'Planned background (hide)'!S9,"")</f>
        <v/>
      </c>
      <c r="R19" s="154"/>
      <c r="T19" s="37"/>
    </row>
    <row r="20" spans="1:20" x14ac:dyDescent="0.2">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2">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2">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2">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2">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2">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2">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2">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2">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2">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2">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2">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2">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2">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2">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2">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2">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2">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2">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2">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2">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2">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2">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2">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2">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2">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2">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2">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2">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2">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2">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2">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2">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2">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2">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2">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2">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2">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2">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2">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2">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2">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2">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2">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2">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2">
      <c r="B65" s="49"/>
      <c r="D65" s="37"/>
    </row>
    <row r="66" spans="2:4" x14ac:dyDescent="0.2">
      <c r="B66" s="49"/>
      <c r="D66" s="37"/>
    </row>
    <row r="67" spans="2:4" x14ac:dyDescent="0.2">
      <c r="B67" s="49"/>
      <c r="D67" s="37"/>
    </row>
    <row r="68" spans="2:4" x14ac:dyDescent="0.2">
      <c r="B68" s="49"/>
      <c r="D68" s="37"/>
    </row>
    <row r="69" spans="2:4" x14ac:dyDescent="0.2">
      <c r="B69" s="49"/>
      <c r="D69" s="37"/>
    </row>
    <row r="70" spans="2:4" x14ac:dyDescent="0.2">
      <c r="B70" s="49"/>
      <c r="D70" s="37"/>
    </row>
    <row r="71" spans="2:4" x14ac:dyDescent="0.2">
      <c r="B71" s="49"/>
      <c r="D71" s="37"/>
    </row>
    <row r="72" spans="2:4" x14ac:dyDescent="0.2">
      <c r="B72" s="49"/>
      <c r="D72" s="37"/>
    </row>
    <row r="73" spans="2:4" x14ac:dyDescent="0.2">
      <c r="B73" s="49"/>
      <c r="D73" s="37"/>
    </row>
    <row r="74" spans="2:4" x14ac:dyDescent="0.2">
      <c r="B74" s="49"/>
      <c r="D74" s="37"/>
    </row>
    <row r="75" spans="2:4" x14ac:dyDescent="0.2">
      <c r="B75" s="49"/>
      <c r="D75" s="37"/>
    </row>
    <row r="76" spans="2:4" x14ac:dyDescent="0.2">
      <c r="B76" s="49"/>
      <c r="D76" s="37"/>
    </row>
    <row r="77" spans="2:4" x14ac:dyDescent="0.2">
      <c r="B77" s="49"/>
      <c r="D77" s="37"/>
    </row>
    <row r="78" spans="2:4" x14ac:dyDescent="0.2">
      <c r="B78" s="49"/>
      <c r="D78" s="37"/>
    </row>
    <row r="79" spans="2:4" x14ac:dyDescent="0.2">
      <c r="B79" s="49"/>
      <c r="D79" s="37"/>
    </row>
    <row r="80" spans="2:4" x14ac:dyDescent="0.2">
      <c r="B80" s="49"/>
      <c r="D80" s="37"/>
    </row>
    <row r="81" spans="2:4" x14ac:dyDescent="0.2">
      <c r="B81" s="49"/>
      <c r="D81" s="37"/>
    </row>
    <row r="82" spans="2:4" x14ac:dyDescent="0.2">
      <c r="B82" s="49"/>
      <c r="D82" s="37"/>
    </row>
    <row r="83" spans="2:4" x14ac:dyDescent="0.2">
      <c r="B83" s="49"/>
      <c r="D83" s="37"/>
    </row>
    <row r="84" spans="2:4" x14ac:dyDescent="0.2">
      <c r="B84" s="49"/>
      <c r="D84" s="37"/>
    </row>
    <row r="85" spans="2:4" x14ac:dyDescent="0.2">
      <c r="B85" s="49"/>
      <c r="D85" s="37"/>
    </row>
    <row r="86" spans="2:4" x14ac:dyDescent="0.2">
      <c r="B86" s="49"/>
      <c r="D86" s="37"/>
    </row>
    <row r="87" spans="2:4" x14ac:dyDescent="0.2">
      <c r="B87" s="49"/>
      <c r="D87" s="37"/>
    </row>
    <row r="88" spans="2:4" x14ac:dyDescent="0.2">
      <c r="B88" s="49"/>
      <c r="D88" s="37"/>
    </row>
    <row r="89" spans="2:4" x14ac:dyDescent="0.2">
      <c r="B89" s="49"/>
      <c r="D89" s="37"/>
    </row>
    <row r="90" spans="2:4" x14ac:dyDescent="0.2">
      <c r="B90" s="49"/>
      <c r="D90" s="37"/>
    </row>
    <row r="91" spans="2:4" x14ac:dyDescent="0.2">
      <c r="B91" s="49"/>
      <c r="D91" s="37"/>
    </row>
    <row r="92" spans="2:4" x14ac:dyDescent="0.2">
      <c r="B92" s="49"/>
      <c r="D92" s="37"/>
    </row>
    <row r="93" spans="2:4" x14ac:dyDescent="0.2">
      <c r="B93" s="49"/>
      <c r="D93" s="37"/>
    </row>
    <row r="94" spans="2:4" x14ac:dyDescent="0.2">
      <c r="B94" s="49"/>
      <c r="D94" s="37"/>
    </row>
    <row r="95" spans="2:4" x14ac:dyDescent="0.2">
      <c r="B95" s="49"/>
      <c r="D95" s="37"/>
    </row>
    <row r="96" spans="2:4" x14ac:dyDescent="0.2">
      <c r="B96" s="49"/>
      <c r="D96" s="37"/>
    </row>
    <row r="97" spans="2:4" x14ac:dyDescent="0.2">
      <c r="B97" s="49"/>
      <c r="D97" s="37"/>
    </row>
    <row r="98" spans="2:4" x14ac:dyDescent="0.2">
      <c r="B98" s="49"/>
      <c r="D98" s="37"/>
    </row>
    <row r="99" spans="2:4" x14ac:dyDescent="0.2">
      <c r="B99" s="49"/>
      <c r="D99" s="37"/>
    </row>
    <row r="100" spans="2:4" x14ac:dyDescent="0.2">
      <c r="B100" s="49"/>
      <c r="D100" s="37"/>
    </row>
    <row r="101" spans="2:4" x14ac:dyDescent="0.2">
      <c r="B101" s="49"/>
      <c r="D101" s="37"/>
    </row>
    <row r="102" spans="2:4" x14ac:dyDescent="0.2">
      <c r="B102" s="49"/>
      <c r="D102" s="37"/>
    </row>
    <row r="103" spans="2:4" x14ac:dyDescent="0.2">
      <c r="B103" s="49"/>
      <c r="D103" s="37"/>
    </row>
    <row r="104" spans="2:4" x14ac:dyDescent="0.2">
      <c r="B104" s="49"/>
      <c r="D104" s="37"/>
    </row>
    <row r="105" spans="2:4" x14ac:dyDescent="0.2">
      <c r="B105" s="49"/>
      <c r="D105" s="37"/>
    </row>
    <row r="106" spans="2:4" x14ac:dyDescent="0.2">
      <c r="B106" s="49"/>
      <c r="D106" s="37"/>
    </row>
    <row r="107" spans="2:4" x14ac:dyDescent="0.2">
      <c r="B107" s="49"/>
      <c r="D107" s="37"/>
    </row>
    <row r="108" spans="2:4" x14ac:dyDescent="0.2">
      <c r="B108" s="49"/>
      <c r="D108" s="37"/>
    </row>
    <row r="109" spans="2:4" x14ac:dyDescent="0.2">
      <c r="B109" s="49"/>
      <c r="D109" s="37"/>
    </row>
    <row r="110" spans="2:4" x14ac:dyDescent="0.2">
      <c r="B110" s="49"/>
      <c r="D110" s="37"/>
    </row>
    <row r="111" spans="2:4" x14ac:dyDescent="0.2">
      <c r="B111" s="49"/>
      <c r="D111" s="37"/>
    </row>
    <row r="112" spans="2:4" x14ac:dyDescent="0.2">
      <c r="B112" s="49"/>
      <c r="D112" s="37"/>
    </row>
    <row r="113" spans="2:4" x14ac:dyDescent="0.2">
      <c r="B113" s="49"/>
      <c r="D113" s="37"/>
    </row>
    <row r="114" spans="2:4" x14ac:dyDescent="0.2">
      <c r="B114" s="49"/>
      <c r="D114" s="37"/>
    </row>
    <row r="115" spans="2:4" x14ac:dyDescent="0.2">
      <c r="B115" s="49"/>
      <c r="D115" s="37"/>
    </row>
    <row r="116" spans="2:4" x14ac:dyDescent="0.2">
      <c r="B116" s="49"/>
      <c r="D116" s="37"/>
    </row>
    <row r="117" spans="2:4" x14ac:dyDescent="0.2">
      <c r="B117" s="49"/>
      <c r="D117" s="37"/>
    </row>
    <row r="118" spans="2:4" x14ac:dyDescent="0.2">
      <c r="B118" s="49"/>
      <c r="D118" s="37"/>
    </row>
    <row r="119" spans="2:4" x14ac:dyDescent="0.2">
      <c r="B119" s="49"/>
      <c r="D119" s="37"/>
    </row>
    <row r="120" spans="2:4" x14ac:dyDescent="0.2">
      <c r="B120" s="49"/>
      <c r="D120" s="37"/>
    </row>
    <row r="121" spans="2:4" x14ac:dyDescent="0.2">
      <c r="B121" s="49"/>
      <c r="D121" s="37"/>
    </row>
    <row r="122" spans="2:4" x14ac:dyDescent="0.2">
      <c r="B122" s="49"/>
      <c r="D122" s="37"/>
    </row>
    <row r="123" spans="2:4" x14ac:dyDescent="0.2">
      <c r="B123" s="49"/>
      <c r="D123" s="37"/>
    </row>
    <row r="124" spans="2:4" x14ac:dyDescent="0.2">
      <c r="B124" s="49"/>
      <c r="D124" s="37"/>
    </row>
    <row r="125" spans="2:4" x14ac:dyDescent="0.2">
      <c r="B125" s="49"/>
      <c r="D125" s="37"/>
    </row>
    <row r="126" spans="2:4" x14ac:dyDescent="0.2">
      <c r="B126" s="49"/>
      <c r="D126" s="37"/>
    </row>
    <row r="127" spans="2:4" x14ac:dyDescent="0.2">
      <c r="B127" s="49"/>
      <c r="D127" s="37"/>
    </row>
    <row r="128" spans="2:4" x14ac:dyDescent="0.2">
      <c r="B128" s="49"/>
      <c r="D128" s="37"/>
    </row>
    <row r="129" spans="2:4" x14ac:dyDescent="0.2">
      <c r="B129" s="49"/>
      <c r="D129" s="37"/>
    </row>
    <row r="130" spans="2:4" x14ac:dyDescent="0.2">
      <c r="B130" s="49"/>
      <c r="D130" s="37"/>
    </row>
    <row r="131" spans="2:4" x14ac:dyDescent="0.2">
      <c r="B131" s="49"/>
      <c r="D131" s="37"/>
    </row>
    <row r="132" spans="2:4" x14ac:dyDescent="0.2">
      <c r="B132" s="49"/>
      <c r="D132" s="37"/>
    </row>
    <row r="133" spans="2:4" x14ac:dyDescent="0.2">
      <c r="B133" s="49"/>
      <c r="D133" s="37"/>
    </row>
    <row r="134" spans="2:4" x14ac:dyDescent="0.2">
      <c r="B134" s="49"/>
      <c r="D134" s="37"/>
    </row>
    <row r="135" spans="2:4" x14ac:dyDescent="0.2">
      <c r="B135" s="49"/>
      <c r="D135" s="37"/>
    </row>
    <row r="136" spans="2:4" x14ac:dyDescent="0.2">
      <c r="B136" s="49"/>
      <c r="D136" s="37"/>
    </row>
    <row r="137" spans="2:4" x14ac:dyDescent="0.2">
      <c r="B137" s="49"/>
      <c r="D137" s="37"/>
    </row>
    <row r="138" spans="2:4" x14ac:dyDescent="0.2">
      <c r="B138" s="49"/>
      <c r="D138" s="37"/>
    </row>
    <row r="139" spans="2:4" x14ac:dyDescent="0.2">
      <c r="B139" s="49"/>
      <c r="D139" s="37"/>
    </row>
    <row r="140" spans="2:4" x14ac:dyDescent="0.2">
      <c r="B140" s="49"/>
      <c r="D140" s="37"/>
    </row>
    <row r="141" spans="2:4" x14ac:dyDescent="0.2">
      <c r="B141" s="49"/>
      <c r="D141" s="37"/>
    </row>
    <row r="142" spans="2:4" x14ac:dyDescent="0.2">
      <c r="B142" s="49"/>
      <c r="D142" s="37"/>
    </row>
    <row r="143" spans="2:4" x14ac:dyDescent="0.2">
      <c r="B143" s="49"/>
      <c r="D143" s="37"/>
    </row>
    <row r="144" spans="2:4" x14ac:dyDescent="0.2">
      <c r="B144" s="49"/>
      <c r="D144" s="37"/>
    </row>
    <row r="145" spans="2:4" x14ac:dyDescent="0.2">
      <c r="B145" s="49"/>
      <c r="D145" s="37"/>
    </row>
    <row r="146" spans="2:4" x14ac:dyDescent="0.2">
      <c r="B146" s="49"/>
      <c r="D146" s="37"/>
    </row>
    <row r="147" spans="2:4" x14ac:dyDescent="0.2">
      <c r="B147" s="49"/>
      <c r="D147" s="37"/>
    </row>
    <row r="148" spans="2:4" x14ac:dyDescent="0.2">
      <c r="B148" s="49"/>
      <c r="D148" s="37"/>
    </row>
    <row r="149" spans="2:4" x14ac:dyDescent="0.2">
      <c r="B149" s="49"/>
      <c r="D149" s="37"/>
    </row>
    <row r="150" spans="2:4" x14ac:dyDescent="0.2">
      <c r="B150" s="49"/>
      <c r="D150" s="37"/>
    </row>
    <row r="151" spans="2:4" x14ac:dyDescent="0.2">
      <c r="B151" s="49"/>
      <c r="D151" s="37"/>
    </row>
    <row r="152" spans="2:4" x14ac:dyDescent="0.2">
      <c r="B152" s="49"/>
      <c r="D152" s="37"/>
    </row>
    <row r="153" spans="2:4" x14ac:dyDescent="0.2">
      <c r="B153" s="49"/>
      <c r="D153" s="37"/>
    </row>
    <row r="154" spans="2:4" x14ac:dyDescent="0.2">
      <c r="B154" s="49"/>
      <c r="D154" s="37"/>
    </row>
    <row r="155" spans="2:4" x14ac:dyDescent="0.2">
      <c r="B155" s="49"/>
      <c r="D155" s="37"/>
    </row>
    <row r="156" spans="2:4" x14ac:dyDescent="0.2">
      <c r="B156" s="49"/>
      <c r="D156" s="37"/>
    </row>
    <row r="157" spans="2:4" x14ac:dyDescent="0.2">
      <c r="B157" s="49"/>
      <c r="D157" s="37"/>
    </row>
    <row r="158" spans="2:4" x14ac:dyDescent="0.2">
      <c r="B158" s="49"/>
      <c r="D158" s="37"/>
    </row>
    <row r="159" spans="2:4" x14ac:dyDescent="0.2">
      <c r="B159" s="49"/>
      <c r="D159" s="37"/>
    </row>
    <row r="160" spans="2:4" x14ac:dyDescent="0.2">
      <c r="B160" s="49"/>
      <c r="D160" s="37"/>
    </row>
    <row r="161" spans="2:4" x14ac:dyDescent="0.2">
      <c r="B161" s="49"/>
      <c r="D161" s="37"/>
    </row>
    <row r="162" spans="2:4" x14ac:dyDescent="0.2">
      <c r="B162" s="49"/>
      <c r="D162" s="37"/>
    </row>
    <row r="163" spans="2:4" x14ac:dyDescent="0.2">
      <c r="B163" s="49"/>
      <c r="D163" s="37"/>
    </row>
    <row r="164" spans="2:4" x14ac:dyDescent="0.2">
      <c r="B164" s="49"/>
      <c r="D164" s="37"/>
    </row>
    <row r="165" spans="2:4" x14ac:dyDescent="0.2">
      <c r="B165" s="49"/>
      <c r="D165" s="37"/>
    </row>
    <row r="166" spans="2:4" x14ac:dyDescent="0.2">
      <c r="B166" s="49"/>
      <c r="D166" s="37"/>
    </row>
    <row r="167" spans="2:4" x14ac:dyDescent="0.2">
      <c r="B167" s="49"/>
      <c r="D167" s="37"/>
    </row>
    <row r="168" spans="2:4" x14ac:dyDescent="0.2">
      <c r="B168" s="49"/>
      <c r="D168" s="37"/>
    </row>
    <row r="169" spans="2:4" x14ac:dyDescent="0.2">
      <c r="B169" s="49"/>
      <c r="D169" s="37"/>
    </row>
    <row r="170" spans="2:4" x14ac:dyDescent="0.2">
      <c r="B170" s="49"/>
      <c r="D170" s="37"/>
    </row>
    <row r="171" spans="2:4" x14ac:dyDescent="0.2">
      <c r="B171" s="49"/>
      <c r="D171" s="37"/>
    </row>
    <row r="172" spans="2:4" x14ac:dyDescent="0.2">
      <c r="B172" s="49"/>
      <c r="D172" s="37"/>
    </row>
    <row r="173" spans="2:4" x14ac:dyDescent="0.2">
      <c r="B173" s="49"/>
      <c r="D173" s="37"/>
    </row>
    <row r="174" spans="2:4" x14ac:dyDescent="0.2">
      <c r="B174" s="49"/>
      <c r="D174" s="37"/>
    </row>
    <row r="175" spans="2:4" x14ac:dyDescent="0.2">
      <c r="B175" s="49"/>
      <c r="D175" s="37"/>
    </row>
    <row r="176" spans="2:4" x14ac:dyDescent="0.2">
      <c r="B176" s="49"/>
      <c r="D176" s="37"/>
    </row>
    <row r="177" spans="2:4" x14ac:dyDescent="0.2">
      <c r="B177" s="49"/>
      <c r="D177" s="37"/>
    </row>
    <row r="178" spans="2:4" x14ac:dyDescent="0.2">
      <c r="B178" s="49"/>
      <c r="D178" s="37"/>
    </row>
    <row r="179" spans="2:4" x14ac:dyDescent="0.2">
      <c r="B179" s="49"/>
      <c r="D179" s="37"/>
    </row>
    <row r="180" spans="2:4" x14ac:dyDescent="0.2">
      <c r="B180" s="49"/>
      <c r="D180" s="37"/>
    </row>
    <row r="181" spans="2:4" x14ac:dyDescent="0.2">
      <c r="B181" s="49"/>
      <c r="D181" s="37"/>
    </row>
    <row r="182" spans="2:4" x14ac:dyDescent="0.2">
      <c r="B182" s="49"/>
      <c r="D182" s="37"/>
    </row>
    <row r="183" spans="2:4" x14ac:dyDescent="0.2">
      <c r="B183" s="49"/>
      <c r="D183" s="37"/>
    </row>
    <row r="184" spans="2:4" x14ac:dyDescent="0.2">
      <c r="B184" s="49"/>
      <c r="D184" s="37"/>
    </row>
    <row r="185" spans="2:4" x14ac:dyDescent="0.2">
      <c r="B185" s="49"/>
      <c r="D185" s="37"/>
    </row>
    <row r="186" spans="2:4" x14ac:dyDescent="0.2">
      <c r="B186" s="49"/>
      <c r="D186" s="37"/>
    </row>
    <row r="187" spans="2:4" x14ac:dyDescent="0.2">
      <c r="B187" s="49"/>
      <c r="D187" s="37"/>
    </row>
    <row r="188" spans="2:4" x14ac:dyDescent="0.2">
      <c r="B188" s="49"/>
      <c r="D188" s="37"/>
    </row>
    <row r="189" spans="2:4" x14ac:dyDescent="0.2">
      <c r="B189" s="49"/>
      <c r="D189" s="37"/>
    </row>
    <row r="190" spans="2:4" x14ac:dyDescent="0.2">
      <c r="B190" s="49"/>
      <c r="D190" s="37"/>
    </row>
    <row r="191" spans="2:4" x14ac:dyDescent="0.2">
      <c r="B191" s="49"/>
      <c r="D191" s="37"/>
    </row>
    <row r="192" spans="2:4" x14ac:dyDescent="0.2">
      <c r="B192" s="49"/>
      <c r="D192" s="37"/>
    </row>
    <row r="193" spans="2:4" x14ac:dyDescent="0.2">
      <c r="B193" s="49"/>
      <c r="D193" s="37"/>
    </row>
    <row r="194" spans="2:4" x14ac:dyDescent="0.2">
      <c r="B194" s="49"/>
      <c r="D194" s="37"/>
    </row>
    <row r="195" spans="2:4" x14ac:dyDescent="0.2">
      <c r="B195" s="49"/>
      <c r="D195" s="37"/>
    </row>
    <row r="196" spans="2:4" x14ac:dyDescent="0.2">
      <c r="B196" s="49"/>
      <c r="D196" s="37"/>
    </row>
    <row r="197" spans="2:4" x14ac:dyDescent="0.2">
      <c r="B197" s="49"/>
      <c r="D197" s="37"/>
    </row>
    <row r="198" spans="2:4" x14ac:dyDescent="0.2">
      <c r="B198" s="49"/>
      <c r="D198" s="37"/>
    </row>
    <row r="199" spans="2:4" x14ac:dyDescent="0.2">
      <c r="B199" s="49"/>
      <c r="D199" s="37"/>
    </row>
    <row r="200" spans="2:4" x14ac:dyDescent="0.2">
      <c r="B200" s="49"/>
      <c r="D200" s="37"/>
    </row>
    <row r="201" spans="2:4" x14ac:dyDescent="0.2">
      <c r="B201" s="49"/>
      <c r="D201" s="37"/>
    </row>
    <row r="202" spans="2:4" x14ac:dyDescent="0.2">
      <c r="B202" s="49"/>
      <c r="D202" s="37"/>
    </row>
    <row r="203" spans="2:4" x14ac:dyDescent="0.2">
      <c r="B203" s="49"/>
      <c r="D203" s="37"/>
    </row>
    <row r="204" spans="2:4" x14ac:dyDescent="0.2">
      <c r="B204" s="49"/>
      <c r="D204" s="37"/>
    </row>
    <row r="205" spans="2:4" x14ac:dyDescent="0.2">
      <c r="B205" s="49"/>
      <c r="D205" s="37"/>
    </row>
    <row r="206" spans="2:4" x14ac:dyDescent="0.2">
      <c r="B206" s="49"/>
      <c r="D206" s="37"/>
    </row>
    <row r="207" spans="2:4" x14ac:dyDescent="0.2">
      <c r="B207" s="49"/>
      <c r="D207" s="37"/>
    </row>
    <row r="208" spans="2:4" x14ac:dyDescent="0.2">
      <c r="B208" s="49"/>
      <c r="D208" s="37"/>
    </row>
    <row r="209" spans="2:4" x14ac:dyDescent="0.2">
      <c r="B209" s="49"/>
      <c r="D209" s="37"/>
    </row>
    <row r="210" spans="2:4" x14ac:dyDescent="0.2">
      <c r="B210" s="49"/>
      <c r="D210" s="37"/>
    </row>
    <row r="211" spans="2:4" x14ac:dyDescent="0.2">
      <c r="B211" s="49"/>
      <c r="D211" s="37"/>
    </row>
    <row r="212" spans="2:4" x14ac:dyDescent="0.2">
      <c r="B212" s="49"/>
      <c r="D212" s="37"/>
    </row>
    <row r="213" spans="2:4" x14ac:dyDescent="0.2">
      <c r="B213" s="49"/>
      <c r="D213" s="37"/>
    </row>
    <row r="214" spans="2:4" x14ac:dyDescent="0.2">
      <c r="B214" s="49"/>
      <c r="D214" s="37"/>
    </row>
    <row r="215" spans="2:4" x14ac:dyDescent="0.2">
      <c r="B215" s="49"/>
      <c r="D215" s="37"/>
    </row>
    <row r="216" spans="2:4" x14ac:dyDescent="0.2">
      <c r="B216" s="49"/>
      <c r="D216" s="37"/>
    </row>
    <row r="217" spans="2:4" x14ac:dyDescent="0.2">
      <c r="B217" s="49"/>
      <c r="D217" s="37"/>
    </row>
    <row r="218" spans="2:4" x14ac:dyDescent="0.2">
      <c r="B218" s="49"/>
      <c r="D218" s="37"/>
    </row>
    <row r="219" spans="2:4" x14ac:dyDescent="0.2">
      <c r="B219" s="49"/>
      <c r="D219" s="37"/>
    </row>
    <row r="220" spans="2:4" x14ac:dyDescent="0.2">
      <c r="B220" s="49"/>
      <c r="D220" s="37"/>
    </row>
    <row r="221" spans="2:4" x14ac:dyDescent="0.2">
      <c r="B221" s="49"/>
      <c r="D221" s="37"/>
    </row>
    <row r="222" spans="2:4" x14ac:dyDescent="0.2">
      <c r="B222" s="49"/>
      <c r="D222" s="37"/>
    </row>
    <row r="223" spans="2:4" x14ac:dyDescent="0.2">
      <c r="B223" s="49"/>
      <c r="D223" s="37"/>
    </row>
    <row r="224" spans="2:4" x14ac:dyDescent="0.2">
      <c r="B224" s="49"/>
      <c r="D224" s="37"/>
    </row>
    <row r="225" spans="2:4" x14ac:dyDescent="0.2">
      <c r="B225" s="49"/>
      <c r="D225" s="37"/>
    </row>
    <row r="226" spans="2:4" x14ac:dyDescent="0.2">
      <c r="B226" s="49"/>
      <c r="D226" s="37"/>
    </row>
    <row r="227" spans="2:4" x14ac:dyDescent="0.2">
      <c r="B227" s="49"/>
      <c r="D227" s="37"/>
    </row>
    <row r="228" spans="2:4" x14ac:dyDescent="0.2">
      <c r="B228" s="49"/>
      <c r="D228" s="37"/>
    </row>
    <row r="229" spans="2:4" x14ac:dyDescent="0.2">
      <c r="B229" s="49"/>
      <c r="D229" s="37"/>
    </row>
    <row r="230" spans="2:4" x14ac:dyDescent="0.2">
      <c r="B230" s="49"/>
      <c r="D230" s="37"/>
    </row>
    <row r="231" spans="2:4" x14ac:dyDescent="0.2">
      <c r="B231" s="49"/>
      <c r="D231" s="37"/>
    </row>
    <row r="232" spans="2:4" x14ac:dyDescent="0.2">
      <c r="B232" s="49"/>
      <c r="D232" s="37"/>
    </row>
    <row r="233" spans="2:4" x14ac:dyDescent="0.2">
      <c r="B233" s="49"/>
      <c r="D233" s="37"/>
    </row>
    <row r="234" spans="2:4" x14ac:dyDescent="0.2">
      <c r="B234" s="49"/>
      <c r="D234" s="37"/>
    </row>
    <row r="235" spans="2:4" x14ac:dyDescent="0.2">
      <c r="B235" s="49"/>
      <c r="D235" s="37"/>
    </row>
    <row r="236" spans="2:4" x14ac:dyDescent="0.2">
      <c r="B236" s="49"/>
      <c r="D236" s="37"/>
    </row>
    <row r="237" spans="2:4" x14ac:dyDescent="0.2">
      <c r="B237" s="49"/>
      <c r="D237" s="37"/>
    </row>
    <row r="238" spans="2:4" x14ac:dyDescent="0.2">
      <c r="B238" s="49"/>
      <c r="D238" s="37"/>
    </row>
    <row r="239" spans="2:4" x14ac:dyDescent="0.2">
      <c r="B239" s="49"/>
      <c r="D239" s="37"/>
    </row>
    <row r="240" spans="2:4" x14ac:dyDescent="0.2">
      <c r="B240" s="49"/>
      <c r="D240" s="37"/>
    </row>
    <row r="241" spans="2:4" x14ac:dyDescent="0.2">
      <c r="B241" s="49"/>
      <c r="D241" s="37"/>
    </row>
    <row r="242" spans="2:4" x14ac:dyDescent="0.2">
      <c r="B242" s="49"/>
      <c r="D242" s="37"/>
    </row>
    <row r="243" spans="2:4" x14ac:dyDescent="0.2">
      <c r="B243" s="49"/>
      <c r="D243" s="37"/>
    </row>
    <row r="244" spans="2:4" x14ac:dyDescent="0.2">
      <c r="B244" s="49"/>
      <c r="D244" s="37"/>
    </row>
    <row r="245" spans="2:4" x14ac:dyDescent="0.2">
      <c r="B245" s="49"/>
      <c r="D245" s="37"/>
    </row>
    <row r="246" spans="2:4" x14ac:dyDescent="0.2">
      <c r="B246" s="49"/>
      <c r="D246" s="37"/>
    </row>
    <row r="247" spans="2:4" x14ac:dyDescent="0.2">
      <c r="B247" s="49"/>
      <c r="D247" s="37"/>
    </row>
    <row r="248" spans="2:4" x14ac:dyDescent="0.2">
      <c r="B248" s="49"/>
      <c r="D248" s="37"/>
    </row>
    <row r="249" spans="2:4" x14ac:dyDescent="0.2">
      <c r="B249" s="49"/>
      <c r="D249" s="37"/>
    </row>
    <row r="250" spans="2:4" x14ac:dyDescent="0.2">
      <c r="B250" s="49"/>
      <c r="D250" s="37"/>
    </row>
    <row r="251" spans="2:4" x14ac:dyDescent="0.2">
      <c r="B251" s="49"/>
      <c r="D251" s="37"/>
    </row>
    <row r="252" spans="2:4" x14ac:dyDescent="0.2">
      <c r="B252" s="49"/>
      <c r="D252" s="37"/>
    </row>
    <row r="253" spans="2:4" x14ac:dyDescent="0.2">
      <c r="B253" s="49"/>
      <c r="D253" s="37"/>
    </row>
    <row r="254" spans="2:4" x14ac:dyDescent="0.2">
      <c r="B254" s="49"/>
      <c r="D254" s="37"/>
    </row>
    <row r="255" spans="2:4" x14ac:dyDescent="0.2">
      <c r="B255" s="49"/>
      <c r="D255" s="37"/>
    </row>
    <row r="256" spans="2:4" x14ac:dyDescent="0.2">
      <c r="B256" s="49"/>
      <c r="D256" s="37"/>
    </row>
    <row r="257" spans="2:4" x14ac:dyDescent="0.2">
      <c r="B257" s="49"/>
      <c r="D257" s="37"/>
    </row>
    <row r="258" spans="2:4" x14ac:dyDescent="0.2">
      <c r="B258" s="49"/>
      <c r="D258" s="37"/>
    </row>
    <row r="259" spans="2:4" x14ac:dyDescent="0.2">
      <c r="B259" s="49"/>
      <c r="D259" s="37"/>
    </row>
    <row r="260" spans="2:4" x14ac:dyDescent="0.2">
      <c r="B260" s="49"/>
      <c r="D260" s="37"/>
    </row>
    <row r="261" spans="2:4" x14ac:dyDescent="0.2">
      <c r="B261" s="49"/>
      <c r="D261" s="37"/>
    </row>
    <row r="262" spans="2:4" x14ac:dyDescent="0.2">
      <c r="B262" s="49"/>
      <c r="D262" s="37"/>
    </row>
    <row r="263" spans="2:4" x14ac:dyDescent="0.2">
      <c r="B263" s="49"/>
      <c r="D263" s="37"/>
    </row>
    <row r="264" spans="2:4" x14ac:dyDescent="0.2">
      <c r="B264" s="49"/>
      <c r="D264" s="37"/>
    </row>
    <row r="265" spans="2:4" x14ac:dyDescent="0.2">
      <c r="B265" s="49"/>
      <c r="D265" s="37"/>
    </row>
    <row r="266" spans="2:4" x14ac:dyDescent="0.2">
      <c r="B266" s="49"/>
      <c r="D266" s="37"/>
    </row>
    <row r="267" spans="2:4" x14ac:dyDescent="0.2">
      <c r="B267" s="49"/>
      <c r="D267" s="37"/>
    </row>
    <row r="268" spans="2:4" x14ac:dyDescent="0.2">
      <c r="B268" s="49"/>
      <c r="D268" s="37"/>
    </row>
    <row r="269" spans="2:4" x14ac:dyDescent="0.2">
      <c r="B269" s="49"/>
      <c r="D269" s="37"/>
    </row>
    <row r="270" spans="2:4" x14ac:dyDescent="0.2">
      <c r="B270" s="49"/>
      <c r="D270" s="37"/>
    </row>
    <row r="271" spans="2:4" x14ac:dyDescent="0.2">
      <c r="B271" s="49"/>
      <c r="D271" s="37"/>
    </row>
    <row r="272" spans="2:4" x14ac:dyDescent="0.2">
      <c r="B272" s="49"/>
      <c r="D272" s="37"/>
    </row>
  </sheetData>
  <sheetProtection algorithmName="SHA-512" hashValue="vpyHElQ28Ddf3ITMBZIrmPmu1ok9F9pAM+p0igtfsIx637pY8LwY3KcSVl3o5PVoFk+lW93KbYH1LOilsh50dw==" saltValue="sr/Gpm8cuuMKQYOkvR2TN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defaultRowHeight="14.25" x14ac:dyDescent="0.2"/>
  <cols>
    <col min="2" max="2" width="17.375" bestFit="1" customWidth="1"/>
    <col min="3" max="3" width="12.5" bestFit="1" customWidth="1"/>
    <col min="5" max="5" width="13" bestFit="1" customWidth="1"/>
    <col min="6" max="7" width="13" customWidth="1"/>
    <col min="8" max="9" width="11.125" bestFit="1" customWidth="1"/>
    <col min="10" max="10" width="14.5" bestFit="1" customWidth="1"/>
    <col min="11" max="12" width="8.875" bestFit="1" customWidth="1"/>
    <col min="13" max="14" width="8.875" customWidth="1"/>
    <col min="15" max="17" width="8.875" bestFit="1" customWidth="1"/>
    <col min="18" max="18" width="6.625" bestFit="1" customWidth="1"/>
    <col min="19" max="19" width="5.375" bestFit="1" customWidth="1"/>
    <col min="21" max="21" width="15.5" bestFit="1" customWidth="1"/>
    <col min="23" max="23" width="9.875" bestFit="1" customWidth="1"/>
    <col min="29" max="29" width="14.625" customWidth="1"/>
    <col min="30" max="30" width="9.875" style="37" customWidth="1"/>
    <col min="31" max="39" width="9" customWidth="1"/>
    <col min="40" max="41" width="9" hidden="1" customWidth="1"/>
    <col min="42" max="50" width="9" customWidth="1"/>
  </cols>
  <sheetData>
    <row r="1" spans="2:63" x14ac:dyDescent="0.2">
      <c r="B1" t="s">
        <v>222</v>
      </c>
      <c r="C1" t="s">
        <v>223</v>
      </c>
      <c r="E1" t="s">
        <v>225</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258</v>
      </c>
      <c r="AP1" t="s">
        <v>273</v>
      </c>
    </row>
    <row r="2" spans="2:63" x14ac:dyDescent="0.2">
      <c r="B2">
        <f ca="1">IF(Planned!$C$6&lt;&gt;"Overall",COUNTBLANK(OFFSET(Planned!E13,0,0,1,Num_Modalities)),IF(COUNTBLANK(Planned!O13)=1,Num_Modalities,0))</f>
        <v>1</v>
      </c>
      <c r="C2">
        <f ca="1">SUM(OFFSET(Planned!$E13,0,0,1,Num_Modalities))</f>
        <v>0</v>
      </c>
      <c r="E2" t="s">
        <v>152</v>
      </c>
      <c r="F2" t="s">
        <v>57</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2">
      <c r="B3" s="68">
        <f ca="1">IF(Planned!$C$6&lt;&gt;"Overall",COUNTBLANK(OFFSET(Planned!E14,0,0,1,Num_Modalities)),IF(COUNTBLANK(Planned!O14)=1,Num_Modalities,0))</f>
        <v>1</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t="str">
        <f>IF(Planned!$C$6="Overall",Planned!O13*'Planned background (hide)'!R$1,"")</f>
        <v/>
      </c>
      <c r="S3" s="5">
        <f ca="1">IF(Planned!R13&lt;&gt;"Yes",IF(Planned!$C$6&lt;&gt;"Overall",SUM(OFFSET('Planned background (hide)'!H3,0,0,1,Num_Modalities)),'Planned background (hide)'!R3),"")</f>
        <v>0</v>
      </c>
      <c r="V3" s="5"/>
      <c r="AB3">
        <f t="shared" si="0"/>
        <v>1</v>
      </c>
      <c r="AC3" s="37">
        <f>IF(Planned!$C$8=0,'Planned background (hide)'!F3,'Planned background (hide)'!G3)</f>
        <v>1</v>
      </c>
      <c r="AD3" s="37">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9">
        <f>IF(OR(Planned!B13=1,Planned!B13=""),AC3,Planned!B13)</f>
        <v>1</v>
      </c>
      <c r="BI3" t="str">
        <f>TEXT(Planned!D13,"mmm")</f>
        <v/>
      </c>
    </row>
    <row r="4" spans="2:63" x14ac:dyDescent="0.2">
      <c r="B4" s="68">
        <f ca="1">IF(Planned!$C$6&lt;&gt;"Overall",COUNTBLANK(OFFSET(Planned!E15,0,0,1,Num_Modalities)),IF(COUNTBLANK(Planned!O15)=1,Num_Modalities,0))</f>
        <v>1</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t="str">
        <f>IF(Planned!$C$6="Overall",Planned!O14*'Planned background (hide)'!R$1,"")</f>
        <v/>
      </c>
      <c r="S4" s="5">
        <f ca="1">IF(Planned!R14&lt;&gt;"Yes",IF(Planned!$C$6&lt;&gt;"Overall",SUM(OFFSET('Planned background (hide)'!H4,0,0,1,Num_Modalities)),'Planned background (hide)'!R4),"")</f>
        <v>0</v>
      </c>
      <c r="AB4">
        <f t="shared" si="0"/>
        <v>2</v>
      </c>
      <c r="AC4" s="37">
        <f>IF(Planned!$C$8=0,'Planned background (hide)'!F4,'Planned background (hide)'!G4)</f>
        <v>2</v>
      </c>
      <c r="AD4" s="37">
        <f t="shared" ref="AD4:AD54" si="2">IF(AND(AB4&gt;$U$18,AB4&lt;($U$18+$AA$19)),1,0)</f>
        <v>1</v>
      </c>
      <c r="AE4" s="5">
        <f t="shared" ca="1" si="1"/>
        <v>0</v>
      </c>
      <c r="AF4" s="5">
        <f t="shared" ref="AF4:AF55" ca="1" si="3">$V$23</f>
        <v>0</v>
      </c>
      <c r="AG4">
        <f t="shared" ref="AG4:AG55" ca="1" si="4">$V$25</f>
        <v>0</v>
      </c>
      <c r="AH4" s="68">
        <f t="shared" ref="AH4:AH54" ca="1" si="5">IF(AF4-(3*AG4)&lt;=0,0,AF4-(3*AG4))</f>
        <v>0</v>
      </c>
      <c r="AI4" s="68">
        <f t="shared" ref="AI4:AI54" ca="1" si="6">IF(AF4-(2*AG4)&lt;=0,0,AF4-(2*AG4))</f>
        <v>0</v>
      </c>
      <c r="AJ4" s="68">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9" t="str">
        <f ca="1">IF(OR(Planned!B14=1,Planned!B14=""),AC4,Planned!B14)</f>
        <v xml:space="preserve"> </v>
      </c>
      <c r="BI4" t="str">
        <f ca="1">IF(TEXT(Planned!D14,"mmm")&lt;&gt;TEXT(Planned!D13,"mmm"),TEXT(Planned!D14,"mmm"),"")</f>
        <v/>
      </c>
      <c r="BK4" s="68"/>
    </row>
    <row r="5" spans="2:63" x14ac:dyDescent="0.2">
      <c r="B5" s="68">
        <f ca="1">IF(Planned!$C$6&lt;&gt;"Overall",COUNTBLANK(OFFSET(Planned!E16,0,0,1,Num_Modalities)),IF(COUNTBLANK(Planned!O16)=1,Num_Modalities,0))</f>
        <v>1</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t="str">
        <f>IF(Planned!$C$6="Overall",Planned!O15*'Planned background (hide)'!R$1,"")</f>
        <v/>
      </c>
      <c r="S5" s="5">
        <f ca="1">IF(Planned!R15&lt;&gt;"Yes",IF(Planned!$C$6&lt;&gt;"Overall",SUM(OFFSET('Planned background (hide)'!H5,0,0,1,Num_Modalities)),'Planned background (hide)'!R5),"")</f>
        <v>0</v>
      </c>
      <c r="AB5">
        <f t="shared" si="0"/>
        <v>3</v>
      </c>
      <c r="AC5" s="37">
        <f>IF(Planned!$C$8=0,'Planned background (hide)'!F5,'Planned background (hide)'!G5)</f>
        <v>3</v>
      </c>
      <c r="AD5" s="37">
        <f t="shared" si="2"/>
        <v>1</v>
      </c>
      <c r="AE5" s="5">
        <f t="shared" ca="1" si="1"/>
        <v>0</v>
      </c>
      <c r="AF5" s="5">
        <f t="shared" ca="1" si="3"/>
        <v>0</v>
      </c>
      <c r="AG5">
        <f t="shared" ca="1" si="4"/>
        <v>0</v>
      </c>
      <c r="AH5" s="68">
        <f t="shared" ca="1" si="5"/>
        <v>0</v>
      </c>
      <c r="AI5" s="68">
        <f t="shared" ca="1" si="6"/>
        <v>0</v>
      </c>
      <c r="AJ5" s="68">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9" t="str">
        <f ca="1">IF(OR(Planned!B15=1,Planned!B15=""),AC5,Planned!B15)</f>
        <v xml:space="preserve"> </v>
      </c>
      <c r="BI5" t="str">
        <f ca="1">IF(TEXT(Planned!D15,"mmm")&lt;&gt;TEXT(Planned!D14,"mmm"),TEXT(Planned!D15,"mmm"),"")</f>
        <v/>
      </c>
      <c r="BK5" s="68"/>
    </row>
    <row r="6" spans="2:63" x14ac:dyDescent="0.2">
      <c r="B6" s="68">
        <f ca="1">IF(Planned!$C$6&lt;&gt;"Overall",COUNTBLANK(OFFSET(Planned!E17,0,0,1,Num_Modalities)),IF(COUNTBLANK(Planned!O17)=1,Num_Modalities,0))</f>
        <v>1</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t="str">
        <f>IF(Planned!$C$6="Overall",Planned!O16*'Planned background (hide)'!R$1,"")</f>
        <v/>
      </c>
      <c r="S6" s="5">
        <f ca="1">IF(Planned!R16&lt;&gt;"Yes",IF(Planned!$C$6&lt;&gt;"Overall",SUM(OFFSET('Planned background (hide)'!H6,0,0,1,Num_Modalities)),'Planned background (hide)'!R6),"")</f>
        <v>0</v>
      </c>
      <c r="AB6">
        <f t="shared" si="0"/>
        <v>4</v>
      </c>
      <c r="AC6" s="37">
        <f>IF(Planned!$C$8=0,'Planned background (hide)'!F6,'Planned background (hide)'!G6)</f>
        <v>4</v>
      </c>
      <c r="AD6" s="37">
        <f t="shared" si="2"/>
        <v>1</v>
      </c>
      <c r="AE6" s="5">
        <f t="shared" ca="1" si="1"/>
        <v>0</v>
      </c>
      <c r="AF6" s="5">
        <f t="shared" ca="1" si="3"/>
        <v>0</v>
      </c>
      <c r="AG6">
        <f t="shared" ca="1" si="4"/>
        <v>0</v>
      </c>
      <c r="AH6" s="68">
        <f t="shared" ca="1" si="5"/>
        <v>0</v>
      </c>
      <c r="AI6" s="68">
        <f t="shared" ca="1" si="6"/>
        <v>0</v>
      </c>
      <c r="AJ6" s="68">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9" t="str">
        <f ca="1">IF(OR(Planned!B16=1,Planned!B16=""),AC6,Planned!B16)</f>
        <v xml:space="preserve"> </v>
      </c>
      <c r="BI6" t="str">
        <f ca="1">IF(TEXT(Planned!D16,"mmm")&lt;&gt;TEXT(Planned!D15,"mmm"),TEXT(Planned!D16,"mmm"),"")</f>
        <v/>
      </c>
      <c r="BK6" s="68"/>
    </row>
    <row r="7" spans="2:63" x14ac:dyDescent="0.2">
      <c r="B7" s="68">
        <f ca="1">IF(Planned!$C$6&lt;&gt;"Overall",COUNTBLANK(OFFSET(Planned!E18,0,0,1,Num_Modalities)),IF(COUNTBLANK(Planned!O18)=1,Num_Modalities,0))</f>
        <v>1</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t="str">
        <f>IF(Planned!$C$6="Overall",Planned!O17*'Planned background (hide)'!R$1,"")</f>
        <v/>
      </c>
      <c r="S7" s="5">
        <f ca="1">IF(Planned!R17&lt;&gt;"Yes",IF(Planned!$C$6&lt;&gt;"Overall",SUM(OFFSET('Planned background (hide)'!H7,0,0,1,Num_Modalities)),'Planned background (hide)'!R7),"")</f>
        <v>0</v>
      </c>
      <c r="U7" s="55"/>
      <c r="AB7">
        <f t="shared" si="0"/>
        <v>5</v>
      </c>
      <c r="AC7" s="37">
        <f>IF(Planned!$C$8=0,'Planned background (hide)'!F7,'Planned background (hide)'!G7)</f>
        <v>5</v>
      </c>
      <c r="AD7" s="37">
        <f t="shared" si="2"/>
        <v>1</v>
      </c>
      <c r="AE7" s="5">
        <f t="shared" ca="1" si="1"/>
        <v>0</v>
      </c>
      <c r="AF7" s="5">
        <f t="shared" ca="1" si="3"/>
        <v>0</v>
      </c>
      <c r="AG7">
        <f t="shared" ca="1" si="4"/>
        <v>0</v>
      </c>
      <c r="AH7" s="68">
        <f t="shared" ca="1" si="5"/>
        <v>0</v>
      </c>
      <c r="AI7" s="68">
        <f t="shared" ca="1" si="6"/>
        <v>0</v>
      </c>
      <c r="AJ7" s="68">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9" t="str">
        <f ca="1">IF(OR(Planned!B17=1,Planned!B17=""),AC7,Planned!B17)</f>
        <v xml:space="preserve"> </v>
      </c>
      <c r="BI7" t="str">
        <f ca="1">IF(TEXT(Planned!D17,"mmm")&lt;&gt;TEXT(Planned!D16,"mmm"),TEXT(Planned!D17,"mmm"),"")</f>
        <v/>
      </c>
      <c r="BK7" s="68"/>
    </row>
    <row r="8" spans="2:63" x14ac:dyDescent="0.2">
      <c r="B8" s="68">
        <f ca="1">IF(Planned!$C$6&lt;&gt;"Overall",COUNTBLANK(OFFSET(Planned!E19,0,0,1,Num_Modalities)),IF(COUNTBLANK(Planned!O19)=1,Num_Modalities,0))</f>
        <v>1</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t="str">
        <f>IF(Planned!$C$6="Overall",Planned!O18*'Planned background (hide)'!R$1,"")</f>
        <v/>
      </c>
      <c r="S8" s="5">
        <f ca="1">IF(Planned!R18&lt;&gt;"Yes",IF(Planned!$C$6&lt;&gt;"Overall",SUM(OFFSET('Planned background (hide)'!H8,0,0,1,Num_Modalities)),'Planned background (hide)'!R8),"")</f>
        <v>0</v>
      </c>
      <c r="U8" s="55"/>
      <c r="AB8">
        <f t="shared" si="0"/>
        <v>6</v>
      </c>
      <c r="AC8" s="37">
        <f>IF(Planned!$C$8=0,'Planned background (hide)'!F8,'Planned background (hide)'!G8)</f>
        <v>6</v>
      </c>
      <c r="AD8" s="37">
        <f t="shared" si="2"/>
        <v>0</v>
      </c>
      <c r="AE8" s="5">
        <f t="shared" ca="1" si="1"/>
        <v>0</v>
      </c>
      <c r="AF8" s="5">
        <f t="shared" ca="1" si="3"/>
        <v>0</v>
      </c>
      <c r="AG8">
        <f t="shared" ca="1" si="4"/>
        <v>0</v>
      </c>
      <c r="AH8" s="68">
        <f t="shared" ca="1" si="5"/>
        <v>0</v>
      </c>
      <c r="AI8" s="68">
        <f t="shared" ca="1" si="6"/>
        <v>0</v>
      </c>
      <c r="AJ8" s="68">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9" t="str">
        <f ca="1">IF(OR(Planned!B18=1,Planned!B18=""),AC8,Planned!B18)</f>
        <v xml:space="preserve"> </v>
      </c>
      <c r="BI8" t="str">
        <f ca="1">IF(TEXT(Planned!D18,"mmm")&lt;&gt;TEXT(Planned!D17,"mmm"),TEXT(Planned!D18,"mmm"),"")</f>
        <v/>
      </c>
      <c r="BK8" s="68"/>
    </row>
    <row r="9" spans="2:63" x14ac:dyDescent="0.2">
      <c r="B9" s="68">
        <f ca="1">IF(Planned!$C$6&lt;&gt;"Overall",COUNTBLANK(OFFSET(Planned!E20,0,0,1,Num_Modalities)),IF(COUNTBLANK(Planned!O20)=1,Num_Modalities,0))</f>
        <v>1</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t="str">
        <f>IF(Planned!$C$6="Overall",Planned!O19*'Planned background (hide)'!R$1,"")</f>
        <v/>
      </c>
      <c r="S9" s="5">
        <f ca="1">IF(Planned!R19&lt;&gt;"Yes",IF(Planned!$C$6&lt;&gt;"Overall",SUM(OFFSET('Planned background (hide)'!H9,0,0,1,Num_Modalities)),'Planned background (hide)'!R9),"")</f>
        <v>0</v>
      </c>
      <c r="AB9">
        <f t="shared" si="0"/>
        <v>7</v>
      </c>
      <c r="AC9" s="37">
        <f>IF(Planned!$C$8=0,'Planned background (hide)'!F9,'Planned background (hide)'!G9)</f>
        <v>7</v>
      </c>
      <c r="AD9" s="37">
        <f t="shared" si="2"/>
        <v>0</v>
      </c>
      <c r="AE9" s="5">
        <f t="shared" ca="1" si="1"/>
        <v>0</v>
      </c>
      <c r="AF9" s="5">
        <f t="shared" ca="1" si="3"/>
        <v>0</v>
      </c>
      <c r="AG9">
        <f t="shared" ca="1" si="4"/>
        <v>0</v>
      </c>
      <c r="AH9" s="68">
        <f t="shared" ca="1" si="5"/>
        <v>0</v>
      </c>
      <c r="AI9" s="68">
        <f t="shared" ca="1" si="6"/>
        <v>0</v>
      </c>
      <c r="AJ9" s="68">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9" t="str">
        <f ca="1">IF(OR(Planned!B19=1,Planned!B19=""),AC9,Planned!B19)</f>
        <v xml:space="preserve"> </v>
      </c>
      <c r="BI9" t="str">
        <f ca="1">IF(TEXT(Planned!D19,"mmm")&lt;&gt;TEXT(Planned!D18,"mmm"),TEXT(Planned!D19,"mmm"),"")</f>
        <v/>
      </c>
      <c r="BK9" s="68"/>
    </row>
    <row r="10" spans="2:63" x14ac:dyDescent="0.2">
      <c r="B10" s="68">
        <f ca="1">IF(Planned!$C$6&lt;&gt;"Overall",COUNTBLANK(OFFSET(Planned!E21,0,0,1,Num_Modalities)),IF(COUNTBLANK(Planned!O21)=1,Num_Modalities,0))</f>
        <v>1</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t="str">
        <f>IF(Planned!$C$6="Overall",Planned!O20*'Planned background (hide)'!R$1,"")</f>
        <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0</v>
      </c>
      <c r="AG10">
        <f t="shared" ca="1" si="4"/>
        <v>0</v>
      </c>
      <c r="AH10" s="68">
        <f t="shared" ca="1" si="5"/>
        <v>0</v>
      </c>
      <c r="AI10" s="68">
        <f t="shared" ca="1" si="6"/>
        <v>0</v>
      </c>
      <c r="AJ10" s="68">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9" t="str">
        <f ca="1">IF(OR(Planned!B20=1,Planned!B20=""),AC10,Planned!B20)</f>
        <v xml:space="preserve"> </v>
      </c>
      <c r="BI10" t="str">
        <f ca="1">IF(TEXT(Planned!D20,"mmm")&lt;&gt;TEXT(Planned!D19,"mmm"),TEXT(Planned!D20,"mmm"),"")</f>
        <v/>
      </c>
      <c r="BK10" s="68"/>
    </row>
    <row r="11" spans="2:63" x14ac:dyDescent="0.2">
      <c r="B11" s="68">
        <f ca="1">IF(Planned!$C$6&lt;&gt;"Overall",COUNTBLANK(OFFSET(Planned!E22,0,0,1,Num_Modalities)),IF(COUNTBLANK(Planned!O22)=1,Num_Modalities,0))</f>
        <v>1</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t="str">
        <f>IF(Planned!$C$6="Overall",Planned!O21*'Planned background (hide)'!R$1,"")</f>
        <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0</v>
      </c>
      <c r="AG11">
        <f t="shared" ca="1" si="4"/>
        <v>0</v>
      </c>
      <c r="AH11" s="68">
        <f t="shared" ca="1" si="5"/>
        <v>0</v>
      </c>
      <c r="AI11" s="68">
        <f t="shared" ca="1" si="6"/>
        <v>0</v>
      </c>
      <c r="AJ11" s="68">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
      <c r="B12" s="68">
        <f ca="1">IF(Planned!$C$6&lt;&gt;"Overall",COUNTBLANK(OFFSET(Planned!E23,0,0,1,Num_Modalities)),IF(COUNTBLANK(Planned!O23)=1,Num_Modalities,0))</f>
        <v>1</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t="str">
        <f>IF(Planned!$C$6="Overall",Planned!O22*'Planned background (hide)'!R$1,"")</f>
        <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0</v>
      </c>
      <c r="AG12">
        <f t="shared" ca="1" si="4"/>
        <v>0</v>
      </c>
      <c r="AH12" s="68">
        <f t="shared" ca="1" si="5"/>
        <v>0</v>
      </c>
      <c r="AI12" s="68">
        <f t="shared" ca="1" si="6"/>
        <v>0</v>
      </c>
      <c r="AJ12" s="68">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
      <c r="B13" s="68">
        <f ca="1">IF(Planned!$C$6&lt;&gt;"Overall",COUNTBLANK(OFFSET(Planned!E24,0,0,1,Num_Modalities)),IF(COUNTBLANK(Planned!O24)=1,Num_Modalities,0))</f>
        <v>1</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t="str">
        <f>IF(Planned!$C$6="Overall",Planned!O23*'Planned background (hide)'!R$1,"")</f>
        <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0</v>
      </c>
      <c r="AG13">
        <f t="shared" ca="1" si="4"/>
        <v>0</v>
      </c>
      <c r="AH13" s="68">
        <f t="shared" ca="1" si="5"/>
        <v>0</v>
      </c>
      <c r="AI13" s="68">
        <f t="shared" ca="1" si="6"/>
        <v>0</v>
      </c>
      <c r="AJ13" s="68">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
      <c r="B14" s="68">
        <f ca="1">IF(Planned!$C$6&lt;&gt;"Overall",COUNTBLANK(OFFSET(Planned!E25,0,0,1,Num_Modalities)),IF(COUNTBLANK(Planned!O25)=1,Num_Modalities,0))</f>
        <v>1</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t="str">
        <f>IF(Planned!$C$6="Overall",Planned!O24*'Planned background (hide)'!R$1,"")</f>
        <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0</v>
      </c>
      <c r="AG14">
        <f t="shared" ca="1" si="4"/>
        <v>0</v>
      </c>
      <c r="AH14" s="68">
        <f t="shared" ca="1" si="5"/>
        <v>0</v>
      </c>
      <c r="AI14" s="68">
        <f t="shared" ca="1" si="6"/>
        <v>0</v>
      </c>
      <c r="AJ14" s="68">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
      <c r="B15" s="68">
        <f ca="1">IF(Planned!$C$6&lt;&gt;"Overall",COUNTBLANK(OFFSET(Planned!E26,0,0,1,Num_Modalities)),IF(COUNTBLANK(Planned!O26)=1,Num_Modalities,0))</f>
        <v>1</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t="str">
        <f>IF(Planned!$C$6="Overall",Planned!O25*'Planned background (hide)'!R$1,"")</f>
        <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0</v>
      </c>
      <c r="AG15">
        <f t="shared" ca="1" si="4"/>
        <v>0</v>
      </c>
      <c r="AH15" s="68">
        <f t="shared" ca="1" si="5"/>
        <v>0</v>
      </c>
      <c r="AI15" s="68">
        <f t="shared" ca="1" si="6"/>
        <v>0</v>
      </c>
      <c r="AJ15" s="68">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
      <c r="B16" s="68">
        <f ca="1">IF(Planned!$C$6&lt;&gt;"Overall",COUNTBLANK(OFFSET(Planned!E27,0,0,1,Num_Modalities)),IF(COUNTBLANK(Planned!O27)=1,Num_Modalities,0))</f>
        <v>1</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t="str">
        <f>IF(Planned!$C$6="Overall",Planned!O26*'Planned background (hide)'!R$1,"")</f>
        <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0</v>
      </c>
      <c r="AG16">
        <f t="shared" ca="1" si="4"/>
        <v>0</v>
      </c>
      <c r="AH16" s="68">
        <f t="shared" ca="1" si="5"/>
        <v>0</v>
      </c>
      <c r="AI16" s="68">
        <f t="shared" ca="1" si="6"/>
        <v>0</v>
      </c>
      <c r="AJ16" s="68">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
      <c r="B17" s="68">
        <f ca="1">IF(Planned!$C$6&lt;&gt;"Overall",COUNTBLANK(OFFSET(Planned!E28,0,0,1,Num_Modalities)),IF(COUNTBLANK(Planned!O28)=1,Num_Modalities,0))</f>
        <v>1</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t="str">
        <f>IF(Planned!$C$6="Overall",Planned!O27*'Planned background (hide)'!R$1,"")</f>
        <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0</v>
      </c>
      <c r="AG17">
        <f t="shared" ca="1" si="4"/>
        <v>0</v>
      </c>
      <c r="AH17" s="68">
        <f t="shared" ca="1" si="5"/>
        <v>0</v>
      </c>
      <c r="AI17" s="68">
        <f t="shared" ca="1" si="6"/>
        <v>0</v>
      </c>
      <c r="AJ17" s="68">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
      <c r="B18" s="68">
        <f ca="1">IF(Planned!$C$6&lt;&gt;"Overall",COUNTBLANK(OFFSET(Planned!E29,0,0,1,Num_Modalities)),IF(COUNTBLANK(Planned!O29)=1,Num_Modalities,0))</f>
        <v>1</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t="str">
        <f>IF(Planned!$C$6="Overall",Planned!O28*'Planned background (hide)'!R$1,"")</f>
        <v/>
      </c>
      <c r="S18" s="5">
        <f ca="1">IF(Planned!R28&lt;&gt;"Yes",IF(Planned!$C$6&lt;&gt;"Overall",SUM(OFFSET('Planned background (hide)'!H18,0,0,1,Num_Modalities)),'Planned background (hide)'!R18),"")</f>
        <v>0</v>
      </c>
      <c r="U18">
        <v>1</v>
      </c>
      <c r="V18">
        <v>1</v>
      </c>
      <c r="W18">
        <f ca="1">MAX(0,PMaxRows-4)</f>
        <v>0</v>
      </c>
      <c r="X18">
        <f ca="1">W18-V18</f>
        <v>-1</v>
      </c>
      <c r="AB18">
        <f t="shared" si="0"/>
        <v>16</v>
      </c>
      <c r="AC18" s="37">
        <f>IF(Planned!$C$8=0,'Planned background (hide)'!F18,'Planned background (hide)'!G18)</f>
        <v>16</v>
      </c>
      <c r="AD18" s="37">
        <f t="shared" si="2"/>
        <v>0</v>
      </c>
      <c r="AE18" s="5">
        <f t="shared" ca="1" si="1"/>
        <v>0</v>
      </c>
      <c r="AF18" s="5">
        <f t="shared" ca="1" si="3"/>
        <v>0</v>
      </c>
      <c r="AG18">
        <f t="shared" ca="1" si="4"/>
        <v>0</v>
      </c>
      <c r="AH18" s="68">
        <f t="shared" ca="1" si="5"/>
        <v>0</v>
      </c>
      <c r="AI18" s="68">
        <f t="shared" ca="1" si="6"/>
        <v>0</v>
      </c>
      <c r="AJ18" s="68">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9" t="str">
        <f ca="1">IF(OR(Planned!B28=1,Planned!B28=""),AC18,Planned!B28)</f>
        <v xml:space="preserve"> </v>
      </c>
      <c r="BI18" t="str">
        <f ca="1">IF(TEXT(Planned!D28,"mmm")&lt;&gt;TEXT(Planned!D27,"mmm"),TEXT(Planned!D28,"mmm"),"")</f>
        <v/>
      </c>
      <c r="BK18" s="68"/>
    </row>
    <row r="19" spans="2:63" x14ac:dyDescent="0.2">
      <c r="B19" s="68">
        <f ca="1">IF(Planned!$C$6&lt;&gt;"Overall",COUNTBLANK(OFFSET(Planned!E30,0,0,1,Num_Modalities)),IF(COUNTBLANK(Planned!O30)=1,Num_Modalities,0))</f>
        <v>1</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t="str">
        <f>IF(Planned!$C$6="Overall",Planned!O29*'Planned background (hide)'!R$1,"")</f>
        <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0</v>
      </c>
      <c r="AG19">
        <f t="shared" ca="1" si="4"/>
        <v>0</v>
      </c>
      <c r="AH19" s="68">
        <f t="shared" ca="1" si="5"/>
        <v>0</v>
      </c>
      <c r="AI19" s="68">
        <f t="shared" ca="1" si="6"/>
        <v>0</v>
      </c>
      <c r="AJ19" s="68">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9" t="str">
        <f ca="1">IF(OR(Planned!B29=1,Planned!B29=""),AC19,Planned!B29)</f>
        <v xml:space="preserve"> </v>
      </c>
      <c r="BI19" t="str">
        <f ca="1">IF(TEXT(Planned!D29,"mmm")&lt;&gt;TEXT(Planned!D28,"mmm"),TEXT(Planned!D29,"mmm"),"")</f>
        <v/>
      </c>
      <c r="BK19" s="68"/>
    </row>
    <row r="20" spans="2:63" x14ac:dyDescent="0.2">
      <c r="B20" s="68">
        <f ca="1">IF(Planned!$C$6&lt;&gt;"Overall",COUNTBLANK(OFFSET(Planned!E31,0,0,1,Num_Modalities)),IF(COUNTBLANK(Planned!O31)=1,Num_Modalities,0))</f>
        <v>1</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t="str">
        <f>IF(Planned!$C$6="Overall",Planned!O30*'Planned background (hide)'!R$1,"")</f>
        <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0</v>
      </c>
      <c r="AG20">
        <f t="shared" ca="1" si="4"/>
        <v>0</v>
      </c>
      <c r="AH20" s="68">
        <f t="shared" ca="1" si="5"/>
        <v>0</v>
      </c>
      <c r="AI20" s="68">
        <f t="shared" ca="1" si="6"/>
        <v>0</v>
      </c>
      <c r="AJ20" s="68">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9" t="str">
        <f ca="1">IF(OR(Planned!B30=1,Planned!B30=""),AC20,Planned!B30)</f>
        <v xml:space="preserve"> </v>
      </c>
      <c r="BI20" t="str">
        <f ca="1">IF(TEXT(Planned!D30,"mmm")&lt;&gt;TEXT(Planned!D29,"mmm"),TEXT(Planned!D30,"mmm"),"")</f>
        <v/>
      </c>
      <c r="BK20" s="68"/>
    </row>
    <row r="21" spans="2:63" x14ac:dyDescent="0.2">
      <c r="B21" s="68">
        <f ca="1">IF(Planned!$C$6&lt;&gt;"Overall",COUNTBLANK(OFFSET(Planned!E32,0,0,1,Num_Modalities)),IF(COUNTBLANK(Planned!O32)=1,Num_Modalities,0))</f>
        <v>1</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t="str">
        <f>IF(Planned!$C$6="Overall",Planned!O31*'Planned background (hide)'!R$1,"")</f>
        <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0</v>
      </c>
      <c r="AG21">
        <f t="shared" ca="1" si="4"/>
        <v>0</v>
      </c>
      <c r="AH21" s="68">
        <f t="shared" ca="1" si="5"/>
        <v>0</v>
      </c>
      <c r="AI21" s="68">
        <f t="shared" ca="1" si="6"/>
        <v>0</v>
      </c>
      <c r="AJ21" s="68">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9" t="str">
        <f ca="1">IF(OR(Planned!B31=1,Planned!B31=""),AC21,Planned!B31)</f>
        <v xml:space="preserve"> </v>
      </c>
      <c r="BI21" t="str">
        <f ca="1">IF(TEXT(Planned!D31,"mmm")&lt;&gt;TEXT(Planned!D30,"mmm"),TEXT(Planned!D31,"mmm"),"")</f>
        <v/>
      </c>
      <c r="BK21" s="68"/>
    </row>
    <row r="22" spans="2:63" x14ac:dyDescent="0.2">
      <c r="B22" s="68">
        <f ca="1">IF(Planned!$C$6&lt;&gt;"Overall",COUNTBLANK(OFFSET(Planned!E33,0,0,1,Num_Modalities)),IF(COUNTBLANK(Planned!O33)=1,Num_Modalities,0))</f>
        <v>1</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t="str">
        <f>IF(Planned!$C$6="Overall",Planned!O32*'Planned background (hide)'!R$1,"")</f>
        <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0</v>
      </c>
      <c r="AG22">
        <f t="shared" ca="1" si="4"/>
        <v>0</v>
      </c>
      <c r="AH22" s="68">
        <f t="shared" ca="1" si="5"/>
        <v>0</v>
      </c>
      <c r="AI22" s="68">
        <f t="shared" ca="1" si="6"/>
        <v>0</v>
      </c>
      <c r="AJ22" s="68">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9" t="str">
        <f ca="1">IF(OR(Planned!B32=1,Planned!B32=""),AC22,Planned!B32)</f>
        <v xml:space="preserve"> </v>
      </c>
      <c r="BI22" t="str">
        <f ca="1">IF(TEXT(Planned!D32,"mmm")&lt;&gt;TEXT(Planned!D31,"mmm"),TEXT(Planned!D32,"mmm"),"")</f>
        <v/>
      </c>
      <c r="BK22" s="68"/>
    </row>
    <row r="23" spans="2:63" x14ac:dyDescent="0.2">
      <c r="B23" s="68">
        <f ca="1">IF(Planned!$C$6&lt;&gt;"Overall",COUNTBLANK(OFFSET(Planned!E34,0,0,1,Num_Modalities)),IF(COUNTBLANK(Planned!O34)=1,Num_Modalities,0))</f>
        <v>1</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t="str">
        <f>IF(Planned!$C$6="Overall",Planned!O33*'Planned background (hide)'!R$1,"")</f>
        <v/>
      </c>
      <c r="S23" s="5">
        <f ca="1">IF(Planned!R33&lt;&gt;"Yes",IF(Planned!$C$6&lt;&gt;"Overall",SUM(OFFSET('Planned background (hide)'!H23,0,0,1,Num_Modalities)),'Planned background (hide)'!R23),"")</f>
        <v>0</v>
      </c>
      <c r="U23" t="s">
        <v>158</v>
      </c>
      <c r="V23" s="60">
        <f ca="1">AVERAGEIF(AD3:AD55,1,AE3:AE55)</f>
        <v>0</v>
      </c>
      <c r="W23" s="50"/>
      <c r="AB23">
        <f t="shared" si="0"/>
        <v>21</v>
      </c>
      <c r="AC23" s="37">
        <f>IF(Planned!$C$8=0,'Planned background (hide)'!F23,'Planned background (hide)'!G23)</f>
        <v>21</v>
      </c>
      <c r="AD23" s="37">
        <f t="shared" si="2"/>
        <v>0</v>
      </c>
      <c r="AE23" s="5">
        <f t="shared" ca="1" si="1"/>
        <v>0</v>
      </c>
      <c r="AF23" s="5">
        <f t="shared" ca="1" si="3"/>
        <v>0</v>
      </c>
      <c r="AG23">
        <f t="shared" ca="1" si="4"/>
        <v>0</v>
      </c>
      <c r="AH23" s="68">
        <f t="shared" ca="1" si="5"/>
        <v>0</v>
      </c>
      <c r="AI23" s="68">
        <f t="shared" ca="1" si="6"/>
        <v>0</v>
      </c>
      <c r="AJ23" s="68">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9" t="str">
        <f ca="1">IF(OR(Planned!B33=1,Planned!B33=""),AC23,Planned!B33)</f>
        <v xml:space="preserve"> </v>
      </c>
      <c r="BI23" t="str">
        <f ca="1">IF(TEXT(Planned!D33,"mmm")&lt;&gt;TEXT(Planned!D32,"mmm"),TEXT(Planned!D33,"mmm"),"")</f>
        <v/>
      </c>
      <c r="BK23" s="68"/>
    </row>
    <row r="24" spans="2:63" x14ac:dyDescent="0.2">
      <c r="B24" s="68">
        <f ca="1">IF(Planned!$C$6&lt;&gt;"Overall",COUNTBLANK(OFFSET(Planned!E35,0,0,1,Num_Modalities)),IF(COUNTBLANK(Planned!O35)=1,Num_Modalities,0))</f>
        <v>1</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t="str">
        <f>IF(Planned!$C$6="Overall",Planned!O34*'Planned background (hide)'!R$1,"")</f>
        <v/>
      </c>
      <c r="S24" s="5">
        <f ca="1">IF(Planned!R34&lt;&gt;"Yes",IF(Planned!$C$6&lt;&gt;"Overall",SUM(OFFSET('Planned background (hide)'!H24,0,0,1,Num_Modalities)),'Planned background (hide)'!R24),"")</f>
        <v>0</v>
      </c>
      <c r="U24" t="s">
        <v>280</v>
      </c>
      <c r="V24" s="60">
        <f ca="1">AVERAGEIF(AD3:AD55,1,AW3:AW55)</f>
        <v>0</v>
      </c>
      <c r="W24" s="50"/>
      <c r="AB24">
        <f t="shared" si="0"/>
        <v>22</v>
      </c>
      <c r="AC24" s="37">
        <f>IF(Planned!$C$8=0,'Planned background (hide)'!F24,'Planned background (hide)'!G24)</f>
        <v>22</v>
      </c>
      <c r="AD24" s="37">
        <f t="shared" si="2"/>
        <v>0</v>
      </c>
      <c r="AE24" s="5">
        <f t="shared" ca="1" si="1"/>
        <v>0</v>
      </c>
      <c r="AF24" s="5">
        <f t="shared" ca="1" si="3"/>
        <v>0</v>
      </c>
      <c r="AG24">
        <f t="shared" ca="1" si="4"/>
        <v>0</v>
      </c>
      <c r="AH24" s="68">
        <f t="shared" ca="1" si="5"/>
        <v>0</v>
      </c>
      <c r="AI24" s="68">
        <f t="shared" ca="1" si="6"/>
        <v>0</v>
      </c>
      <c r="AJ24" s="68">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9" t="str">
        <f ca="1">IF(OR(Planned!B34=1,Planned!B34=""),AC24,Planned!B34)</f>
        <v xml:space="preserve"> </v>
      </c>
      <c r="BI24" t="str">
        <f ca="1">IF(TEXT(Planned!D34,"mmm")&lt;&gt;TEXT(Planned!D33,"mmm"),TEXT(Planned!D34,"mmm"),"")</f>
        <v/>
      </c>
      <c r="BK24" s="68"/>
    </row>
    <row r="25" spans="2:63" x14ac:dyDescent="0.2">
      <c r="B25" s="68">
        <f ca="1">IF(Planned!$C$6&lt;&gt;"Overall",COUNTBLANK(OFFSET(Planned!E36,0,0,1,Num_Modalities)),IF(COUNTBLANK(Planned!O36)=1,Num_Modalities,0))</f>
        <v>1</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t="str">
        <f>IF(Planned!$C$6="Overall",Planned!O35*'Planned background (hide)'!R$1,"")</f>
        <v/>
      </c>
      <c r="S25" s="5">
        <f ca="1">IF(Planned!R35&lt;&gt;"Yes",IF(Planned!$C$6&lt;&gt;"Overall",SUM(OFFSET('Planned background (hide)'!H25,0,0,1,Num_Modalities)),'Planned background (hide)'!R25),"")</f>
        <v>0</v>
      </c>
      <c r="U25" t="s">
        <v>259</v>
      </c>
      <c r="V25" s="60">
        <f ca="1">V24/1.128</f>
        <v>0</v>
      </c>
      <c r="AB25">
        <f t="shared" si="0"/>
        <v>23</v>
      </c>
      <c r="AC25" s="37">
        <f>IF(Planned!$C$8=0,'Planned background (hide)'!F25,'Planned background (hide)'!G25)</f>
        <v>23</v>
      </c>
      <c r="AD25" s="37">
        <f t="shared" si="2"/>
        <v>0</v>
      </c>
      <c r="AE25" s="5">
        <f t="shared" ca="1" si="1"/>
        <v>0</v>
      </c>
      <c r="AF25" s="5">
        <f t="shared" ca="1" si="3"/>
        <v>0</v>
      </c>
      <c r="AG25">
        <f t="shared" ca="1" si="4"/>
        <v>0</v>
      </c>
      <c r="AH25" s="68">
        <f t="shared" ca="1" si="5"/>
        <v>0</v>
      </c>
      <c r="AI25" s="68">
        <f t="shared" ca="1" si="6"/>
        <v>0</v>
      </c>
      <c r="AJ25" s="68">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9" t="str">
        <f ca="1">IF(OR(Planned!B35=1,Planned!B35=""),AC25,Planned!B35)</f>
        <v xml:space="preserve"> </v>
      </c>
      <c r="BI25" t="str">
        <f ca="1">IF(TEXT(Planned!D35,"mmm")&lt;&gt;TEXT(Planned!D34,"mmm"),TEXT(Planned!D35,"mmm"),"")</f>
        <v/>
      </c>
      <c r="BK25" s="68"/>
    </row>
    <row r="26" spans="2:63" x14ac:dyDescent="0.2">
      <c r="B26" s="68">
        <f ca="1">IF(Planned!$C$6&lt;&gt;"Overall",COUNTBLANK(OFFSET(Planned!E37,0,0,1,Num_Modalities)),IF(COUNTBLANK(Planned!O37)=1,Num_Modalities,0))</f>
        <v>1</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t="str">
        <f>IF(Planned!$C$6="Overall",Planned!O36*'Planned background (hide)'!R$1,"")</f>
        <v/>
      </c>
      <c r="S26" s="5">
        <f ca="1">IF(Planned!R36&lt;&gt;"Yes",IF(Planned!$C$6&lt;&gt;"Overall",SUM(OFFSET('Planned background (hide)'!H26,0,0,1,Num_Modalities)),'Planned background (hide)'!R26),"")</f>
        <v>0</v>
      </c>
      <c r="U26" t="s">
        <v>281</v>
      </c>
      <c r="V26" s="60">
        <f t="array" aca="1" ref="V26" ca="1">PERCENTILE(IF(AD3:AD55=1,AE3:AE55,""),'Control sheet (hide)'!$I$9)</f>
        <v>0</v>
      </c>
      <c r="AB26">
        <f t="shared" si="0"/>
        <v>24</v>
      </c>
      <c r="AC26" s="37">
        <f>IF(Planned!$C$8=0,'Planned background (hide)'!F26,'Planned background (hide)'!G26)</f>
        <v>24</v>
      </c>
      <c r="AD26" s="37">
        <f t="shared" si="2"/>
        <v>0</v>
      </c>
      <c r="AE26" s="5">
        <f t="shared" ca="1" si="1"/>
        <v>0</v>
      </c>
      <c r="AF26" s="5">
        <f t="shared" ca="1" si="3"/>
        <v>0</v>
      </c>
      <c r="AG26">
        <f t="shared" ca="1" si="4"/>
        <v>0</v>
      </c>
      <c r="AH26" s="68">
        <f t="shared" ca="1" si="5"/>
        <v>0</v>
      </c>
      <c r="AI26" s="68">
        <f t="shared" ca="1" si="6"/>
        <v>0</v>
      </c>
      <c r="AJ26" s="68">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9" t="str">
        <f ca="1">IF(OR(Planned!B36=1,Planned!B36=""),AC26,Planned!B36)</f>
        <v xml:space="preserve"> </v>
      </c>
      <c r="BI26" t="str">
        <f ca="1">IF(TEXT(Planned!D36,"mmm")&lt;&gt;TEXT(Planned!D35,"mmm"),TEXT(Planned!D36,"mmm"),"")</f>
        <v/>
      </c>
      <c r="BK26" s="68"/>
    </row>
    <row r="27" spans="2:63" x14ac:dyDescent="0.2">
      <c r="B27" s="68">
        <f ca="1">IF(Planned!$C$6&lt;&gt;"Overall",COUNTBLANK(OFFSET(Planned!E38,0,0,1,Num_Modalities)),IF(COUNTBLANK(Planned!O38)=1,Num_Modalities,0))</f>
        <v>1</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t="str">
        <f>IF(Planned!$C$6="Overall",Planned!O37*'Planned background (hide)'!R$1,"")</f>
        <v/>
      </c>
      <c r="S27" s="5">
        <f ca="1">IF(Planned!R37&lt;&gt;"Yes",IF(Planned!$C$6&lt;&gt;"Overall",SUM(OFFSET('Planned background (hide)'!H27,0,0,1,Num_Modalities)),'Planned background (hide)'!R27),"")</f>
        <v>0</v>
      </c>
      <c r="U27" t="s">
        <v>282</v>
      </c>
      <c r="V27" s="60">
        <f t="array" aca="1" ref="V27" ca="1">PERCENTILE(IF(AD3:AD55=1,AE3:AE55,""),0.85)</f>
        <v>0</v>
      </c>
      <c r="AB27">
        <f t="shared" si="0"/>
        <v>25</v>
      </c>
      <c r="AC27" s="37">
        <f>IF(Planned!$C$8=0,'Planned background (hide)'!F27,'Planned background (hide)'!G27)</f>
        <v>25</v>
      </c>
      <c r="AD27" s="37">
        <f t="shared" si="2"/>
        <v>0</v>
      </c>
      <c r="AE27" s="5">
        <f t="shared" ca="1" si="1"/>
        <v>0</v>
      </c>
      <c r="AF27" s="5">
        <f t="shared" ca="1" si="3"/>
        <v>0</v>
      </c>
      <c r="AG27">
        <f t="shared" ca="1" si="4"/>
        <v>0</v>
      </c>
      <c r="AH27" s="68">
        <f t="shared" ca="1" si="5"/>
        <v>0</v>
      </c>
      <c r="AI27" s="68">
        <f t="shared" ca="1" si="6"/>
        <v>0</v>
      </c>
      <c r="AJ27" s="68">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9" t="str">
        <f ca="1">IF(OR(Planned!B37=1,Planned!B37=""),AC27,Planned!B37)</f>
        <v xml:space="preserve"> </v>
      </c>
      <c r="BI27" t="str">
        <f ca="1">IF(TEXT(Planned!D37,"mmm")&lt;&gt;TEXT(Planned!D36,"mmm"),TEXT(Planned!D37,"mmm"),"")</f>
        <v/>
      </c>
      <c r="BK27" s="68"/>
    </row>
    <row r="28" spans="2:63" x14ac:dyDescent="0.2">
      <c r="B28" s="68">
        <f ca="1">IF(Planned!$C$6&lt;&gt;"Overall",COUNTBLANK(OFFSET(Planned!E39,0,0,1,Num_Modalities)),IF(COUNTBLANK(Planned!O39)=1,Num_Modalities,0))</f>
        <v>1</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t="str">
        <f>IF(Planned!$C$6="Overall",Planned!O38*'Planned background (hide)'!R$1,"")</f>
        <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0</v>
      </c>
      <c r="AG28">
        <f t="shared" ca="1" si="4"/>
        <v>0</v>
      </c>
      <c r="AH28" s="68">
        <f t="shared" ca="1" si="5"/>
        <v>0</v>
      </c>
      <c r="AI28" s="68">
        <f t="shared" ca="1" si="6"/>
        <v>0</v>
      </c>
      <c r="AJ28" s="68">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9" t="str">
        <f ca="1">IF(OR(Planned!B38=1,Planned!B38=""),AC28,Planned!B38)</f>
        <v xml:space="preserve"> </v>
      </c>
      <c r="BI28" t="str">
        <f ca="1">IF(TEXT(Planned!D38,"mmm")&lt;&gt;TEXT(Planned!D37,"mmm"),TEXT(Planned!D38,"mmm"),"")</f>
        <v/>
      </c>
      <c r="BK28" s="68"/>
    </row>
    <row r="29" spans="2:63" x14ac:dyDescent="0.2">
      <c r="B29" s="68">
        <f ca="1">IF(Planned!$C$6&lt;&gt;"Overall",COUNTBLANK(OFFSET(Planned!E40,0,0,1,Num_Modalities)),IF(COUNTBLANK(Planned!O40)=1,Num_Modalities,0))</f>
        <v>1</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t="str">
        <f>IF(Planned!$C$6="Overall",Planned!O39*'Planned background (hide)'!R$1,"")</f>
        <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0</v>
      </c>
      <c r="AG29">
        <f t="shared" ca="1" si="4"/>
        <v>0</v>
      </c>
      <c r="AH29" s="68">
        <f t="shared" ca="1" si="5"/>
        <v>0</v>
      </c>
      <c r="AI29" s="68">
        <f t="shared" ca="1" si="6"/>
        <v>0</v>
      </c>
      <c r="AJ29" s="68">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9" t="str">
        <f ca="1">IF(OR(Planned!B39=1,Planned!B39=""),AC29,Planned!B39)</f>
        <v xml:space="preserve"> </v>
      </c>
      <c r="BI29" t="str">
        <f ca="1">IF(TEXT(Planned!D39,"mmm")&lt;&gt;TEXT(Planned!D38,"mmm"),TEXT(Planned!D39,"mmm"),"")</f>
        <v/>
      </c>
      <c r="BK29" s="68"/>
    </row>
    <row r="30" spans="2:63" x14ac:dyDescent="0.2">
      <c r="B30" s="68">
        <f ca="1">IF(Planned!$C$6&lt;&gt;"Overall",COUNTBLANK(OFFSET(Planned!E41,0,0,1,Num_Modalities)),IF(COUNTBLANK(Planned!O41)=1,Num_Modalities,0))</f>
        <v>1</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t="str">
        <f>IF(Planned!$C$6="Overall",Planned!O40*'Planned background (hide)'!R$1,"")</f>
        <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0</v>
      </c>
      <c r="AG30">
        <f t="shared" ca="1" si="4"/>
        <v>0</v>
      </c>
      <c r="AH30" s="68">
        <f t="shared" ca="1" si="5"/>
        <v>0</v>
      </c>
      <c r="AI30" s="68">
        <f t="shared" ca="1" si="6"/>
        <v>0</v>
      </c>
      <c r="AJ30" s="68">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9" t="str">
        <f ca="1">IF(OR(Planned!B40=1,Planned!B40=""),AC30,Planned!B40)</f>
        <v xml:space="preserve"> </v>
      </c>
      <c r="BI30" t="str">
        <f ca="1">IF(TEXT(Planned!D40,"mmm")&lt;&gt;TEXT(Planned!D39,"mmm"),TEXT(Planned!D40,"mmm"),"")</f>
        <v/>
      </c>
      <c r="BK30" s="68"/>
    </row>
    <row r="31" spans="2:63" x14ac:dyDescent="0.2">
      <c r="B31" s="68">
        <f ca="1">IF(Planned!$C$6&lt;&gt;"Overall",COUNTBLANK(OFFSET(Planned!E42,0,0,1,Num_Modalities)),IF(COUNTBLANK(Planned!O42)=1,Num_Modalities,0))</f>
        <v>1</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t="str">
        <f>IF(Planned!$C$6="Overall",Planned!O41*'Planned background (hide)'!R$1,"")</f>
        <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0</v>
      </c>
      <c r="AG31">
        <f t="shared" ca="1" si="4"/>
        <v>0</v>
      </c>
      <c r="AH31" s="68">
        <f t="shared" ca="1" si="5"/>
        <v>0</v>
      </c>
      <c r="AI31" s="68">
        <f t="shared" ca="1" si="6"/>
        <v>0</v>
      </c>
      <c r="AJ31" s="68">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9" t="str">
        <f ca="1">IF(OR(Planned!B41=1,Planned!B41=""),AC31,Planned!B41)</f>
        <v xml:space="preserve"> </v>
      </c>
      <c r="BI31" t="str">
        <f ca="1">IF(TEXT(Planned!D41,"mmm")&lt;&gt;TEXT(Planned!D40,"mmm"),TEXT(Planned!D41,"mmm"),"")</f>
        <v/>
      </c>
      <c r="BK31" s="68"/>
    </row>
    <row r="32" spans="2:63" x14ac:dyDescent="0.2">
      <c r="B32" s="68">
        <f ca="1">IF(Planned!$C$6&lt;&gt;"Overall",COUNTBLANK(OFFSET(Planned!E43,0,0,1,Num_Modalities)),IF(COUNTBLANK(Planned!O43)=1,Num_Modalities,0))</f>
        <v>1</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t="str">
        <f>IF(Planned!$C$6="Overall",Planned!O42*'Planned background (hide)'!R$1,"")</f>
        <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0</v>
      </c>
      <c r="AG32">
        <f t="shared" ca="1" si="4"/>
        <v>0</v>
      </c>
      <c r="AH32" s="68">
        <f t="shared" ca="1" si="5"/>
        <v>0</v>
      </c>
      <c r="AI32" s="68">
        <f t="shared" ca="1" si="6"/>
        <v>0</v>
      </c>
      <c r="AJ32" s="68">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9" t="str">
        <f ca="1">IF(OR(Planned!B42=1,Planned!B42=""),AC32,Planned!B42)</f>
        <v xml:space="preserve"> </v>
      </c>
      <c r="BI32" t="str">
        <f ca="1">IF(TEXT(Planned!D42,"mmm")&lt;&gt;TEXT(Planned!D41,"mmm"),TEXT(Planned!D42,"mmm"),"")</f>
        <v/>
      </c>
      <c r="BK32" s="68"/>
    </row>
    <row r="33" spans="2:63" x14ac:dyDescent="0.2">
      <c r="B33" s="68">
        <f ca="1">IF(Planned!$C$6&lt;&gt;"Overall",COUNTBLANK(OFFSET(Planned!E44,0,0,1,Num_Modalities)),IF(COUNTBLANK(Planned!O44)=1,Num_Modalities,0))</f>
        <v>1</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t="str">
        <f>IF(Planned!$C$6="Overall",Planned!O43*'Planned background (hide)'!R$1,"")</f>
        <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0</v>
      </c>
      <c r="AG33">
        <f t="shared" ca="1" si="4"/>
        <v>0</v>
      </c>
      <c r="AH33" s="68">
        <f t="shared" ca="1" si="5"/>
        <v>0</v>
      </c>
      <c r="AI33" s="68">
        <f t="shared" ca="1" si="6"/>
        <v>0</v>
      </c>
      <c r="AJ33" s="68">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9" t="str">
        <f ca="1">IF(OR(Planned!B43=1,Planned!B43=""),AC33,Planned!B43)</f>
        <v xml:space="preserve"> </v>
      </c>
      <c r="BI33" t="str">
        <f ca="1">IF(TEXT(Planned!D43,"mmm")&lt;&gt;TEXT(Planned!D42,"mmm"),TEXT(Planned!D43,"mmm"),"")</f>
        <v/>
      </c>
      <c r="BK33" s="68"/>
    </row>
    <row r="34" spans="2:63" x14ac:dyDescent="0.2">
      <c r="B34" s="68">
        <f ca="1">IF(Planned!$C$6&lt;&gt;"Overall",COUNTBLANK(OFFSET(Planned!E45,0,0,1,Num_Modalities)),IF(COUNTBLANK(Planned!O45)=1,Num_Modalities,0))</f>
        <v>1</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t="str">
        <f>IF(Planned!$C$6="Overall",Planned!O44*'Planned background (hide)'!R$1,"")</f>
        <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0</v>
      </c>
      <c r="AG34">
        <f t="shared" ca="1" si="4"/>
        <v>0</v>
      </c>
      <c r="AH34" s="68">
        <f t="shared" ca="1" si="5"/>
        <v>0</v>
      </c>
      <c r="AI34" s="68">
        <f t="shared" ca="1" si="6"/>
        <v>0</v>
      </c>
      <c r="AJ34" s="68">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9" t="str">
        <f ca="1">IF(OR(Planned!B44=1,Planned!B44=""),AC34,Planned!B44)</f>
        <v xml:space="preserve"> </v>
      </c>
      <c r="BI34" t="str">
        <f ca="1">IF(TEXT(Planned!D44,"mmm")&lt;&gt;TEXT(Planned!D43,"mmm"),TEXT(Planned!D44,"mmm"),"")</f>
        <v/>
      </c>
      <c r="BK34" s="68"/>
    </row>
    <row r="35" spans="2:63" x14ac:dyDescent="0.2">
      <c r="B35" s="68">
        <f ca="1">IF(Planned!$C$6&lt;&gt;"Overall",COUNTBLANK(OFFSET(Planned!E46,0,0,1,Num_Modalities)),IF(COUNTBLANK(Planned!O46)=1,Num_Modalities,0))</f>
        <v>1</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t="str">
        <f>IF(Planned!$C$6="Overall",Planned!O45*'Planned background (hide)'!R$1,"")</f>
        <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0</v>
      </c>
      <c r="AG35">
        <f t="shared" ca="1" si="4"/>
        <v>0</v>
      </c>
      <c r="AH35" s="68">
        <f t="shared" ca="1" si="5"/>
        <v>0</v>
      </c>
      <c r="AI35" s="68">
        <f t="shared" ca="1" si="6"/>
        <v>0</v>
      </c>
      <c r="AJ35" s="68">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9" t="str">
        <f ca="1">IF(OR(Planned!B45=1,Planned!B45=""),AC35,Planned!B45)</f>
        <v xml:space="preserve"> </v>
      </c>
      <c r="BI35" t="str">
        <f ca="1">IF(TEXT(Planned!D45,"mmm")&lt;&gt;TEXT(Planned!D44,"mmm"),TEXT(Planned!D45,"mmm"),"")</f>
        <v/>
      </c>
      <c r="BK35" s="68"/>
    </row>
    <row r="36" spans="2:63" x14ac:dyDescent="0.2">
      <c r="B36" s="68">
        <f ca="1">IF(Planned!$C$6&lt;&gt;"Overall",COUNTBLANK(OFFSET(Planned!E47,0,0,1,Num_Modalities)),IF(COUNTBLANK(Planned!O47)=1,Num_Modalities,0))</f>
        <v>1</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t="str">
        <f>IF(Planned!$C$6="Overall",Planned!O46*'Planned background (hide)'!R$1,"")</f>
        <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0</v>
      </c>
      <c r="AG36">
        <f t="shared" ca="1" si="4"/>
        <v>0</v>
      </c>
      <c r="AH36" s="68">
        <f t="shared" ca="1" si="5"/>
        <v>0</v>
      </c>
      <c r="AI36" s="68">
        <f t="shared" ca="1" si="6"/>
        <v>0</v>
      </c>
      <c r="AJ36" s="68">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9" t="str">
        <f ca="1">IF(OR(Planned!B46=1,Planned!B46=""),AC36,Planned!B46)</f>
        <v xml:space="preserve"> </v>
      </c>
      <c r="BI36" t="str">
        <f ca="1">IF(TEXT(Planned!D46,"mmm")&lt;&gt;TEXT(Planned!D45,"mmm"),TEXT(Planned!D46,"mmm"),"")</f>
        <v/>
      </c>
      <c r="BK36" s="68"/>
    </row>
    <row r="37" spans="2:63" x14ac:dyDescent="0.2">
      <c r="B37" s="68">
        <f ca="1">IF(Planned!$C$6&lt;&gt;"Overall",COUNTBLANK(OFFSET(Planned!E48,0,0,1,Num_Modalities)),IF(COUNTBLANK(Planned!O48)=1,Num_Modalities,0))</f>
        <v>1</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t="str">
        <f>IF(Planned!$C$6="Overall",Planned!O47*'Planned background (hide)'!R$1,"")</f>
        <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0</v>
      </c>
      <c r="AG37">
        <f t="shared" ca="1" si="4"/>
        <v>0</v>
      </c>
      <c r="AH37" s="68">
        <f t="shared" ca="1" si="5"/>
        <v>0</v>
      </c>
      <c r="AI37" s="68">
        <f t="shared" ca="1" si="6"/>
        <v>0</v>
      </c>
      <c r="AJ37" s="68">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9" t="str">
        <f ca="1">IF(OR(Planned!B47=1,Planned!B47=""),AC37,Planned!B47)</f>
        <v xml:space="preserve"> </v>
      </c>
      <c r="BI37" t="str">
        <f ca="1">IF(TEXT(Planned!D47,"mmm")&lt;&gt;TEXT(Planned!D46,"mmm"),TEXT(Planned!D47,"mmm"),"")</f>
        <v/>
      </c>
      <c r="BK37" s="68"/>
    </row>
    <row r="38" spans="2:63" x14ac:dyDescent="0.2">
      <c r="B38" s="68">
        <f ca="1">IF(Planned!$C$6&lt;&gt;"Overall",COUNTBLANK(OFFSET(Planned!E49,0,0,1,Num_Modalities)),IF(COUNTBLANK(Planned!O49)=1,Num_Modalities,0))</f>
        <v>1</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t="str">
        <f>IF(Planned!$C$6="Overall",Planned!O48*'Planned background (hide)'!R$1,"")</f>
        <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0</v>
      </c>
      <c r="AG38">
        <f t="shared" ca="1" si="4"/>
        <v>0</v>
      </c>
      <c r="AH38" s="68">
        <f t="shared" ca="1" si="5"/>
        <v>0</v>
      </c>
      <c r="AI38" s="68">
        <f t="shared" ca="1" si="6"/>
        <v>0</v>
      </c>
      <c r="AJ38" s="68">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9" t="str">
        <f ca="1">IF(OR(Planned!B48=1,Planned!B48=""),AC38,Planned!B48)</f>
        <v xml:space="preserve"> </v>
      </c>
      <c r="BI38" t="str">
        <f ca="1">IF(TEXT(Planned!D48,"mmm")&lt;&gt;TEXT(Planned!D47,"mmm"),TEXT(Planned!D48,"mmm"),"")</f>
        <v/>
      </c>
      <c r="BK38" s="68"/>
    </row>
    <row r="39" spans="2:63" x14ac:dyDescent="0.2">
      <c r="B39" s="68">
        <f ca="1">IF(Planned!$C$6&lt;&gt;"Overall",COUNTBLANK(OFFSET(Planned!E50,0,0,1,Num_Modalities)),IF(COUNTBLANK(Planned!O50)=1,Num_Modalities,0))</f>
        <v>1</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t="str">
        <f>IF(Planned!$C$6="Overall",Planned!O49*'Planned background (hide)'!R$1,"")</f>
        <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0</v>
      </c>
      <c r="AG39">
        <f t="shared" ca="1" si="4"/>
        <v>0</v>
      </c>
      <c r="AH39" s="68">
        <f t="shared" ca="1" si="5"/>
        <v>0</v>
      </c>
      <c r="AI39" s="68">
        <f t="shared" ca="1" si="6"/>
        <v>0</v>
      </c>
      <c r="AJ39" s="68">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9" t="str">
        <f ca="1">IF(OR(Planned!B49=1,Planned!B49=""),AC39,Planned!B49)</f>
        <v xml:space="preserve"> </v>
      </c>
      <c r="BI39" t="str">
        <f ca="1">IF(TEXT(Planned!D49,"mmm")&lt;&gt;TEXT(Planned!D48,"mmm"),TEXT(Planned!D49,"mmm"),"")</f>
        <v/>
      </c>
      <c r="BK39" s="68"/>
    </row>
    <row r="40" spans="2:63" x14ac:dyDescent="0.2">
      <c r="B40" s="68">
        <f ca="1">IF(Planned!$C$6&lt;&gt;"Overall",COUNTBLANK(OFFSET(Planned!E51,0,0,1,Num_Modalities)),IF(COUNTBLANK(Planned!O51)=1,Num_Modalities,0))</f>
        <v>1</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t="str">
        <f>IF(Planned!$C$6="Overall",Planned!O50*'Planned background (hide)'!R$1,"")</f>
        <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0</v>
      </c>
      <c r="AG40">
        <f t="shared" ca="1" si="4"/>
        <v>0</v>
      </c>
      <c r="AH40" s="68">
        <f t="shared" ca="1" si="5"/>
        <v>0</v>
      </c>
      <c r="AI40" s="68">
        <f t="shared" ca="1" si="6"/>
        <v>0</v>
      </c>
      <c r="AJ40" s="68">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9" t="str">
        <f ca="1">IF(OR(Planned!B50=1,Planned!B50=""),AC40,Planned!B50)</f>
        <v xml:space="preserve"> </v>
      </c>
      <c r="BI40" t="str">
        <f ca="1">IF(TEXT(Planned!D50,"mmm")&lt;&gt;TEXT(Planned!D49,"mmm"),TEXT(Planned!D50,"mmm"),"")</f>
        <v/>
      </c>
      <c r="BK40" s="68"/>
    </row>
    <row r="41" spans="2:63" x14ac:dyDescent="0.2">
      <c r="B41" s="68">
        <f ca="1">IF(Planned!$C$6&lt;&gt;"Overall",COUNTBLANK(OFFSET(Planned!E52,0,0,1,Num_Modalities)),IF(COUNTBLANK(Planned!O52)=1,Num_Modalities,0))</f>
        <v>1</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t="str">
        <f>IF(Planned!$C$6="Overall",Planned!O51*'Planned background (hide)'!R$1,"")</f>
        <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0</v>
      </c>
      <c r="AG41">
        <f t="shared" ca="1" si="4"/>
        <v>0</v>
      </c>
      <c r="AH41" s="68">
        <f t="shared" ca="1" si="5"/>
        <v>0</v>
      </c>
      <c r="AI41" s="68">
        <f t="shared" ca="1" si="6"/>
        <v>0</v>
      </c>
      <c r="AJ41" s="68">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9" t="str">
        <f ca="1">IF(OR(Planned!B51=1,Planned!B51=""),AC41,Planned!B51)</f>
        <v xml:space="preserve"> </v>
      </c>
      <c r="BI41" t="str">
        <f ca="1">IF(TEXT(Planned!D51,"mmm")&lt;&gt;TEXT(Planned!D50,"mmm"),TEXT(Planned!D51,"mmm"),"")</f>
        <v/>
      </c>
      <c r="BK41" s="68"/>
    </row>
    <row r="42" spans="2:63" x14ac:dyDescent="0.2">
      <c r="B42" s="68">
        <f ca="1">IF(Planned!$C$6&lt;&gt;"Overall",COUNTBLANK(OFFSET(Planned!E53,0,0,1,Num_Modalities)),IF(COUNTBLANK(Planned!O53)=1,Num_Modalities,0))</f>
        <v>1</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t="str">
        <f>IF(Planned!$C$6="Overall",Planned!O52*'Planned background (hide)'!R$1,"")</f>
        <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0</v>
      </c>
      <c r="AG42">
        <f t="shared" ca="1" si="4"/>
        <v>0</v>
      </c>
      <c r="AH42" s="68">
        <f t="shared" ca="1" si="5"/>
        <v>0</v>
      </c>
      <c r="AI42" s="68">
        <f t="shared" ca="1" si="6"/>
        <v>0</v>
      </c>
      <c r="AJ42" s="68">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9" t="str">
        <f ca="1">IF(OR(Planned!B52=1,Planned!B52=""),AC42,Planned!B52)</f>
        <v xml:space="preserve"> </v>
      </c>
      <c r="BI42" t="str">
        <f ca="1">IF(TEXT(Planned!D52,"mmm")&lt;&gt;TEXT(Planned!D51,"mmm"),TEXT(Planned!D52,"mmm"),"")</f>
        <v/>
      </c>
      <c r="BK42" s="68"/>
    </row>
    <row r="43" spans="2:63" x14ac:dyDescent="0.2">
      <c r="B43" s="68">
        <f ca="1">IF(Planned!$C$6&lt;&gt;"Overall",COUNTBLANK(OFFSET(Planned!E54,0,0,1,Num_Modalities)),IF(COUNTBLANK(Planned!O54)=1,Num_Modalities,0))</f>
        <v>1</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t="str">
        <f>IF(Planned!$C$6="Overall",Planned!O53*'Planned background (hide)'!R$1,"")</f>
        <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0</v>
      </c>
      <c r="AG43">
        <f t="shared" ca="1" si="4"/>
        <v>0</v>
      </c>
      <c r="AH43" s="68">
        <f t="shared" ca="1" si="5"/>
        <v>0</v>
      </c>
      <c r="AI43" s="68">
        <f t="shared" ca="1" si="6"/>
        <v>0</v>
      </c>
      <c r="AJ43" s="68">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9" t="str">
        <f ca="1">IF(OR(Planned!B53=1,Planned!B53=""),AC43,Planned!B53)</f>
        <v xml:space="preserve"> </v>
      </c>
      <c r="BI43" t="str">
        <f ca="1">IF(TEXT(Planned!D53,"mmm")&lt;&gt;TEXT(Planned!D52,"mmm"),TEXT(Planned!D53,"mmm"),"")</f>
        <v/>
      </c>
      <c r="BK43" s="68"/>
    </row>
    <row r="44" spans="2:63" x14ac:dyDescent="0.2">
      <c r="B44" s="68">
        <f ca="1">IF(Planned!$C$6&lt;&gt;"Overall",COUNTBLANK(OFFSET(Planned!E55,0,0,1,Num_Modalities)),IF(COUNTBLANK(Planned!O55)=1,Num_Modalities,0))</f>
        <v>1</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t="str">
        <f>IF(Planned!$C$6="Overall",Planned!O54*'Planned background (hide)'!R$1,"")</f>
        <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0</v>
      </c>
      <c r="AG44">
        <f t="shared" ca="1" si="4"/>
        <v>0</v>
      </c>
      <c r="AH44" s="68">
        <f t="shared" ca="1" si="5"/>
        <v>0</v>
      </c>
      <c r="AI44" s="68">
        <f t="shared" ca="1" si="6"/>
        <v>0</v>
      </c>
      <c r="AJ44" s="68">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9" t="str">
        <f ca="1">IF(OR(Planned!B54=1,Planned!B54=""),AC44,Planned!B54)</f>
        <v xml:space="preserve"> </v>
      </c>
      <c r="BI44" t="str">
        <f ca="1">IF(TEXT(Planned!D54,"mmm")&lt;&gt;TEXT(Planned!D53,"mmm"),TEXT(Planned!D54,"mmm"),"")</f>
        <v/>
      </c>
      <c r="BK44" s="68"/>
    </row>
    <row r="45" spans="2:63" x14ac:dyDescent="0.2">
      <c r="B45" s="68">
        <f ca="1">IF(Planned!$C$6&lt;&gt;"Overall",COUNTBLANK(OFFSET(Planned!E56,0,0,1,Num_Modalities)),IF(COUNTBLANK(Planned!O56)=1,Num_Modalities,0))</f>
        <v>1</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t="str">
        <f>IF(Planned!$C$6="Overall",Planned!O55*'Planned background (hide)'!R$1,"")</f>
        <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0</v>
      </c>
      <c r="AG45">
        <f t="shared" ca="1" si="4"/>
        <v>0</v>
      </c>
      <c r="AH45" s="68">
        <f t="shared" ca="1" si="5"/>
        <v>0</v>
      </c>
      <c r="AI45" s="68">
        <f t="shared" ca="1" si="6"/>
        <v>0</v>
      </c>
      <c r="AJ45" s="68">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9" t="str">
        <f ca="1">IF(OR(Planned!B55=1,Planned!B55=""),AC45,Planned!B55)</f>
        <v xml:space="preserve"> </v>
      </c>
      <c r="BI45" t="str">
        <f ca="1">IF(TEXT(Planned!D55,"mmm")&lt;&gt;TEXT(Planned!D54,"mmm"),TEXT(Planned!D55,"mmm"),"")</f>
        <v/>
      </c>
      <c r="BK45" s="68"/>
    </row>
    <row r="46" spans="2:63" x14ac:dyDescent="0.2">
      <c r="B46" s="68">
        <f ca="1">IF(Planned!$C$6&lt;&gt;"Overall",COUNTBLANK(OFFSET(Planned!E57,0,0,1,Num_Modalities)),IF(COUNTBLANK(Planned!O57)=1,Num_Modalities,0))</f>
        <v>1</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t="str">
        <f>IF(Planned!$C$6="Overall",Planned!O56*'Planned background (hide)'!R$1,"")</f>
        <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0</v>
      </c>
      <c r="AG46">
        <f t="shared" ca="1" si="4"/>
        <v>0</v>
      </c>
      <c r="AH46" s="68">
        <f t="shared" ca="1" si="5"/>
        <v>0</v>
      </c>
      <c r="AI46" s="68">
        <f t="shared" ca="1" si="6"/>
        <v>0</v>
      </c>
      <c r="AJ46" s="68">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9" t="str">
        <f ca="1">IF(OR(Planned!B56=1,Planned!B56=""),AC46,Planned!B56)</f>
        <v xml:space="preserve"> </v>
      </c>
      <c r="BI46" t="str">
        <f ca="1">IF(TEXT(Planned!D56,"mmm")&lt;&gt;TEXT(Planned!D55,"mmm"),TEXT(Planned!D56,"mmm"),"")</f>
        <v/>
      </c>
      <c r="BK46" s="68"/>
    </row>
    <row r="47" spans="2:63" x14ac:dyDescent="0.2">
      <c r="B47" s="68">
        <f ca="1">IF(Planned!$C$6&lt;&gt;"Overall",COUNTBLANK(OFFSET(Planned!E58,0,0,1,Num_Modalities)),IF(COUNTBLANK(Planned!O58)=1,Num_Modalities,0))</f>
        <v>1</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t="str">
        <f>IF(Planned!$C$6="Overall",Planned!O57*'Planned background (hide)'!R$1,"")</f>
        <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0</v>
      </c>
      <c r="AG47">
        <f t="shared" ca="1" si="4"/>
        <v>0</v>
      </c>
      <c r="AH47" s="68">
        <f t="shared" ca="1" si="5"/>
        <v>0</v>
      </c>
      <c r="AI47" s="68">
        <f t="shared" ca="1" si="6"/>
        <v>0</v>
      </c>
      <c r="AJ47" s="68">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9" t="str">
        <f ca="1">IF(OR(Planned!B57=1,Planned!B57=""),AC47,Planned!B57)</f>
        <v xml:space="preserve"> </v>
      </c>
      <c r="BI47" t="str">
        <f ca="1">IF(TEXT(Planned!D57,"mmm")&lt;&gt;TEXT(Planned!D56,"mmm"),TEXT(Planned!D57,"mmm"),"")</f>
        <v/>
      </c>
      <c r="BK47" s="68"/>
    </row>
    <row r="48" spans="2:63" x14ac:dyDescent="0.2">
      <c r="B48" s="68">
        <f ca="1">IF(Planned!$C$6&lt;&gt;"Overall",COUNTBLANK(OFFSET(Planned!E59,0,0,1,Num_Modalities)),IF(COUNTBLANK(Planned!O59)=1,Num_Modalities,0))</f>
        <v>1</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t="str">
        <f>IF(Planned!$C$6="Overall",Planned!O58*'Planned background (hide)'!R$1,"")</f>
        <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0</v>
      </c>
      <c r="AG48">
        <f t="shared" ca="1" si="4"/>
        <v>0</v>
      </c>
      <c r="AH48" s="68">
        <f t="shared" ca="1" si="5"/>
        <v>0</v>
      </c>
      <c r="AI48" s="68">
        <f t="shared" ca="1" si="6"/>
        <v>0</v>
      </c>
      <c r="AJ48" s="68">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9" t="str">
        <f ca="1">IF(OR(Planned!B58=1,Planned!B58=""),AC48,Planned!B58)</f>
        <v xml:space="preserve"> </v>
      </c>
      <c r="BI48" t="str">
        <f ca="1">IF(TEXT(Planned!D58,"mmm")&lt;&gt;TEXT(Planned!D57,"mmm"),TEXT(Planned!D58,"mmm"),"")</f>
        <v/>
      </c>
      <c r="BK48" s="68"/>
    </row>
    <row r="49" spans="2:63" x14ac:dyDescent="0.2">
      <c r="B49" s="68">
        <f ca="1">IF(Planned!$C$6&lt;&gt;"Overall",COUNTBLANK(OFFSET(Planned!E60,0,0,1,Num_Modalities)),IF(COUNTBLANK(Planned!O60)=1,Num_Modalities,0))</f>
        <v>1</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t="str">
        <f>IF(Planned!$C$6="Overall",Planned!O59*'Planned background (hide)'!R$1,"")</f>
        <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0</v>
      </c>
      <c r="AG49">
        <f t="shared" ca="1" si="4"/>
        <v>0</v>
      </c>
      <c r="AH49" s="68">
        <f t="shared" ca="1" si="5"/>
        <v>0</v>
      </c>
      <c r="AI49" s="68">
        <f t="shared" ca="1" si="6"/>
        <v>0</v>
      </c>
      <c r="AJ49" s="68">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9" t="str">
        <f ca="1">IF(OR(Planned!B59=1,Planned!B59=""),AC49,Planned!B59)</f>
        <v xml:space="preserve"> </v>
      </c>
      <c r="BI49" t="str">
        <f ca="1">IF(TEXT(Planned!D59,"mmm")&lt;&gt;TEXT(Planned!D58,"mmm"),TEXT(Planned!D59,"mmm"),"")</f>
        <v/>
      </c>
      <c r="BK49" s="68"/>
    </row>
    <row r="50" spans="2:63" x14ac:dyDescent="0.2">
      <c r="B50" s="68">
        <f ca="1">IF(Planned!$C$6&lt;&gt;"Overall",COUNTBLANK(OFFSET(Planned!E61,0,0,1,Num_Modalities)),IF(COUNTBLANK(Planned!O61)=1,Num_Modalities,0))</f>
        <v>1</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t="str">
        <f>IF(Planned!$C$6="Overall",Planned!O60*'Planned background (hide)'!R$1,"")</f>
        <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0</v>
      </c>
      <c r="AG50">
        <f t="shared" ca="1" si="4"/>
        <v>0</v>
      </c>
      <c r="AH50" s="68">
        <f t="shared" ca="1" si="5"/>
        <v>0</v>
      </c>
      <c r="AI50" s="68">
        <f t="shared" ca="1" si="6"/>
        <v>0</v>
      </c>
      <c r="AJ50" s="68">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9" t="str">
        <f ca="1">IF(OR(Planned!B60=1,Planned!B60=""),AC50,Planned!B60)</f>
        <v xml:space="preserve"> </v>
      </c>
      <c r="BI50" t="str">
        <f ca="1">IF(TEXT(Planned!D60,"mmm")&lt;&gt;TEXT(Planned!D59,"mmm"),TEXT(Planned!D60,"mmm"),"")</f>
        <v/>
      </c>
      <c r="BK50" s="68"/>
    </row>
    <row r="51" spans="2:63" x14ac:dyDescent="0.2">
      <c r="B51" s="68">
        <f ca="1">IF(Planned!$C$6&lt;&gt;"Overall",COUNTBLANK(OFFSET(Planned!E62,0,0,1,Num_Modalities)),IF(COUNTBLANK(Planned!O62)=1,Num_Modalities,0))</f>
        <v>1</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t="str">
        <f>IF(Planned!$C$6="Overall",Planned!O61*'Planned background (hide)'!R$1,"")</f>
        <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0</v>
      </c>
      <c r="AG51">
        <f t="shared" ca="1" si="4"/>
        <v>0</v>
      </c>
      <c r="AH51" s="68">
        <f t="shared" ca="1" si="5"/>
        <v>0</v>
      </c>
      <c r="AI51" s="68">
        <f t="shared" ca="1" si="6"/>
        <v>0</v>
      </c>
      <c r="AJ51" s="68">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9" t="str">
        <f ca="1">IF(OR(Planned!B61=1,Planned!B61=""),AC51,Planned!B61)</f>
        <v xml:space="preserve"> </v>
      </c>
      <c r="BI51" t="str">
        <f ca="1">IF(TEXT(Planned!D61,"mmm")&lt;&gt;TEXT(Planned!D60,"mmm"),TEXT(Planned!D61,"mmm"),"")</f>
        <v/>
      </c>
      <c r="BK51" s="68"/>
    </row>
    <row r="52" spans="2:63" x14ac:dyDescent="0.2">
      <c r="B52" s="68">
        <f ca="1">IF(Planned!$C$6&lt;&gt;"Overall",COUNTBLANK(OFFSET(Planned!E63,0,0,1,Num_Modalities)),IF(COUNTBLANK(Planned!O63)=1,Num_Modalities,0))</f>
        <v>1</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t="str">
        <f>IF(Planned!$C$6="Overall",Planned!O62*'Planned background (hide)'!R$1,"")</f>
        <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0</v>
      </c>
      <c r="AG52">
        <f t="shared" ca="1" si="4"/>
        <v>0</v>
      </c>
      <c r="AH52" s="68">
        <f t="shared" ca="1" si="5"/>
        <v>0</v>
      </c>
      <c r="AI52" s="68">
        <f t="shared" ca="1" si="6"/>
        <v>0</v>
      </c>
      <c r="AJ52" s="68">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9" t="str">
        <f ca="1">IF(OR(Planned!B62=1,Planned!B62=""),AC52,Planned!B62)</f>
        <v xml:space="preserve"> </v>
      </c>
      <c r="BI52" t="str">
        <f ca="1">IF(TEXT(Planned!D62,"mmm")&lt;&gt;TEXT(Planned!D61,"mmm"),TEXT(Planned!D62,"mmm"),"")</f>
        <v/>
      </c>
      <c r="BK52" s="68"/>
    </row>
    <row r="53" spans="2:63" x14ac:dyDescent="0.2">
      <c r="B53" s="68">
        <f ca="1">IF(Planned!$C$6&lt;&gt;"Overall",COUNTBLANK(OFFSET(Planned!E64,0,0,1,Num_Modalities)),IF(COUNTBLANK(Planned!O64)=1,Num_Modalities,0))</f>
        <v>1</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t="str">
        <f>IF(Planned!$C$6="Overall",Planned!O63*'Planned background (hide)'!R$1,"")</f>
        <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0</v>
      </c>
      <c r="AG53">
        <f t="shared" ca="1" si="4"/>
        <v>0</v>
      </c>
      <c r="AH53" s="68">
        <f t="shared" ca="1" si="5"/>
        <v>0</v>
      </c>
      <c r="AI53" s="68">
        <f t="shared" ca="1" si="6"/>
        <v>0</v>
      </c>
      <c r="AJ53" s="68">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9" t="str">
        <f ca="1">IF(OR(Planned!B63=1,Planned!B63=""),AC53,Planned!B63)</f>
        <v xml:space="preserve"> </v>
      </c>
      <c r="BI53" t="str">
        <f ca="1">IF(TEXT(Planned!D63,"mmm")&lt;&gt;TEXT(Planned!D62,"mmm"),TEXT(Planned!D63,"mmm"),"")</f>
        <v/>
      </c>
    </row>
    <row r="54" spans="2:63" x14ac:dyDescent="0.2">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t="str">
        <f>IF(Planned!$C$6="Overall",Planned!O64*'Planned background (hide)'!R$1,"")</f>
        <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0</v>
      </c>
      <c r="AG54">
        <f t="shared" ca="1" si="4"/>
        <v>0</v>
      </c>
      <c r="AH54" s="68">
        <f t="shared" ca="1" si="5"/>
        <v>0</v>
      </c>
      <c r="AI54" s="68">
        <f t="shared" ca="1" si="6"/>
        <v>0</v>
      </c>
      <c r="AJ54" s="68">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9" t="str">
        <f ca="1">IF(OR(Planned!B64=1,Planned!B64=""),AC54,Planned!B64)</f>
        <v xml:space="preserve"> </v>
      </c>
      <c r="BI54" t="str">
        <f ca="1">IF(TEXT(Planned!D64,"mmm")&lt;&gt;TEXT(Planned!D63,"mmm"),TEXT(Planned!D64,"mmm"),"")</f>
        <v/>
      </c>
    </row>
    <row r="55" spans="2:63" x14ac:dyDescent="0.2">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t="str">
        <f>IF(Planned!$C$6="Overall",Planned!O65*'Planned background (hide)'!R$1,"")</f>
        <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0</v>
      </c>
      <c r="AG55" s="68">
        <f t="shared" ca="1" si="4"/>
        <v>0</v>
      </c>
      <c r="AH55" s="68">
        <f t="shared" ref="AH55" ca="1" si="28">IF(AF55-(3*AG55)&lt;=0,0,AF55-(3*AG55))</f>
        <v>0</v>
      </c>
      <c r="AI55" s="68">
        <f t="shared" ref="AI55" ca="1" si="29">IF(AF55-(2*AG55)&lt;=0,0,AF55-(2*AG55))</f>
        <v>0</v>
      </c>
      <c r="AJ55" s="68">
        <f t="shared" ref="AJ55" ca="1" si="30">IF(AF55-(1*AG55)&lt;=0,0,AF55-(1*AG55))</f>
        <v>0</v>
      </c>
      <c r="AK55" s="68">
        <f t="shared" ref="AK55" ca="1" si="31">AF55+(1*AG55)</f>
        <v>0</v>
      </c>
      <c r="AL55" s="68">
        <f t="shared" ref="AL55" ca="1" si="32">AF55+(2*AG55)</f>
        <v>0</v>
      </c>
      <c r="AM55" s="68">
        <f t="shared" ref="AM55" ca="1" si="33">AF55+(3*AG55)</f>
        <v>0</v>
      </c>
      <c r="AN55" s="68">
        <f t="shared" ca="1" si="11"/>
        <v>0</v>
      </c>
      <c r="AO55" s="68">
        <f t="shared" ca="1" si="12"/>
        <v>0</v>
      </c>
      <c r="AP55" s="68" t="e">
        <f t="shared" ref="AP55" ca="1" si="34">IF(OR(AE55&gt;AM55,AE55&lt;AH55),AE55,NA())</f>
        <v>#N/A</v>
      </c>
      <c r="AQ55" s="68">
        <f t="shared" ref="AQ55" ca="1" si="35">IF(AE55&gt;AL55,1,IF(AE55&lt;AI55,-1,0))</f>
        <v>0</v>
      </c>
      <c r="AR55" s="68" t="e">
        <f t="shared" ref="AR55" ca="1" si="36">IF(ABS(SUM(AQ53:AQ55))&gt;=2,AE55,NA())</f>
        <v>#N/A</v>
      </c>
      <c r="AS55" s="68">
        <f t="shared" ref="AS55" ca="1" si="37">IF(AE55&gt;AE54,1,IF(AE55&lt;AE54,-1,0))</f>
        <v>0</v>
      </c>
      <c r="AT55" s="68" t="e">
        <f t="shared" ref="AT55" ca="1" si="38">IF(ABS(SUM(AS50:AS55))=6,AE55,NA())</f>
        <v>#N/A</v>
      </c>
      <c r="AU55" s="68">
        <f t="shared" ref="AU55" ca="1" si="39">IF(AE55&gt;AF55,1,IF(AE55&lt;AF55,-1,0))</f>
        <v>0</v>
      </c>
      <c r="AV55" s="68"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defaultColWidth="9" defaultRowHeight="14.25" x14ac:dyDescent="0.2"/>
  <cols>
    <col min="1" max="1" width="17.375" style="53" customWidth="1"/>
    <col min="2" max="2" width="11.5" style="53" customWidth="1"/>
    <col min="3" max="19" width="9" style="53"/>
    <col min="20" max="20" width="9.875" style="53" bestFit="1" customWidth="1"/>
    <col min="21" max="16384" width="9" style="53"/>
  </cols>
  <sheetData>
    <row r="1" spans="1:20" x14ac:dyDescent="0.2">
      <c r="B1" s="54"/>
    </row>
    <row r="3" spans="1:20" ht="15" x14ac:dyDescent="0.25">
      <c r="A3" s="57" t="s">
        <v>187</v>
      </c>
    </row>
    <row r="4" spans="1:20" x14ac:dyDescent="0.2">
      <c r="A4" s="39" t="s">
        <v>270</v>
      </c>
    </row>
    <row r="5" spans="1:20" x14ac:dyDescent="0.2">
      <c r="A5" s="39" t="s">
        <v>271</v>
      </c>
    </row>
    <row r="7" spans="1:20" x14ac:dyDescent="0.2">
      <c r="A7" s="56" t="s">
        <v>149</v>
      </c>
      <c r="T7" s="59"/>
    </row>
    <row r="8" spans="1:20" ht="15" x14ac:dyDescent="0.25">
      <c r="A8" s="57" t="str">
        <f>'Planned background (hide)'!AA19&amp;" weeks"</f>
        <v>5 weeks</v>
      </c>
      <c r="T8" s="59"/>
    </row>
    <row r="10" spans="1:20" x14ac:dyDescent="0.2">
      <c r="A10" s="53" t="s">
        <v>197</v>
      </c>
      <c r="C10" s="214" t="s">
        <v>20</v>
      </c>
    </row>
    <row r="11" spans="1:20" x14ac:dyDescent="0.2">
      <c r="C11" s="58"/>
    </row>
    <row r="12" spans="1:20" x14ac:dyDescent="0.2">
      <c r="A12" s="53" t="s">
        <v>198</v>
      </c>
      <c r="C12" s="214" t="s">
        <v>22</v>
      </c>
    </row>
    <row r="27" spans="1:2" ht="15" x14ac:dyDescent="0.25">
      <c r="A27" s="57" t="s">
        <v>180</v>
      </c>
    </row>
    <row r="28" spans="1:2" x14ac:dyDescent="0.2">
      <c r="A28" s="41"/>
      <c r="B28" s="53" t="s">
        <v>177</v>
      </c>
    </row>
    <row r="29" spans="1:2" x14ac:dyDescent="0.2">
      <c r="A29" s="42"/>
      <c r="B29" s="53" t="s">
        <v>178</v>
      </c>
    </row>
    <row r="30" spans="1:2" x14ac:dyDescent="0.2">
      <c r="A30" s="43"/>
      <c r="B30" s="53" t="s">
        <v>199</v>
      </c>
    </row>
    <row r="31" spans="1:2" x14ac:dyDescent="0.2">
      <c r="A31" s="44"/>
      <c r="B31" s="53" t="s">
        <v>179</v>
      </c>
    </row>
    <row r="34" spans="4:4" x14ac:dyDescent="0.2">
      <c r="D34" s="62"/>
    </row>
    <row r="35" spans="4:4" x14ac:dyDescent="0.2">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heetViews>
  <sheetFormatPr defaultRowHeight="14.25" x14ac:dyDescent="0.2"/>
  <cols>
    <col min="1" max="1" width="2.625" style="53" customWidth="1"/>
    <col min="2" max="2" width="20.625" customWidth="1"/>
    <col min="3" max="3" width="16.75" customWidth="1"/>
    <col min="4" max="4" width="13" bestFit="1" customWidth="1"/>
    <col min="5" max="5" width="7.125" customWidth="1"/>
    <col min="6" max="6" width="7.75" customWidth="1"/>
    <col min="7" max="7" width="7.75" style="68" hidden="1" customWidth="1"/>
    <col min="8" max="8" width="8.625" customWidth="1"/>
    <col min="9" max="9" width="10.5" customWidth="1"/>
    <col min="10" max="10" width="11.375" style="53" hidden="1" customWidth="1"/>
    <col min="11" max="11" width="9.875" style="73" hidden="1" customWidth="1"/>
    <col min="12" max="12" width="9" style="73" customWidth="1"/>
    <col min="13" max="13" width="3.25" style="73" customWidth="1"/>
    <col min="14" max="14" width="20.625" customWidth="1"/>
    <col min="15" max="15" width="16.25" bestFit="1" customWidth="1"/>
    <col min="16" max="16" width="13" customWidth="1"/>
    <col min="17" max="17" width="6.5" customWidth="1"/>
    <col min="18" max="18" width="8.375" customWidth="1"/>
    <col min="19" max="19" width="8.375" style="68" hidden="1" customWidth="1"/>
    <col min="20" max="20" width="8.75" customWidth="1"/>
    <col min="21" max="21" width="10.625" customWidth="1"/>
    <col min="22" max="64" width="9" style="53"/>
  </cols>
  <sheetData>
    <row r="1" spans="1:22" s="53" customFormat="1" x14ac:dyDescent="0.2">
      <c r="B1" s="73"/>
      <c r="C1" s="73"/>
      <c r="D1" s="73"/>
      <c r="E1" s="73"/>
      <c r="F1" s="73"/>
      <c r="G1" s="73"/>
      <c r="H1" s="73"/>
      <c r="I1" s="73"/>
      <c r="J1" s="73"/>
      <c r="K1" s="73"/>
      <c r="L1" s="73"/>
      <c r="M1" s="73"/>
      <c r="N1" s="73"/>
      <c r="O1" s="73"/>
      <c r="P1" s="73"/>
      <c r="Q1" s="73"/>
      <c r="R1" s="73"/>
      <c r="S1" s="73"/>
      <c r="T1" s="73"/>
      <c r="U1" s="73"/>
    </row>
    <row r="2" spans="1:22" s="53" customFormat="1" ht="15" x14ac:dyDescent="0.25">
      <c r="B2" s="107" t="s">
        <v>394</v>
      </c>
      <c r="C2" s="107"/>
      <c r="D2" s="73"/>
      <c r="E2" s="73"/>
      <c r="F2" s="73"/>
      <c r="G2" s="73"/>
      <c r="H2" s="73"/>
      <c r="I2" s="73"/>
      <c r="J2" s="73"/>
      <c r="K2" s="73"/>
      <c r="L2" s="73"/>
      <c r="M2" s="73"/>
      <c r="N2" s="73"/>
      <c r="O2" s="73"/>
      <c r="P2" s="73"/>
      <c r="Q2" s="73"/>
      <c r="R2" s="73"/>
      <c r="S2" s="73"/>
      <c r="T2" s="73"/>
      <c r="U2" s="73"/>
    </row>
    <row r="3" spans="1:22" s="53" customFormat="1" x14ac:dyDescent="0.2">
      <c r="B3" s="73" t="s">
        <v>477</v>
      </c>
      <c r="C3" s="177"/>
      <c r="D3" s="73"/>
      <c r="F3" s="73"/>
      <c r="G3" s="73"/>
      <c r="H3" s="73"/>
      <c r="I3" s="73"/>
      <c r="J3" s="73"/>
      <c r="K3" s="73"/>
      <c r="L3" s="73"/>
      <c r="M3" s="73"/>
      <c r="N3" s="73"/>
      <c r="O3" s="73"/>
      <c r="P3" s="73"/>
      <c r="Q3" s="73"/>
      <c r="R3" s="73"/>
      <c r="S3" s="73"/>
      <c r="T3" s="73"/>
      <c r="U3" s="73"/>
    </row>
    <row r="4" spans="1:22" x14ac:dyDescent="0.2">
      <c r="B4" t="s">
        <v>440</v>
      </c>
      <c r="C4" s="275" t="str">
        <f>IF(C3="","",DATE(YEAR(C3)+1,MONTH(C3),DAY(C3))-1)</f>
        <v/>
      </c>
      <c r="D4" s="75"/>
      <c r="F4" s="73"/>
      <c r="G4" s="73"/>
      <c r="H4" s="73"/>
      <c r="I4" s="73"/>
      <c r="J4" s="68"/>
      <c r="K4" s="68"/>
      <c r="L4" s="68"/>
      <c r="M4" s="68"/>
      <c r="N4" s="73"/>
      <c r="O4" s="73"/>
      <c r="P4" s="73"/>
      <c r="Q4" s="73"/>
      <c r="R4" s="73"/>
      <c r="S4" s="73"/>
      <c r="T4" s="73"/>
      <c r="U4" s="73"/>
    </row>
    <row r="5" spans="1:22" s="53" customFormat="1" x14ac:dyDescent="0.2">
      <c r="D5" s="73"/>
      <c r="E5" s="73"/>
      <c r="F5" s="73"/>
      <c r="G5" s="73"/>
      <c r="H5" s="73"/>
      <c r="I5" s="73"/>
      <c r="J5" s="73"/>
      <c r="K5" s="73"/>
      <c r="L5" s="73"/>
      <c r="M5" s="73"/>
      <c r="N5" s="73"/>
      <c r="O5" s="73"/>
      <c r="P5" s="73"/>
      <c r="Q5" s="73"/>
      <c r="R5" s="73"/>
      <c r="S5" s="73"/>
      <c r="T5" s="73"/>
      <c r="U5" s="73"/>
    </row>
    <row r="6" spans="1:22" s="53" customFormat="1" x14ac:dyDescent="0.2">
      <c r="B6" s="118" t="s">
        <v>441</v>
      </c>
      <c r="C6" s="118" t="s">
        <v>442</v>
      </c>
      <c r="D6" s="73"/>
      <c r="E6" s="73"/>
      <c r="F6" s="73"/>
      <c r="G6" s="73"/>
      <c r="H6" s="73"/>
      <c r="I6" s="73"/>
      <c r="J6" s="73"/>
      <c r="K6" s="73"/>
      <c r="L6" s="73"/>
      <c r="M6" s="73"/>
      <c r="N6" s="73"/>
      <c r="O6" s="73"/>
      <c r="P6" s="73"/>
      <c r="Q6" s="73"/>
      <c r="R6" s="73"/>
      <c r="S6" s="73"/>
      <c r="T6" s="73"/>
      <c r="U6" s="73"/>
    </row>
    <row r="7" spans="1:22" s="53" customFormat="1" x14ac:dyDescent="0.2">
      <c r="B7" s="77"/>
      <c r="C7" s="77"/>
      <c r="D7" s="73"/>
      <c r="E7" s="73"/>
      <c r="F7" s="73"/>
      <c r="G7" s="73"/>
      <c r="H7" s="73"/>
      <c r="I7" s="73"/>
      <c r="J7" s="73"/>
      <c r="K7" s="73"/>
      <c r="L7" s="73"/>
      <c r="M7" s="73"/>
      <c r="N7" s="73"/>
      <c r="O7" s="73"/>
      <c r="P7" s="73"/>
      <c r="Q7" s="73"/>
      <c r="R7" s="73"/>
      <c r="S7" s="73"/>
      <c r="T7" s="73"/>
      <c r="U7" s="73"/>
    </row>
    <row r="8" spans="1:22" s="53" customFormat="1" x14ac:dyDescent="0.2">
      <c r="B8" s="76"/>
      <c r="C8" s="76"/>
      <c r="D8" s="73"/>
      <c r="E8" s="73"/>
      <c r="F8" s="73"/>
      <c r="G8" s="73"/>
      <c r="H8" s="73"/>
      <c r="I8" s="73"/>
      <c r="J8" s="73"/>
      <c r="K8" s="73"/>
      <c r="L8" s="73"/>
      <c r="M8" s="73"/>
      <c r="N8" s="73"/>
      <c r="O8" s="73"/>
      <c r="P8" s="73"/>
      <c r="Q8" s="73"/>
      <c r="R8" s="73"/>
      <c r="S8" s="73"/>
      <c r="T8" s="73"/>
      <c r="U8" s="73"/>
    </row>
    <row r="9" spans="1:22" hidden="1" x14ac:dyDescent="0.2">
      <c r="B9" s="119" t="s">
        <v>472</v>
      </c>
      <c r="C9" s="119" t="s">
        <v>479</v>
      </c>
      <c r="D9" s="73"/>
      <c r="E9" s="73"/>
      <c r="F9" s="73"/>
      <c r="G9" s="73"/>
      <c r="H9" s="73"/>
      <c r="I9" s="73"/>
      <c r="J9" s="68"/>
      <c r="K9" s="68"/>
      <c r="L9" s="68"/>
      <c r="M9" s="68"/>
      <c r="N9" s="73"/>
      <c r="O9" s="73"/>
      <c r="P9" s="73"/>
      <c r="Q9" s="73"/>
      <c r="R9" s="73"/>
      <c r="S9" s="73"/>
      <c r="T9" s="73"/>
      <c r="U9" s="73"/>
    </row>
    <row r="10" spans="1:22" hidden="1" x14ac:dyDescent="0.2">
      <c r="B10" s="70"/>
      <c r="C10" s="70"/>
      <c r="D10" s="73"/>
      <c r="E10" s="73"/>
      <c r="F10" s="73"/>
      <c r="G10" s="73"/>
      <c r="H10" s="73"/>
      <c r="I10" s="73"/>
      <c r="J10" s="68"/>
      <c r="K10" s="68"/>
      <c r="L10" s="68"/>
      <c r="M10" s="68"/>
      <c r="N10" s="73"/>
      <c r="O10" s="73"/>
      <c r="P10" s="73"/>
      <c r="Q10" s="73"/>
      <c r="R10" s="73"/>
      <c r="S10" s="73"/>
      <c r="T10" s="73"/>
      <c r="U10" s="73"/>
    </row>
    <row r="11" spans="1:22" s="53" customFormat="1" ht="15" x14ac:dyDescent="0.25">
      <c r="B11" s="170" t="s">
        <v>493</v>
      </c>
      <c r="C11" s="171" t="s">
        <v>19</v>
      </c>
      <c r="D11" s="229" t="str">
        <f ca="1">"On aggregate, 1 patient = "&amp;TEXT('Demand background (hide)'!$BN$16,"#.#")&amp;" "&amp;Setup!$I$17</f>
        <v>On aggregate, 1 patient = 1. Patients</v>
      </c>
      <c r="E11" s="73"/>
      <c r="F11" s="73"/>
      <c r="G11" s="73"/>
      <c r="H11" s="73"/>
      <c r="I11" s="73"/>
      <c r="J11" s="73"/>
      <c r="K11" s="73"/>
      <c r="L11" s="73"/>
      <c r="M11" s="73"/>
      <c r="N11" s="73"/>
      <c r="O11" s="73"/>
      <c r="P11" s="73"/>
      <c r="Q11" s="73"/>
      <c r="R11" s="73"/>
      <c r="S11" s="73"/>
      <c r="T11" s="73"/>
      <c r="U11" s="73"/>
    </row>
    <row r="12" spans="1:22" s="53" customFormat="1" x14ac:dyDescent="0.2">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58" t="s">
        <v>443</v>
      </c>
      <c r="C13" s="358"/>
      <c r="D13" s="74"/>
      <c r="E13" s="74"/>
      <c r="F13" s="74"/>
      <c r="G13" s="74"/>
      <c r="H13" s="74"/>
      <c r="I13" s="74"/>
      <c r="J13" s="73"/>
      <c r="K13" s="73"/>
      <c r="L13" s="73"/>
      <c r="M13" s="73"/>
      <c r="N13" s="73"/>
      <c r="O13" s="73"/>
      <c r="P13" s="73"/>
      <c r="Q13" s="73"/>
      <c r="R13" s="73"/>
      <c r="S13" s="73"/>
      <c r="T13" s="73"/>
      <c r="U13" s="73"/>
    </row>
    <row r="14" spans="1:22" x14ac:dyDescent="0.2">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2">
      <c r="A15" s="229"/>
      <c r="B15" s="73"/>
      <c r="C15" s="73"/>
      <c r="D15" s="73"/>
      <c r="E15" s="73"/>
      <c r="F15" s="73"/>
      <c r="G15" s="72"/>
      <c r="H15" s="228">
        <f>SUM(H17:H116)</f>
        <v>0</v>
      </c>
      <c r="I15" s="228">
        <f>H15/52</f>
        <v>0</v>
      </c>
      <c r="J15" s="68"/>
      <c r="K15" s="68"/>
      <c r="L15" s="68"/>
      <c r="M15" s="68"/>
      <c r="N15" s="73"/>
      <c r="O15" s="73"/>
      <c r="P15" s="73"/>
      <c r="Q15" s="73"/>
      <c r="R15" s="121" t="s">
        <v>257</v>
      </c>
      <c r="S15" s="121"/>
      <c r="T15" s="227">
        <f>SUM(T17:T116)</f>
        <v>0</v>
      </c>
      <c r="U15" s="227">
        <f>SUM(U17:U116)</f>
        <v>0</v>
      </c>
    </row>
    <row r="16" spans="1:22" ht="44.25" customHeight="1" x14ac:dyDescent="0.2">
      <c r="A16" s="299">
        <f>MAX(A17:A116)</f>
        <v>0</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0</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2">
      <c r="A17" s="299">
        <f>IF(B17&lt;&gt;"",ROW(A1),0)</f>
        <v>0</v>
      </c>
      <c r="B17" s="165"/>
      <c r="C17" s="165"/>
      <c r="D17" s="165"/>
      <c r="E17" s="178"/>
      <c r="F17" s="178"/>
      <c r="G17" s="132"/>
      <c r="H17" s="225" t="str">
        <f>IF(ROW(A1)&lt;=$A$16,F17*E17,"")</f>
        <v/>
      </c>
      <c r="I17" s="306" t="str">
        <f>IFERROR(H17/52,"")</f>
        <v/>
      </c>
      <c r="J17" s="68"/>
      <c r="K17" s="68"/>
      <c r="L17" s="68"/>
      <c r="M17" s="300">
        <f>IF(N17&lt;&gt;"",ROW(A1),0)</f>
        <v>0</v>
      </c>
      <c r="N17" s="179"/>
      <c r="O17" s="179"/>
      <c r="P17" s="179"/>
      <c r="Q17" s="180"/>
      <c r="R17" s="180"/>
      <c r="S17" s="133"/>
      <c r="T17" s="226" t="str">
        <f>IF(ROW(A1)&lt;=$M$16,R17*Q17,"")</f>
        <v/>
      </c>
      <c r="U17" s="307" t="str">
        <f>IFERROR(T17/52,"")</f>
        <v/>
      </c>
      <c r="V17" s="331"/>
    </row>
    <row r="18" spans="1:22" x14ac:dyDescent="0.2">
      <c r="A18" s="299">
        <f t="shared" ref="A18:A81" si="0">IF(B18&lt;&gt;"",ROW(A2),0)</f>
        <v>0</v>
      </c>
      <c r="B18" s="165"/>
      <c r="C18" s="165"/>
      <c r="D18" s="165"/>
      <c r="E18" s="178"/>
      <c r="F18" s="178"/>
      <c r="G18" s="132"/>
      <c r="H18" s="225" t="str">
        <f t="shared" ref="H18:H81" si="1">IF(ROW(A2)&lt;=$A$16,F18*E18,"")</f>
        <v/>
      </c>
      <c r="I18" s="306" t="str">
        <f t="shared" ref="I18:I81" si="2">IFERROR(H18/52,"")</f>
        <v/>
      </c>
      <c r="J18" s="68"/>
      <c r="K18" s="68"/>
      <c r="L18" s="68"/>
      <c r="M18" s="300">
        <f t="shared" ref="M18:M81" si="3">IF(N18&lt;&gt;"",ROW(A2),0)</f>
        <v>0</v>
      </c>
      <c r="N18" s="165"/>
      <c r="O18" s="165"/>
      <c r="P18" s="165"/>
      <c r="Q18" s="178"/>
      <c r="R18" s="178"/>
      <c r="S18" s="132"/>
      <c r="T18" s="226" t="str">
        <f t="shared" ref="T18:T81" si="4">IF(ROW(A2)&lt;=$M$16,R18*Q18,"")</f>
        <v/>
      </c>
      <c r="U18" s="306" t="str">
        <f t="shared" ref="U18:U81" si="5">IFERROR(T18/52,"")</f>
        <v/>
      </c>
      <c r="V18" s="331"/>
    </row>
    <row r="19" spans="1:22" x14ac:dyDescent="0.2">
      <c r="A19" s="299">
        <f t="shared" si="0"/>
        <v>0</v>
      </c>
      <c r="B19" s="165"/>
      <c r="C19" s="165"/>
      <c r="D19" s="165"/>
      <c r="E19" s="178"/>
      <c r="F19" s="178"/>
      <c r="G19" s="132"/>
      <c r="H19" s="225" t="str">
        <f t="shared" si="1"/>
        <v/>
      </c>
      <c r="I19" s="306" t="str">
        <f t="shared" si="2"/>
        <v/>
      </c>
      <c r="J19" s="68"/>
      <c r="K19" s="68"/>
      <c r="L19" s="68"/>
      <c r="M19" s="300">
        <f t="shared" si="3"/>
        <v>0</v>
      </c>
      <c r="N19" s="165"/>
      <c r="O19" s="165"/>
      <c r="P19" s="165"/>
      <c r="Q19" s="178"/>
      <c r="R19" s="178"/>
      <c r="S19" s="132"/>
      <c r="T19" s="226" t="str">
        <f t="shared" si="4"/>
        <v/>
      </c>
      <c r="U19" s="225" t="str">
        <f t="shared" si="5"/>
        <v/>
      </c>
      <c r="V19" s="332"/>
    </row>
    <row r="20" spans="1:22" x14ac:dyDescent="0.2">
      <c r="A20" s="299">
        <f t="shared" si="0"/>
        <v>0</v>
      </c>
      <c r="B20" s="165"/>
      <c r="C20" s="165"/>
      <c r="D20" s="165"/>
      <c r="E20" s="178"/>
      <c r="F20" s="178"/>
      <c r="G20" s="132"/>
      <c r="H20" s="225" t="str">
        <f t="shared" si="1"/>
        <v/>
      </c>
      <c r="I20" s="306" t="str">
        <f t="shared" si="2"/>
        <v/>
      </c>
      <c r="J20" s="68"/>
      <c r="K20" s="68"/>
      <c r="L20" s="68"/>
      <c r="M20" s="300">
        <f t="shared" si="3"/>
        <v>0</v>
      </c>
      <c r="N20" s="165"/>
      <c r="O20" s="165"/>
      <c r="P20" s="165"/>
      <c r="Q20" s="178"/>
      <c r="R20" s="178"/>
      <c r="S20" s="132"/>
      <c r="T20" s="226" t="str">
        <f t="shared" si="4"/>
        <v/>
      </c>
      <c r="U20" s="225" t="str">
        <f t="shared" si="5"/>
        <v/>
      </c>
      <c r="V20" s="332"/>
    </row>
    <row r="21" spans="1:22" x14ac:dyDescent="0.2">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2">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2">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2">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2">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2">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2">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2">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2">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2">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2">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2">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2">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2">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2">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2">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2">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2">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2">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2">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2">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2">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2">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2">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2">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2">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2">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2">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2">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2">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2">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2">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2">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2">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2">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2">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2">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2">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2">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2">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2">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2">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2">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2">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2">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2">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2">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2">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2">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2">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2">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2">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2">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2">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2">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2">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2">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2">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2">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2">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2">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2">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2">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2">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2">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2">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2">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2">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2">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2">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2">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2">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2">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2">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2">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2">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2">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2">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2">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2">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2">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2">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2">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2">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2">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2">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2">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2">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2">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2">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2">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2">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2">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2">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2">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2">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2">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
      <c r="G131" s="73"/>
      <c r="K131" s="73"/>
      <c r="L131" s="73"/>
      <c r="M131" s="73"/>
      <c r="S131" s="73"/>
    </row>
    <row r="132" spans="2:21" s="53" customFormat="1" x14ac:dyDescent="0.2">
      <c r="G132" s="73"/>
      <c r="K132" s="73"/>
      <c r="L132" s="73"/>
      <c r="M132" s="73"/>
      <c r="S132" s="73"/>
    </row>
    <row r="133" spans="2:21" s="53" customFormat="1" x14ac:dyDescent="0.2">
      <c r="G133" s="73"/>
      <c r="K133" s="73"/>
      <c r="L133" s="73"/>
      <c r="M133" s="73"/>
      <c r="S133" s="73"/>
    </row>
    <row r="134" spans="2:21" s="53" customFormat="1" x14ac:dyDescent="0.2">
      <c r="G134" s="73"/>
      <c r="K134" s="73"/>
      <c r="L134" s="73"/>
      <c r="M134" s="73"/>
      <c r="S134" s="73"/>
    </row>
    <row r="135" spans="2:21" s="53" customFormat="1" x14ac:dyDescent="0.2">
      <c r="G135" s="73"/>
      <c r="K135" s="73"/>
      <c r="L135" s="73"/>
      <c r="M135" s="73"/>
      <c r="S135" s="73"/>
    </row>
    <row r="136" spans="2:21" s="53" customFormat="1" x14ac:dyDescent="0.2">
      <c r="G136" s="73"/>
      <c r="K136" s="73"/>
      <c r="L136" s="73"/>
      <c r="M136" s="73"/>
      <c r="S136" s="73"/>
    </row>
    <row r="137" spans="2:21" s="53" customFormat="1" x14ac:dyDescent="0.2">
      <c r="G137" s="73"/>
      <c r="K137" s="73"/>
      <c r="L137" s="73"/>
      <c r="M137" s="73"/>
      <c r="S137" s="73"/>
    </row>
    <row r="138" spans="2:21" s="53" customFormat="1" x14ac:dyDescent="0.2">
      <c r="G138" s="73"/>
      <c r="K138" s="73"/>
      <c r="L138" s="73"/>
      <c r="M138" s="73"/>
      <c r="S138" s="73"/>
    </row>
    <row r="139" spans="2:21" s="53" customFormat="1" x14ac:dyDescent="0.2">
      <c r="G139" s="73"/>
      <c r="K139" s="73"/>
      <c r="L139" s="73"/>
      <c r="M139" s="73"/>
      <c r="S139" s="73"/>
    </row>
    <row r="140" spans="2:21" s="53" customFormat="1" x14ac:dyDescent="0.2">
      <c r="G140" s="73"/>
      <c r="K140" s="73"/>
      <c r="L140" s="73"/>
      <c r="M140" s="73"/>
      <c r="S140" s="73"/>
    </row>
    <row r="141" spans="2:21" s="53" customFormat="1" x14ac:dyDescent="0.2">
      <c r="G141" s="73"/>
      <c r="K141" s="73"/>
      <c r="L141" s="73"/>
      <c r="M141" s="73"/>
      <c r="S141" s="73"/>
    </row>
    <row r="142" spans="2:21" s="53" customFormat="1" x14ac:dyDescent="0.2">
      <c r="G142" s="73"/>
      <c r="K142" s="73"/>
      <c r="L142" s="73"/>
      <c r="M142" s="73"/>
      <c r="S142" s="73"/>
    </row>
    <row r="143" spans="2:21" s="53" customFormat="1" x14ac:dyDescent="0.2">
      <c r="G143" s="73"/>
      <c r="K143" s="73"/>
      <c r="L143" s="73"/>
      <c r="M143" s="73"/>
      <c r="S143" s="73"/>
    </row>
    <row r="144" spans="2:21" s="53" customFormat="1" x14ac:dyDescent="0.2">
      <c r="G144" s="73"/>
      <c r="K144" s="73"/>
      <c r="L144" s="73"/>
      <c r="M144" s="73"/>
      <c r="S144" s="73"/>
    </row>
    <row r="145" spans="7:19" s="53" customFormat="1" x14ac:dyDescent="0.2">
      <c r="G145" s="73"/>
      <c r="K145" s="73"/>
      <c r="L145" s="73"/>
      <c r="M145" s="73"/>
      <c r="S145" s="73"/>
    </row>
    <row r="146" spans="7:19" s="53" customFormat="1" x14ac:dyDescent="0.2">
      <c r="G146" s="73"/>
      <c r="K146" s="73"/>
      <c r="L146" s="73"/>
      <c r="M146" s="73"/>
      <c r="S146" s="73"/>
    </row>
    <row r="147" spans="7:19" s="53" customFormat="1" x14ac:dyDescent="0.2">
      <c r="G147" s="73"/>
      <c r="K147" s="73"/>
      <c r="L147" s="73"/>
      <c r="M147" s="73"/>
      <c r="S147" s="73"/>
    </row>
    <row r="148" spans="7:19" s="53" customFormat="1" x14ac:dyDescent="0.2">
      <c r="G148" s="73"/>
      <c r="K148" s="73"/>
      <c r="L148" s="73"/>
      <c r="M148" s="73"/>
      <c r="S148" s="73"/>
    </row>
    <row r="149" spans="7:19" s="53" customFormat="1" x14ac:dyDescent="0.2">
      <c r="G149" s="73"/>
      <c r="K149" s="73"/>
      <c r="L149" s="73"/>
      <c r="M149" s="73"/>
      <c r="S149" s="73"/>
    </row>
    <row r="150" spans="7:19" s="53" customFormat="1" x14ac:dyDescent="0.2">
      <c r="G150" s="73"/>
      <c r="K150" s="73"/>
      <c r="L150" s="73"/>
      <c r="M150" s="73"/>
      <c r="S150" s="73"/>
    </row>
    <row r="151" spans="7:19" s="53" customFormat="1" x14ac:dyDescent="0.2">
      <c r="G151" s="73"/>
      <c r="K151" s="73"/>
      <c r="L151" s="73"/>
      <c r="M151" s="73"/>
      <c r="S151" s="73"/>
    </row>
    <row r="152" spans="7:19" s="53" customFormat="1" x14ac:dyDescent="0.2">
      <c r="G152" s="73"/>
      <c r="K152" s="73"/>
      <c r="L152" s="73"/>
      <c r="M152" s="73"/>
      <c r="S152" s="73"/>
    </row>
    <row r="153" spans="7:19" s="53" customFormat="1" x14ac:dyDescent="0.2">
      <c r="G153" s="73"/>
      <c r="K153" s="73"/>
      <c r="L153" s="73"/>
      <c r="M153" s="73"/>
      <c r="S153" s="73"/>
    </row>
    <row r="154" spans="7:19" s="53" customFormat="1" x14ac:dyDescent="0.2">
      <c r="G154" s="73"/>
      <c r="K154" s="73"/>
      <c r="L154" s="73"/>
      <c r="M154" s="73"/>
      <c r="S154" s="73"/>
    </row>
    <row r="155" spans="7:19" s="53" customFormat="1" x14ac:dyDescent="0.2">
      <c r="G155" s="73"/>
      <c r="K155" s="73"/>
      <c r="L155" s="73"/>
      <c r="M155" s="73"/>
      <c r="S155" s="73"/>
    </row>
    <row r="156" spans="7:19" s="53" customFormat="1" x14ac:dyDescent="0.2">
      <c r="G156" s="73"/>
      <c r="K156" s="73"/>
      <c r="L156" s="73"/>
      <c r="M156" s="73"/>
      <c r="S156" s="73"/>
    </row>
    <row r="157" spans="7:19" s="53" customFormat="1" x14ac:dyDescent="0.2">
      <c r="G157" s="73"/>
      <c r="K157" s="73"/>
      <c r="L157" s="73"/>
      <c r="M157" s="73"/>
      <c r="S157" s="73"/>
    </row>
    <row r="158" spans="7:19" s="53" customFormat="1" x14ac:dyDescent="0.2">
      <c r="G158" s="73"/>
      <c r="K158" s="73"/>
      <c r="L158" s="73"/>
      <c r="M158" s="73"/>
      <c r="S158" s="73"/>
    </row>
    <row r="159" spans="7:19" s="53" customFormat="1" x14ac:dyDescent="0.2">
      <c r="G159" s="73"/>
      <c r="K159" s="73"/>
      <c r="L159" s="73"/>
      <c r="M159" s="73"/>
      <c r="S159" s="73"/>
    </row>
    <row r="160" spans="7:19" s="53" customFormat="1" x14ac:dyDescent="0.2">
      <c r="G160" s="73"/>
      <c r="K160" s="73"/>
      <c r="L160" s="73"/>
      <c r="M160" s="73"/>
      <c r="S160" s="73"/>
    </row>
    <row r="161" spans="7:19" s="53" customFormat="1" x14ac:dyDescent="0.2">
      <c r="G161" s="73"/>
      <c r="K161" s="73"/>
      <c r="L161" s="73"/>
      <c r="M161" s="73"/>
      <c r="S161" s="73"/>
    </row>
    <row r="162" spans="7:19" s="53" customFormat="1" x14ac:dyDescent="0.2">
      <c r="G162" s="73"/>
      <c r="K162" s="73"/>
      <c r="L162" s="73"/>
      <c r="M162" s="73"/>
      <c r="S162" s="73"/>
    </row>
    <row r="163" spans="7:19" s="53" customFormat="1" x14ac:dyDescent="0.2">
      <c r="G163" s="73"/>
      <c r="K163" s="73"/>
      <c r="L163" s="73"/>
      <c r="M163" s="73"/>
      <c r="S163" s="73"/>
    </row>
    <row r="164" spans="7:19" s="53" customFormat="1" x14ac:dyDescent="0.2">
      <c r="G164" s="73"/>
      <c r="K164" s="73"/>
      <c r="L164" s="73"/>
      <c r="M164" s="73"/>
      <c r="S164" s="73"/>
    </row>
    <row r="165" spans="7:19" s="53" customFormat="1" x14ac:dyDescent="0.2">
      <c r="G165" s="73"/>
      <c r="K165" s="73"/>
      <c r="L165" s="73"/>
      <c r="M165" s="73"/>
      <c r="S165" s="73"/>
    </row>
    <row r="166" spans="7:19" s="53" customFormat="1" x14ac:dyDescent="0.2">
      <c r="G166" s="73"/>
      <c r="K166" s="73"/>
      <c r="L166" s="73"/>
      <c r="M166" s="73"/>
      <c r="S166" s="73"/>
    </row>
    <row r="167" spans="7:19" s="53" customFormat="1" x14ac:dyDescent="0.2">
      <c r="G167" s="73"/>
      <c r="K167" s="73"/>
      <c r="L167" s="73"/>
      <c r="M167" s="73"/>
      <c r="S167" s="73"/>
    </row>
    <row r="168" spans="7:19" s="53" customFormat="1" x14ac:dyDescent="0.2">
      <c r="G168" s="73"/>
      <c r="K168" s="73"/>
      <c r="L168" s="73"/>
      <c r="M168" s="73"/>
      <c r="S168" s="73"/>
    </row>
    <row r="169" spans="7:19" s="53" customFormat="1" x14ac:dyDescent="0.2">
      <c r="G169" s="73"/>
      <c r="K169" s="73"/>
      <c r="L169" s="73"/>
      <c r="M169" s="73"/>
      <c r="S169" s="73"/>
    </row>
    <row r="170" spans="7:19" s="53" customFormat="1" x14ac:dyDescent="0.2">
      <c r="G170" s="73"/>
      <c r="K170" s="73"/>
      <c r="L170" s="73"/>
      <c r="M170" s="73"/>
      <c r="S170" s="73"/>
    </row>
    <row r="171" spans="7:19" s="53" customFormat="1" x14ac:dyDescent="0.2">
      <c r="G171" s="73"/>
      <c r="K171" s="73"/>
      <c r="L171" s="73"/>
      <c r="M171" s="73"/>
      <c r="S171" s="73"/>
    </row>
    <row r="172" spans="7:19" s="53" customFormat="1" x14ac:dyDescent="0.2">
      <c r="G172" s="73"/>
      <c r="K172" s="73"/>
      <c r="L172" s="73"/>
      <c r="M172" s="73"/>
      <c r="S172" s="73"/>
    </row>
    <row r="173" spans="7:19" s="53" customFormat="1" x14ac:dyDescent="0.2">
      <c r="G173" s="73"/>
      <c r="K173" s="73"/>
      <c r="L173" s="73"/>
      <c r="M173" s="73"/>
      <c r="S173" s="73"/>
    </row>
    <row r="174" spans="7:19" s="53" customFormat="1" x14ac:dyDescent="0.2">
      <c r="G174" s="73"/>
      <c r="K174" s="73"/>
      <c r="L174" s="73"/>
      <c r="M174" s="73"/>
      <c r="S174" s="73"/>
    </row>
    <row r="175" spans="7:19" s="53" customFormat="1" x14ac:dyDescent="0.2">
      <c r="G175" s="73"/>
      <c r="K175" s="73"/>
      <c r="L175" s="73"/>
      <c r="M175" s="73"/>
      <c r="S175" s="73"/>
    </row>
    <row r="176" spans="7:19" s="53" customFormat="1" x14ac:dyDescent="0.2">
      <c r="G176" s="73"/>
      <c r="K176" s="73"/>
      <c r="L176" s="73"/>
      <c r="M176" s="73"/>
      <c r="S176" s="73"/>
    </row>
    <row r="177" spans="7:19" s="53" customFormat="1" x14ac:dyDescent="0.2">
      <c r="G177" s="73"/>
      <c r="K177" s="73"/>
      <c r="L177" s="73"/>
      <c r="M177" s="73"/>
      <c r="S177" s="73"/>
    </row>
    <row r="178" spans="7:19" s="53" customFormat="1" x14ac:dyDescent="0.2">
      <c r="G178" s="73"/>
      <c r="K178" s="73"/>
      <c r="L178" s="73"/>
      <c r="M178" s="73"/>
      <c r="S178" s="73"/>
    </row>
    <row r="179" spans="7:19" s="53" customFormat="1" x14ac:dyDescent="0.2">
      <c r="G179" s="73"/>
      <c r="K179" s="73"/>
      <c r="L179" s="73"/>
      <c r="M179" s="73"/>
      <c r="S179" s="73"/>
    </row>
    <row r="180" spans="7:19" s="53" customFormat="1" x14ac:dyDescent="0.2">
      <c r="G180" s="73"/>
      <c r="K180" s="73"/>
      <c r="L180" s="73"/>
      <c r="M180" s="73"/>
      <c r="S180" s="73"/>
    </row>
    <row r="181" spans="7:19" s="53" customFormat="1" x14ac:dyDescent="0.2">
      <c r="G181" s="73"/>
      <c r="K181" s="73"/>
      <c r="L181" s="73"/>
      <c r="M181" s="73"/>
      <c r="S181" s="73"/>
    </row>
    <row r="182" spans="7:19" s="53" customFormat="1" x14ac:dyDescent="0.2">
      <c r="G182" s="73"/>
      <c r="K182" s="73"/>
      <c r="L182" s="73"/>
      <c r="M182" s="73"/>
      <c r="S182" s="73"/>
    </row>
    <row r="183" spans="7:19" s="53" customFormat="1" x14ac:dyDescent="0.2">
      <c r="G183" s="73"/>
      <c r="K183" s="73"/>
      <c r="L183" s="73"/>
      <c r="M183" s="73"/>
      <c r="S183" s="73"/>
    </row>
    <row r="184" spans="7:19" s="53" customFormat="1" x14ac:dyDescent="0.2">
      <c r="G184" s="73"/>
      <c r="K184" s="73"/>
      <c r="L184" s="73"/>
      <c r="M184" s="73"/>
      <c r="S184" s="73"/>
    </row>
    <row r="185" spans="7:19" s="53" customFormat="1" x14ac:dyDescent="0.2">
      <c r="G185" s="73"/>
      <c r="K185" s="73"/>
      <c r="L185" s="73"/>
      <c r="M185" s="73"/>
      <c r="S185" s="73"/>
    </row>
    <row r="186" spans="7:19" s="53" customFormat="1" x14ac:dyDescent="0.2">
      <c r="G186" s="73"/>
      <c r="K186" s="73"/>
      <c r="L186" s="73"/>
      <c r="M186" s="73"/>
      <c r="S186" s="73"/>
    </row>
    <row r="187" spans="7:19" s="53" customFormat="1" x14ac:dyDescent="0.2">
      <c r="G187" s="73"/>
      <c r="K187" s="73"/>
      <c r="L187" s="73"/>
      <c r="M187" s="73"/>
      <c r="S187" s="73"/>
    </row>
    <row r="188" spans="7:19" s="53" customFormat="1" x14ac:dyDescent="0.2">
      <c r="G188" s="73"/>
      <c r="K188" s="73"/>
      <c r="L188" s="73"/>
      <c r="M188" s="73"/>
      <c r="S188" s="73"/>
    </row>
    <row r="189" spans="7:19" s="53" customFormat="1" x14ac:dyDescent="0.2">
      <c r="G189" s="73"/>
      <c r="K189" s="73"/>
      <c r="L189" s="73"/>
      <c r="M189" s="73"/>
      <c r="S189" s="73"/>
    </row>
    <row r="190" spans="7:19" s="53" customFormat="1" x14ac:dyDescent="0.2">
      <c r="G190" s="73"/>
      <c r="K190" s="73"/>
      <c r="L190" s="73"/>
      <c r="M190" s="73"/>
      <c r="S190" s="73"/>
    </row>
    <row r="191" spans="7:19" s="53" customFormat="1" x14ac:dyDescent="0.2">
      <c r="G191" s="73"/>
      <c r="K191" s="73"/>
      <c r="L191" s="73"/>
      <c r="M191" s="73"/>
      <c r="S191" s="73"/>
    </row>
    <row r="192" spans="7:19" s="53" customFormat="1" x14ac:dyDescent="0.2">
      <c r="G192" s="73"/>
      <c r="K192" s="73"/>
      <c r="L192" s="73"/>
      <c r="M192" s="73"/>
      <c r="S192" s="73"/>
    </row>
    <row r="193" spans="7:19" s="53" customFormat="1" x14ac:dyDescent="0.2">
      <c r="G193" s="73"/>
      <c r="K193" s="73"/>
      <c r="L193" s="73"/>
      <c r="M193" s="73"/>
      <c r="S193" s="73"/>
    </row>
    <row r="194" spans="7:19" s="53" customFormat="1" x14ac:dyDescent="0.2">
      <c r="G194" s="73"/>
      <c r="K194" s="73"/>
      <c r="L194" s="73"/>
      <c r="M194" s="73"/>
      <c r="S194" s="73"/>
    </row>
    <row r="195" spans="7:19" s="53" customFormat="1" x14ac:dyDescent="0.2">
      <c r="G195" s="73"/>
      <c r="K195" s="73"/>
      <c r="L195" s="73"/>
      <c r="M195" s="73"/>
      <c r="S195" s="73"/>
    </row>
    <row r="196" spans="7:19" s="53" customFormat="1" x14ac:dyDescent="0.2">
      <c r="G196" s="73"/>
      <c r="K196" s="73"/>
      <c r="L196" s="73"/>
      <c r="M196" s="73"/>
      <c r="S196" s="73"/>
    </row>
    <row r="197" spans="7:19" s="53" customFormat="1" x14ac:dyDescent="0.2">
      <c r="G197" s="73"/>
      <c r="K197" s="73"/>
      <c r="L197" s="73"/>
      <c r="M197" s="73"/>
      <c r="S197" s="73"/>
    </row>
    <row r="198" spans="7:19" s="53" customFormat="1" x14ac:dyDescent="0.2">
      <c r="G198" s="73"/>
      <c r="K198" s="73"/>
      <c r="L198" s="73"/>
      <c r="M198" s="73"/>
      <c r="S198" s="73"/>
    </row>
    <row r="199" spans="7:19" s="53" customFormat="1" x14ac:dyDescent="0.2">
      <c r="G199" s="73"/>
      <c r="K199" s="73"/>
      <c r="L199" s="73"/>
      <c r="M199" s="73"/>
      <c r="S199" s="73"/>
    </row>
    <row r="200" spans="7:19" s="53" customFormat="1" x14ac:dyDescent="0.2">
      <c r="G200" s="73"/>
      <c r="K200" s="73"/>
      <c r="L200" s="73"/>
      <c r="M200" s="73"/>
      <c r="S200" s="73"/>
    </row>
    <row r="201" spans="7:19" s="53" customFormat="1" x14ac:dyDescent="0.2">
      <c r="G201" s="73"/>
      <c r="K201" s="73"/>
      <c r="L201" s="73"/>
      <c r="M201" s="73"/>
      <c r="S201" s="73"/>
    </row>
    <row r="202" spans="7:19" s="53" customFormat="1" x14ac:dyDescent="0.2">
      <c r="G202" s="73"/>
      <c r="K202" s="73"/>
      <c r="L202" s="73"/>
      <c r="M202" s="73"/>
      <c r="S202" s="73"/>
    </row>
    <row r="203" spans="7:19" s="53" customFormat="1" x14ac:dyDescent="0.2">
      <c r="G203" s="73"/>
      <c r="K203" s="73"/>
      <c r="L203" s="73"/>
      <c r="M203" s="73"/>
      <c r="S203" s="73"/>
    </row>
    <row r="204" spans="7:19" s="53" customFormat="1" x14ac:dyDescent="0.2">
      <c r="G204" s="73"/>
      <c r="K204" s="73"/>
      <c r="L204" s="73"/>
      <c r="M204" s="73"/>
      <c r="S204" s="73"/>
    </row>
    <row r="205" spans="7:19" s="53" customFormat="1" x14ac:dyDescent="0.2">
      <c r="G205" s="73"/>
      <c r="K205" s="73"/>
      <c r="L205" s="73"/>
      <c r="M205" s="73"/>
      <c r="S205" s="73"/>
    </row>
    <row r="206" spans="7:19" s="53" customFormat="1" x14ac:dyDescent="0.2">
      <c r="G206" s="73"/>
      <c r="K206" s="73"/>
      <c r="L206" s="73"/>
      <c r="M206" s="73"/>
      <c r="S206" s="73"/>
    </row>
    <row r="207" spans="7:19" s="53" customFormat="1" x14ac:dyDescent="0.2">
      <c r="G207" s="73"/>
      <c r="K207" s="73"/>
      <c r="L207" s="73"/>
      <c r="M207" s="73"/>
      <c r="S207" s="73"/>
    </row>
    <row r="208" spans="7:19" s="53" customFormat="1" x14ac:dyDescent="0.2">
      <c r="G208" s="73"/>
      <c r="K208" s="73"/>
      <c r="L208" s="73"/>
      <c r="M208" s="73"/>
      <c r="S208" s="73"/>
    </row>
    <row r="209" spans="7:19" s="53" customFormat="1" x14ac:dyDescent="0.2">
      <c r="G209" s="73"/>
      <c r="K209" s="73"/>
      <c r="L209" s="73"/>
      <c r="M209" s="73"/>
      <c r="S209" s="73"/>
    </row>
    <row r="210" spans="7:19" s="53" customFormat="1" x14ac:dyDescent="0.2">
      <c r="G210" s="73"/>
      <c r="K210" s="73"/>
      <c r="L210" s="73"/>
      <c r="M210" s="73"/>
      <c r="S210" s="73"/>
    </row>
    <row r="211" spans="7:19" s="53" customFormat="1" x14ac:dyDescent="0.2">
      <c r="G211" s="73"/>
      <c r="K211" s="73"/>
      <c r="L211" s="73"/>
      <c r="M211" s="73"/>
      <c r="S211" s="73"/>
    </row>
    <row r="212" spans="7:19" s="53" customFormat="1" x14ac:dyDescent="0.2">
      <c r="G212" s="73"/>
      <c r="K212" s="73"/>
      <c r="L212" s="73"/>
      <c r="M212" s="73"/>
      <c r="S212" s="73"/>
    </row>
    <row r="213" spans="7:19" s="53" customFormat="1" x14ac:dyDescent="0.2">
      <c r="G213" s="73"/>
      <c r="K213" s="73"/>
      <c r="L213" s="73"/>
      <c r="M213" s="73"/>
      <c r="S213" s="73"/>
    </row>
    <row r="214" spans="7:19" s="53" customFormat="1" x14ac:dyDescent="0.2">
      <c r="G214" s="73"/>
      <c r="K214" s="73"/>
      <c r="L214" s="73"/>
      <c r="M214" s="73"/>
      <c r="S214" s="73"/>
    </row>
    <row r="215" spans="7:19" s="53" customFormat="1" x14ac:dyDescent="0.2">
      <c r="G215" s="73"/>
      <c r="K215" s="73"/>
      <c r="L215" s="73"/>
      <c r="M215" s="73"/>
      <c r="S215" s="73"/>
    </row>
    <row r="216" spans="7:19" s="53" customFormat="1" x14ac:dyDescent="0.2">
      <c r="G216" s="73"/>
      <c r="K216" s="73"/>
      <c r="L216" s="73"/>
      <c r="M216" s="73"/>
      <c r="S216" s="73"/>
    </row>
    <row r="217" spans="7:19" s="53" customFormat="1" x14ac:dyDescent="0.2">
      <c r="G217" s="73"/>
      <c r="K217" s="73"/>
      <c r="L217" s="73"/>
      <c r="M217" s="73"/>
      <c r="S217" s="73"/>
    </row>
    <row r="218" spans="7:19" s="53" customFormat="1" x14ac:dyDescent="0.2">
      <c r="G218" s="73"/>
      <c r="K218" s="73"/>
      <c r="L218" s="73"/>
      <c r="M218" s="73"/>
      <c r="S218" s="73"/>
    </row>
    <row r="219" spans="7:19" s="53" customFormat="1" x14ac:dyDescent="0.2">
      <c r="G219" s="73"/>
      <c r="K219" s="73"/>
      <c r="L219" s="73"/>
      <c r="M219" s="73"/>
      <c r="S219" s="73"/>
    </row>
    <row r="220" spans="7:19" s="53" customFormat="1" x14ac:dyDescent="0.2">
      <c r="G220" s="73"/>
      <c r="K220" s="73"/>
      <c r="L220" s="73"/>
      <c r="M220" s="73"/>
      <c r="S220" s="73"/>
    </row>
    <row r="221" spans="7:19" s="53" customFormat="1" x14ac:dyDescent="0.2">
      <c r="G221" s="73"/>
      <c r="K221" s="73"/>
      <c r="L221" s="73"/>
      <c r="M221" s="73"/>
      <c r="S221" s="73"/>
    </row>
    <row r="222" spans="7:19" s="53" customFormat="1" x14ac:dyDescent="0.2">
      <c r="G222" s="73"/>
      <c r="K222" s="73"/>
      <c r="L222" s="73"/>
      <c r="M222" s="73"/>
      <c r="S222" s="73"/>
    </row>
    <row r="223" spans="7:19" s="53" customFormat="1" x14ac:dyDescent="0.2">
      <c r="G223" s="73"/>
      <c r="K223" s="73"/>
      <c r="L223" s="73"/>
      <c r="M223" s="73"/>
      <c r="S223" s="73"/>
    </row>
    <row r="224" spans="7:19" s="53" customFormat="1" x14ac:dyDescent="0.2">
      <c r="G224" s="73"/>
      <c r="K224" s="73"/>
      <c r="L224" s="73"/>
      <c r="M224" s="73"/>
      <c r="S224" s="73"/>
    </row>
    <row r="225" spans="7:19" s="53" customFormat="1" x14ac:dyDescent="0.2">
      <c r="G225" s="73"/>
      <c r="K225" s="73"/>
      <c r="L225" s="73"/>
      <c r="M225" s="73"/>
      <c r="S225" s="73"/>
    </row>
    <row r="226" spans="7:19" s="53" customFormat="1" x14ac:dyDescent="0.2">
      <c r="G226" s="73"/>
      <c r="K226" s="73"/>
      <c r="L226" s="73"/>
      <c r="M226" s="73"/>
      <c r="S226" s="73"/>
    </row>
    <row r="227" spans="7:19" s="53" customFormat="1" x14ac:dyDescent="0.2">
      <c r="G227" s="73"/>
      <c r="K227" s="73"/>
      <c r="L227" s="73"/>
      <c r="M227" s="73"/>
      <c r="S227" s="73"/>
    </row>
    <row r="228" spans="7:19" s="53" customFormat="1" x14ac:dyDescent="0.2">
      <c r="G228" s="73"/>
      <c r="K228" s="73"/>
      <c r="L228" s="73"/>
      <c r="M228" s="73"/>
      <c r="S228" s="73"/>
    </row>
    <row r="229" spans="7:19" s="53" customFormat="1" x14ac:dyDescent="0.2">
      <c r="G229" s="73"/>
      <c r="K229" s="73"/>
      <c r="L229" s="73"/>
      <c r="M229" s="73"/>
      <c r="S229" s="73"/>
    </row>
    <row r="230" spans="7:19" s="53" customFormat="1" x14ac:dyDescent="0.2">
      <c r="G230" s="73"/>
      <c r="K230" s="73"/>
      <c r="L230" s="73"/>
      <c r="M230" s="73"/>
      <c r="S230" s="73"/>
    </row>
    <row r="231" spans="7:19" s="53" customFormat="1" x14ac:dyDescent="0.2">
      <c r="G231" s="73"/>
      <c r="K231" s="73"/>
      <c r="L231" s="73"/>
      <c r="M231" s="73"/>
      <c r="S231" s="73"/>
    </row>
    <row r="232" spans="7:19" s="53" customFormat="1" x14ac:dyDescent="0.2">
      <c r="G232" s="73"/>
      <c r="K232" s="73"/>
      <c r="L232" s="73"/>
      <c r="M232" s="73"/>
      <c r="S232" s="73"/>
    </row>
    <row r="233" spans="7:19" s="53" customFormat="1" x14ac:dyDescent="0.2">
      <c r="G233" s="73"/>
      <c r="K233" s="73"/>
      <c r="L233" s="73"/>
      <c r="M233" s="73"/>
      <c r="S233" s="73"/>
    </row>
    <row r="234" spans="7:19" s="53" customFormat="1" x14ac:dyDescent="0.2">
      <c r="G234" s="73"/>
      <c r="K234" s="73"/>
      <c r="L234" s="73"/>
      <c r="M234" s="73"/>
      <c r="S234" s="73"/>
    </row>
    <row r="235" spans="7:19" s="53" customFormat="1" x14ac:dyDescent="0.2">
      <c r="G235" s="73"/>
      <c r="K235" s="73"/>
      <c r="L235" s="73"/>
      <c r="M235" s="73"/>
      <c r="S235" s="73"/>
    </row>
    <row r="236" spans="7:19" s="53" customFormat="1" x14ac:dyDescent="0.2">
      <c r="G236" s="73"/>
      <c r="K236" s="73"/>
      <c r="L236" s="73"/>
      <c r="M236" s="73"/>
      <c r="S236" s="73"/>
    </row>
    <row r="237" spans="7:19" s="53" customFormat="1" x14ac:dyDescent="0.2">
      <c r="G237" s="73"/>
      <c r="K237" s="73"/>
      <c r="L237" s="73"/>
      <c r="M237" s="73"/>
      <c r="S237" s="73"/>
    </row>
    <row r="238" spans="7:19" s="53" customFormat="1" x14ac:dyDescent="0.2">
      <c r="G238" s="73"/>
      <c r="K238" s="73"/>
      <c r="L238" s="73"/>
      <c r="M238" s="73"/>
      <c r="S238" s="73"/>
    </row>
    <row r="239" spans="7:19" s="53" customFormat="1" x14ac:dyDescent="0.2">
      <c r="G239" s="73"/>
      <c r="K239" s="73"/>
      <c r="L239" s="73"/>
      <c r="M239" s="73"/>
      <c r="S239" s="73"/>
    </row>
    <row r="240" spans="7:19" s="53" customFormat="1" x14ac:dyDescent="0.2">
      <c r="G240" s="73"/>
      <c r="K240" s="73"/>
      <c r="L240" s="73"/>
      <c r="M240" s="73"/>
      <c r="S240" s="73"/>
    </row>
    <row r="241" spans="5:19" s="53" customFormat="1" x14ac:dyDescent="0.2">
      <c r="G241" s="73"/>
      <c r="K241" s="73"/>
      <c r="L241" s="73"/>
      <c r="M241" s="73"/>
      <c r="S241" s="73"/>
    </row>
    <row r="242" spans="5:19" s="53" customFormat="1" x14ac:dyDescent="0.2">
      <c r="G242" s="73"/>
      <c r="K242" s="73"/>
      <c r="L242" s="73"/>
      <c r="M242" s="73"/>
      <c r="S242" s="73"/>
    </row>
    <row r="243" spans="5:19" s="53" customFormat="1" x14ac:dyDescent="0.2">
      <c r="E243" s="73"/>
      <c r="F243" s="73"/>
      <c r="G243" s="73"/>
      <c r="H243" s="73"/>
      <c r="I243" s="73"/>
      <c r="K243" s="73"/>
      <c r="L243" s="73"/>
      <c r="M243" s="73"/>
      <c r="S243" s="73"/>
    </row>
    <row r="244" spans="5:19" s="53" customFormat="1" x14ac:dyDescent="0.2">
      <c r="E244" s="73"/>
      <c r="F244" s="73"/>
      <c r="G244" s="73"/>
      <c r="H244" s="73"/>
      <c r="I244" s="73"/>
      <c r="K244" s="73"/>
      <c r="L244" s="73"/>
      <c r="M244" s="73"/>
      <c r="S244" s="73"/>
    </row>
    <row r="245" spans="5:19" s="53" customFormat="1" x14ac:dyDescent="0.2">
      <c r="E245" s="73"/>
      <c r="F245" s="73"/>
      <c r="G245" s="73"/>
      <c r="H245" s="73"/>
      <c r="I245" s="73"/>
      <c r="K245" s="73"/>
      <c r="L245" s="73"/>
      <c r="M245" s="73"/>
      <c r="S245" s="73"/>
    </row>
    <row r="246" spans="5:19" s="53" customFormat="1" x14ac:dyDescent="0.2">
      <c r="E246" s="73"/>
      <c r="F246" s="73"/>
      <c r="G246" s="73"/>
      <c r="H246" s="73"/>
      <c r="I246" s="73"/>
      <c r="K246" s="73"/>
      <c r="L246" s="73"/>
      <c r="M246" s="73"/>
      <c r="S246" s="73"/>
    </row>
    <row r="247" spans="5:19" s="53" customFormat="1" x14ac:dyDescent="0.2">
      <c r="E247" s="73"/>
      <c r="F247" s="73"/>
      <c r="G247" s="73"/>
      <c r="H247" s="73"/>
      <c r="I247" s="73"/>
      <c r="K247" s="73"/>
      <c r="L247" s="73"/>
      <c r="M247" s="73"/>
      <c r="S247" s="73"/>
    </row>
    <row r="248" spans="5:19" s="53" customFormat="1" x14ac:dyDescent="0.2">
      <c r="E248" s="73"/>
      <c r="F248" s="73"/>
      <c r="G248" s="73"/>
      <c r="H248" s="73"/>
      <c r="I248" s="73"/>
      <c r="K248" s="73"/>
      <c r="L248" s="73"/>
      <c r="M248" s="73"/>
      <c r="S248" s="73"/>
    </row>
    <row r="249" spans="5:19" s="53" customFormat="1" x14ac:dyDescent="0.2">
      <c r="E249" s="73"/>
      <c r="F249" s="73"/>
      <c r="G249" s="73"/>
      <c r="H249" s="73"/>
      <c r="I249" s="73"/>
      <c r="K249" s="73"/>
      <c r="L249" s="73"/>
      <c r="M249" s="73"/>
      <c r="S249" s="73"/>
    </row>
    <row r="250" spans="5:19" s="53" customFormat="1" x14ac:dyDescent="0.2">
      <c r="E250" s="73"/>
      <c r="F250" s="73"/>
      <c r="G250" s="73"/>
      <c r="H250" s="73"/>
      <c r="I250" s="73"/>
      <c r="K250" s="73"/>
      <c r="L250" s="73"/>
      <c r="M250" s="73"/>
      <c r="S250" s="73"/>
    </row>
    <row r="251" spans="5:19" s="53" customFormat="1" x14ac:dyDescent="0.2">
      <c r="E251" s="73"/>
      <c r="F251" s="73"/>
      <c r="G251" s="73"/>
      <c r="H251" s="73"/>
      <c r="I251" s="73"/>
      <c r="K251" s="73"/>
      <c r="L251" s="73"/>
      <c r="M251" s="73"/>
      <c r="S251" s="73"/>
    </row>
    <row r="252" spans="5:19" s="53" customFormat="1" x14ac:dyDescent="0.2">
      <c r="E252" s="73"/>
      <c r="F252" s="73"/>
      <c r="G252" s="73"/>
      <c r="H252" s="73"/>
      <c r="I252" s="73"/>
      <c r="K252" s="73"/>
      <c r="L252" s="73"/>
      <c r="M252" s="73"/>
      <c r="S252" s="73"/>
    </row>
    <row r="253" spans="5:19" s="53" customFormat="1" x14ac:dyDescent="0.2">
      <c r="E253" s="73"/>
      <c r="F253" s="73"/>
      <c r="G253" s="73"/>
      <c r="H253" s="73"/>
      <c r="I253" s="73"/>
      <c r="K253" s="73"/>
      <c r="L253" s="73"/>
      <c r="M253" s="73"/>
      <c r="S253" s="73"/>
    </row>
    <row r="254" spans="5:19" x14ac:dyDescent="0.2">
      <c r="E254" s="73"/>
      <c r="F254" s="73"/>
      <c r="G254" s="73"/>
      <c r="H254" s="73"/>
      <c r="I254" s="73"/>
    </row>
    <row r="255" spans="5:19" x14ac:dyDescent="0.2">
      <c r="E255" s="73"/>
      <c r="F255" s="73"/>
      <c r="G255" s="73"/>
      <c r="H255" s="73"/>
      <c r="I255" s="73"/>
    </row>
    <row r="256" spans="5:19" x14ac:dyDescent="0.2">
      <c r="E256" s="73"/>
      <c r="F256" s="73"/>
      <c r="G256" s="73"/>
      <c r="H256" s="73"/>
      <c r="I256" s="73"/>
    </row>
    <row r="257" spans="5:9" x14ac:dyDescent="0.2">
      <c r="E257" s="73"/>
      <c r="F257" s="73"/>
      <c r="G257" s="73"/>
      <c r="H257" s="73"/>
      <c r="I257" s="73"/>
    </row>
    <row r="258" spans="5:9" x14ac:dyDescent="0.2">
      <c r="E258" s="73"/>
      <c r="F258" s="73"/>
      <c r="G258" s="73"/>
      <c r="H258" s="73"/>
      <c r="I258" s="73"/>
    </row>
    <row r="259" spans="5:9" x14ac:dyDescent="0.2">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85725</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1419225</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161925</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heetViews>
  <sheetFormatPr defaultColWidth="9" defaultRowHeight="14.25" x14ac:dyDescent="0.2"/>
  <cols>
    <col min="1" max="1" width="2.5" style="73" customWidth="1"/>
    <col min="2" max="2" width="40.625" style="73" customWidth="1"/>
    <col min="3" max="3" width="0.875" style="82" customWidth="1"/>
    <col min="4" max="5" width="10.875" style="73" customWidth="1"/>
    <col min="6" max="6" width="0.875" style="82" customWidth="1"/>
    <col min="7" max="8" width="10.875" style="73" customWidth="1"/>
    <col min="9" max="9" width="0.875" style="82" customWidth="1"/>
    <col min="10" max="11" width="10.875" style="73" customWidth="1"/>
    <col min="12" max="12" width="0.875" style="82" customWidth="1"/>
    <col min="13" max="14" width="10.875" style="73" customWidth="1"/>
    <col min="15" max="15" width="0.875" style="82" customWidth="1"/>
    <col min="16" max="17" width="10.875" style="73" customWidth="1"/>
    <col min="18" max="18" width="2.875" style="73" customWidth="1"/>
    <col min="19" max="16384" width="9" style="73"/>
  </cols>
  <sheetData>
    <row r="2" spans="1:19" ht="14.25" customHeight="1" x14ac:dyDescent="0.2">
      <c r="B2" s="109" t="s">
        <v>481</v>
      </c>
      <c r="C2" s="130"/>
      <c r="D2" s="130"/>
      <c r="E2" s="130"/>
      <c r="F2" s="112"/>
    </row>
    <row r="3" spans="1:19" x14ac:dyDescent="0.2">
      <c r="B3" s="141" t="s">
        <v>477</v>
      </c>
      <c r="C3" s="141"/>
      <c r="D3" s="276">
        <f ca="1">IF(Capacity!C3="",TODAY(),Capacity!C3)</f>
        <v>44511</v>
      </c>
      <c r="F3" s="113"/>
    </row>
    <row r="4" spans="1:19" x14ac:dyDescent="0.2">
      <c r="B4" s="141" t="s">
        <v>440</v>
      </c>
      <c r="C4" s="141"/>
      <c r="D4" s="277">
        <f ca="1">IF(Capacity!C4="",DATE(YEAR(D3)+1,MONTH(D3),DAY(D3))-1,Capacity!C4)</f>
        <v>44875</v>
      </c>
      <c r="F4" s="113"/>
    </row>
    <row r="6" spans="1:19" ht="15" customHeight="1" x14ac:dyDescent="0.2">
      <c r="C6" s="110"/>
      <c r="D6" s="108"/>
      <c r="E6" s="108"/>
      <c r="F6" s="110"/>
      <c r="G6" s="108"/>
      <c r="H6" s="108"/>
      <c r="I6" s="110"/>
      <c r="J6" s="108"/>
      <c r="K6" s="108"/>
      <c r="L6" s="110"/>
      <c r="M6" s="108"/>
      <c r="N6" s="108"/>
      <c r="O6" s="110"/>
      <c r="P6" s="108"/>
      <c r="Q6" s="108"/>
      <c r="R6" s="78"/>
      <c r="S6" s="79"/>
    </row>
    <row r="7" spans="1:19" ht="14.25" customHeight="1" x14ac:dyDescent="0.2">
      <c r="B7" s="108"/>
      <c r="C7" s="110"/>
      <c r="D7" s="108"/>
      <c r="E7" s="108"/>
      <c r="F7" s="110"/>
      <c r="G7" s="108"/>
      <c r="H7" s="108"/>
      <c r="I7" s="110"/>
      <c r="J7" s="108"/>
      <c r="K7" s="108"/>
      <c r="L7" s="110"/>
      <c r="M7" s="108"/>
      <c r="N7" s="108"/>
      <c r="O7" s="110"/>
      <c r="P7" s="108"/>
      <c r="Q7" s="108"/>
      <c r="R7" s="78"/>
      <c r="S7" s="79"/>
    </row>
    <row r="8" spans="1:19" ht="15" x14ac:dyDescent="0.2">
      <c r="C8" s="111"/>
      <c r="D8" s="361" t="s">
        <v>478</v>
      </c>
      <c r="E8" s="361"/>
      <c r="F8" s="361"/>
      <c r="G8" s="361"/>
      <c r="H8" s="361"/>
      <c r="I8" s="361"/>
      <c r="J8" s="361"/>
      <c r="K8" s="361"/>
      <c r="L8" s="110"/>
      <c r="M8" s="108"/>
      <c r="N8" s="108"/>
      <c r="O8" s="110"/>
      <c r="P8" s="108"/>
      <c r="Q8" s="108"/>
      <c r="S8" s="79"/>
    </row>
    <row r="10" spans="1:19" x14ac:dyDescent="0.2">
      <c r="D10" s="360" t="s">
        <v>447</v>
      </c>
      <c r="E10" s="360"/>
      <c r="F10" s="114"/>
      <c r="G10" s="359" t="s">
        <v>448</v>
      </c>
      <c r="H10" s="359"/>
      <c r="I10" s="114"/>
      <c r="J10" s="360" t="s">
        <v>449</v>
      </c>
      <c r="K10" s="360"/>
      <c r="L10" s="114"/>
      <c r="M10" s="359" t="s">
        <v>450</v>
      </c>
      <c r="N10" s="359"/>
      <c r="O10" s="114"/>
      <c r="P10" s="360" t="s">
        <v>451</v>
      </c>
      <c r="Q10" s="360"/>
    </row>
    <row r="11" spans="1:19" x14ac:dyDescent="0.2">
      <c r="A11" s="75">
        <f>MAX(A12:A111)</f>
        <v>0</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2">
      <c r="A12" s="75">
        <f>IF(B12="",0,ROW(A1))</f>
        <v>0</v>
      </c>
      <c r="B12" s="173"/>
      <c r="D12" s="175"/>
      <c r="E12" s="175"/>
      <c r="F12" s="113"/>
      <c r="G12" s="175"/>
      <c r="H12" s="175"/>
      <c r="I12" s="113"/>
      <c r="J12" s="175"/>
      <c r="K12" s="175"/>
      <c r="L12" s="113"/>
      <c r="M12" s="175"/>
      <c r="N12" s="175"/>
      <c r="O12" s="113"/>
      <c r="P12" s="175"/>
      <c r="Q12" s="175"/>
    </row>
    <row r="13" spans="1:19" x14ac:dyDescent="0.2">
      <c r="A13" s="75">
        <f t="shared" ref="A13:A76" si="0">IF(B13="",0,ROW(A2))</f>
        <v>0</v>
      </c>
      <c r="B13" s="174"/>
      <c r="D13" s="176"/>
      <c r="E13" s="176"/>
      <c r="F13" s="113"/>
      <c r="G13" s="176"/>
      <c r="H13" s="176"/>
      <c r="J13" s="176"/>
      <c r="K13" s="176"/>
      <c r="M13" s="176"/>
      <c r="N13" s="176"/>
      <c r="P13" s="176"/>
      <c r="Q13" s="176"/>
    </row>
    <row r="14" spans="1:19" x14ac:dyDescent="0.2">
      <c r="A14" s="75">
        <f t="shared" si="0"/>
        <v>0</v>
      </c>
      <c r="B14" s="174"/>
      <c r="D14" s="176"/>
      <c r="E14" s="176"/>
      <c r="F14" s="113"/>
      <c r="G14" s="176"/>
      <c r="H14" s="176"/>
      <c r="J14" s="176"/>
      <c r="K14" s="176"/>
      <c r="M14" s="176"/>
      <c r="N14" s="176"/>
      <c r="P14" s="176"/>
      <c r="Q14" s="176"/>
    </row>
    <row r="15" spans="1:19" x14ac:dyDescent="0.2">
      <c r="A15" s="75">
        <f t="shared" si="0"/>
        <v>0</v>
      </c>
      <c r="B15" s="174"/>
      <c r="D15" s="176"/>
      <c r="E15" s="176"/>
      <c r="G15" s="176"/>
      <c r="H15" s="176"/>
      <c r="J15" s="176"/>
      <c r="K15" s="176"/>
      <c r="M15" s="176"/>
      <c r="N15" s="176"/>
      <c r="P15" s="176"/>
      <c r="Q15" s="176"/>
    </row>
    <row r="16" spans="1:19" x14ac:dyDescent="0.2">
      <c r="A16" s="75">
        <f t="shared" si="0"/>
        <v>0</v>
      </c>
      <c r="B16" s="174"/>
      <c r="D16" s="176"/>
      <c r="E16" s="176"/>
      <c r="G16" s="176"/>
      <c r="H16" s="176"/>
      <c r="J16" s="176"/>
      <c r="K16" s="176"/>
      <c r="M16" s="176"/>
      <c r="N16" s="176"/>
      <c r="P16" s="176"/>
      <c r="Q16" s="176"/>
    </row>
    <row r="17" spans="1:17" x14ac:dyDescent="0.2">
      <c r="A17" s="75">
        <f t="shared" si="0"/>
        <v>0</v>
      </c>
      <c r="B17" s="174"/>
      <c r="D17" s="176"/>
      <c r="E17" s="176"/>
      <c r="G17" s="176"/>
      <c r="H17" s="176"/>
      <c r="J17" s="176"/>
      <c r="K17" s="176"/>
      <c r="M17" s="176"/>
      <c r="N17" s="176"/>
      <c r="P17" s="176"/>
      <c r="Q17" s="176"/>
    </row>
    <row r="18" spans="1:17" x14ac:dyDescent="0.2">
      <c r="A18" s="75">
        <f t="shared" si="0"/>
        <v>0</v>
      </c>
      <c r="B18" s="174"/>
      <c r="D18" s="176"/>
      <c r="E18" s="176"/>
      <c r="G18" s="176"/>
      <c r="H18" s="176"/>
      <c r="J18" s="176"/>
      <c r="K18" s="176"/>
      <c r="M18" s="176"/>
      <c r="N18" s="176"/>
      <c r="P18" s="176"/>
      <c r="Q18" s="176"/>
    </row>
    <row r="19" spans="1:17" x14ac:dyDescent="0.2">
      <c r="A19" s="75">
        <f t="shared" si="0"/>
        <v>0</v>
      </c>
      <c r="B19" s="174"/>
      <c r="D19" s="176"/>
      <c r="E19" s="176"/>
      <c r="G19" s="176"/>
      <c r="H19" s="176"/>
      <c r="J19" s="176"/>
      <c r="K19" s="176"/>
      <c r="M19" s="176"/>
      <c r="N19" s="176"/>
      <c r="P19" s="176"/>
      <c r="Q19" s="176"/>
    </row>
    <row r="20" spans="1:17" x14ac:dyDescent="0.2">
      <c r="A20" s="75">
        <f t="shared" si="0"/>
        <v>0</v>
      </c>
      <c r="B20" s="174"/>
      <c r="D20" s="176"/>
      <c r="E20" s="176"/>
      <c r="G20" s="176"/>
      <c r="H20" s="176"/>
      <c r="J20" s="176"/>
      <c r="K20" s="176"/>
      <c r="M20" s="176"/>
      <c r="N20" s="176"/>
      <c r="P20" s="176"/>
      <c r="Q20" s="176"/>
    </row>
    <row r="21" spans="1:17" x14ac:dyDescent="0.2">
      <c r="A21" s="75">
        <f t="shared" si="0"/>
        <v>0</v>
      </c>
      <c r="B21" s="174"/>
      <c r="D21" s="176"/>
      <c r="E21" s="176"/>
      <c r="G21" s="176"/>
      <c r="H21" s="176"/>
      <c r="J21" s="176"/>
      <c r="K21" s="176"/>
      <c r="M21" s="176"/>
      <c r="N21" s="176"/>
      <c r="P21" s="176"/>
      <c r="Q21" s="176"/>
    </row>
    <row r="22" spans="1:17" x14ac:dyDescent="0.2">
      <c r="A22" s="75">
        <f t="shared" si="0"/>
        <v>0</v>
      </c>
      <c r="B22" s="174"/>
      <c r="D22" s="176"/>
      <c r="E22" s="176"/>
      <c r="G22" s="176"/>
      <c r="H22" s="176"/>
      <c r="J22" s="176"/>
      <c r="K22" s="176"/>
      <c r="M22" s="176"/>
      <c r="N22" s="176"/>
      <c r="P22" s="176"/>
      <c r="Q22" s="176"/>
    </row>
    <row r="23" spans="1:17" x14ac:dyDescent="0.2">
      <c r="A23" s="75">
        <f t="shared" si="0"/>
        <v>0</v>
      </c>
      <c r="B23" s="174"/>
      <c r="D23" s="176"/>
      <c r="E23" s="176"/>
      <c r="G23" s="176"/>
      <c r="H23" s="176"/>
      <c r="J23" s="176"/>
      <c r="K23" s="176"/>
      <c r="M23" s="176"/>
      <c r="N23" s="176"/>
      <c r="P23" s="176"/>
      <c r="Q23" s="176"/>
    </row>
    <row r="24" spans="1:17" x14ac:dyDescent="0.2">
      <c r="A24" s="75">
        <f t="shared" si="0"/>
        <v>0</v>
      </c>
      <c r="B24" s="174"/>
      <c r="D24" s="176"/>
      <c r="E24" s="176"/>
      <c r="G24" s="176"/>
      <c r="H24" s="176"/>
      <c r="J24" s="176"/>
      <c r="K24" s="176"/>
      <c r="M24" s="176"/>
      <c r="N24" s="176"/>
      <c r="P24" s="176"/>
      <c r="Q24" s="176"/>
    </row>
    <row r="25" spans="1:17" x14ac:dyDescent="0.2">
      <c r="A25" s="75">
        <f t="shared" si="0"/>
        <v>0</v>
      </c>
      <c r="B25" s="174"/>
      <c r="D25" s="176"/>
      <c r="E25" s="176"/>
      <c r="G25" s="176"/>
      <c r="H25" s="176"/>
      <c r="J25" s="176"/>
      <c r="K25" s="176"/>
      <c r="M25" s="176"/>
      <c r="N25" s="176"/>
      <c r="P25" s="176"/>
      <c r="Q25" s="176"/>
    </row>
    <row r="26" spans="1:17" x14ac:dyDescent="0.2">
      <c r="A26" s="75">
        <f t="shared" si="0"/>
        <v>0</v>
      </c>
      <c r="B26" s="174"/>
      <c r="D26" s="176"/>
      <c r="E26" s="176"/>
      <c r="G26" s="176"/>
      <c r="H26" s="176"/>
      <c r="J26" s="176"/>
      <c r="K26" s="176"/>
      <c r="M26" s="176"/>
      <c r="N26" s="176"/>
      <c r="P26" s="176"/>
      <c r="Q26" s="176"/>
    </row>
    <row r="27" spans="1:17" x14ac:dyDescent="0.2">
      <c r="A27" s="75">
        <f t="shared" si="0"/>
        <v>0</v>
      </c>
      <c r="B27" s="174"/>
      <c r="D27" s="176"/>
      <c r="E27" s="176"/>
      <c r="G27" s="176"/>
      <c r="H27" s="176"/>
      <c r="J27" s="176"/>
      <c r="K27" s="176"/>
      <c r="M27" s="176"/>
      <c r="N27" s="176"/>
      <c r="P27" s="176"/>
      <c r="Q27" s="176"/>
    </row>
    <row r="28" spans="1:17" x14ac:dyDescent="0.2">
      <c r="A28" s="75">
        <f t="shared" si="0"/>
        <v>0</v>
      </c>
      <c r="B28" s="174"/>
      <c r="D28" s="176"/>
      <c r="E28" s="176"/>
      <c r="G28" s="176"/>
      <c r="H28" s="176"/>
      <c r="J28" s="176"/>
      <c r="K28" s="176"/>
      <c r="M28" s="176"/>
      <c r="N28" s="176"/>
      <c r="P28" s="176"/>
      <c r="Q28" s="176"/>
    </row>
    <row r="29" spans="1:17" x14ac:dyDescent="0.2">
      <c r="A29" s="75">
        <f t="shared" si="0"/>
        <v>0</v>
      </c>
      <c r="B29" s="174"/>
      <c r="D29" s="176"/>
      <c r="E29" s="176"/>
      <c r="G29" s="176"/>
      <c r="H29" s="176"/>
      <c r="J29" s="176"/>
      <c r="K29" s="176"/>
      <c r="M29" s="176"/>
      <c r="N29" s="176"/>
      <c r="P29" s="176"/>
      <c r="Q29" s="176"/>
    </row>
    <row r="30" spans="1:17" x14ac:dyDescent="0.2">
      <c r="A30" s="75">
        <f t="shared" si="0"/>
        <v>0</v>
      </c>
      <c r="B30" s="174"/>
      <c r="D30" s="176"/>
      <c r="E30" s="176"/>
      <c r="G30" s="176"/>
      <c r="H30" s="176"/>
      <c r="J30" s="176"/>
      <c r="K30" s="176"/>
      <c r="M30" s="176"/>
      <c r="N30" s="176"/>
      <c r="P30" s="176"/>
      <c r="Q30" s="176"/>
    </row>
    <row r="31" spans="1:17" x14ac:dyDescent="0.2">
      <c r="A31" s="75">
        <f t="shared" si="0"/>
        <v>0</v>
      </c>
      <c r="B31" s="174"/>
      <c r="D31" s="176"/>
      <c r="E31" s="176"/>
      <c r="G31" s="176"/>
      <c r="H31" s="176"/>
      <c r="J31" s="176"/>
      <c r="K31" s="176"/>
      <c r="M31" s="176"/>
      <c r="N31" s="176"/>
      <c r="P31" s="176"/>
      <c r="Q31" s="176"/>
    </row>
    <row r="32" spans="1:17" x14ac:dyDescent="0.2">
      <c r="A32" s="75">
        <f t="shared" si="0"/>
        <v>0</v>
      </c>
      <c r="B32" s="174"/>
      <c r="D32" s="176"/>
      <c r="E32" s="176"/>
      <c r="G32" s="176"/>
      <c r="H32" s="176"/>
      <c r="J32" s="176"/>
      <c r="K32" s="176"/>
      <c r="M32" s="176"/>
      <c r="N32" s="176"/>
      <c r="P32" s="176"/>
      <c r="Q32" s="176"/>
    </row>
    <row r="33" spans="1:17" x14ac:dyDescent="0.2">
      <c r="A33" s="75">
        <f t="shared" si="0"/>
        <v>0</v>
      </c>
      <c r="B33" s="174"/>
      <c r="D33" s="176"/>
      <c r="E33" s="176"/>
      <c r="G33" s="176"/>
      <c r="H33" s="176"/>
      <c r="J33" s="176"/>
      <c r="K33" s="176"/>
      <c r="M33" s="176"/>
      <c r="N33" s="176"/>
      <c r="P33" s="176"/>
      <c r="Q33" s="176"/>
    </row>
    <row r="34" spans="1:17" x14ac:dyDescent="0.2">
      <c r="A34" s="75">
        <f t="shared" si="0"/>
        <v>0</v>
      </c>
      <c r="B34" s="174"/>
      <c r="D34" s="176"/>
      <c r="E34" s="176"/>
      <c r="G34" s="176"/>
      <c r="H34" s="176"/>
      <c r="J34" s="176"/>
      <c r="K34" s="176"/>
      <c r="M34" s="176"/>
      <c r="N34" s="176"/>
      <c r="P34" s="176"/>
      <c r="Q34" s="176"/>
    </row>
    <row r="35" spans="1:17" x14ac:dyDescent="0.2">
      <c r="A35" s="75">
        <f t="shared" si="0"/>
        <v>0</v>
      </c>
      <c r="B35" s="174"/>
      <c r="D35" s="176"/>
      <c r="E35" s="176"/>
      <c r="G35" s="176"/>
      <c r="H35" s="176"/>
      <c r="J35" s="176"/>
      <c r="K35" s="176"/>
      <c r="M35" s="176"/>
      <c r="N35" s="176"/>
      <c r="P35" s="176"/>
      <c r="Q35" s="176"/>
    </row>
    <row r="36" spans="1:17" x14ac:dyDescent="0.2">
      <c r="A36" s="75">
        <f t="shared" si="0"/>
        <v>0</v>
      </c>
      <c r="B36" s="174"/>
      <c r="D36" s="176"/>
      <c r="E36" s="176"/>
      <c r="G36" s="176"/>
      <c r="H36" s="176"/>
      <c r="J36" s="176"/>
      <c r="K36" s="176"/>
      <c r="M36" s="176"/>
      <c r="N36" s="176"/>
      <c r="P36" s="176"/>
      <c r="Q36" s="176"/>
    </row>
    <row r="37" spans="1:17" x14ac:dyDescent="0.2">
      <c r="A37" s="75">
        <f t="shared" si="0"/>
        <v>0</v>
      </c>
      <c r="B37" s="174"/>
      <c r="D37" s="176"/>
      <c r="E37" s="176"/>
      <c r="G37" s="176"/>
      <c r="H37" s="176"/>
      <c r="J37" s="176"/>
      <c r="K37" s="176"/>
      <c r="M37" s="176"/>
      <c r="N37" s="176"/>
      <c r="P37" s="176"/>
      <c r="Q37" s="176"/>
    </row>
    <row r="38" spans="1:17" x14ac:dyDescent="0.2">
      <c r="A38" s="75">
        <f t="shared" si="0"/>
        <v>0</v>
      </c>
      <c r="B38" s="174"/>
      <c r="D38" s="176"/>
      <c r="E38" s="176"/>
      <c r="G38" s="176"/>
      <c r="H38" s="176"/>
      <c r="J38" s="176"/>
      <c r="K38" s="176"/>
      <c r="M38" s="176"/>
      <c r="N38" s="176"/>
      <c r="P38" s="176"/>
      <c r="Q38" s="176"/>
    </row>
    <row r="39" spans="1:17" x14ac:dyDescent="0.2">
      <c r="A39" s="75">
        <f t="shared" si="0"/>
        <v>0</v>
      </c>
      <c r="B39" s="174"/>
      <c r="D39" s="176"/>
      <c r="E39" s="176"/>
      <c r="G39" s="176"/>
      <c r="H39" s="176"/>
      <c r="J39" s="176"/>
      <c r="K39" s="176"/>
      <c r="M39" s="176"/>
      <c r="N39" s="176"/>
      <c r="P39" s="176"/>
      <c r="Q39" s="176"/>
    </row>
    <row r="40" spans="1:17" x14ac:dyDescent="0.2">
      <c r="A40" s="75">
        <f t="shared" si="0"/>
        <v>0</v>
      </c>
      <c r="B40" s="174"/>
      <c r="D40" s="176"/>
      <c r="E40" s="176"/>
      <c r="G40" s="176"/>
      <c r="H40" s="176"/>
      <c r="J40" s="176"/>
      <c r="K40" s="176"/>
      <c r="M40" s="176"/>
      <c r="N40" s="176"/>
      <c r="P40" s="176"/>
      <c r="Q40" s="176"/>
    </row>
    <row r="41" spans="1:17" x14ac:dyDescent="0.2">
      <c r="A41" s="75">
        <f t="shared" si="0"/>
        <v>0</v>
      </c>
      <c r="B41" s="174"/>
      <c r="D41" s="176"/>
      <c r="E41" s="176"/>
      <c r="G41" s="176"/>
      <c r="H41" s="176"/>
      <c r="J41" s="176"/>
      <c r="K41" s="176"/>
      <c r="M41" s="176"/>
      <c r="N41" s="176"/>
      <c r="P41" s="176"/>
      <c r="Q41" s="176"/>
    </row>
    <row r="42" spans="1:17" x14ac:dyDescent="0.2">
      <c r="A42" s="75">
        <f t="shared" si="0"/>
        <v>0</v>
      </c>
      <c r="B42" s="174"/>
      <c r="D42" s="176"/>
      <c r="E42" s="176"/>
      <c r="G42" s="176"/>
      <c r="H42" s="176"/>
      <c r="J42" s="176"/>
      <c r="K42" s="176"/>
      <c r="M42" s="176"/>
      <c r="N42" s="176"/>
      <c r="P42" s="176"/>
      <c r="Q42" s="176"/>
    </row>
    <row r="43" spans="1:17" x14ac:dyDescent="0.2">
      <c r="A43" s="75">
        <f t="shared" si="0"/>
        <v>0</v>
      </c>
      <c r="B43" s="174"/>
      <c r="D43" s="176"/>
      <c r="E43" s="176"/>
      <c r="G43" s="176"/>
      <c r="H43" s="176"/>
      <c r="J43" s="176"/>
      <c r="K43" s="176"/>
      <c r="M43" s="176"/>
      <c r="N43" s="176"/>
      <c r="P43" s="176"/>
      <c r="Q43" s="176"/>
    </row>
    <row r="44" spans="1:17" x14ac:dyDescent="0.2">
      <c r="A44" s="75">
        <f t="shared" si="0"/>
        <v>0</v>
      </c>
      <c r="B44" s="174"/>
      <c r="D44" s="176"/>
      <c r="E44" s="176"/>
      <c r="G44" s="176"/>
      <c r="H44" s="176"/>
      <c r="J44" s="176"/>
      <c r="K44" s="176"/>
      <c r="M44" s="176"/>
      <c r="N44" s="176"/>
      <c r="P44" s="176"/>
      <c r="Q44" s="176"/>
    </row>
    <row r="45" spans="1:17" x14ac:dyDescent="0.2">
      <c r="A45" s="75">
        <f t="shared" si="0"/>
        <v>0</v>
      </c>
      <c r="B45" s="174"/>
      <c r="D45" s="176"/>
      <c r="E45" s="176"/>
      <c r="G45" s="176"/>
      <c r="H45" s="176"/>
      <c r="J45" s="176"/>
      <c r="K45" s="176"/>
      <c r="M45" s="176"/>
      <c r="N45" s="176"/>
      <c r="P45" s="176"/>
      <c r="Q45" s="176"/>
    </row>
    <row r="46" spans="1:17" x14ac:dyDescent="0.2">
      <c r="A46" s="75">
        <f t="shared" si="0"/>
        <v>0</v>
      </c>
      <c r="B46" s="174"/>
      <c r="D46" s="176"/>
      <c r="E46" s="176"/>
      <c r="G46" s="176"/>
      <c r="H46" s="176"/>
      <c r="J46" s="176"/>
      <c r="K46" s="176"/>
      <c r="M46" s="176"/>
      <c r="N46" s="176"/>
      <c r="P46" s="176"/>
      <c r="Q46" s="176"/>
    </row>
    <row r="47" spans="1:17" x14ac:dyDescent="0.2">
      <c r="A47" s="75">
        <f t="shared" si="0"/>
        <v>0</v>
      </c>
      <c r="B47" s="174"/>
      <c r="D47" s="176"/>
      <c r="E47" s="176"/>
      <c r="G47" s="176"/>
      <c r="H47" s="176"/>
      <c r="J47" s="176"/>
      <c r="K47" s="176"/>
      <c r="M47" s="176"/>
      <c r="N47" s="176"/>
      <c r="P47" s="176"/>
      <c r="Q47" s="176"/>
    </row>
    <row r="48" spans="1:17" x14ac:dyDescent="0.2">
      <c r="A48" s="75">
        <f t="shared" si="0"/>
        <v>0</v>
      </c>
      <c r="B48" s="174"/>
      <c r="D48" s="176"/>
      <c r="E48" s="176"/>
      <c r="G48" s="176"/>
      <c r="H48" s="176"/>
      <c r="J48" s="176"/>
      <c r="K48" s="176"/>
      <c r="M48" s="176"/>
      <c r="N48" s="176"/>
      <c r="P48" s="176"/>
      <c r="Q48" s="176"/>
    </row>
    <row r="49" spans="1:17" x14ac:dyDescent="0.2">
      <c r="A49" s="75">
        <f t="shared" si="0"/>
        <v>0</v>
      </c>
      <c r="B49" s="174"/>
      <c r="D49" s="176"/>
      <c r="E49" s="176"/>
      <c r="G49" s="176"/>
      <c r="H49" s="176"/>
      <c r="J49" s="176"/>
      <c r="K49" s="176"/>
      <c r="M49" s="176"/>
      <c r="N49" s="176"/>
      <c r="P49" s="176"/>
      <c r="Q49" s="176"/>
    </row>
    <row r="50" spans="1:17" x14ac:dyDescent="0.2">
      <c r="A50" s="75">
        <f t="shared" si="0"/>
        <v>0</v>
      </c>
      <c r="B50" s="174"/>
      <c r="D50" s="176"/>
      <c r="E50" s="176"/>
      <c r="G50" s="176"/>
      <c r="H50" s="176"/>
      <c r="J50" s="176"/>
      <c r="K50" s="176"/>
      <c r="M50" s="176"/>
      <c r="N50" s="176"/>
      <c r="P50" s="176"/>
      <c r="Q50" s="176"/>
    </row>
    <row r="51" spans="1:17" x14ac:dyDescent="0.2">
      <c r="A51" s="75">
        <f t="shared" si="0"/>
        <v>0</v>
      </c>
      <c r="B51" s="174"/>
      <c r="D51" s="176"/>
      <c r="E51" s="176"/>
      <c r="G51" s="176"/>
      <c r="H51" s="176"/>
      <c r="J51" s="176"/>
      <c r="K51" s="176"/>
      <c r="M51" s="176"/>
      <c r="N51" s="176"/>
      <c r="P51" s="176"/>
      <c r="Q51" s="176"/>
    </row>
    <row r="52" spans="1:17" x14ac:dyDescent="0.2">
      <c r="A52" s="75">
        <f t="shared" si="0"/>
        <v>0</v>
      </c>
      <c r="B52" s="174"/>
      <c r="D52" s="176"/>
      <c r="E52" s="176"/>
      <c r="G52" s="176"/>
      <c r="H52" s="176"/>
      <c r="J52" s="176"/>
      <c r="K52" s="176"/>
      <c r="M52" s="176"/>
      <c r="N52" s="176"/>
      <c r="P52" s="176"/>
      <c r="Q52" s="176"/>
    </row>
    <row r="53" spans="1:17" x14ac:dyDescent="0.2">
      <c r="A53" s="75">
        <f t="shared" si="0"/>
        <v>0</v>
      </c>
      <c r="B53" s="174"/>
      <c r="D53" s="176"/>
      <c r="E53" s="176"/>
      <c r="G53" s="176"/>
      <c r="H53" s="176"/>
      <c r="J53" s="176"/>
      <c r="K53" s="176"/>
      <c r="M53" s="176"/>
      <c r="N53" s="176"/>
      <c r="P53" s="176"/>
      <c r="Q53" s="176"/>
    </row>
    <row r="54" spans="1:17" x14ac:dyDescent="0.2">
      <c r="A54" s="75">
        <f t="shared" si="0"/>
        <v>0</v>
      </c>
      <c r="B54" s="174"/>
      <c r="D54" s="176"/>
      <c r="E54" s="176"/>
      <c r="G54" s="176"/>
      <c r="H54" s="176"/>
      <c r="J54" s="176"/>
      <c r="K54" s="176"/>
      <c r="M54" s="176"/>
      <c r="N54" s="176"/>
      <c r="P54" s="176"/>
      <c r="Q54" s="176"/>
    </row>
    <row r="55" spans="1:17" x14ac:dyDescent="0.2">
      <c r="A55" s="75">
        <f t="shared" si="0"/>
        <v>0</v>
      </c>
      <c r="B55" s="174"/>
      <c r="D55" s="176"/>
      <c r="E55" s="176"/>
      <c r="G55" s="176"/>
      <c r="H55" s="176"/>
      <c r="J55" s="176"/>
      <c r="K55" s="176"/>
      <c r="M55" s="176"/>
      <c r="N55" s="176"/>
      <c r="P55" s="176"/>
      <c r="Q55" s="176"/>
    </row>
    <row r="56" spans="1:17" x14ac:dyDescent="0.2">
      <c r="A56" s="75">
        <f t="shared" si="0"/>
        <v>0</v>
      </c>
      <c r="B56" s="174"/>
      <c r="D56" s="176"/>
      <c r="E56" s="176"/>
      <c r="G56" s="176"/>
      <c r="H56" s="176"/>
      <c r="J56" s="176"/>
      <c r="K56" s="176"/>
      <c r="M56" s="176"/>
      <c r="N56" s="176"/>
      <c r="P56" s="176"/>
      <c r="Q56" s="176"/>
    </row>
    <row r="57" spans="1:17" x14ac:dyDescent="0.2">
      <c r="A57" s="75">
        <f t="shared" si="0"/>
        <v>0</v>
      </c>
      <c r="B57" s="174"/>
      <c r="D57" s="176"/>
      <c r="E57" s="176"/>
      <c r="G57" s="176"/>
      <c r="H57" s="176"/>
      <c r="J57" s="176"/>
      <c r="K57" s="176"/>
      <c r="M57" s="176"/>
      <c r="N57" s="176"/>
      <c r="P57" s="176"/>
      <c r="Q57" s="176"/>
    </row>
    <row r="58" spans="1:17" x14ac:dyDescent="0.2">
      <c r="A58" s="75">
        <f t="shared" si="0"/>
        <v>0</v>
      </c>
      <c r="B58" s="174"/>
      <c r="D58" s="176"/>
      <c r="E58" s="176"/>
      <c r="G58" s="176"/>
      <c r="H58" s="176"/>
      <c r="J58" s="176"/>
      <c r="K58" s="176"/>
      <c r="M58" s="176"/>
      <c r="N58" s="176"/>
      <c r="P58" s="176"/>
      <c r="Q58" s="176"/>
    </row>
    <row r="59" spans="1:17" x14ac:dyDescent="0.2">
      <c r="A59" s="75">
        <f t="shared" si="0"/>
        <v>0</v>
      </c>
      <c r="B59" s="174"/>
      <c r="D59" s="176"/>
      <c r="E59" s="176"/>
      <c r="G59" s="176"/>
      <c r="H59" s="176"/>
      <c r="J59" s="176"/>
      <c r="K59" s="176"/>
      <c r="M59" s="176"/>
      <c r="N59" s="176"/>
      <c r="P59" s="176"/>
      <c r="Q59" s="176"/>
    </row>
    <row r="60" spans="1:17" x14ac:dyDescent="0.2">
      <c r="A60" s="75">
        <f t="shared" si="0"/>
        <v>0</v>
      </c>
      <c r="B60" s="174"/>
      <c r="D60" s="176"/>
      <c r="E60" s="176"/>
      <c r="G60" s="176"/>
      <c r="H60" s="176"/>
      <c r="J60" s="176"/>
      <c r="K60" s="176"/>
      <c r="M60" s="176"/>
      <c r="N60" s="176"/>
      <c r="P60" s="176"/>
      <c r="Q60" s="176"/>
    </row>
    <row r="61" spans="1:17" x14ac:dyDescent="0.2">
      <c r="A61" s="75">
        <f t="shared" si="0"/>
        <v>0</v>
      </c>
      <c r="B61" s="174"/>
      <c r="D61" s="176"/>
      <c r="E61" s="176"/>
      <c r="G61" s="176"/>
      <c r="H61" s="176"/>
      <c r="J61" s="176"/>
      <c r="K61" s="176"/>
      <c r="M61" s="176"/>
      <c r="N61" s="176"/>
      <c r="P61" s="176"/>
      <c r="Q61" s="176"/>
    </row>
    <row r="62" spans="1:17" x14ac:dyDescent="0.2">
      <c r="A62" s="75">
        <f t="shared" si="0"/>
        <v>0</v>
      </c>
      <c r="B62" s="174"/>
      <c r="D62" s="176"/>
      <c r="E62" s="176"/>
      <c r="G62" s="176"/>
      <c r="H62" s="176"/>
      <c r="J62" s="176"/>
      <c r="K62" s="176"/>
      <c r="M62" s="176"/>
      <c r="N62" s="176"/>
      <c r="P62" s="176"/>
      <c r="Q62" s="176"/>
    </row>
    <row r="63" spans="1:17" x14ac:dyDescent="0.2">
      <c r="A63" s="75">
        <f t="shared" si="0"/>
        <v>0</v>
      </c>
      <c r="B63" s="174"/>
      <c r="D63" s="176"/>
      <c r="E63" s="176"/>
      <c r="G63" s="176"/>
      <c r="H63" s="176"/>
      <c r="J63" s="176"/>
      <c r="K63" s="176"/>
      <c r="M63" s="176"/>
      <c r="N63" s="176"/>
      <c r="P63" s="176"/>
      <c r="Q63" s="176"/>
    </row>
    <row r="64" spans="1:17" x14ac:dyDescent="0.2">
      <c r="A64" s="75">
        <f t="shared" si="0"/>
        <v>0</v>
      </c>
      <c r="B64" s="174"/>
      <c r="D64" s="176"/>
      <c r="E64" s="176"/>
      <c r="G64" s="176"/>
      <c r="H64" s="176"/>
      <c r="J64" s="176"/>
      <c r="K64" s="176"/>
      <c r="M64" s="176"/>
      <c r="N64" s="176"/>
      <c r="P64" s="176"/>
      <c r="Q64" s="176"/>
    </row>
    <row r="65" spans="1:17" x14ac:dyDescent="0.2">
      <c r="A65" s="75">
        <f t="shared" si="0"/>
        <v>0</v>
      </c>
      <c r="B65" s="174"/>
      <c r="D65" s="176"/>
      <c r="E65" s="176"/>
      <c r="G65" s="176"/>
      <c r="H65" s="176"/>
      <c r="J65" s="176"/>
      <c r="K65" s="176"/>
      <c r="M65" s="176"/>
      <c r="N65" s="176"/>
      <c r="P65" s="176"/>
      <c r="Q65" s="176"/>
    </row>
    <row r="66" spans="1:17" x14ac:dyDescent="0.2">
      <c r="A66" s="75">
        <f t="shared" si="0"/>
        <v>0</v>
      </c>
      <c r="B66" s="174"/>
      <c r="D66" s="176"/>
      <c r="E66" s="176"/>
      <c r="G66" s="176"/>
      <c r="H66" s="176"/>
      <c r="J66" s="176"/>
      <c r="K66" s="176"/>
      <c r="M66" s="176"/>
      <c r="N66" s="176"/>
      <c r="P66" s="176"/>
      <c r="Q66" s="176"/>
    </row>
    <row r="67" spans="1:17" x14ac:dyDescent="0.2">
      <c r="A67" s="75">
        <f t="shared" si="0"/>
        <v>0</v>
      </c>
      <c r="B67" s="174"/>
      <c r="D67" s="176"/>
      <c r="E67" s="176"/>
      <c r="G67" s="176"/>
      <c r="H67" s="176"/>
      <c r="J67" s="176"/>
      <c r="K67" s="176"/>
      <c r="M67" s="176"/>
      <c r="N67" s="176"/>
      <c r="P67" s="176"/>
      <c r="Q67" s="176"/>
    </row>
    <row r="68" spans="1:17" x14ac:dyDescent="0.2">
      <c r="A68" s="75">
        <f t="shared" si="0"/>
        <v>0</v>
      </c>
      <c r="B68" s="174"/>
      <c r="D68" s="176"/>
      <c r="E68" s="176"/>
      <c r="G68" s="176"/>
      <c r="H68" s="176"/>
      <c r="J68" s="176"/>
      <c r="K68" s="176"/>
      <c r="M68" s="176"/>
      <c r="N68" s="176"/>
      <c r="P68" s="176"/>
      <c r="Q68" s="176"/>
    </row>
    <row r="69" spans="1:17" x14ac:dyDescent="0.2">
      <c r="A69" s="75">
        <f t="shared" si="0"/>
        <v>0</v>
      </c>
      <c r="B69" s="174"/>
      <c r="D69" s="176"/>
      <c r="E69" s="176"/>
      <c r="G69" s="176"/>
      <c r="H69" s="176"/>
      <c r="J69" s="176"/>
      <c r="K69" s="176"/>
      <c r="M69" s="176"/>
      <c r="N69" s="176"/>
      <c r="P69" s="176"/>
      <c r="Q69" s="176"/>
    </row>
    <row r="70" spans="1:17" x14ac:dyDescent="0.2">
      <c r="A70" s="75">
        <f t="shared" si="0"/>
        <v>0</v>
      </c>
      <c r="B70" s="174"/>
      <c r="D70" s="176"/>
      <c r="E70" s="176"/>
      <c r="G70" s="176"/>
      <c r="H70" s="176"/>
      <c r="J70" s="176"/>
      <c r="K70" s="176"/>
      <c r="M70" s="176"/>
      <c r="N70" s="176"/>
      <c r="P70" s="176"/>
      <c r="Q70" s="176"/>
    </row>
    <row r="71" spans="1:17" x14ac:dyDescent="0.2">
      <c r="A71" s="75">
        <f t="shared" si="0"/>
        <v>0</v>
      </c>
      <c r="B71" s="174"/>
      <c r="D71" s="176"/>
      <c r="E71" s="176"/>
      <c r="G71" s="176"/>
      <c r="H71" s="176"/>
      <c r="J71" s="176"/>
      <c r="K71" s="176"/>
      <c r="M71" s="176"/>
      <c r="N71" s="176"/>
      <c r="P71" s="176"/>
      <c r="Q71" s="176"/>
    </row>
    <row r="72" spans="1:17" x14ac:dyDescent="0.2">
      <c r="A72" s="75">
        <f t="shared" si="0"/>
        <v>0</v>
      </c>
      <c r="B72" s="174"/>
      <c r="D72" s="176"/>
      <c r="E72" s="176"/>
      <c r="G72" s="176"/>
      <c r="H72" s="176"/>
      <c r="J72" s="176"/>
      <c r="K72" s="176"/>
      <c r="M72" s="176"/>
      <c r="N72" s="176"/>
      <c r="P72" s="176"/>
      <c r="Q72" s="176"/>
    </row>
    <row r="73" spans="1:17" x14ac:dyDescent="0.2">
      <c r="A73" s="75">
        <f t="shared" si="0"/>
        <v>0</v>
      </c>
      <c r="B73" s="174"/>
      <c r="D73" s="176"/>
      <c r="E73" s="176"/>
      <c r="G73" s="176"/>
      <c r="H73" s="176"/>
      <c r="J73" s="176"/>
      <c r="K73" s="176"/>
      <c r="M73" s="176"/>
      <c r="N73" s="176"/>
      <c r="P73" s="176"/>
      <c r="Q73" s="176"/>
    </row>
    <row r="74" spans="1:17" x14ac:dyDescent="0.2">
      <c r="A74" s="75">
        <f t="shared" si="0"/>
        <v>0</v>
      </c>
      <c r="B74" s="174"/>
      <c r="D74" s="176"/>
      <c r="E74" s="176"/>
      <c r="G74" s="176"/>
      <c r="H74" s="176"/>
      <c r="J74" s="176"/>
      <c r="K74" s="176"/>
      <c r="M74" s="176"/>
      <c r="N74" s="176"/>
      <c r="P74" s="176"/>
      <c r="Q74" s="176"/>
    </row>
    <row r="75" spans="1:17" x14ac:dyDescent="0.2">
      <c r="A75" s="75">
        <f t="shared" si="0"/>
        <v>0</v>
      </c>
      <c r="B75" s="174"/>
      <c r="D75" s="176"/>
      <c r="E75" s="176"/>
      <c r="G75" s="176"/>
      <c r="H75" s="176"/>
      <c r="J75" s="176"/>
      <c r="K75" s="176"/>
      <c r="M75" s="176"/>
      <c r="N75" s="176"/>
      <c r="P75" s="176"/>
      <c r="Q75" s="176"/>
    </row>
    <row r="76" spans="1:17" x14ac:dyDescent="0.2">
      <c r="A76" s="75">
        <f t="shared" si="0"/>
        <v>0</v>
      </c>
      <c r="B76" s="174"/>
      <c r="D76" s="176"/>
      <c r="E76" s="176"/>
      <c r="G76" s="176"/>
      <c r="H76" s="176"/>
      <c r="J76" s="176"/>
      <c r="K76" s="176"/>
      <c r="M76" s="176"/>
      <c r="N76" s="176"/>
      <c r="P76" s="176"/>
      <c r="Q76" s="176"/>
    </row>
    <row r="77" spans="1:17" x14ac:dyDescent="0.2">
      <c r="A77" s="75">
        <f t="shared" ref="A77:A111" si="1">IF(B77="",0,ROW(A66))</f>
        <v>0</v>
      </c>
      <c r="B77" s="174"/>
      <c r="D77" s="176"/>
      <c r="E77" s="176"/>
      <c r="G77" s="176"/>
      <c r="H77" s="176"/>
      <c r="J77" s="176"/>
      <c r="K77" s="176"/>
      <c r="M77" s="176"/>
      <c r="N77" s="176"/>
      <c r="P77" s="176"/>
      <c r="Q77" s="176"/>
    </row>
    <row r="78" spans="1:17" x14ac:dyDescent="0.2">
      <c r="A78" s="75">
        <f t="shared" si="1"/>
        <v>0</v>
      </c>
      <c r="B78" s="174"/>
      <c r="D78" s="176"/>
      <c r="E78" s="176"/>
      <c r="G78" s="176"/>
      <c r="H78" s="176"/>
      <c r="J78" s="176"/>
      <c r="K78" s="176"/>
      <c r="M78" s="176"/>
      <c r="N78" s="176"/>
      <c r="P78" s="176"/>
      <c r="Q78" s="176"/>
    </row>
    <row r="79" spans="1:17" x14ac:dyDescent="0.2">
      <c r="A79" s="75">
        <f t="shared" si="1"/>
        <v>0</v>
      </c>
      <c r="B79" s="174"/>
      <c r="D79" s="176"/>
      <c r="E79" s="176"/>
      <c r="G79" s="176"/>
      <c r="H79" s="176"/>
      <c r="J79" s="176"/>
      <c r="K79" s="176"/>
      <c r="M79" s="176"/>
      <c r="N79" s="176"/>
      <c r="P79" s="176"/>
      <c r="Q79" s="176"/>
    </row>
    <row r="80" spans="1:17" x14ac:dyDescent="0.2">
      <c r="A80" s="75">
        <f t="shared" si="1"/>
        <v>0</v>
      </c>
      <c r="B80" s="174"/>
      <c r="D80" s="176"/>
      <c r="E80" s="176"/>
      <c r="G80" s="176"/>
      <c r="H80" s="176"/>
      <c r="J80" s="176"/>
      <c r="K80" s="176"/>
      <c r="M80" s="176"/>
      <c r="N80" s="176"/>
      <c r="P80" s="176"/>
      <c r="Q80" s="176"/>
    </row>
    <row r="81" spans="1:17" x14ac:dyDescent="0.2">
      <c r="A81" s="75">
        <f t="shared" si="1"/>
        <v>0</v>
      </c>
      <c r="B81" s="174"/>
      <c r="D81" s="176"/>
      <c r="E81" s="176"/>
      <c r="G81" s="176"/>
      <c r="H81" s="176"/>
      <c r="J81" s="176"/>
      <c r="K81" s="176"/>
      <c r="M81" s="176"/>
      <c r="N81" s="176"/>
      <c r="P81" s="176"/>
      <c r="Q81" s="176"/>
    </row>
    <row r="82" spans="1:17" x14ac:dyDescent="0.2">
      <c r="A82" s="75">
        <f t="shared" si="1"/>
        <v>0</v>
      </c>
      <c r="B82" s="174"/>
      <c r="D82" s="176"/>
      <c r="E82" s="176"/>
      <c r="G82" s="176"/>
      <c r="H82" s="176"/>
      <c r="J82" s="176"/>
      <c r="K82" s="176"/>
      <c r="M82" s="176"/>
      <c r="N82" s="176"/>
      <c r="P82" s="176"/>
      <c r="Q82" s="176"/>
    </row>
    <row r="83" spans="1:17" x14ac:dyDescent="0.2">
      <c r="A83" s="75">
        <f t="shared" si="1"/>
        <v>0</v>
      </c>
      <c r="B83" s="174"/>
      <c r="D83" s="176"/>
      <c r="E83" s="176"/>
      <c r="G83" s="176"/>
      <c r="H83" s="176"/>
      <c r="J83" s="176"/>
      <c r="K83" s="176"/>
      <c r="M83" s="176"/>
      <c r="N83" s="176"/>
      <c r="P83" s="176"/>
      <c r="Q83" s="176"/>
    </row>
    <row r="84" spans="1:17" x14ac:dyDescent="0.2">
      <c r="A84" s="75">
        <f t="shared" si="1"/>
        <v>0</v>
      </c>
      <c r="B84" s="174"/>
      <c r="D84" s="176"/>
      <c r="E84" s="176"/>
      <c r="G84" s="176"/>
      <c r="H84" s="176"/>
      <c r="J84" s="176"/>
      <c r="K84" s="176"/>
      <c r="M84" s="176"/>
      <c r="N84" s="176"/>
      <c r="P84" s="176"/>
      <c r="Q84" s="176"/>
    </row>
    <row r="85" spans="1:17" x14ac:dyDescent="0.2">
      <c r="A85" s="75">
        <f t="shared" si="1"/>
        <v>0</v>
      </c>
      <c r="B85" s="174"/>
      <c r="D85" s="176"/>
      <c r="E85" s="176"/>
      <c r="G85" s="176"/>
      <c r="H85" s="176"/>
      <c r="J85" s="176"/>
      <c r="K85" s="176"/>
      <c r="M85" s="176"/>
      <c r="N85" s="176"/>
      <c r="P85" s="176"/>
      <c r="Q85" s="176"/>
    </row>
    <row r="86" spans="1:17" x14ac:dyDescent="0.2">
      <c r="A86" s="75">
        <f t="shared" si="1"/>
        <v>0</v>
      </c>
      <c r="B86" s="174"/>
      <c r="D86" s="176"/>
      <c r="E86" s="176"/>
      <c r="G86" s="176"/>
      <c r="H86" s="176"/>
      <c r="J86" s="176"/>
      <c r="K86" s="176"/>
      <c r="M86" s="176"/>
      <c r="N86" s="176"/>
      <c r="P86" s="176"/>
      <c r="Q86" s="176"/>
    </row>
    <row r="87" spans="1:17" x14ac:dyDescent="0.2">
      <c r="A87" s="75">
        <f t="shared" si="1"/>
        <v>0</v>
      </c>
      <c r="B87" s="174"/>
      <c r="D87" s="176"/>
      <c r="E87" s="176"/>
      <c r="G87" s="176"/>
      <c r="H87" s="176"/>
      <c r="J87" s="176"/>
      <c r="K87" s="176"/>
      <c r="M87" s="176"/>
      <c r="N87" s="176"/>
      <c r="P87" s="176"/>
      <c r="Q87" s="176"/>
    </row>
    <row r="88" spans="1:17" x14ac:dyDescent="0.2">
      <c r="A88" s="75">
        <f t="shared" si="1"/>
        <v>0</v>
      </c>
      <c r="B88" s="174"/>
      <c r="D88" s="176"/>
      <c r="E88" s="176"/>
      <c r="G88" s="176"/>
      <c r="H88" s="176"/>
      <c r="J88" s="176"/>
      <c r="K88" s="176"/>
      <c r="M88" s="176"/>
      <c r="N88" s="176"/>
      <c r="P88" s="176"/>
      <c r="Q88" s="176"/>
    </row>
    <row r="89" spans="1:17" x14ac:dyDescent="0.2">
      <c r="A89" s="75">
        <f t="shared" si="1"/>
        <v>0</v>
      </c>
      <c r="B89" s="174"/>
      <c r="D89" s="176"/>
      <c r="E89" s="176"/>
      <c r="G89" s="176"/>
      <c r="H89" s="176"/>
      <c r="J89" s="176"/>
      <c r="K89" s="176"/>
      <c r="M89" s="176"/>
      <c r="N89" s="176"/>
      <c r="P89" s="176"/>
      <c r="Q89" s="176"/>
    </row>
    <row r="90" spans="1:17" x14ac:dyDescent="0.2">
      <c r="A90" s="75">
        <f t="shared" si="1"/>
        <v>0</v>
      </c>
      <c r="B90" s="174"/>
      <c r="D90" s="176"/>
      <c r="E90" s="176"/>
      <c r="G90" s="176"/>
      <c r="H90" s="176"/>
      <c r="J90" s="176"/>
      <c r="K90" s="176"/>
      <c r="M90" s="176"/>
      <c r="N90" s="176"/>
      <c r="P90" s="176"/>
      <c r="Q90" s="176"/>
    </row>
    <row r="91" spans="1:17" x14ac:dyDescent="0.2">
      <c r="A91" s="75">
        <f t="shared" si="1"/>
        <v>0</v>
      </c>
      <c r="B91" s="174"/>
      <c r="D91" s="176"/>
      <c r="E91" s="176"/>
      <c r="G91" s="176"/>
      <c r="H91" s="176"/>
      <c r="J91" s="176"/>
      <c r="K91" s="176"/>
      <c r="M91" s="176"/>
      <c r="N91" s="176"/>
      <c r="P91" s="176"/>
      <c r="Q91" s="176"/>
    </row>
    <row r="92" spans="1:17" x14ac:dyDescent="0.2">
      <c r="A92" s="75">
        <f t="shared" si="1"/>
        <v>0</v>
      </c>
      <c r="B92" s="174"/>
      <c r="D92" s="176"/>
      <c r="E92" s="176"/>
      <c r="G92" s="176"/>
      <c r="H92" s="176"/>
      <c r="J92" s="176"/>
      <c r="K92" s="176"/>
      <c r="M92" s="176"/>
      <c r="N92" s="176"/>
      <c r="P92" s="176"/>
      <c r="Q92" s="176"/>
    </row>
    <row r="93" spans="1:17" x14ac:dyDescent="0.2">
      <c r="A93" s="75">
        <f t="shared" si="1"/>
        <v>0</v>
      </c>
      <c r="B93" s="174"/>
      <c r="D93" s="176"/>
      <c r="E93" s="176"/>
      <c r="G93" s="176"/>
      <c r="H93" s="176"/>
      <c r="J93" s="176"/>
      <c r="K93" s="176"/>
      <c r="M93" s="176"/>
      <c r="N93" s="176"/>
      <c r="P93" s="176"/>
      <c r="Q93" s="176"/>
    </row>
    <row r="94" spans="1:17" x14ac:dyDescent="0.2">
      <c r="A94" s="75">
        <f t="shared" si="1"/>
        <v>0</v>
      </c>
      <c r="B94" s="174"/>
      <c r="D94" s="176"/>
      <c r="E94" s="176"/>
      <c r="G94" s="176"/>
      <c r="H94" s="176"/>
      <c r="J94" s="176"/>
      <c r="K94" s="176"/>
      <c r="M94" s="176"/>
      <c r="N94" s="176"/>
      <c r="P94" s="176"/>
      <c r="Q94" s="176"/>
    </row>
    <row r="95" spans="1:17" x14ac:dyDescent="0.2">
      <c r="A95" s="75">
        <f t="shared" si="1"/>
        <v>0</v>
      </c>
      <c r="B95" s="174"/>
      <c r="D95" s="176"/>
      <c r="E95" s="176"/>
      <c r="G95" s="176"/>
      <c r="H95" s="176"/>
      <c r="J95" s="176"/>
      <c r="K95" s="176"/>
      <c r="M95" s="176"/>
      <c r="N95" s="176"/>
      <c r="P95" s="176"/>
      <c r="Q95" s="176"/>
    </row>
    <row r="96" spans="1:17" x14ac:dyDescent="0.2">
      <c r="A96" s="75">
        <f t="shared" si="1"/>
        <v>0</v>
      </c>
      <c r="B96" s="174"/>
      <c r="D96" s="176"/>
      <c r="E96" s="176"/>
      <c r="G96" s="176"/>
      <c r="H96" s="176"/>
      <c r="J96" s="176"/>
      <c r="K96" s="176"/>
      <c r="M96" s="176"/>
      <c r="N96" s="176"/>
      <c r="P96" s="176"/>
      <c r="Q96" s="176"/>
    </row>
    <row r="97" spans="1:17" x14ac:dyDescent="0.2">
      <c r="A97" s="75">
        <f t="shared" si="1"/>
        <v>0</v>
      </c>
      <c r="B97" s="174"/>
      <c r="D97" s="176"/>
      <c r="E97" s="176"/>
      <c r="G97" s="176"/>
      <c r="H97" s="176"/>
      <c r="J97" s="176"/>
      <c r="K97" s="176"/>
      <c r="M97" s="176"/>
      <c r="N97" s="176"/>
      <c r="P97" s="176"/>
      <c r="Q97" s="176"/>
    </row>
    <row r="98" spans="1:17" x14ac:dyDescent="0.2">
      <c r="A98" s="75">
        <f t="shared" si="1"/>
        <v>0</v>
      </c>
      <c r="B98" s="174"/>
      <c r="D98" s="176"/>
      <c r="E98" s="176"/>
      <c r="G98" s="176"/>
      <c r="H98" s="176"/>
      <c r="J98" s="176"/>
      <c r="K98" s="176"/>
      <c r="M98" s="176"/>
      <c r="N98" s="176"/>
      <c r="P98" s="176"/>
      <c r="Q98" s="176"/>
    </row>
    <row r="99" spans="1:17" x14ac:dyDescent="0.2">
      <c r="A99" s="75">
        <f t="shared" si="1"/>
        <v>0</v>
      </c>
      <c r="B99" s="174"/>
      <c r="D99" s="176"/>
      <c r="E99" s="176"/>
      <c r="G99" s="176"/>
      <c r="H99" s="176"/>
      <c r="J99" s="176"/>
      <c r="K99" s="176"/>
      <c r="M99" s="176"/>
      <c r="N99" s="176"/>
      <c r="P99" s="176"/>
      <c r="Q99" s="176"/>
    </row>
    <row r="100" spans="1:17" x14ac:dyDescent="0.2">
      <c r="A100" s="75">
        <f t="shared" si="1"/>
        <v>0</v>
      </c>
      <c r="B100" s="174"/>
      <c r="D100" s="176"/>
      <c r="E100" s="176"/>
      <c r="G100" s="176"/>
      <c r="H100" s="176"/>
      <c r="J100" s="176"/>
      <c r="K100" s="176"/>
      <c r="M100" s="176"/>
      <c r="N100" s="176"/>
      <c r="P100" s="176"/>
      <c r="Q100" s="176"/>
    </row>
    <row r="101" spans="1:17" x14ac:dyDescent="0.2">
      <c r="A101" s="75">
        <f t="shared" si="1"/>
        <v>0</v>
      </c>
      <c r="B101" s="174"/>
      <c r="D101" s="176"/>
      <c r="E101" s="176"/>
      <c r="G101" s="176"/>
      <c r="H101" s="176"/>
      <c r="J101" s="176"/>
      <c r="K101" s="176"/>
      <c r="M101" s="176"/>
      <c r="N101" s="176"/>
      <c r="P101" s="176"/>
      <c r="Q101" s="176"/>
    </row>
    <row r="102" spans="1:17" x14ac:dyDescent="0.2">
      <c r="A102" s="75">
        <f t="shared" si="1"/>
        <v>0</v>
      </c>
      <c r="B102" s="174"/>
      <c r="D102" s="176"/>
      <c r="E102" s="176"/>
      <c r="G102" s="176"/>
      <c r="H102" s="176"/>
      <c r="J102" s="176"/>
      <c r="K102" s="176"/>
      <c r="M102" s="176"/>
      <c r="N102" s="176"/>
      <c r="P102" s="176"/>
      <c r="Q102" s="176"/>
    </row>
    <row r="103" spans="1:17" x14ac:dyDescent="0.2">
      <c r="A103" s="75">
        <f t="shared" si="1"/>
        <v>0</v>
      </c>
      <c r="B103" s="174"/>
      <c r="D103" s="176"/>
      <c r="E103" s="176"/>
      <c r="G103" s="176"/>
      <c r="H103" s="176"/>
      <c r="J103" s="176"/>
      <c r="K103" s="176"/>
      <c r="M103" s="176"/>
      <c r="N103" s="176"/>
      <c r="P103" s="176"/>
      <c r="Q103" s="176"/>
    </row>
    <row r="104" spans="1:17" x14ac:dyDescent="0.2">
      <c r="A104" s="75">
        <f t="shared" si="1"/>
        <v>0</v>
      </c>
      <c r="B104" s="174"/>
      <c r="D104" s="176"/>
      <c r="E104" s="176"/>
      <c r="G104" s="176"/>
      <c r="H104" s="176"/>
      <c r="J104" s="176"/>
      <c r="K104" s="176"/>
      <c r="M104" s="176"/>
      <c r="N104" s="176"/>
      <c r="P104" s="176"/>
      <c r="Q104" s="176"/>
    </row>
    <row r="105" spans="1:17" x14ac:dyDescent="0.2">
      <c r="A105" s="75">
        <f t="shared" si="1"/>
        <v>0</v>
      </c>
      <c r="B105" s="174"/>
      <c r="D105" s="176"/>
      <c r="E105" s="176"/>
      <c r="G105" s="176"/>
      <c r="H105" s="176"/>
      <c r="J105" s="176"/>
      <c r="K105" s="176"/>
      <c r="M105" s="176"/>
      <c r="N105" s="176"/>
      <c r="P105" s="176"/>
      <c r="Q105" s="176"/>
    </row>
    <row r="106" spans="1:17" x14ac:dyDescent="0.2">
      <c r="A106" s="75">
        <f t="shared" si="1"/>
        <v>0</v>
      </c>
      <c r="B106" s="174"/>
      <c r="D106" s="176"/>
      <c r="E106" s="176"/>
      <c r="G106" s="176"/>
      <c r="H106" s="176"/>
      <c r="J106" s="176"/>
      <c r="K106" s="176"/>
      <c r="M106" s="176"/>
      <c r="N106" s="176"/>
      <c r="P106" s="176"/>
      <c r="Q106" s="176"/>
    </row>
    <row r="107" spans="1:17" x14ac:dyDescent="0.2">
      <c r="A107" s="75">
        <f t="shared" si="1"/>
        <v>0</v>
      </c>
      <c r="B107" s="174"/>
      <c r="D107" s="176"/>
      <c r="E107" s="176"/>
      <c r="G107" s="176"/>
      <c r="H107" s="176"/>
      <c r="J107" s="176"/>
      <c r="K107" s="176"/>
      <c r="M107" s="176"/>
      <c r="N107" s="176"/>
      <c r="P107" s="176"/>
      <c r="Q107" s="176"/>
    </row>
    <row r="108" spans="1:17" x14ac:dyDescent="0.2">
      <c r="A108" s="75">
        <f t="shared" si="1"/>
        <v>0</v>
      </c>
      <c r="B108" s="174"/>
      <c r="D108" s="176"/>
      <c r="E108" s="176"/>
      <c r="G108" s="176"/>
      <c r="H108" s="176"/>
      <c r="J108" s="176"/>
      <c r="K108" s="176"/>
      <c r="M108" s="176"/>
      <c r="N108" s="176"/>
      <c r="P108" s="176"/>
      <c r="Q108" s="176"/>
    </row>
    <row r="109" spans="1:17" x14ac:dyDescent="0.2">
      <c r="A109" s="75">
        <f t="shared" si="1"/>
        <v>0</v>
      </c>
      <c r="B109" s="174"/>
      <c r="D109" s="176"/>
      <c r="E109" s="176"/>
      <c r="G109" s="176"/>
      <c r="H109" s="176"/>
      <c r="J109" s="176"/>
      <c r="K109" s="176"/>
      <c r="M109" s="176"/>
      <c r="N109" s="176"/>
      <c r="P109" s="176"/>
      <c r="Q109" s="176"/>
    </row>
    <row r="110" spans="1:17" x14ac:dyDescent="0.2">
      <c r="A110" s="75">
        <f t="shared" si="1"/>
        <v>0</v>
      </c>
      <c r="B110" s="174"/>
      <c r="D110" s="176"/>
      <c r="E110" s="176"/>
      <c r="G110" s="176"/>
      <c r="H110" s="176"/>
      <c r="J110" s="176"/>
      <c r="K110" s="176"/>
      <c r="M110" s="176"/>
      <c r="N110" s="176"/>
      <c r="P110" s="176"/>
      <c r="Q110" s="176"/>
    </row>
    <row r="111" spans="1:17" x14ac:dyDescent="0.2">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heetViews>
  <sheetFormatPr defaultColWidth="9" defaultRowHeight="14.25" x14ac:dyDescent="0.2"/>
  <cols>
    <col min="1" max="1" width="2.875" style="73" customWidth="1"/>
    <col min="2" max="2" width="19.875" style="73" customWidth="1"/>
    <col min="3" max="5" width="30.625" style="73" customWidth="1"/>
    <col min="6" max="6" width="9.75" style="73" customWidth="1"/>
    <col min="7" max="7" width="15.25" style="73" customWidth="1"/>
    <col min="8" max="8" width="9" style="73"/>
    <col min="9" max="9" width="10" style="73" customWidth="1"/>
    <col min="10" max="16384" width="9" style="73"/>
  </cols>
  <sheetData>
    <row r="1" spans="1:11" ht="15" x14ac:dyDescent="0.25">
      <c r="B1" s="362" t="s">
        <v>476</v>
      </c>
      <c r="C1" s="362"/>
      <c r="D1" s="362"/>
    </row>
    <row r="2" spans="1:11" ht="14.25" customHeight="1" x14ac:dyDescent="0.2"/>
    <row r="3" spans="1:11" ht="15" x14ac:dyDescent="0.25">
      <c r="B3" s="57" t="s">
        <v>482</v>
      </c>
    </row>
    <row r="4" spans="1:11" x14ac:dyDescent="0.2">
      <c r="B4" s="142" t="s">
        <v>483</v>
      </c>
    </row>
    <row r="5" spans="1:11" hidden="1" x14ac:dyDescent="0.2"/>
    <row r="6" spans="1:11" ht="15" hidden="1" customHeight="1" x14ac:dyDescent="0.2">
      <c r="A6" s="78"/>
      <c r="B6" s="79"/>
      <c r="C6" s="79"/>
      <c r="D6" s="79"/>
      <c r="E6" s="79"/>
      <c r="F6" s="79"/>
      <c r="G6" s="79"/>
      <c r="H6" s="79"/>
      <c r="I6" s="79"/>
      <c r="J6" s="79"/>
      <c r="K6" s="79"/>
    </row>
    <row r="7" spans="1:11" ht="14.25" hidden="1" customHeight="1" x14ac:dyDescent="0.2">
      <c r="A7" s="78"/>
      <c r="B7" s="79"/>
      <c r="C7" s="79"/>
      <c r="D7" s="79"/>
      <c r="E7" s="79"/>
      <c r="F7" s="79"/>
      <c r="G7" s="79"/>
      <c r="H7" s="79"/>
      <c r="I7" s="79"/>
      <c r="J7" s="79"/>
      <c r="K7" s="79"/>
    </row>
    <row r="8" spans="1:11" x14ac:dyDescent="0.2">
      <c r="B8" s="79"/>
      <c r="C8" s="79"/>
      <c r="D8" s="79"/>
      <c r="E8" s="79"/>
      <c r="F8" s="79"/>
      <c r="G8" s="79"/>
      <c r="H8" s="79"/>
      <c r="I8" s="79"/>
      <c r="J8" s="79"/>
      <c r="K8" s="79"/>
    </row>
    <row r="9" spans="1:11" ht="15" x14ac:dyDescent="0.25">
      <c r="B9" s="57" t="s">
        <v>437</v>
      </c>
    </row>
    <row r="11" spans="1:11" ht="42.75" x14ac:dyDescent="0.2">
      <c r="B11" s="122" t="s">
        <v>254</v>
      </c>
      <c r="C11" s="122" t="s">
        <v>455</v>
      </c>
      <c r="D11" s="122" t="s">
        <v>456</v>
      </c>
      <c r="E11" s="122" t="s">
        <v>457</v>
      </c>
      <c r="F11" s="123" t="s">
        <v>297</v>
      </c>
      <c r="G11" s="123" t="s">
        <v>468</v>
      </c>
      <c r="H11" s="123" t="s">
        <v>463</v>
      </c>
      <c r="I11" s="123" t="s">
        <v>881</v>
      </c>
      <c r="J11" s="123" t="s">
        <v>296</v>
      </c>
    </row>
    <row r="12" spans="1:11" x14ac:dyDescent="0.2">
      <c r="B12" s="221" t="str">
        <f>IF(Capacity!B17=0,"",Capacity!B17)</f>
        <v/>
      </c>
      <c r="C12" s="134"/>
      <c r="D12" s="134"/>
      <c r="E12" s="134"/>
      <c r="F12" s="218" t="str">
        <f>IF(ROW(A1)&lt;=Capacity!$A$16,Capacity!E17,"")</f>
        <v/>
      </c>
      <c r="G12" s="219" t="str">
        <f>IF(ROW(A1)&lt;=Capacity!$A$16,'Capacity calculation (hide)'!BH5,"")</f>
        <v/>
      </c>
      <c r="H12" s="218" t="str">
        <f>IF(ROW(A1)&lt;=Capacity!$A$16,Capacity!H17,"")</f>
        <v/>
      </c>
      <c r="I12" s="220" t="str">
        <f>IF(ROW(A1)&lt;=Capacity!$A$16,'Capacity calculation (hide)'!DK5,"")</f>
        <v/>
      </c>
      <c r="J12" s="221" t="str">
        <f>IFERROR(IF(G12-F12 &lt;0, "Under","Over"),"")</f>
        <v/>
      </c>
    </row>
    <row r="13" spans="1:11" x14ac:dyDescent="0.2">
      <c r="B13" s="221" t="str">
        <f>IF(Capacity!B18=0,"",Capacity!B18)</f>
        <v/>
      </c>
      <c r="C13" s="134"/>
      <c r="D13" s="134"/>
      <c r="E13" s="134"/>
      <c r="F13" s="218" t="str">
        <f>IF(ROW(A2)&lt;=Capacity!$A$16,Capacity!E18,"")</f>
        <v/>
      </c>
      <c r="G13" s="219" t="str">
        <f>IF(ROW(A2)&lt;=Capacity!$A$16,'Capacity calculation (hide)'!BH6,"")</f>
        <v/>
      </c>
      <c r="H13" s="218" t="str">
        <f>IF(ROW(A2)&lt;=Capacity!$A$16,Capacity!H18,"")</f>
        <v/>
      </c>
      <c r="I13" s="220" t="str">
        <f>IF(ROW(A2)&lt;=Capacity!$A$16,'Capacity calculation (hide)'!DK6,"")</f>
        <v/>
      </c>
      <c r="J13" s="221" t="str">
        <f t="shared" ref="J13:J76" si="0">IFERROR(IF(G13-F13 &lt;0, "Under","Over"),"")</f>
        <v/>
      </c>
    </row>
    <row r="14" spans="1:11" x14ac:dyDescent="0.2">
      <c r="B14" s="221" t="str">
        <f>IF(Capacity!B19=0,"",Capacity!B19)</f>
        <v/>
      </c>
      <c r="C14" s="134"/>
      <c r="D14" s="134"/>
      <c r="E14" s="134"/>
      <c r="F14" s="218" t="str">
        <f>IF(ROW(A3)&lt;=Capacity!$A$16,Capacity!E19,"")</f>
        <v/>
      </c>
      <c r="G14" s="219" t="str">
        <f>IF(ROW(A3)&lt;=Capacity!$A$16,'Capacity calculation (hide)'!BH7,"")</f>
        <v/>
      </c>
      <c r="H14" s="218" t="str">
        <f>IF(ROW(A3)&lt;=Capacity!$A$16,Capacity!H19,"")</f>
        <v/>
      </c>
      <c r="I14" s="220" t="str">
        <f>IF(ROW(A3)&lt;=Capacity!$A$16,'Capacity calculation (hide)'!DK7,"")</f>
        <v/>
      </c>
      <c r="J14" s="221" t="str">
        <f t="shared" si="0"/>
        <v/>
      </c>
    </row>
    <row r="15" spans="1:11" x14ac:dyDescent="0.2">
      <c r="B15" s="221" t="str">
        <f>IF(Capacity!B20=0,"",Capacity!B20)</f>
        <v/>
      </c>
      <c r="C15" s="134"/>
      <c r="D15" s="134"/>
      <c r="E15" s="134"/>
      <c r="F15" s="218" t="str">
        <f>IF(ROW(A4)&lt;=Capacity!$A$16,Capacity!E20,"")</f>
        <v/>
      </c>
      <c r="G15" s="219" t="str">
        <f>IF(ROW(A4)&lt;=Capacity!$A$16,'Capacity calculation (hide)'!BH8,"")</f>
        <v/>
      </c>
      <c r="H15" s="218" t="str">
        <f>IF(ROW(A4)&lt;=Capacity!$A$16,Capacity!H20,"")</f>
        <v/>
      </c>
      <c r="I15" s="220" t="str">
        <f>IF(ROW(A4)&lt;=Capacity!$A$16,'Capacity calculation (hide)'!DK8,"")</f>
        <v/>
      </c>
      <c r="J15" s="221" t="str">
        <f t="shared" si="0"/>
        <v/>
      </c>
    </row>
    <row r="16" spans="1:11" x14ac:dyDescent="0.2">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2">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2">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2">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2">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2">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2">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2">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2">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2">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2">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2">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2">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2">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2">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2">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2">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2">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2">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2">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2">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2">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2">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2">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2">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2">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2">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2">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2">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2">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2">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2">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2">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2">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2">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2">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2">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2">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2">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2">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2">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2">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2">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2">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2">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2">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2">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2">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2">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2">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2">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2">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2">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2">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2">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2">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2">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2">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2">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2">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2">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2">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2">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2">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2">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2">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2">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2">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2">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2">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2">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2">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2">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2">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2">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2">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2">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2">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2">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2">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2">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2">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2">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2">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2">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2">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2">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2">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2">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2">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2">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2">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2">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2">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2">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2">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t="15" hidden="1" x14ac:dyDescent="0.25">
      <c r="B115" s="57" t="s">
        <v>464</v>
      </c>
    </row>
    <row r="116" spans="2:10" hidden="1" x14ac:dyDescent="0.2"/>
    <row r="117" spans="2:10" ht="42.75" hidden="1" x14ac:dyDescent="0.2">
      <c r="B117" s="122" t="s">
        <v>254</v>
      </c>
      <c r="C117" s="122" t="s">
        <v>455</v>
      </c>
      <c r="D117" s="122" t="s">
        <v>456</v>
      </c>
      <c r="E117" s="122" t="s">
        <v>457</v>
      </c>
      <c r="F117" s="123" t="s">
        <v>297</v>
      </c>
      <c r="G117" s="123" t="s">
        <v>468</v>
      </c>
      <c r="H117" s="123" t="s">
        <v>463</v>
      </c>
      <c r="I117" s="123" t="s">
        <v>467</v>
      </c>
      <c r="J117" s="123" t="s">
        <v>296</v>
      </c>
    </row>
    <row r="118" spans="2:10" hidden="1" x14ac:dyDescent="0.2">
      <c r="B118" s="221" t="str">
        <f>IF(Capacity!N17=0,"",Capacity!N17)</f>
        <v/>
      </c>
      <c r="C118" s="134"/>
      <c r="D118" s="134"/>
      <c r="E118" s="134"/>
      <c r="F118" s="218" t="str">
        <f>IF(ROW(A1)&lt;=Capacity!$M$16,Capacity!Q17,"")</f>
        <v/>
      </c>
      <c r="G118" s="330" t="str">
        <f>IF(ROW(A1)&lt;=Capacity!$M$16,'Capacity calculation (hide)'!BH112,"")</f>
        <v/>
      </c>
      <c r="H118" s="218" t="str">
        <f>IF(ROW(A1)&lt;=Capacity!$M$16,Capacity!T17,"")</f>
        <v/>
      </c>
      <c r="I118" s="220" t="str">
        <f>IF(ROW(A1)&lt;=Capacity!$M$16,'Capacity calculation (hide)'!DK111,"")</f>
        <v/>
      </c>
      <c r="J118" s="221" t="str">
        <f>IFERROR(IF(G118-F118 &lt;0, "Under","Over"),"")</f>
        <v/>
      </c>
    </row>
    <row r="119" spans="2:10" hidden="1" x14ac:dyDescent="0.2">
      <c r="B119" s="221" t="str">
        <f>IF(Capacity!N18=0,"",Capacity!N18)</f>
        <v/>
      </c>
      <c r="C119" s="134"/>
      <c r="D119" s="134"/>
      <c r="E119" s="134"/>
      <c r="F119" s="218" t="str">
        <f>IF(ROW(A2)&lt;=Capacity!$M$16,Capacity!Q18,"")</f>
        <v/>
      </c>
      <c r="G119" s="330" t="str">
        <f>IF(ROW(A2)&lt;=Capacity!$M$16,'Capacity calculation (hide)'!BH113,"")</f>
        <v/>
      </c>
      <c r="H119" s="218" t="str">
        <f>IF(ROW(A2)&lt;=Capacity!$M$16,Capacity!T18,"")</f>
        <v/>
      </c>
      <c r="I119" s="220" t="str">
        <f>IF(ROW(A2)&lt;=Capacity!$M$16,'Capacity calculation (hide)'!DK112,"")</f>
        <v/>
      </c>
      <c r="J119" s="221" t="str">
        <f t="shared" ref="J119:J182" si="2">IFERROR(IF(G119-F119 &lt;0, "Under","Over"),"")</f>
        <v/>
      </c>
    </row>
    <row r="120" spans="2:10" hidden="1" x14ac:dyDescent="0.2">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2">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2">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2">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2">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2">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2">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2">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2">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2">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2">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2">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2">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2">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2">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2">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2">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2">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2">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2">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2">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2">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2">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2">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2">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2">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2">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2">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2">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2">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2">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2">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2">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2">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2">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2">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2">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2">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2">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2">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2">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2">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2">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2">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2">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2">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2">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2">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2">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2">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2">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2">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2">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2">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2">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2">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2">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2">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2">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2">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2">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2">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2">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2">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2">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2">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2">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2">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2">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2">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2">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2">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2">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2">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2">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2">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2">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2">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2">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2">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2">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2">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2">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2">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2">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2">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2">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2">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2">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2">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2">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2">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2">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2">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2">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2">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2">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2">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B1" sqref="B1"/>
    </sheetView>
  </sheetViews>
  <sheetFormatPr defaultColWidth="9" defaultRowHeight="14.25" x14ac:dyDescent="0.2"/>
  <cols>
    <col min="1" max="1" width="0.25" style="68" customWidth="1"/>
    <col min="2" max="2" width="19.625" style="68" customWidth="1"/>
    <col min="3" max="3" width="9.25" style="68" customWidth="1"/>
    <col min="4" max="4" width="10.625" style="68" customWidth="1"/>
    <col min="5" max="5" width="9.25" style="68" customWidth="1"/>
    <col min="6" max="6" width="10.625" style="68" customWidth="1"/>
    <col min="7" max="7" width="6.125" style="68" customWidth="1"/>
    <col min="8" max="9" width="2.125" style="68" customWidth="1"/>
    <col min="10" max="10" width="2.25" style="68" customWidth="1"/>
    <col min="11" max="12" width="2.125" style="68" customWidth="1"/>
    <col min="13" max="13" width="2.5" style="68" customWidth="1"/>
    <col min="14" max="16" width="2.125" style="68" customWidth="1"/>
    <col min="17" max="17" width="2.375" style="68" customWidth="1"/>
    <col min="18" max="19" width="2.125" style="68" customWidth="1"/>
    <col min="20" max="20" width="2.375" style="68" customWidth="1"/>
    <col min="21" max="21" width="2.125" style="68" customWidth="1"/>
    <col min="22" max="22" width="2.375" style="68" customWidth="1"/>
    <col min="23" max="25" width="2.125" style="68" customWidth="1"/>
    <col min="26" max="26" width="2.25" style="68" customWidth="1"/>
    <col min="27" max="27" width="2.375" style="68" customWidth="1"/>
    <col min="28" max="28" width="2.125" style="68" customWidth="1"/>
    <col min="29" max="29" width="2.25" style="68" customWidth="1"/>
    <col min="30" max="30" width="2.125" style="68" customWidth="1"/>
    <col min="31" max="32" width="2.25" style="68" customWidth="1"/>
    <col min="33" max="33" width="2.125" style="68" customWidth="1"/>
    <col min="34" max="34" width="2.375" style="68" customWidth="1"/>
    <col min="35" max="36" width="2.125" style="68" customWidth="1"/>
    <col min="37" max="37" width="2.5" style="68" customWidth="1"/>
    <col min="38" max="40" width="2.125" style="68" customWidth="1"/>
    <col min="41" max="41" width="2.375" style="68" customWidth="1"/>
    <col min="42" max="44" width="2.125" style="68" customWidth="1"/>
    <col min="45" max="46" width="2.375" style="68" customWidth="1"/>
    <col min="47" max="48" width="2.125" style="68" customWidth="1"/>
    <col min="49" max="49" width="2.25" style="68" customWidth="1"/>
    <col min="50" max="50" width="2.125" style="68" customWidth="1"/>
    <col min="51" max="51" width="2.375" style="68" customWidth="1"/>
    <col min="52" max="52" width="2.125" style="68" customWidth="1"/>
    <col min="53" max="53" width="2.5" style="68" customWidth="1"/>
    <col min="54" max="57" width="2.125" style="68" customWidth="1"/>
    <col min="58" max="58" width="2.375" style="68" customWidth="1"/>
    <col min="59" max="59" width="2.125" style="68" customWidth="1"/>
    <col min="60" max="66" width="9" style="68" customWidth="1"/>
    <col min="67" max="16384" width="9" style="68"/>
  </cols>
  <sheetData>
    <row r="2" spans="2:64" ht="15" x14ac:dyDescent="0.25">
      <c r="B2" s="2" t="s">
        <v>480</v>
      </c>
    </row>
    <row r="3" spans="2:64" x14ac:dyDescent="0.2">
      <c r="C3" s="46" t="s">
        <v>483</v>
      </c>
      <c r="D3" s="46" t="s">
        <v>484</v>
      </c>
    </row>
    <row r="4" spans="2:64" ht="28.5" x14ac:dyDescent="0.2">
      <c r="B4" s="81" t="str">
        <f>"Total Capacity 
("&amp;$C$16&amp;" per year):"</f>
        <v>Total Capacity 
(Patients per year):</v>
      </c>
      <c r="C4" s="224">
        <f>'Capacity calculation (hide)'!DK4</f>
        <v>0</v>
      </c>
      <c r="D4" s="224">
        <f>'Capacity calculation (hide)'!DK111</f>
        <v>0</v>
      </c>
      <c r="E4" s="137"/>
      <c r="F4" s="137"/>
    </row>
    <row r="5" spans="2:64" x14ac:dyDescent="0.2">
      <c r="H5" s="80"/>
      <c r="I5" s="80"/>
      <c r="J5" s="80"/>
      <c r="K5" s="80"/>
      <c r="L5" s="80"/>
      <c r="M5" s="80"/>
      <c r="N5" s="80"/>
      <c r="O5" s="80"/>
      <c r="P5" s="80"/>
      <c r="Q5" s="80"/>
      <c r="R5" s="80"/>
      <c r="S5" s="80"/>
      <c r="T5" s="80"/>
      <c r="U5" s="80"/>
      <c r="V5" s="80"/>
      <c r="W5" s="80"/>
      <c r="X5" s="80"/>
      <c r="Y5" s="80"/>
    </row>
    <row r="6" spans="2:64" ht="14.25" customHeight="1" x14ac:dyDescent="0.2">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
      <c r="B10" s="135" t="s">
        <v>474</v>
      </c>
      <c r="C10" s="372" t="s">
        <v>58</v>
      </c>
      <c r="D10" s="372"/>
      <c r="E10" s="372"/>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
      <c r="B11" s="136" t="s">
        <v>475</v>
      </c>
      <c r="C11" s="372" t="s">
        <v>58</v>
      </c>
      <c r="D11" s="372"/>
      <c r="E11" s="372"/>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ht="15" x14ac:dyDescent="0.2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
      <c r="B14" s="82" t="s">
        <v>1168</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ht="15" x14ac:dyDescent="0.2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
      <c r="B21" s="363" t="s">
        <v>1183</v>
      </c>
      <c r="C21" s="366" t="s">
        <v>489</v>
      </c>
      <c r="D21" s="367"/>
      <c r="E21" s="367" t="s">
        <v>486</v>
      </c>
      <c r="F21" s="370"/>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
      <c r="B22" s="364"/>
      <c r="C22" s="368"/>
      <c r="D22" s="369"/>
      <c r="E22" s="369"/>
      <c r="F22" s="371"/>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8.5" x14ac:dyDescent="0.2">
      <c r="B23" s="365"/>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
      <c r="B24" s="222" t="str">
        <f>IF(Capacity!N17="","",Capacity!N17)</f>
        <v/>
      </c>
      <c r="C24" s="223" t="str">
        <f>IF(B24="","",Capacity!Q17)</f>
        <v/>
      </c>
      <c r="D24" s="317" t="str">
        <f>IF(B24="","",Capacity!R17)</f>
        <v/>
      </c>
      <c r="E24" s="223" t="str">
        <f>IF(B24="","",IF(COUNTIF(H24:BG24,"X")=0,SUM('Capacity calculation (hide)'!H112:BG112),COUNTIF(H24:BG24,"X")))</f>
        <v/>
      </c>
      <c r="F24" s="318" t="str">
        <f>'Capacity calculation (hide)'!BI112</f>
        <v/>
      </c>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
      <c r="B25" s="222" t="str">
        <f>IF(Capacity!N18="","",Capacity!N18)</f>
        <v/>
      </c>
      <c r="C25" s="223" t="str">
        <f>IF(B25="","",Capacity!Q18)</f>
        <v/>
      </c>
      <c r="D25" s="317" t="str">
        <f>IF(B25="","",Capacity!R18)</f>
        <v/>
      </c>
      <c r="E25" s="223" t="str">
        <f>IF(B25="","",IF(COUNTIF(H25:BG25,"X")=0,SUM('Capacity calculation (hide)'!H113:BG113),COUNTIF(H25:BG25,"X")))</f>
        <v/>
      </c>
      <c r="F25" s="318" t="str">
        <f>'Capacity calculation (hide)'!BI113</f>
        <v/>
      </c>
      <c r="H25" s="158"/>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
      <c r="B124" s="68" t="str">
        <f>IF(Capacity!B17="","",Capacity!B17)</f>
        <v/>
      </c>
      <c r="C124" s="223" t="str">
        <f>IF(B124="","",Capacity!E17)</f>
        <v/>
      </c>
      <c r="D124" s="317" t="str">
        <f>IF(B124="","",Capacity!F17)</f>
        <v/>
      </c>
      <c r="E124" s="223" t="str">
        <f>IF(B124="","",IF(COUNTIF(H124:BG124,"X")=0,SUM('Capacity calculation (hide)'!H5:BG5),COUNTIF(H124:BG124,"X")))</f>
        <v/>
      </c>
      <c r="F124" s="318" t="str">
        <f>'Capacity calculation (hide)'!BI5</f>
        <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2">
      <c r="B125" s="68" t="str">
        <f>IF(Capacity!B18="","",Capacity!B18)</f>
        <v/>
      </c>
      <c r="C125" s="223" t="str">
        <f>IF(B125="","",Capacity!E18)</f>
        <v/>
      </c>
      <c r="D125" s="317" t="str">
        <f>IF(B125="","",Capacity!F18)</f>
        <v/>
      </c>
      <c r="E125" s="223" t="str">
        <f>IF(B125="","",IF(COUNTIF(H125:BG125,"X")=0,SUM('Capacity calculation (hide)'!H6:BG6),COUNTIF(H125:BG125,"X")))</f>
        <v/>
      </c>
      <c r="F125" s="318" t="str">
        <f>'Capacity calculation (hide)'!BI6</f>
        <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
      <c r="B126" s="68" t="str">
        <f>IF(Capacity!B19="","",Capacity!B19)</f>
        <v/>
      </c>
      <c r="C126" s="223" t="str">
        <f>IF(B126="","",Capacity!E19)</f>
        <v/>
      </c>
      <c r="D126" s="317" t="str">
        <f>IF(B126="","",Capacity!F19)</f>
        <v/>
      </c>
      <c r="E126" s="223" t="str">
        <f>IF(B126="","",IF(COUNTIF(H126:BG126,"X")=0,SUM('Capacity calculation (hide)'!H7:BG7),COUNTIF(H126:BG126,"X")))</f>
        <v/>
      </c>
      <c r="F126" s="318" t="str">
        <f>'Capacity calculation (hide)'!BI7</f>
        <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
      <c r="B127" s="68" t="str">
        <f>IF(Capacity!B20="","",Capacity!B20)</f>
        <v/>
      </c>
      <c r="C127" s="223" t="str">
        <f>IF(B127="","",Capacity!E20)</f>
        <v/>
      </c>
      <c r="D127" s="317" t="str">
        <f>IF(B127="","",Capacity!F20)</f>
        <v/>
      </c>
      <c r="E127" s="223" t="str">
        <f>IF(B127="","",IF(COUNTIF(H127:BG127,"X")=0,SUM('Capacity calculation (hide)'!H8:BG8),COUNTIF(H127:BG127,"X")))</f>
        <v/>
      </c>
      <c r="F127" s="318" t="str">
        <f>'Capacity calculation (hide)'!BI8</f>
        <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161925</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defaultColWidth="9" defaultRowHeight="14.25" x14ac:dyDescent="0.2"/>
  <cols>
    <col min="1" max="1" width="9.875" style="68" bestFit="1" customWidth="1"/>
    <col min="2" max="2" width="17.875" style="68" bestFit="1" customWidth="1"/>
    <col min="3" max="6" width="10.375" style="68" customWidth="1"/>
    <col min="7" max="7" width="16.625" style="68" customWidth="1"/>
    <col min="8" max="9" width="10.375" style="68" customWidth="1"/>
    <col min="10" max="19" width="9" style="68" customWidth="1"/>
    <col min="20" max="20" width="14.875" style="68" customWidth="1"/>
    <col min="21" max="100" width="9" style="68" customWidth="1"/>
    <col min="101" max="101" width="9.875" style="68" bestFit="1" customWidth="1"/>
    <col min="102" max="103" width="9" style="68"/>
    <col min="104" max="104" width="10" style="68" bestFit="1" customWidth="1"/>
    <col min="105" max="208" width="9" style="68" customWidth="1"/>
    <col min="209" max="16384" width="9" style="68"/>
  </cols>
  <sheetData>
    <row r="1" spans="1:72" x14ac:dyDescent="0.2">
      <c r="B1" s="68" t="s">
        <v>294</v>
      </c>
      <c r="C1" s="68">
        <v>1</v>
      </c>
    </row>
    <row r="2" spans="1:72" x14ac:dyDescent="0.2">
      <c r="A2" s="68" t="s">
        <v>445</v>
      </c>
      <c r="H2" s="68" t="s">
        <v>1176</v>
      </c>
      <c r="I2" s="68">
        <f t="array" aca="1" ref="I2" ca="1">IF(OR(I6:I105-H6:H105&lt;0,K6:K105-J6:J105&lt;0,M6:M105-L6:L105&lt;0,O6:O105-N6:N105&lt;0,Q6:Q105-P6:P105&lt;0),1,0)</f>
        <v>0</v>
      </c>
    </row>
    <row r="3" spans="1:72" x14ac:dyDescent="0.2">
      <c r="T3" s="68" t="s">
        <v>452</v>
      </c>
    </row>
    <row r="4" spans="1:72" ht="15" x14ac:dyDescent="0.25">
      <c r="B4" s="2"/>
      <c r="C4" s="2"/>
      <c r="D4" s="2" t="s">
        <v>471</v>
      </c>
      <c r="E4" s="2"/>
      <c r="F4" s="2"/>
      <c r="G4" s="117"/>
      <c r="H4" s="2" t="s">
        <v>447</v>
      </c>
      <c r="I4" s="2"/>
      <c r="J4" s="2" t="s">
        <v>448</v>
      </c>
      <c r="K4" s="2"/>
      <c r="L4" s="2" t="s">
        <v>449</v>
      </c>
      <c r="M4" s="2"/>
      <c r="N4" s="2" t="s">
        <v>450</v>
      </c>
      <c r="O4" s="2"/>
      <c r="P4" s="2" t="s">
        <v>451</v>
      </c>
      <c r="Q4" s="2"/>
      <c r="U4" s="2" t="s">
        <v>250</v>
      </c>
    </row>
    <row r="5" spans="1:72" ht="15" x14ac:dyDescent="0.2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
      <c r="A6" s="327">
        <f ca="1">B6+6</f>
        <v>44514</v>
      </c>
      <c r="B6" s="88">
        <f ca="1">IF('Critical resources'!$D$3="",TODAY()-WEEKDAY(TODAY(),3)+7,'Critical resources'!D3-WEEKDAY('Critical resources'!D3,3))</f>
        <v>44508</v>
      </c>
      <c r="C6" s="68">
        <v>1</v>
      </c>
      <c r="D6" s="68">
        <f ca="1">YEAR(B6)</f>
        <v>2021</v>
      </c>
      <c r="E6" s="68" t="str">
        <f t="shared" ref="E6:E54" ca="1" si="0">IF(TEXT(B6,"MMM")=TEXT(B5,"MMM")," ",TEXT(B6,"MMM"))</f>
        <v>Nov</v>
      </c>
      <c r="F6" s="68">
        <f ca="1">WEEKNUM(B6,21)</f>
        <v>45</v>
      </c>
      <c r="G6" s="68" t="str">
        <f>ROW(A1)&amp;". "&amp;'Critical resources'!B12</f>
        <v xml:space="preserve">1. </v>
      </c>
      <c r="H6" s="68">
        <f ca="1">IFERROR(VLOOKUP('Critical resources'!D12,$B$6:$C$57,2,0),0)</f>
        <v>0</v>
      </c>
      <c r="I6" s="68">
        <f ca="1">IFERROR(VLOOKUP('Critical resources'!E12,$A$6:$C$57,3,0),0)</f>
        <v>0</v>
      </c>
      <c r="J6" s="68">
        <f ca="1">IFERROR(VLOOKUP('Critical resources'!G12,$B$6:$C$57,2,0),0)</f>
        <v>0</v>
      </c>
      <c r="K6" s="68">
        <f ca="1">IFERROR(VLOOKUP('Critical resources'!H12,$A$6:$C$57,3,0),0)</f>
        <v>0</v>
      </c>
      <c r="L6" s="68">
        <f ca="1">IFERROR(VLOOKUP('Critical resources'!J12,$B$6:$C$57,2,0),0)</f>
        <v>0</v>
      </c>
      <c r="M6" s="68">
        <f ca="1">IFERROR(VLOOKUP('Critical resources'!K12,$A$6:$C$57,3,0),0)</f>
        <v>0</v>
      </c>
      <c r="N6" s="68">
        <f ca="1">IFERROR(VLOOKUP('Critical resources'!M12,$B$6:$C$57,2,0),0)</f>
        <v>0</v>
      </c>
      <c r="O6" s="68">
        <f ca="1">IFERROR(VLOOKUP('Critical resources'!N12,$A$6:$C$57,3,0),0)</f>
        <v>0</v>
      </c>
      <c r="P6" s="68">
        <f ca="1">IFERROR(VLOOKUP('Critical resources'!P12,$B$6:$C$57,2,0),0)</f>
        <v>0</v>
      </c>
      <c r="Q6" s="68">
        <f ca="1">IFERROR(VLOOKUP('Critical resources'!Q12,$A$6:$C$57,3,0),0)</f>
        <v>0</v>
      </c>
      <c r="T6" s="68" t="str">
        <f t="shared" ref="T6:T37" si="1">G6</f>
        <v xml:space="preserve">1. </v>
      </c>
      <c r="U6" s="68">
        <f ca="1">SUM(IFERROR(IF(AND(U$5&gt;=$H6,U$5&lt;=$I6),1,0),0),IFERROR(IF(AND(U$5&gt;=$J6,U$5&lt;=$K6),1,0),0),IFERROR(IF(AND(U$5&gt;=$L6,U$5&lt;=$M6),1,0),0),IFERROR(IF(AND(U$5&gt;=$N6,U$5&lt;=$O6),1,0),0),IFERROR(IF(AND(U$5&gt;=$P6,U$5&lt;=$Q6),1,0),0))</f>
        <v>0</v>
      </c>
      <c r="V6" s="68">
        <f t="shared" ref="V6:AK21" ca="1" si="2">SUM(IFERROR(IF(AND(V$5&gt;=$H6,V$5&lt;=$I6),1,0),0),IFERROR(IF(AND(V$5&gt;=$J6,V$5&lt;=$K6),1,0),0),IFERROR(IF(AND(V$5&gt;=$L6,V$5&lt;=$M6),1,0),0),IFERROR(IF(AND(V$5&gt;=$N6,V$5&lt;=$O6),1,0),0),IFERROR(IF(AND(V$5&gt;=$P6,V$5&lt;=$Q6),1,0),0))</f>
        <v>0</v>
      </c>
      <c r="W6" s="68">
        <f t="shared" ca="1" si="2"/>
        <v>0</v>
      </c>
      <c r="X6" s="68">
        <f t="shared" ca="1" si="2"/>
        <v>0</v>
      </c>
      <c r="Y6" s="68">
        <f t="shared" ca="1" si="2"/>
        <v>0</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0</v>
      </c>
      <c r="AP6" s="68">
        <f t="shared" ca="1" si="3"/>
        <v>0</v>
      </c>
      <c r="AQ6" s="68">
        <f t="shared" ca="1" si="3"/>
        <v>0</v>
      </c>
      <c r="AR6" s="68">
        <f t="shared" ca="1" si="3"/>
        <v>0</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0</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
      <c r="A7" s="327">
        <f t="shared" ref="A7:A57" ca="1" si="6">B7+6</f>
        <v>44521</v>
      </c>
      <c r="B7" s="88">
        <f ca="1">B6+7</f>
        <v>44515</v>
      </c>
      <c r="C7" s="68">
        <v>2</v>
      </c>
      <c r="D7" s="68" t="str">
        <f ca="1">IF(YEAR(B7)=YEAR(B6),"",YEAR(B7))</f>
        <v/>
      </c>
      <c r="E7" s="68" t="str">
        <f t="shared" ca="1" si="0"/>
        <v xml:space="preserve"> </v>
      </c>
      <c r="F7" s="68">
        <f t="shared" ref="F7:F57" ca="1" si="7">WEEKNUM(B7,21)</f>
        <v>46</v>
      </c>
      <c r="G7" s="68" t="str">
        <f>ROW(A2)&amp;". "&amp;'Critical resources'!B13</f>
        <v xml:space="preserve">2. </v>
      </c>
      <c r="H7" s="68">
        <f ca="1">IFERROR(VLOOKUP('Critical resources'!D13,$B$6:$C$57,2,0),0)</f>
        <v>0</v>
      </c>
      <c r="I7" s="68">
        <f ca="1">IFERROR(VLOOKUP('Critical resources'!E13,$A$6:$C$57,3,0),0)</f>
        <v>0</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 xml:space="preserve">2. </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0</v>
      </c>
      <c r="BC7" s="68">
        <f t="shared" ca="1" si="4"/>
        <v>0</v>
      </c>
      <c r="BD7" s="68">
        <f t="shared" ca="1" si="4"/>
        <v>0</v>
      </c>
      <c r="BE7" s="68">
        <f t="shared" ca="1" si="4"/>
        <v>0</v>
      </c>
      <c r="BF7" s="68">
        <f t="shared" ca="1" si="4"/>
        <v>0</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
      <c r="A8" s="327">
        <f t="shared" ca="1" si="6"/>
        <v>44528</v>
      </c>
      <c r="B8" s="88">
        <f t="shared" ref="B8:B57" ca="1" si="9">B7+7</f>
        <v>44522</v>
      </c>
      <c r="C8" s="68">
        <v>3</v>
      </c>
      <c r="D8" s="68" t="str">
        <f t="shared" ref="D8:D57" ca="1" si="10">IF(YEAR(B8)=YEAR(B7),"",YEAR(B8))</f>
        <v/>
      </c>
      <c r="E8" s="68" t="str">
        <f t="shared" ca="1" si="0"/>
        <v xml:space="preserve"> </v>
      </c>
      <c r="F8" s="68">
        <f t="shared" ca="1" si="7"/>
        <v>47</v>
      </c>
      <c r="G8" s="68" t="str">
        <f>ROW(A3)&amp;". "&amp;'Critical resources'!B14</f>
        <v xml:space="preserve">3. </v>
      </c>
      <c r="H8" s="68">
        <f ca="1">IFERROR(VLOOKUP('Critical resources'!D14,$B$6:$C$57,2,0),0)</f>
        <v>0</v>
      </c>
      <c r="I8" s="68">
        <f ca="1">IFERROR(VLOOKUP('Critical resources'!E14,$A$6:$C$57,3,0),0)</f>
        <v>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 xml:space="preserve">3. </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0</v>
      </c>
      <c r="AJ8" s="68">
        <f t="shared" ca="1" si="2"/>
        <v>0</v>
      </c>
      <c r="AK8" s="68">
        <f t="shared" ca="1" si="2"/>
        <v>0</v>
      </c>
      <c r="AL8" s="68">
        <f t="shared" ca="1" si="3"/>
        <v>0</v>
      </c>
      <c r="AM8" s="68">
        <f t="shared" ca="1" si="3"/>
        <v>0</v>
      </c>
      <c r="AN8" s="68">
        <f t="shared" ca="1" si="3"/>
        <v>0</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
      <c r="A9" s="327">
        <f t="shared" ca="1" si="6"/>
        <v>44535</v>
      </c>
      <c r="B9" s="88">
        <f t="shared" ca="1" si="9"/>
        <v>44529</v>
      </c>
      <c r="C9" s="68">
        <v>4</v>
      </c>
      <c r="D9" s="68" t="str">
        <f t="shared" ca="1" si="10"/>
        <v/>
      </c>
      <c r="E9" s="68" t="str">
        <f t="shared" ca="1" si="0"/>
        <v xml:space="preserve"> </v>
      </c>
      <c r="F9" s="68">
        <f t="shared" ca="1" si="7"/>
        <v>48</v>
      </c>
      <c r="G9" s="68" t="str">
        <f>ROW(A4)&amp;". "&amp;'Critical resources'!B15</f>
        <v xml:space="preserve">4. </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 xml:space="preserve">4. </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
      <c r="A10" s="327">
        <f t="shared" ca="1" si="6"/>
        <v>44542</v>
      </c>
      <c r="B10" s="88">
        <f t="shared" ca="1" si="9"/>
        <v>44536</v>
      </c>
      <c r="C10" s="68">
        <v>5</v>
      </c>
      <c r="D10" s="68" t="str">
        <f t="shared" ca="1" si="10"/>
        <v/>
      </c>
      <c r="E10" s="68" t="str">
        <f t="shared" ca="1" si="0"/>
        <v>Dec</v>
      </c>
      <c r="F10" s="68">
        <f t="shared" ca="1" si="7"/>
        <v>49</v>
      </c>
      <c r="G10" s="68" t="str">
        <f>ROW(A5)&amp;". "&amp;'Critical resources'!B16</f>
        <v xml:space="preserve">5. </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 xml:space="preserve">5. </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
      <c r="A11" s="327">
        <f t="shared" ca="1" si="6"/>
        <v>44549</v>
      </c>
      <c r="B11" s="88">
        <f t="shared" ca="1" si="9"/>
        <v>44543</v>
      </c>
      <c r="C11" s="68">
        <v>6</v>
      </c>
      <c r="D11" s="68" t="str">
        <f t="shared" ca="1" si="10"/>
        <v/>
      </c>
      <c r="E11" s="68" t="str">
        <f t="shared" ca="1" si="0"/>
        <v xml:space="preserve"> </v>
      </c>
      <c r="F11" s="68">
        <f t="shared" ca="1" si="7"/>
        <v>50</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
      <c r="A12" s="327">
        <f t="shared" ca="1" si="6"/>
        <v>44556</v>
      </c>
      <c r="B12" s="88">
        <f t="shared" ca="1" si="9"/>
        <v>44550</v>
      </c>
      <c r="C12" s="68">
        <v>7</v>
      </c>
      <c r="D12" s="68" t="str">
        <f t="shared" ca="1" si="10"/>
        <v/>
      </c>
      <c r="E12" s="68" t="str">
        <f t="shared" ca="1" si="0"/>
        <v xml:space="preserve"> </v>
      </c>
      <c r="F12" s="68">
        <f t="shared" ca="1" si="7"/>
        <v>51</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
      <c r="A13" s="327">
        <f t="shared" ca="1" si="6"/>
        <v>44563</v>
      </c>
      <c r="B13" s="88">
        <f t="shared" ca="1" si="9"/>
        <v>44557</v>
      </c>
      <c r="C13" s="68">
        <v>8</v>
      </c>
      <c r="D13" s="68" t="str">
        <f t="shared" ca="1" si="10"/>
        <v/>
      </c>
      <c r="E13" s="68" t="str">
        <f t="shared" ca="1" si="0"/>
        <v xml:space="preserve"> </v>
      </c>
      <c r="F13" s="68">
        <f t="shared" ca="1" si="7"/>
        <v>52</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
      <c r="A14" s="327">
        <f t="shared" ca="1" si="6"/>
        <v>44570</v>
      </c>
      <c r="B14" s="88">
        <f t="shared" ca="1" si="9"/>
        <v>44564</v>
      </c>
      <c r="C14" s="68">
        <v>9</v>
      </c>
      <c r="D14" s="68">
        <f t="shared" ca="1" si="10"/>
        <v>2022</v>
      </c>
      <c r="E14" s="68" t="str">
        <f t="shared" ca="1" si="0"/>
        <v>Jan</v>
      </c>
      <c r="F14" s="68">
        <f t="shared" ca="1" si="7"/>
        <v>1</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
      <c r="A15" s="327">
        <f t="shared" ca="1" si="6"/>
        <v>44577</v>
      </c>
      <c r="B15" s="88">
        <f t="shared" ca="1" si="9"/>
        <v>44571</v>
      </c>
      <c r="C15" s="68">
        <v>10</v>
      </c>
      <c r="D15" s="68" t="str">
        <f t="shared" ca="1" si="10"/>
        <v/>
      </c>
      <c r="E15" s="68" t="str">
        <f t="shared" ca="1" si="0"/>
        <v xml:space="preserve"> </v>
      </c>
      <c r="F15" s="68">
        <f t="shared" ca="1" si="7"/>
        <v>2</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
      <c r="A16" s="327">
        <f t="shared" ca="1" si="6"/>
        <v>44584</v>
      </c>
      <c r="B16" s="88">
        <f t="shared" ca="1" si="9"/>
        <v>44578</v>
      </c>
      <c r="C16" s="68">
        <v>11</v>
      </c>
      <c r="D16" s="68" t="str">
        <f t="shared" ca="1" si="10"/>
        <v/>
      </c>
      <c r="E16" s="68" t="str">
        <f t="shared" ca="1" si="0"/>
        <v xml:space="preserve"> </v>
      </c>
      <c r="F16" s="68">
        <f t="shared" ca="1" si="7"/>
        <v>3</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
      <c r="A17" s="327">
        <f t="shared" ca="1" si="6"/>
        <v>44591</v>
      </c>
      <c r="B17" s="88">
        <f t="shared" ca="1" si="9"/>
        <v>44585</v>
      </c>
      <c r="C17" s="68">
        <v>12</v>
      </c>
      <c r="D17" s="68" t="str">
        <f t="shared" ca="1" si="10"/>
        <v/>
      </c>
      <c r="E17" s="68" t="str">
        <f t="shared" ca="1" si="0"/>
        <v xml:space="preserve"> </v>
      </c>
      <c r="F17" s="68">
        <f t="shared" ca="1" si="7"/>
        <v>4</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
      <c r="A18" s="327">
        <f t="shared" ca="1" si="6"/>
        <v>44598</v>
      </c>
      <c r="B18" s="88">
        <f t="shared" ca="1" si="9"/>
        <v>44592</v>
      </c>
      <c r="C18" s="68">
        <v>13</v>
      </c>
      <c r="D18" s="68" t="str">
        <f t="shared" ca="1" si="10"/>
        <v/>
      </c>
      <c r="E18" s="68" t="str">
        <f t="shared" ca="1" si="0"/>
        <v xml:space="preserve"> </v>
      </c>
      <c r="F18" s="68">
        <f t="shared" ca="1" si="7"/>
        <v>5</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
      <c r="A19" s="327">
        <f t="shared" ca="1" si="6"/>
        <v>44605</v>
      </c>
      <c r="B19" s="88">
        <f t="shared" ca="1" si="9"/>
        <v>44599</v>
      </c>
      <c r="C19" s="68">
        <v>14</v>
      </c>
      <c r="D19" s="68" t="str">
        <f t="shared" ca="1" si="10"/>
        <v/>
      </c>
      <c r="E19" s="68" t="str">
        <f t="shared" ca="1" si="0"/>
        <v>Feb</v>
      </c>
      <c r="F19" s="68">
        <f t="shared" ca="1" si="7"/>
        <v>6</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
      <c r="A20" s="327">
        <f t="shared" ca="1" si="6"/>
        <v>44612</v>
      </c>
      <c r="B20" s="88">
        <f t="shared" ca="1" si="9"/>
        <v>44606</v>
      </c>
      <c r="C20" s="68">
        <v>15</v>
      </c>
      <c r="D20" s="68" t="str">
        <f t="shared" ca="1" si="10"/>
        <v/>
      </c>
      <c r="E20" s="68" t="str">
        <f t="shared" ca="1" si="0"/>
        <v xml:space="preserve"> </v>
      </c>
      <c r="F20" s="68">
        <f t="shared" ca="1" si="7"/>
        <v>7</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
      <c r="A21" s="327">
        <f t="shared" ca="1" si="6"/>
        <v>44619</v>
      </c>
      <c r="B21" s="88">
        <f t="shared" ca="1" si="9"/>
        <v>44613</v>
      </c>
      <c r="C21" s="68">
        <v>16</v>
      </c>
      <c r="D21" s="68" t="str">
        <f t="shared" ca="1" si="10"/>
        <v/>
      </c>
      <c r="E21" s="68" t="str">
        <f t="shared" ca="1" si="0"/>
        <v xml:space="preserve"> </v>
      </c>
      <c r="F21" s="68">
        <f t="shared" ca="1" si="7"/>
        <v>8</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
      <c r="A22" s="327">
        <f t="shared" ca="1" si="6"/>
        <v>44626</v>
      </c>
      <c r="B22" s="88">
        <f t="shared" ca="1" si="9"/>
        <v>44620</v>
      </c>
      <c r="C22" s="68">
        <v>17</v>
      </c>
      <c r="D22" s="68" t="str">
        <f t="shared" ca="1" si="10"/>
        <v/>
      </c>
      <c r="E22" s="68" t="str">
        <f t="shared" ca="1" si="0"/>
        <v xml:space="preserve"> </v>
      </c>
      <c r="F22" s="68">
        <f t="shared" ca="1" si="7"/>
        <v>9</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
      <c r="A23" s="327">
        <f t="shared" ca="1" si="6"/>
        <v>44633</v>
      </c>
      <c r="B23" s="88">
        <f t="shared" ca="1" si="9"/>
        <v>44627</v>
      </c>
      <c r="C23" s="68">
        <v>18</v>
      </c>
      <c r="D23" s="68" t="str">
        <f t="shared" ca="1" si="10"/>
        <v/>
      </c>
      <c r="E23" s="68" t="str">
        <f t="shared" ca="1" si="0"/>
        <v>Mar</v>
      </c>
      <c r="F23" s="68">
        <f t="shared" ca="1" si="7"/>
        <v>10</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
      <c r="A24" s="327">
        <f t="shared" ca="1" si="6"/>
        <v>44640</v>
      </c>
      <c r="B24" s="88">
        <f t="shared" ca="1" si="9"/>
        <v>44634</v>
      </c>
      <c r="C24" s="68">
        <v>19</v>
      </c>
      <c r="D24" s="68" t="str">
        <f t="shared" ca="1" si="10"/>
        <v/>
      </c>
      <c r="E24" s="68" t="str">
        <f t="shared" ca="1" si="0"/>
        <v xml:space="preserve"> </v>
      </c>
      <c r="F24" s="68">
        <f t="shared" ca="1" si="7"/>
        <v>11</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
      <c r="A25" s="327">
        <f t="shared" ca="1" si="6"/>
        <v>44647</v>
      </c>
      <c r="B25" s="88">
        <f t="shared" ca="1" si="9"/>
        <v>44641</v>
      </c>
      <c r="C25" s="68">
        <v>20</v>
      </c>
      <c r="D25" s="68" t="str">
        <f t="shared" ca="1" si="10"/>
        <v/>
      </c>
      <c r="E25" s="68" t="str">
        <f t="shared" ca="1" si="0"/>
        <v xml:space="preserve"> </v>
      </c>
      <c r="F25" s="68">
        <f t="shared" ca="1" si="7"/>
        <v>12</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
      <c r="A26" s="327">
        <f t="shared" ca="1" si="6"/>
        <v>44654</v>
      </c>
      <c r="B26" s="88">
        <f t="shared" ca="1" si="9"/>
        <v>44648</v>
      </c>
      <c r="C26" s="68">
        <v>21</v>
      </c>
      <c r="D26" s="68" t="str">
        <f t="shared" ca="1" si="10"/>
        <v/>
      </c>
      <c r="E26" s="68" t="str">
        <f t="shared" ca="1" si="0"/>
        <v xml:space="preserve"> </v>
      </c>
      <c r="F26" s="68">
        <f t="shared" ca="1" si="7"/>
        <v>13</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
      <c r="A27" s="327">
        <f t="shared" ca="1" si="6"/>
        <v>44661</v>
      </c>
      <c r="B27" s="88">
        <f t="shared" ca="1" si="9"/>
        <v>44655</v>
      </c>
      <c r="C27" s="68">
        <v>22</v>
      </c>
      <c r="D27" s="68" t="str">
        <f t="shared" ca="1" si="10"/>
        <v/>
      </c>
      <c r="E27" s="68" t="str">
        <f t="shared" ca="1" si="0"/>
        <v>Apr</v>
      </c>
      <c r="F27" s="68">
        <f t="shared" ca="1" si="7"/>
        <v>14</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
      <c r="A28" s="327">
        <f t="shared" ca="1" si="6"/>
        <v>44668</v>
      </c>
      <c r="B28" s="88">
        <f t="shared" ca="1" si="9"/>
        <v>44662</v>
      </c>
      <c r="C28" s="68">
        <v>23</v>
      </c>
      <c r="D28" s="68" t="str">
        <f t="shared" ca="1" si="10"/>
        <v/>
      </c>
      <c r="E28" s="68" t="str">
        <f t="shared" ca="1" si="0"/>
        <v xml:space="preserve"> </v>
      </c>
      <c r="F28" s="68">
        <f t="shared" ca="1" si="7"/>
        <v>15</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
      <c r="A29" s="327">
        <f t="shared" ca="1" si="6"/>
        <v>44675</v>
      </c>
      <c r="B29" s="88">
        <f t="shared" ca="1" si="9"/>
        <v>44669</v>
      </c>
      <c r="C29" s="68">
        <v>24</v>
      </c>
      <c r="D29" s="68" t="str">
        <f t="shared" ca="1" si="10"/>
        <v/>
      </c>
      <c r="E29" s="68" t="str">
        <f t="shared" ca="1" si="0"/>
        <v xml:space="preserve"> </v>
      </c>
      <c r="F29" s="68">
        <f t="shared" ca="1" si="7"/>
        <v>16</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
      <c r="A30" s="327">
        <f t="shared" ca="1" si="6"/>
        <v>44682</v>
      </c>
      <c r="B30" s="88">
        <f t="shared" ca="1" si="9"/>
        <v>44676</v>
      </c>
      <c r="C30" s="68">
        <v>25</v>
      </c>
      <c r="D30" s="68" t="str">
        <f t="shared" ca="1" si="10"/>
        <v/>
      </c>
      <c r="E30" s="68" t="str">
        <f t="shared" ca="1" si="0"/>
        <v xml:space="preserve"> </v>
      </c>
      <c r="F30" s="68">
        <f t="shared" ca="1" si="7"/>
        <v>17</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
      <c r="A31" s="327">
        <f t="shared" ca="1" si="6"/>
        <v>44689</v>
      </c>
      <c r="B31" s="88">
        <f t="shared" ca="1" si="9"/>
        <v>44683</v>
      </c>
      <c r="C31" s="68">
        <v>26</v>
      </c>
      <c r="D31" s="68" t="str">
        <f t="shared" ca="1" si="10"/>
        <v/>
      </c>
      <c r="E31" s="68" t="str">
        <f t="shared" ca="1" si="0"/>
        <v>May</v>
      </c>
      <c r="F31" s="68">
        <f t="shared" ca="1" si="7"/>
        <v>18</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
      <c r="A32" s="327">
        <f t="shared" ca="1" si="6"/>
        <v>44696</v>
      </c>
      <c r="B32" s="88">
        <f t="shared" ca="1" si="9"/>
        <v>44690</v>
      </c>
      <c r="C32" s="68">
        <v>27</v>
      </c>
      <c r="D32" s="68" t="str">
        <f t="shared" ca="1" si="10"/>
        <v/>
      </c>
      <c r="E32" s="68" t="str">
        <f t="shared" ca="1" si="0"/>
        <v xml:space="preserve"> </v>
      </c>
      <c r="F32" s="68">
        <f t="shared" ca="1" si="7"/>
        <v>19</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
      <c r="A33" s="327">
        <f t="shared" ca="1" si="6"/>
        <v>44703</v>
      </c>
      <c r="B33" s="88">
        <f t="shared" ca="1" si="9"/>
        <v>44697</v>
      </c>
      <c r="C33" s="68">
        <v>28</v>
      </c>
      <c r="D33" s="68" t="str">
        <f t="shared" ca="1" si="10"/>
        <v/>
      </c>
      <c r="E33" s="68" t="str">
        <f t="shared" ca="1" si="0"/>
        <v xml:space="preserve"> </v>
      </c>
      <c r="F33" s="68">
        <f t="shared" ca="1" si="7"/>
        <v>20</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
      <c r="A34" s="327">
        <f t="shared" ca="1" si="6"/>
        <v>44710</v>
      </c>
      <c r="B34" s="88">
        <f t="shared" ca="1" si="9"/>
        <v>44704</v>
      </c>
      <c r="C34" s="68">
        <v>29</v>
      </c>
      <c r="D34" s="68" t="str">
        <f t="shared" ca="1" si="10"/>
        <v/>
      </c>
      <c r="E34" s="68" t="str">
        <f t="shared" ca="1" si="0"/>
        <v xml:space="preserve"> </v>
      </c>
      <c r="F34" s="68">
        <f t="shared" ca="1" si="7"/>
        <v>21</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
      <c r="A35" s="327">
        <f t="shared" ca="1" si="6"/>
        <v>44717</v>
      </c>
      <c r="B35" s="88">
        <f t="shared" ca="1" si="9"/>
        <v>44711</v>
      </c>
      <c r="C35" s="68">
        <v>30</v>
      </c>
      <c r="D35" s="68" t="str">
        <f t="shared" ca="1" si="10"/>
        <v/>
      </c>
      <c r="E35" s="68" t="str">
        <f t="shared" ca="1" si="0"/>
        <v xml:space="preserve"> </v>
      </c>
      <c r="F35" s="68">
        <f t="shared" ca="1" si="7"/>
        <v>22</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
      <c r="A36" s="327">
        <f t="shared" ca="1" si="6"/>
        <v>44724</v>
      </c>
      <c r="B36" s="88">
        <f t="shared" ca="1" si="9"/>
        <v>44718</v>
      </c>
      <c r="C36" s="68">
        <v>31</v>
      </c>
      <c r="D36" s="68" t="str">
        <f t="shared" ca="1" si="10"/>
        <v/>
      </c>
      <c r="E36" s="68" t="str">
        <f t="shared" ca="1" si="0"/>
        <v>Jun</v>
      </c>
      <c r="F36" s="68">
        <f t="shared" ca="1" si="7"/>
        <v>23</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
      <c r="A37" s="327">
        <f t="shared" ca="1" si="6"/>
        <v>44731</v>
      </c>
      <c r="B37" s="88">
        <f t="shared" ca="1" si="9"/>
        <v>44725</v>
      </c>
      <c r="C37" s="68">
        <v>32</v>
      </c>
      <c r="D37" s="68" t="str">
        <f t="shared" ca="1" si="10"/>
        <v/>
      </c>
      <c r="E37" s="68" t="str">
        <f t="shared" ca="1" si="0"/>
        <v xml:space="preserve"> </v>
      </c>
      <c r="F37" s="68">
        <f t="shared" ca="1" si="7"/>
        <v>24</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
      <c r="A38" s="327">
        <f t="shared" ca="1" si="6"/>
        <v>44738</v>
      </c>
      <c r="B38" s="88">
        <f t="shared" ca="1" si="9"/>
        <v>44732</v>
      </c>
      <c r="C38" s="68">
        <v>33</v>
      </c>
      <c r="D38" s="68" t="str">
        <f t="shared" ca="1" si="10"/>
        <v/>
      </c>
      <c r="E38" s="68" t="str">
        <f t="shared" ca="1" si="0"/>
        <v xml:space="preserve"> </v>
      </c>
      <c r="F38" s="68">
        <f t="shared" ca="1" si="7"/>
        <v>25</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
      <c r="A39" s="327">
        <f t="shared" ca="1" si="6"/>
        <v>44745</v>
      </c>
      <c r="B39" s="88">
        <f t="shared" ca="1" si="9"/>
        <v>44739</v>
      </c>
      <c r="C39" s="68">
        <v>34</v>
      </c>
      <c r="D39" s="68" t="str">
        <f t="shared" ca="1" si="10"/>
        <v/>
      </c>
      <c r="E39" s="68" t="str">
        <f t="shared" ca="1" si="0"/>
        <v xml:space="preserve"> </v>
      </c>
      <c r="F39" s="68">
        <f t="shared" ca="1" si="7"/>
        <v>26</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
      <c r="A40" s="327">
        <f t="shared" ca="1" si="6"/>
        <v>44752</v>
      </c>
      <c r="B40" s="88">
        <f t="shared" ca="1" si="9"/>
        <v>44746</v>
      </c>
      <c r="C40" s="68">
        <v>35</v>
      </c>
      <c r="D40" s="68" t="str">
        <f t="shared" ca="1" si="10"/>
        <v/>
      </c>
      <c r="E40" s="68" t="str">
        <f t="shared" ca="1" si="0"/>
        <v>Jul</v>
      </c>
      <c r="F40" s="68">
        <f t="shared" ca="1" si="7"/>
        <v>27</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
      <c r="A41" s="327">
        <f t="shared" ca="1" si="6"/>
        <v>44759</v>
      </c>
      <c r="B41" s="88">
        <f t="shared" ca="1" si="9"/>
        <v>44753</v>
      </c>
      <c r="C41" s="68">
        <v>36</v>
      </c>
      <c r="D41" s="68" t="str">
        <f t="shared" ca="1" si="10"/>
        <v/>
      </c>
      <c r="E41" s="68" t="str">
        <f t="shared" ca="1" si="0"/>
        <v xml:space="preserve"> </v>
      </c>
      <c r="F41" s="68">
        <f t="shared" ca="1" si="7"/>
        <v>28</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
      <c r="A42" s="327">
        <f t="shared" ca="1" si="6"/>
        <v>44766</v>
      </c>
      <c r="B42" s="88">
        <f t="shared" ca="1" si="9"/>
        <v>44760</v>
      </c>
      <c r="C42" s="68">
        <v>37</v>
      </c>
      <c r="D42" s="68" t="str">
        <f t="shared" ca="1" si="10"/>
        <v/>
      </c>
      <c r="E42" s="68" t="str">
        <f t="shared" ca="1" si="0"/>
        <v xml:space="preserve"> </v>
      </c>
      <c r="F42" s="68">
        <f t="shared" ca="1" si="7"/>
        <v>29</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
      <c r="A43" s="327">
        <f t="shared" ca="1" si="6"/>
        <v>44773</v>
      </c>
      <c r="B43" s="88">
        <f t="shared" ca="1" si="9"/>
        <v>44767</v>
      </c>
      <c r="C43" s="68">
        <v>38</v>
      </c>
      <c r="D43" s="68" t="str">
        <f t="shared" ca="1" si="10"/>
        <v/>
      </c>
      <c r="E43" s="68" t="str">
        <f t="shared" ca="1" si="0"/>
        <v xml:space="preserve"> </v>
      </c>
      <c r="F43" s="68">
        <f t="shared" ca="1" si="7"/>
        <v>30</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
      <c r="A44" s="327">
        <f t="shared" ca="1" si="6"/>
        <v>44780</v>
      </c>
      <c r="B44" s="88">
        <f t="shared" ca="1" si="9"/>
        <v>44774</v>
      </c>
      <c r="C44" s="68">
        <v>39</v>
      </c>
      <c r="D44" s="68" t="str">
        <f t="shared" ca="1" si="10"/>
        <v/>
      </c>
      <c r="E44" s="68" t="str">
        <f t="shared" ca="1" si="0"/>
        <v>Aug</v>
      </c>
      <c r="F44" s="68">
        <f t="shared" ca="1" si="7"/>
        <v>31</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
      <c r="A45" s="327">
        <f t="shared" ca="1" si="6"/>
        <v>44787</v>
      </c>
      <c r="B45" s="88">
        <f t="shared" ca="1" si="9"/>
        <v>44781</v>
      </c>
      <c r="C45" s="68">
        <v>40</v>
      </c>
      <c r="D45" s="68" t="str">
        <f t="shared" ca="1" si="10"/>
        <v/>
      </c>
      <c r="E45" s="68" t="str">
        <f t="shared" ca="1" si="0"/>
        <v xml:space="preserve"> </v>
      </c>
      <c r="F45" s="68">
        <f t="shared" ca="1" si="7"/>
        <v>32</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
      <c r="A46" s="327">
        <f t="shared" ca="1" si="6"/>
        <v>44794</v>
      </c>
      <c r="B46" s="88">
        <f t="shared" ca="1" si="9"/>
        <v>44788</v>
      </c>
      <c r="C46" s="68">
        <v>41</v>
      </c>
      <c r="D46" s="68" t="str">
        <f t="shared" ca="1" si="10"/>
        <v/>
      </c>
      <c r="E46" s="68" t="str">
        <f t="shared" ca="1" si="0"/>
        <v xml:space="preserve"> </v>
      </c>
      <c r="F46" s="68">
        <f t="shared" ca="1" si="7"/>
        <v>33</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
      <c r="A47" s="327">
        <f t="shared" ca="1" si="6"/>
        <v>44801</v>
      </c>
      <c r="B47" s="88">
        <f t="shared" ca="1" si="9"/>
        <v>44795</v>
      </c>
      <c r="C47" s="68">
        <v>42</v>
      </c>
      <c r="D47" s="68" t="str">
        <f t="shared" ca="1" si="10"/>
        <v/>
      </c>
      <c r="E47" s="68" t="str">
        <f t="shared" ca="1" si="0"/>
        <v xml:space="preserve"> </v>
      </c>
      <c r="F47" s="68">
        <f t="shared" ca="1" si="7"/>
        <v>34</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
      <c r="A48" s="327">
        <f t="shared" ca="1" si="6"/>
        <v>44808</v>
      </c>
      <c r="B48" s="88">
        <f t="shared" ca="1" si="9"/>
        <v>44802</v>
      </c>
      <c r="C48" s="68">
        <v>43</v>
      </c>
      <c r="D48" s="68" t="str">
        <f t="shared" ca="1" si="10"/>
        <v/>
      </c>
      <c r="E48" s="68" t="str">
        <f t="shared" ca="1" si="0"/>
        <v xml:space="preserve"> </v>
      </c>
      <c r="F48" s="68">
        <f t="shared" ca="1" si="7"/>
        <v>35</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
      <c r="A49" s="327">
        <f t="shared" ca="1" si="6"/>
        <v>44815</v>
      </c>
      <c r="B49" s="88">
        <f t="shared" ca="1" si="9"/>
        <v>44809</v>
      </c>
      <c r="C49" s="68">
        <v>44</v>
      </c>
      <c r="D49" s="68" t="str">
        <f t="shared" ca="1" si="10"/>
        <v/>
      </c>
      <c r="E49" s="68" t="str">
        <f t="shared" ca="1" si="0"/>
        <v>Sep</v>
      </c>
      <c r="F49" s="68">
        <f t="shared" ca="1" si="7"/>
        <v>36</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
      <c r="A50" s="327">
        <f t="shared" ca="1" si="6"/>
        <v>44822</v>
      </c>
      <c r="B50" s="88">
        <f t="shared" ca="1" si="9"/>
        <v>44816</v>
      </c>
      <c r="C50" s="68">
        <v>45</v>
      </c>
      <c r="D50" s="68" t="str">
        <f t="shared" ca="1" si="10"/>
        <v/>
      </c>
      <c r="E50" s="68" t="str">
        <f t="shared" ca="1" si="0"/>
        <v xml:space="preserve"> </v>
      </c>
      <c r="F50" s="68">
        <f t="shared" ca="1" si="7"/>
        <v>37</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
      <c r="A51" s="327">
        <f t="shared" ca="1" si="6"/>
        <v>44829</v>
      </c>
      <c r="B51" s="88">
        <f t="shared" ca="1" si="9"/>
        <v>44823</v>
      </c>
      <c r="C51" s="68">
        <v>46</v>
      </c>
      <c r="D51" s="68" t="str">
        <f t="shared" ca="1" si="10"/>
        <v/>
      </c>
      <c r="E51" s="68" t="str">
        <f t="shared" ca="1" si="0"/>
        <v xml:space="preserve"> </v>
      </c>
      <c r="F51" s="68">
        <f t="shared" ca="1" si="7"/>
        <v>38</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
      <c r="A52" s="327">
        <f t="shared" ca="1" si="6"/>
        <v>44836</v>
      </c>
      <c r="B52" s="88">
        <f t="shared" ca="1" si="9"/>
        <v>44830</v>
      </c>
      <c r="C52" s="68">
        <v>47</v>
      </c>
      <c r="D52" s="68" t="str">
        <f t="shared" ca="1" si="10"/>
        <v/>
      </c>
      <c r="E52" s="68" t="str">
        <f t="shared" ca="1" si="0"/>
        <v xml:space="preserve"> </v>
      </c>
      <c r="F52" s="68">
        <f t="shared" ca="1" si="7"/>
        <v>39</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
      <c r="A53" s="327">
        <f t="shared" ca="1" si="6"/>
        <v>44843</v>
      </c>
      <c r="B53" s="88">
        <f t="shared" ca="1" si="9"/>
        <v>44837</v>
      </c>
      <c r="C53" s="68">
        <v>48</v>
      </c>
      <c r="D53" s="68" t="str">
        <f t="shared" ca="1" si="10"/>
        <v/>
      </c>
      <c r="E53" s="68" t="str">
        <f t="shared" ca="1" si="0"/>
        <v>Oct</v>
      </c>
      <c r="F53" s="68">
        <f t="shared" ca="1" si="7"/>
        <v>40</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
      <c r="A54" s="327">
        <f t="shared" ca="1" si="6"/>
        <v>44850</v>
      </c>
      <c r="B54" s="88">
        <f t="shared" ca="1" si="9"/>
        <v>44844</v>
      </c>
      <c r="C54" s="68">
        <v>49</v>
      </c>
      <c r="D54" s="68" t="str">
        <f t="shared" ca="1" si="10"/>
        <v/>
      </c>
      <c r="E54" s="68" t="str">
        <f t="shared" ca="1" si="0"/>
        <v xml:space="preserve"> </v>
      </c>
      <c r="F54" s="68">
        <f t="shared" ca="1" si="7"/>
        <v>41</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
      <c r="A55" s="327">
        <f t="shared" ca="1" si="6"/>
        <v>44857</v>
      </c>
      <c r="B55" s="88">
        <f t="shared" ca="1" si="9"/>
        <v>44851</v>
      </c>
      <c r="C55" s="68">
        <v>50</v>
      </c>
      <c r="D55" s="68" t="str">
        <f t="shared" ca="1" si="10"/>
        <v/>
      </c>
      <c r="E55" s="68" t="str">
        <f ca="1">IF(TEXT(B55,"MMM")=TEXT(B54,"MMM")," ",TEXT(B55,"MMM"))</f>
        <v xml:space="preserve"> </v>
      </c>
      <c r="F55" s="68">
        <f t="shared" ca="1" si="7"/>
        <v>42</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
      <c r="A56" s="327">
        <f t="shared" ca="1" si="6"/>
        <v>44864</v>
      </c>
      <c r="B56" s="88">
        <f t="shared" ca="1" si="9"/>
        <v>44858</v>
      </c>
      <c r="C56" s="68">
        <v>51</v>
      </c>
      <c r="D56" s="68" t="str">
        <f t="shared" ca="1" si="10"/>
        <v/>
      </c>
      <c r="E56" s="68" t="str">
        <f t="shared" ref="E56:E57" ca="1" si="25">IF(TEXT(B56,"MMM")=TEXT(B55,"MMM")," ",TEXT(B56,"MMM"))</f>
        <v xml:space="preserve"> </v>
      </c>
      <c r="F56" s="68">
        <f t="shared" ca="1" si="7"/>
        <v>43</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
      <c r="A57" s="327">
        <f t="shared" ca="1" si="6"/>
        <v>44871</v>
      </c>
      <c r="B57" s="88">
        <f t="shared" ca="1" si="9"/>
        <v>44865</v>
      </c>
      <c r="C57" s="68">
        <v>52</v>
      </c>
      <c r="D57" s="68" t="str">
        <f t="shared" ca="1" si="10"/>
        <v/>
      </c>
      <c r="E57" s="68" t="str">
        <f t="shared" ca="1" si="25"/>
        <v xml:space="preserve"> </v>
      </c>
      <c r="F57" s="68">
        <f t="shared" ca="1" si="7"/>
        <v>44</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
      <c r="B106" s="88"/>
    </row>
    <row r="107" spans="2:72" x14ac:dyDescent="0.2">
      <c r="B107" s="88"/>
    </row>
    <row r="108" spans="2:72" x14ac:dyDescent="0.2">
      <c r="B108" s="88"/>
    </row>
    <row r="109" spans="2:72" x14ac:dyDescent="0.2">
      <c r="B109" s="88"/>
    </row>
    <row r="110" spans="2:72" x14ac:dyDescent="0.2">
      <c r="B110" s="88"/>
    </row>
    <row r="111" spans="2:72" x14ac:dyDescent="0.2">
      <c r="B111" s="88"/>
    </row>
    <row r="112" spans="2:72" x14ac:dyDescent="0.2">
      <c r="B112" s="88"/>
    </row>
    <row r="113" spans="2:207" x14ac:dyDescent="0.2">
      <c r="B113" s="88"/>
    </row>
    <row r="114" spans="2:207" x14ac:dyDescent="0.2">
      <c r="B114" s="88"/>
    </row>
    <row r="115" spans="2:207" x14ac:dyDescent="0.2">
      <c r="B115" s="88"/>
    </row>
    <row r="116" spans="2:207" x14ac:dyDescent="0.2">
      <c r="B116" s="88"/>
    </row>
    <row r="117" spans="2:207" x14ac:dyDescent="0.2">
      <c r="B117" s="88"/>
    </row>
    <row r="118" spans="2:207" x14ac:dyDescent="0.2">
      <c r="B118" s="88"/>
    </row>
    <row r="119" spans="2:207" x14ac:dyDescent="0.2">
      <c r="B119" s="88"/>
    </row>
    <row r="120" spans="2:207" x14ac:dyDescent="0.2">
      <c r="B120" s="88"/>
    </row>
    <row r="121" spans="2:207" x14ac:dyDescent="0.2">
      <c r="B121" s="88"/>
    </row>
    <row r="123" spans="2:207" x14ac:dyDescent="0.2">
      <c r="B123" s="88"/>
      <c r="CW123" s="71"/>
      <c r="CZ123" s="88"/>
      <c r="GY123" s="71"/>
    </row>
    <row r="124" spans="2:207" x14ac:dyDescent="0.2">
      <c r="B124" s="88"/>
      <c r="CW124" s="71"/>
      <c r="CZ124" s="88"/>
      <c r="GY124" s="71"/>
    </row>
    <row r="125" spans="2:207" x14ac:dyDescent="0.2">
      <c r="B125" s="88"/>
      <c r="CW125" s="71"/>
      <c r="CZ125" s="88"/>
      <c r="GY125" s="71"/>
    </row>
    <row r="126" spans="2:207" x14ac:dyDescent="0.2">
      <c r="B126" s="88"/>
      <c r="CW126" s="71"/>
      <c r="CZ126" s="88"/>
      <c r="GY126" s="71"/>
    </row>
    <row r="127" spans="2:207" x14ac:dyDescent="0.2">
      <c r="B127" s="88"/>
      <c r="CW127" s="71"/>
      <c r="CZ127" s="88"/>
      <c r="GY127" s="71"/>
    </row>
    <row r="128" spans="2:207" x14ac:dyDescent="0.2">
      <c r="B128" s="88"/>
      <c r="CW128" s="71"/>
      <c r="CZ128" s="88"/>
      <c r="GY128" s="71"/>
    </row>
    <row r="129" spans="2:207" x14ac:dyDescent="0.2">
      <c r="B129" s="88"/>
      <c r="CW129" s="71"/>
      <c r="CZ129" s="88"/>
      <c r="GY129" s="71"/>
    </row>
    <row r="130" spans="2:207" x14ac:dyDescent="0.2">
      <c r="B130" s="88"/>
      <c r="CW130" s="71"/>
      <c r="CZ130" s="88"/>
      <c r="GY130" s="71"/>
    </row>
    <row r="131" spans="2:207" x14ac:dyDescent="0.2">
      <c r="B131" s="88"/>
      <c r="CW131" s="71"/>
      <c r="CZ131" s="88"/>
      <c r="GY131" s="71"/>
    </row>
    <row r="132" spans="2:207" x14ac:dyDescent="0.2">
      <c r="B132" s="88"/>
      <c r="CW132" s="71"/>
      <c r="CZ132" s="88"/>
      <c r="GY132" s="71"/>
    </row>
    <row r="133" spans="2:207" x14ac:dyDescent="0.2">
      <c r="B133" s="88"/>
      <c r="CW133" s="71"/>
      <c r="CZ133" s="88"/>
      <c r="GY133" s="71"/>
    </row>
    <row r="134" spans="2:207" x14ac:dyDescent="0.2">
      <c r="B134" s="88"/>
      <c r="CW134" s="71"/>
      <c r="CZ134" s="88"/>
      <c r="GY134" s="71"/>
    </row>
    <row r="135" spans="2:207" x14ac:dyDescent="0.2">
      <c r="B135" s="88"/>
      <c r="CW135" s="71"/>
      <c r="CZ135" s="88"/>
      <c r="GY135" s="71"/>
    </row>
    <row r="136" spans="2:207" x14ac:dyDescent="0.2">
      <c r="B136" s="88"/>
      <c r="CW136" s="71"/>
      <c r="CZ136" s="88"/>
      <c r="GY136" s="71"/>
    </row>
    <row r="137" spans="2:207" x14ac:dyDescent="0.2">
      <c r="B137" s="88"/>
      <c r="CW137" s="71"/>
      <c r="CZ137" s="88"/>
      <c r="GY137" s="71"/>
    </row>
    <row r="138" spans="2:207" x14ac:dyDescent="0.2">
      <c r="B138" s="88"/>
      <c r="CW138" s="71"/>
      <c r="CZ138" s="88"/>
      <c r="GY138" s="71"/>
    </row>
    <row r="139" spans="2:207" x14ac:dyDescent="0.2">
      <c r="B139" s="88"/>
      <c r="CW139" s="71"/>
      <c r="CZ139" s="88"/>
      <c r="GY139" s="71"/>
    </row>
    <row r="140" spans="2:207" x14ac:dyDescent="0.2">
      <c r="B140" s="88"/>
      <c r="CW140" s="71"/>
      <c r="CZ140" s="88"/>
      <c r="GY140" s="71"/>
    </row>
    <row r="141" spans="2:207" x14ac:dyDescent="0.2">
      <c r="B141" s="88"/>
      <c r="CW141" s="71"/>
      <c r="CZ141" s="88"/>
      <c r="GY141" s="71"/>
    </row>
    <row r="142" spans="2:207" x14ac:dyDescent="0.2">
      <c r="B142" s="88"/>
      <c r="CW142" s="71"/>
      <c r="CZ142" s="88"/>
      <c r="GY142" s="71"/>
    </row>
    <row r="143" spans="2:207" x14ac:dyDescent="0.2">
      <c r="B143" s="88"/>
      <c r="CW143" s="71"/>
      <c r="CZ143" s="88"/>
      <c r="GY143" s="71"/>
    </row>
    <row r="144" spans="2:207" x14ac:dyDescent="0.2">
      <c r="B144" s="88"/>
      <c r="CW144" s="71"/>
      <c r="CZ144" s="88"/>
      <c r="GY144" s="71"/>
    </row>
    <row r="145" spans="2:207" x14ac:dyDescent="0.2">
      <c r="B145" s="88"/>
      <c r="CW145" s="71"/>
      <c r="CZ145" s="88"/>
      <c r="GY145" s="71"/>
    </row>
    <row r="146" spans="2:207" x14ac:dyDescent="0.2">
      <c r="B146" s="88"/>
      <c r="CW146" s="71"/>
      <c r="CZ146" s="88"/>
      <c r="GY146" s="71"/>
    </row>
    <row r="147" spans="2:207" x14ac:dyDescent="0.2">
      <c r="B147" s="88"/>
      <c r="CW147" s="71"/>
      <c r="CZ147" s="88"/>
      <c r="GY147" s="71"/>
    </row>
    <row r="148" spans="2:207" x14ac:dyDescent="0.2">
      <c r="B148" s="88"/>
      <c r="CW148" s="71"/>
      <c r="CZ148" s="88"/>
      <c r="GY148" s="71"/>
    </row>
    <row r="149" spans="2:207" x14ac:dyDescent="0.2">
      <c r="B149" s="88"/>
      <c r="CW149" s="71"/>
      <c r="CZ149" s="88"/>
      <c r="GY149" s="71"/>
    </row>
    <row r="150" spans="2:207" x14ac:dyDescent="0.2">
      <c r="B150" s="88"/>
      <c r="CW150" s="71"/>
      <c r="CZ150" s="88"/>
      <c r="GY150" s="71"/>
    </row>
    <row r="151" spans="2:207" x14ac:dyDescent="0.2">
      <c r="B151" s="88"/>
      <c r="CW151" s="71"/>
      <c r="CZ151" s="88"/>
      <c r="GY151" s="71"/>
    </row>
    <row r="152" spans="2:207" x14ac:dyDescent="0.2">
      <c r="B152" s="88"/>
      <c r="CW152" s="71"/>
      <c r="CZ152" s="88"/>
      <c r="GY152" s="71"/>
    </row>
    <row r="153" spans="2:207" x14ac:dyDescent="0.2">
      <c r="B153" s="88"/>
      <c r="CW153" s="71"/>
      <c r="CZ153" s="88"/>
      <c r="GY153" s="71"/>
    </row>
    <row r="154" spans="2:207" x14ac:dyDescent="0.2">
      <c r="B154" s="88"/>
      <c r="CW154" s="71"/>
      <c r="CZ154" s="88"/>
      <c r="GY154" s="71"/>
    </row>
    <row r="155" spans="2:207" x14ac:dyDescent="0.2">
      <c r="B155" s="88"/>
      <c r="CW155" s="71"/>
      <c r="CZ155" s="88"/>
      <c r="GY155" s="71"/>
    </row>
    <row r="156" spans="2:207" x14ac:dyDescent="0.2">
      <c r="B156" s="88"/>
      <c r="CW156" s="71"/>
      <c r="CZ156" s="88"/>
      <c r="GY156" s="71"/>
    </row>
    <row r="157" spans="2:207" x14ac:dyDescent="0.2">
      <c r="B157" s="88"/>
      <c r="CW157" s="71"/>
      <c r="CZ157" s="88"/>
      <c r="GY157" s="71"/>
    </row>
    <row r="158" spans="2:207" x14ac:dyDescent="0.2">
      <c r="B158" s="88"/>
      <c r="CW158" s="71"/>
      <c r="CZ158" s="88"/>
      <c r="GY158" s="71"/>
    </row>
    <row r="159" spans="2:207" x14ac:dyDescent="0.2">
      <c r="B159" s="88"/>
      <c r="CW159" s="71"/>
      <c r="CZ159" s="88"/>
      <c r="GY159" s="71"/>
    </row>
    <row r="160" spans="2:207" x14ac:dyDescent="0.2">
      <c r="B160" s="88"/>
      <c r="CW160" s="71"/>
      <c r="CZ160" s="88"/>
      <c r="GY160" s="71"/>
    </row>
    <row r="161" spans="2:207" x14ac:dyDescent="0.2">
      <c r="B161" s="88"/>
      <c r="CW161" s="71"/>
      <c r="CZ161" s="88"/>
      <c r="GY161" s="71"/>
    </row>
    <row r="162" spans="2:207" x14ac:dyDescent="0.2">
      <c r="B162" s="88"/>
      <c r="CW162" s="71"/>
      <c r="CZ162" s="88"/>
      <c r="GY162" s="71"/>
    </row>
    <row r="163" spans="2:207" x14ac:dyDescent="0.2">
      <c r="B163" s="88"/>
      <c r="CW163" s="71"/>
      <c r="CZ163" s="88"/>
      <c r="GY163" s="71"/>
    </row>
    <row r="164" spans="2:207" x14ac:dyDescent="0.2">
      <c r="B164" s="88"/>
      <c r="CW164" s="71"/>
      <c r="CZ164" s="88"/>
      <c r="GY164" s="71"/>
    </row>
    <row r="165" spans="2:207" x14ac:dyDescent="0.2">
      <c r="B165" s="88"/>
      <c r="CW165" s="71"/>
      <c r="CZ165" s="88"/>
      <c r="GY165" s="71"/>
    </row>
    <row r="166" spans="2:207" x14ac:dyDescent="0.2">
      <c r="B166" s="88"/>
      <c r="CW166" s="71"/>
      <c r="CZ166" s="88"/>
      <c r="GY166" s="71"/>
    </row>
    <row r="167" spans="2:207" x14ac:dyDescent="0.2">
      <c r="B167" s="88"/>
      <c r="CW167" s="71"/>
      <c r="CZ167" s="88"/>
      <c r="GY167" s="71"/>
    </row>
    <row r="168" spans="2:207" x14ac:dyDescent="0.2">
      <c r="B168" s="88"/>
      <c r="CW168" s="71"/>
      <c r="CZ168" s="88"/>
      <c r="GY168" s="71"/>
    </row>
    <row r="169" spans="2:207" x14ac:dyDescent="0.2">
      <c r="B169" s="88"/>
      <c r="CW169" s="71"/>
      <c r="CZ169" s="88"/>
      <c r="GY169" s="71"/>
    </row>
    <row r="170" spans="2:207" x14ac:dyDescent="0.2">
      <c r="B170" s="88"/>
      <c r="CW170" s="71"/>
      <c r="CZ170" s="88"/>
      <c r="GY170" s="71"/>
    </row>
    <row r="171" spans="2:207" x14ac:dyDescent="0.2">
      <c r="B171" s="88"/>
      <c r="CW171" s="71"/>
      <c r="CZ171" s="88"/>
      <c r="GY171" s="71"/>
    </row>
    <row r="172" spans="2:207" x14ac:dyDescent="0.2">
      <c r="B172" s="88"/>
      <c r="CW172" s="71"/>
      <c r="CZ172" s="88"/>
      <c r="GY172" s="71"/>
    </row>
    <row r="173" spans="2:207" x14ac:dyDescent="0.2">
      <c r="B173" s="88"/>
      <c r="CW173" s="71"/>
      <c r="CZ173" s="88"/>
      <c r="GY173" s="71"/>
    </row>
    <row r="174" spans="2:207" x14ac:dyDescent="0.2">
      <c r="B174" s="88"/>
      <c r="CW174" s="71"/>
      <c r="CZ174" s="88"/>
      <c r="GY174" s="71"/>
    </row>
    <row r="175" spans="2:207" x14ac:dyDescent="0.2">
      <c r="B175" s="88"/>
      <c r="CZ175" s="88"/>
    </row>
    <row r="176" spans="2:207" x14ac:dyDescent="0.2">
      <c r="B176" s="88"/>
      <c r="CW176" s="71"/>
      <c r="CZ176" s="88"/>
      <c r="GY176" s="71"/>
    </row>
    <row r="177" spans="2:102" x14ac:dyDescent="0.2">
      <c r="B177" s="88"/>
      <c r="CX177" s="71"/>
    </row>
    <row r="189" spans="2:102" x14ac:dyDescent="0.2">
      <c r="B189" s="88"/>
    </row>
    <row r="190" spans="2:102" x14ac:dyDescent="0.2">
      <c r="B190" s="88"/>
    </row>
    <row r="191" spans="2:102" x14ac:dyDescent="0.2">
      <c r="B191" s="88"/>
    </row>
    <row r="192" spans="2:102" x14ac:dyDescent="0.2">
      <c r="B192" s="88"/>
    </row>
    <row r="193" spans="2:2" x14ac:dyDescent="0.2">
      <c r="B193" s="88"/>
    </row>
    <row r="194" spans="2:2" x14ac:dyDescent="0.2">
      <c r="B194" s="88"/>
    </row>
    <row r="195" spans="2:2" x14ac:dyDescent="0.2">
      <c r="B195" s="88"/>
    </row>
    <row r="196" spans="2:2" x14ac:dyDescent="0.2">
      <c r="B196" s="88"/>
    </row>
    <row r="197" spans="2:2" x14ac:dyDescent="0.2">
      <c r="B197" s="88"/>
    </row>
    <row r="198" spans="2:2" x14ac:dyDescent="0.2">
      <c r="B198" s="88"/>
    </row>
    <row r="199" spans="2:2" x14ac:dyDescent="0.2">
      <c r="B199" s="88"/>
    </row>
    <row r="200" spans="2:2" x14ac:dyDescent="0.2">
      <c r="B200" s="88"/>
    </row>
    <row r="201" spans="2:2" x14ac:dyDescent="0.2">
      <c r="B201" s="88"/>
    </row>
    <row r="202" spans="2:2" x14ac:dyDescent="0.2">
      <c r="B202" s="88"/>
    </row>
    <row r="203" spans="2:2" x14ac:dyDescent="0.2">
      <c r="B203" s="88"/>
    </row>
    <row r="204" spans="2:2" x14ac:dyDescent="0.2">
      <c r="B204" s="88"/>
    </row>
    <row r="205" spans="2:2" x14ac:dyDescent="0.2">
      <c r="B205" s="88"/>
    </row>
    <row r="206" spans="2:2" x14ac:dyDescent="0.2">
      <c r="B206" s="88"/>
    </row>
    <row r="207" spans="2:2" x14ac:dyDescent="0.2">
      <c r="B207" s="88"/>
    </row>
    <row r="208" spans="2:2" x14ac:dyDescent="0.2">
      <c r="B208" s="88"/>
    </row>
    <row r="209" spans="2:2" x14ac:dyDescent="0.2">
      <c r="B209" s="88"/>
    </row>
    <row r="210" spans="2:2" x14ac:dyDescent="0.2">
      <c r="B210" s="88"/>
    </row>
    <row r="211" spans="2:2" x14ac:dyDescent="0.2">
      <c r="B211" s="88"/>
    </row>
    <row r="212" spans="2:2" x14ac:dyDescent="0.2">
      <c r="B212" s="88"/>
    </row>
    <row r="213" spans="2:2" x14ac:dyDescent="0.2">
      <c r="B213" s="88"/>
    </row>
    <row r="214" spans="2:2" x14ac:dyDescent="0.2">
      <c r="B214" s="88"/>
    </row>
    <row r="215" spans="2:2" x14ac:dyDescent="0.2">
      <c r="B215" s="88"/>
    </row>
    <row r="216" spans="2:2" x14ac:dyDescent="0.2">
      <c r="B216" s="88"/>
    </row>
    <row r="217" spans="2:2" x14ac:dyDescent="0.2">
      <c r="B217" s="88"/>
    </row>
    <row r="218" spans="2:2" x14ac:dyDescent="0.2">
      <c r="B218" s="88"/>
    </row>
    <row r="219" spans="2:2" x14ac:dyDescent="0.2">
      <c r="B219" s="88"/>
    </row>
    <row r="220" spans="2:2" x14ac:dyDescent="0.2">
      <c r="B220" s="88"/>
    </row>
    <row r="221" spans="2:2" x14ac:dyDescent="0.2">
      <c r="B221" s="88"/>
    </row>
    <row r="222" spans="2:2" x14ac:dyDescent="0.2">
      <c r="B222" s="88"/>
    </row>
    <row r="223" spans="2:2" x14ac:dyDescent="0.2">
      <c r="B223" s="88"/>
    </row>
    <row r="224" spans="2:2" x14ac:dyDescent="0.2">
      <c r="B224" s="88"/>
    </row>
    <row r="225" spans="2:2" x14ac:dyDescent="0.2">
      <c r="B225" s="88"/>
    </row>
    <row r="226" spans="2:2" x14ac:dyDescent="0.2">
      <c r="B226" s="88"/>
    </row>
    <row r="227" spans="2:2" x14ac:dyDescent="0.2">
      <c r="B227" s="88"/>
    </row>
    <row r="228" spans="2:2" x14ac:dyDescent="0.2">
      <c r="B228" s="88"/>
    </row>
    <row r="229" spans="2:2" x14ac:dyDescent="0.2">
      <c r="B229" s="88"/>
    </row>
    <row r="230" spans="2:2" x14ac:dyDescent="0.2">
      <c r="B230" s="88"/>
    </row>
    <row r="231" spans="2:2" x14ac:dyDescent="0.2">
      <c r="B231" s="88"/>
    </row>
    <row r="232" spans="2:2" x14ac:dyDescent="0.2">
      <c r="B232" s="88"/>
    </row>
    <row r="233" spans="2:2" x14ac:dyDescent="0.2">
      <c r="B233" s="88"/>
    </row>
    <row r="234" spans="2:2" x14ac:dyDescent="0.2">
      <c r="B234" s="88"/>
    </row>
    <row r="235" spans="2:2" x14ac:dyDescent="0.2">
      <c r="B235" s="88"/>
    </row>
    <row r="236" spans="2:2" x14ac:dyDescent="0.2">
      <c r="B236" s="88"/>
    </row>
    <row r="237" spans="2:2" x14ac:dyDescent="0.2">
      <c r="B237" s="88"/>
    </row>
    <row r="238" spans="2:2" x14ac:dyDescent="0.2">
      <c r="B238" s="88"/>
    </row>
    <row r="239" spans="2:2" x14ac:dyDescent="0.2">
      <c r="B239" s="88"/>
    </row>
    <row r="240" spans="2:2" x14ac:dyDescent="0.2">
      <c r="B240" s="88"/>
    </row>
    <row r="241" spans="2:2" x14ac:dyDescent="0.2">
      <c r="B241" s="88"/>
    </row>
    <row r="245" spans="2:2" x14ac:dyDescent="0.2">
      <c r="B245" s="88"/>
    </row>
    <row r="246" spans="2:2" x14ac:dyDescent="0.2">
      <c r="B246" s="88"/>
    </row>
    <row r="247" spans="2:2" x14ac:dyDescent="0.2">
      <c r="B247" s="88"/>
    </row>
    <row r="248" spans="2:2" x14ac:dyDescent="0.2">
      <c r="B248" s="88"/>
    </row>
    <row r="249" spans="2:2" x14ac:dyDescent="0.2">
      <c r="B249" s="88"/>
    </row>
    <row r="250" spans="2:2" x14ac:dyDescent="0.2">
      <c r="B250" s="88"/>
    </row>
    <row r="251" spans="2:2" x14ac:dyDescent="0.2">
      <c r="B251" s="88"/>
    </row>
    <row r="252" spans="2:2" x14ac:dyDescent="0.2">
      <c r="B252" s="88"/>
    </row>
    <row r="253" spans="2:2" x14ac:dyDescent="0.2">
      <c r="B253" s="88"/>
    </row>
    <row r="254" spans="2:2" x14ac:dyDescent="0.2">
      <c r="B254" s="88"/>
    </row>
    <row r="255" spans="2:2" x14ac:dyDescent="0.2">
      <c r="B255" s="88"/>
    </row>
    <row r="256" spans="2:2" x14ac:dyDescent="0.2">
      <c r="B256" s="88"/>
    </row>
    <row r="257" spans="2:2" x14ac:dyDescent="0.2">
      <c r="B257" s="88"/>
    </row>
    <row r="258" spans="2:2" x14ac:dyDescent="0.2">
      <c r="B258" s="88"/>
    </row>
    <row r="259" spans="2:2" x14ac:dyDescent="0.2">
      <c r="B259" s="88"/>
    </row>
    <row r="260" spans="2:2" x14ac:dyDescent="0.2">
      <c r="B260" s="88"/>
    </row>
    <row r="261" spans="2:2" x14ac:dyDescent="0.2">
      <c r="B261" s="88"/>
    </row>
    <row r="262" spans="2:2" x14ac:dyDescent="0.2">
      <c r="B262" s="88"/>
    </row>
    <row r="263" spans="2:2" x14ac:dyDescent="0.2">
      <c r="B263" s="88"/>
    </row>
    <row r="264" spans="2:2" x14ac:dyDescent="0.2">
      <c r="B264" s="88"/>
    </row>
    <row r="265" spans="2:2" x14ac:dyDescent="0.2">
      <c r="B265" s="88"/>
    </row>
    <row r="266" spans="2:2" x14ac:dyDescent="0.2">
      <c r="B266" s="88"/>
    </row>
    <row r="267" spans="2:2" x14ac:dyDescent="0.2">
      <c r="B267" s="88"/>
    </row>
    <row r="268" spans="2:2" x14ac:dyDescent="0.2">
      <c r="B268" s="88"/>
    </row>
    <row r="269" spans="2:2" x14ac:dyDescent="0.2">
      <c r="B269" s="88"/>
    </row>
    <row r="270" spans="2:2" x14ac:dyDescent="0.2">
      <c r="B270" s="88"/>
    </row>
    <row r="271" spans="2:2" x14ac:dyDescent="0.2">
      <c r="B271" s="88"/>
    </row>
    <row r="272" spans="2:2" x14ac:dyDescent="0.2">
      <c r="B272" s="88"/>
    </row>
    <row r="273" spans="2:2" x14ac:dyDescent="0.2">
      <c r="B273" s="88"/>
    </row>
    <row r="274" spans="2:2" x14ac:dyDescent="0.2">
      <c r="B274" s="88"/>
    </row>
    <row r="275" spans="2:2" x14ac:dyDescent="0.2">
      <c r="B275" s="88"/>
    </row>
    <row r="276" spans="2:2" x14ac:dyDescent="0.2">
      <c r="B276" s="88"/>
    </row>
    <row r="277" spans="2:2" x14ac:dyDescent="0.2">
      <c r="B277" s="88"/>
    </row>
    <row r="278" spans="2:2" x14ac:dyDescent="0.2">
      <c r="B278" s="88"/>
    </row>
    <row r="279" spans="2:2" x14ac:dyDescent="0.2">
      <c r="B279" s="88"/>
    </row>
    <row r="280" spans="2:2" x14ac:dyDescent="0.2">
      <c r="B280" s="88"/>
    </row>
    <row r="281" spans="2:2" x14ac:dyDescent="0.2">
      <c r="B281" s="88"/>
    </row>
    <row r="282" spans="2:2" x14ac:dyDescent="0.2">
      <c r="B282" s="88"/>
    </row>
    <row r="283" spans="2:2" x14ac:dyDescent="0.2">
      <c r="B283" s="88"/>
    </row>
    <row r="284" spans="2:2" x14ac:dyDescent="0.2">
      <c r="B284" s="88"/>
    </row>
    <row r="285" spans="2:2" x14ac:dyDescent="0.2">
      <c r="B285" s="88"/>
    </row>
    <row r="286" spans="2:2" x14ac:dyDescent="0.2">
      <c r="B286" s="88"/>
    </row>
    <row r="287" spans="2:2" x14ac:dyDescent="0.2">
      <c r="B287" s="88"/>
    </row>
    <row r="288" spans="2:2" x14ac:dyDescent="0.2">
      <c r="B288" s="88"/>
    </row>
    <row r="289" spans="2:2" x14ac:dyDescent="0.2">
      <c r="B289" s="88"/>
    </row>
    <row r="290" spans="2:2" x14ac:dyDescent="0.2">
      <c r="B290" s="88"/>
    </row>
    <row r="291" spans="2:2" x14ac:dyDescent="0.2">
      <c r="B291" s="88"/>
    </row>
    <row r="292" spans="2:2" x14ac:dyDescent="0.2">
      <c r="B292" s="88"/>
    </row>
    <row r="293" spans="2:2" x14ac:dyDescent="0.2">
      <c r="B293" s="88"/>
    </row>
    <row r="294" spans="2:2" x14ac:dyDescent="0.2">
      <c r="B294" s="88"/>
    </row>
    <row r="295" spans="2:2" x14ac:dyDescent="0.2">
      <c r="B295" s="88"/>
    </row>
    <row r="296" spans="2:2" x14ac:dyDescent="0.2">
      <c r="B296" s="88"/>
    </row>
    <row r="297" spans="2:2" x14ac:dyDescent="0.2">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defaultRowHeight="14.25" x14ac:dyDescent="0.2"/>
  <cols>
    <col min="1" max="1" width="9" style="68"/>
    <col min="2" max="2" width="12.125" customWidth="1"/>
    <col min="3" max="3" width="12.125" style="68" customWidth="1"/>
    <col min="4" max="4" width="11.125" customWidth="1"/>
    <col min="60" max="61" width="9.625" customWidth="1"/>
    <col min="62" max="62" width="9.625" style="68" customWidth="1"/>
  </cols>
  <sheetData>
    <row r="1" spans="2:120" ht="15" x14ac:dyDescent="0.25">
      <c r="C1" s="2" t="s">
        <v>462</v>
      </c>
      <c r="D1" t="s">
        <v>470</v>
      </c>
      <c r="E1">
        <v>2</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ht="15" x14ac:dyDescent="0.2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ht="15" x14ac:dyDescent="0.2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45</v>
      </c>
      <c r="BL3" s="60">
        <f ca="1">OFFSET('Critical resources (hide)'!$F$6,COLUMN(B1)-1,0,1,1)</f>
        <v>46</v>
      </c>
      <c r="BM3" s="60">
        <f ca="1">OFFSET('Critical resources (hide)'!$F$6,COLUMN(C1)-1,0,1,1)</f>
        <v>47</v>
      </c>
      <c r="BN3" s="60">
        <f ca="1">OFFSET('Critical resources (hide)'!$F$6,COLUMN(D1)-1,0,1,1)</f>
        <v>48</v>
      </c>
      <c r="BO3" s="60">
        <f ca="1">OFFSET('Critical resources (hide)'!$F$6,COLUMN(E1)-1,0,1,1)</f>
        <v>49</v>
      </c>
      <c r="BP3" s="60">
        <f ca="1">OFFSET('Critical resources (hide)'!$F$6,COLUMN(F1)-1,0,1,1)</f>
        <v>50</v>
      </c>
      <c r="BQ3" s="60">
        <f ca="1">OFFSET('Critical resources (hide)'!$F$6,COLUMN(G1)-1,0,1,1)</f>
        <v>51</v>
      </c>
      <c r="BR3" s="60">
        <f ca="1">OFFSET('Critical resources (hide)'!$F$6,COLUMN(H1)-1,0,1,1)</f>
        <v>52</v>
      </c>
      <c r="BS3" s="60">
        <f ca="1">OFFSET('Critical resources (hide)'!$F$6,COLUMN(I1)-1,0,1,1)</f>
        <v>1</v>
      </c>
      <c r="BT3" s="60">
        <f ca="1">OFFSET('Critical resources (hide)'!$F$6,COLUMN(J1)-1,0,1,1)</f>
        <v>2</v>
      </c>
      <c r="BU3" s="60">
        <f ca="1">OFFSET('Critical resources (hide)'!$F$6,COLUMN(K1)-1,0,1,1)</f>
        <v>3</v>
      </c>
      <c r="BV3" s="60">
        <f ca="1">OFFSET('Critical resources (hide)'!$F$6,COLUMN(L1)-1,0,1,1)</f>
        <v>4</v>
      </c>
      <c r="BW3" s="60">
        <f ca="1">OFFSET('Critical resources (hide)'!$F$6,COLUMN(M1)-1,0,1,1)</f>
        <v>5</v>
      </c>
      <c r="BX3" s="60">
        <f ca="1">OFFSET('Critical resources (hide)'!$F$6,COLUMN(N1)-1,0,1,1)</f>
        <v>6</v>
      </c>
      <c r="BY3" s="60">
        <f ca="1">OFFSET('Critical resources (hide)'!$F$6,COLUMN(O1)-1,0,1,1)</f>
        <v>7</v>
      </c>
      <c r="BZ3" s="60">
        <f ca="1">OFFSET('Critical resources (hide)'!$F$6,COLUMN(P1)-1,0,1,1)</f>
        <v>8</v>
      </c>
      <c r="CA3" s="60">
        <f ca="1">OFFSET('Critical resources (hide)'!$F$6,COLUMN(Q1)-1,0,1,1)</f>
        <v>9</v>
      </c>
      <c r="CB3" s="60">
        <f ca="1">OFFSET('Critical resources (hide)'!$F$6,COLUMN(R1)-1,0,1,1)</f>
        <v>10</v>
      </c>
      <c r="CC3" s="60">
        <f ca="1">OFFSET('Critical resources (hide)'!$F$6,COLUMN(S1)-1,0,1,1)</f>
        <v>11</v>
      </c>
      <c r="CD3" s="60">
        <f ca="1">OFFSET('Critical resources (hide)'!$F$6,COLUMN(T1)-1,0,1,1)</f>
        <v>12</v>
      </c>
      <c r="CE3" s="60">
        <f ca="1">OFFSET('Critical resources (hide)'!$F$6,COLUMN(U1)-1,0,1,1)</f>
        <v>13</v>
      </c>
      <c r="CF3" s="60">
        <f ca="1">OFFSET('Critical resources (hide)'!$F$6,COLUMN(V1)-1,0,1,1)</f>
        <v>14</v>
      </c>
      <c r="CG3" s="60">
        <f ca="1">OFFSET('Critical resources (hide)'!$F$6,COLUMN(W1)-1,0,1,1)</f>
        <v>15</v>
      </c>
      <c r="CH3" s="60">
        <f ca="1">OFFSET('Critical resources (hide)'!$F$6,COLUMN(X1)-1,0,1,1)</f>
        <v>16</v>
      </c>
      <c r="CI3" s="60">
        <f ca="1">OFFSET('Critical resources (hide)'!$F$6,COLUMN(Y1)-1,0,1,1)</f>
        <v>17</v>
      </c>
      <c r="CJ3" s="60">
        <f ca="1">OFFSET('Critical resources (hide)'!$F$6,COLUMN(Z1)-1,0,1,1)</f>
        <v>18</v>
      </c>
      <c r="CK3" s="60">
        <f ca="1">OFFSET('Critical resources (hide)'!$F$6,COLUMN(AA1)-1,0,1,1)</f>
        <v>19</v>
      </c>
      <c r="CL3" s="60">
        <f ca="1">OFFSET('Critical resources (hide)'!$F$6,COLUMN(AB1)-1,0,1,1)</f>
        <v>20</v>
      </c>
      <c r="CM3" s="60">
        <f ca="1">OFFSET('Critical resources (hide)'!$F$6,COLUMN(AC1)-1,0,1,1)</f>
        <v>21</v>
      </c>
      <c r="CN3" s="60">
        <f ca="1">OFFSET('Critical resources (hide)'!$F$6,COLUMN(AD1)-1,0,1,1)</f>
        <v>22</v>
      </c>
      <c r="CO3" s="60">
        <f ca="1">OFFSET('Critical resources (hide)'!$F$6,COLUMN(AE1)-1,0,1,1)</f>
        <v>23</v>
      </c>
      <c r="CP3" s="60">
        <f ca="1">OFFSET('Critical resources (hide)'!$F$6,COLUMN(AF1)-1,0,1,1)</f>
        <v>24</v>
      </c>
      <c r="CQ3" s="60">
        <f ca="1">OFFSET('Critical resources (hide)'!$F$6,COLUMN(AG1)-1,0,1,1)</f>
        <v>25</v>
      </c>
      <c r="CR3" s="60">
        <f ca="1">OFFSET('Critical resources (hide)'!$F$6,COLUMN(AH1)-1,0,1,1)</f>
        <v>26</v>
      </c>
      <c r="CS3" s="60">
        <f ca="1">OFFSET('Critical resources (hide)'!$F$6,COLUMN(AI1)-1,0,1,1)</f>
        <v>27</v>
      </c>
      <c r="CT3" s="60">
        <f ca="1">OFFSET('Critical resources (hide)'!$F$6,COLUMN(AJ1)-1,0,1,1)</f>
        <v>28</v>
      </c>
      <c r="CU3" s="60">
        <f ca="1">OFFSET('Critical resources (hide)'!$F$6,COLUMN(AK1)-1,0,1,1)</f>
        <v>29</v>
      </c>
      <c r="CV3" s="60">
        <f ca="1">OFFSET('Critical resources (hide)'!$F$6,COLUMN(AL1)-1,0,1,1)</f>
        <v>30</v>
      </c>
      <c r="CW3" s="60">
        <f ca="1">OFFSET('Critical resources (hide)'!$F$6,COLUMN(AM1)-1,0,1,1)</f>
        <v>31</v>
      </c>
      <c r="CX3" s="60">
        <f ca="1">OFFSET('Critical resources (hide)'!$F$6,COLUMN(AN1)-1,0,1,1)</f>
        <v>32</v>
      </c>
      <c r="CY3" s="60">
        <f ca="1">OFFSET('Critical resources (hide)'!$F$6,COLUMN(AO1)-1,0,1,1)</f>
        <v>33</v>
      </c>
      <c r="CZ3" s="60">
        <f ca="1">OFFSET('Critical resources (hide)'!$F$6,COLUMN(AP1)-1,0,1,1)</f>
        <v>34</v>
      </c>
      <c r="DA3" s="60">
        <f ca="1">OFFSET('Critical resources (hide)'!$F$6,COLUMN(AQ1)-1,0,1,1)</f>
        <v>35</v>
      </c>
      <c r="DB3" s="60">
        <f ca="1">OFFSET('Critical resources (hide)'!$F$6,COLUMN(AR1)-1,0,1,1)</f>
        <v>36</v>
      </c>
      <c r="DC3" s="60">
        <f ca="1">OFFSET('Critical resources (hide)'!$F$6,COLUMN(AS1)-1,0,1,1)</f>
        <v>37</v>
      </c>
      <c r="DD3" s="60">
        <f ca="1">OFFSET('Critical resources (hide)'!$F$6,COLUMN(AT1)-1,0,1,1)</f>
        <v>38</v>
      </c>
      <c r="DE3" s="60">
        <f ca="1">OFFSET('Critical resources (hide)'!$F$6,COLUMN(AU1)-1,0,1,1)</f>
        <v>39</v>
      </c>
      <c r="DF3" s="60">
        <f ca="1">OFFSET('Critical resources (hide)'!$F$6,COLUMN(AV1)-1,0,1,1)</f>
        <v>40</v>
      </c>
      <c r="DG3" s="60">
        <f ca="1">OFFSET('Critical resources (hide)'!$F$6,COLUMN(AW1)-1,0,1,1)</f>
        <v>41</v>
      </c>
      <c r="DH3" s="60">
        <f ca="1">OFFSET('Critical resources (hide)'!$F$6,COLUMN(AX1)-1,0,1,1)</f>
        <v>42</v>
      </c>
      <c r="DI3" s="60">
        <f ca="1">OFFSET('Critical resources (hide)'!$F$6,COLUMN(AY1)-1,0,1,1)</f>
        <v>43</v>
      </c>
      <c r="DJ3" s="60">
        <f ca="1">OFFSET('Critical resources (hide)'!$F$6,COLUMN(AZ1)-1,0,1,1)</f>
        <v>44</v>
      </c>
      <c r="DK3" s="2" t="s">
        <v>465</v>
      </c>
      <c r="DL3" t="s">
        <v>466</v>
      </c>
    </row>
    <row r="4" spans="2:120" s="68" customFormat="1" ht="15" x14ac:dyDescent="0.2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si="0">SUM(BK5:BK104)</f>
        <v>0</v>
      </c>
      <c r="BL4" s="319">
        <f t="shared" si="0"/>
        <v>0</v>
      </c>
      <c r="BM4" s="319">
        <f t="shared" si="0"/>
        <v>0</v>
      </c>
      <c r="BN4" s="319">
        <f t="shared" si="0"/>
        <v>0</v>
      </c>
      <c r="BO4" s="319">
        <f t="shared" si="0"/>
        <v>0</v>
      </c>
      <c r="BP4" s="319">
        <f t="shared" si="0"/>
        <v>0</v>
      </c>
      <c r="BQ4" s="319">
        <f t="shared" si="0"/>
        <v>0</v>
      </c>
      <c r="BR4" s="319">
        <f t="shared" si="0"/>
        <v>0</v>
      </c>
      <c r="BS4" s="319">
        <f t="shared" si="0"/>
        <v>0</v>
      </c>
      <c r="BT4" s="319">
        <f t="shared" si="0"/>
        <v>0</v>
      </c>
      <c r="BU4" s="319">
        <f t="shared" si="0"/>
        <v>0</v>
      </c>
      <c r="BV4" s="319">
        <f t="shared" si="0"/>
        <v>0</v>
      </c>
      <c r="BW4" s="319">
        <f t="shared" si="0"/>
        <v>0</v>
      </c>
      <c r="BX4" s="319">
        <f t="shared" si="0"/>
        <v>0</v>
      </c>
      <c r="BY4" s="319">
        <f t="shared" si="0"/>
        <v>0</v>
      </c>
      <c r="BZ4" s="319">
        <f t="shared" si="0"/>
        <v>0</v>
      </c>
      <c r="CA4" s="319">
        <f t="shared" si="0"/>
        <v>0</v>
      </c>
      <c r="CB4" s="319">
        <f t="shared" si="0"/>
        <v>0</v>
      </c>
      <c r="CC4" s="319">
        <f t="shared" si="0"/>
        <v>0</v>
      </c>
      <c r="CD4" s="319">
        <f t="shared" si="0"/>
        <v>0</v>
      </c>
      <c r="CE4" s="319">
        <f t="shared" si="0"/>
        <v>0</v>
      </c>
      <c r="CF4" s="319">
        <f t="shared" si="0"/>
        <v>0</v>
      </c>
      <c r="CG4" s="319">
        <f t="shared" si="0"/>
        <v>0</v>
      </c>
      <c r="CH4" s="319">
        <f t="shared" si="0"/>
        <v>0</v>
      </c>
      <c r="CI4" s="319">
        <f t="shared" si="0"/>
        <v>0</v>
      </c>
      <c r="CJ4" s="319">
        <f t="shared" si="0"/>
        <v>0</v>
      </c>
      <c r="CK4" s="319">
        <f t="shared" si="0"/>
        <v>0</v>
      </c>
      <c r="CL4" s="319">
        <f t="shared" si="0"/>
        <v>0</v>
      </c>
      <c r="CM4" s="319">
        <f t="shared" si="0"/>
        <v>0</v>
      </c>
      <c r="CN4" s="319">
        <f t="shared" si="0"/>
        <v>0</v>
      </c>
      <c r="CO4" s="319">
        <f t="shared" si="0"/>
        <v>0</v>
      </c>
      <c r="CP4" s="319">
        <f t="shared" si="0"/>
        <v>0</v>
      </c>
      <c r="CQ4" s="319">
        <f t="shared" ref="CQ4:DJ4" si="1">SUM(CQ5:CQ104)</f>
        <v>0</v>
      </c>
      <c r="CR4" s="319">
        <f t="shared" si="1"/>
        <v>0</v>
      </c>
      <c r="CS4" s="319">
        <f t="shared" si="1"/>
        <v>0</v>
      </c>
      <c r="CT4" s="319">
        <f t="shared" si="1"/>
        <v>0</v>
      </c>
      <c r="CU4" s="319">
        <f t="shared" si="1"/>
        <v>0</v>
      </c>
      <c r="CV4" s="319">
        <f t="shared" si="1"/>
        <v>0</v>
      </c>
      <c r="CW4" s="319">
        <f t="shared" si="1"/>
        <v>0</v>
      </c>
      <c r="CX4" s="319">
        <f t="shared" si="1"/>
        <v>0</v>
      </c>
      <c r="CY4" s="319">
        <f t="shared" si="1"/>
        <v>0</v>
      </c>
      <c r="CZ4" s="319">
        <f t="shared" si="1"/>
        <v>0</v>
      </c>
      <c r="DA4" s="319">
        <f t="shared" si="1"/>
        <v>0</v>
      </c>
      <c r="DB4" s="319">
        <f t="shared" si="1"/>
        <v>0</v>
      </c>
      <c r="DC4" s="319">
        <f t="shared" si="1"/>
        <v>0</v>
      </c>
      <c r="DD4" s="319">
        <f t="shared" si="1"/>
        <v>0</v>
      </c>
      <c r="DE4" s="319">
        <f t="shared" si="1"/>
        <v>0</v>
      </c>
      <c r="DF4" s="319">
        <f t="shared" si="1"/>
        <v>0</v>
      </c>
      <c r="DG4" s="319">
        <f t="shared" si="1"/>
        <v>0</v>
      </c>
      <c r="DH4" s="319">
        <f t="shared" si="1"/>
        <v>0</v>
      </c>
      <c r="DI4" s="319">
        <f t="shared" si="1"/>
        <v>0</v>
      </c>
      <c r="DJ4" s="319">
        <f t="shared" si="1"/>
        <v>0</v>
      </c>
      <c r="DK4" s="138">
        <f>SUM(BK4:DJ4)</f>
        <v>0</v>
      </c>
      <c r="DL4" s="5">
        <f>SUM(DL5:DL104)</f>
        <v>0</v>
      </c>
    </row>
    <row r="5" spans="2:120" x14ac:dyDescent="0.2">
      <c r="C5" s="68" t="str">
        <f>ROW(A1)&amp;". "&amp;Capacity!B17</f>
        <v xml:space="preserve">1. </v>
      </c>
      <c r="D5">
        <f>'Capacity setup'!C12</f>
        <v>0</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IF(ROW(C1)&lt;=Capacity!$A$16,IF('Capacity summary'!$D$14="No",SUM(H5:BG5),'Capacity summary'!$E124),0)</f>
        <v>0</v>
      </c>
      <c r="BI5" s="5" t="str">
        <f>IF(BH5&gt;0,IF(BH5&lt;Capacity!E17,Capacity!F17,Capacity!H17/'Capacity calculation (hide)'!BH5),"")</f>
        <v/>
      </c>
      <c r="BK5" s="319">
        <f>IF($BI5&lt;&gt;"",IF('Capacity summary'!$D$14="Yes",IF(COUNTBLANK('Capacity summary'!$H124:$BG124)&lt;52,IF('Capacity summary'!H124&lt;&gt;"",$BI5*H5,0),H5*$BI5),H5*$BI5),0)</f>
        <v>0</v>
      </c>
      <c r="BL5" s="319">
        <f>IF($BI5&lt;&gt;"",IF('Capacity summary'!$D$14="Yes",IF(COUNTBLANK('Capacity summary'!$H124:$BG124)&lt;52,IF('Capacity summary'!I124&lt;&gt;"",$BI5*I5,0),I5*$BI5),I5*$BI5),0)</f>
        <v>0</v>
      </c>
      <c r="BM5" s="319">
        <f>IF($BI5&lt;&gt;"",IF('Capacity summary'!$D$14="Yes",IF(COUNTBLANK('Capacity summary'!$H124:$BG124)&lt;52,IF('Capacity summary'!J124&lt;&gt;"",$BI5*J5,0),J5*$BI5),J5*$BI5),0)</f>
        <v>0</v>
      </c>
      <c r="BN5" s="319">
        <f>IF($BI5&lt;&gt;"",IF('Capacity summary'!$D$14="Yes",IF(COUNTBLANK('Capacity summary'!$H124:$BG124)&lt;52,IF('Capacity summary'!K124&lt;&gt;"",$BI5*K5,0),K5*$BI5),K5*$BI5),0)</f>
        <v>0</v>
      </c>
      <c r="BO5" s="319">
        <f>IF($BI5&lt;&gt;"",IF('Capacity summary'!$D$14="Yes",IF(COUNTBLANK('Capacity summary'!$H124:$BG124)&lt;52,IF('Capacity summary'!L124&lt;&gt;"",$BI5*L5,0),L5*$BI5),L5*$BI5),0)</f>
        <v>0</v>
      </c>
      <c r="BP5" s="319">
        <f>IF($BI5&lt;&gt;"",IF('Capacity summary'!$D$14="Yes",IF(COUNTBLANK('Capacity summary'!$H124:$BG124)&lt;52,IF('Capacity summary'!M124&lt;&gt;"",$BI5*M5,0),M5*$BI5),M5*$BI5),0)</f>
        <v>0</v>
      </c>
      <c r="BQ5" s="319">
        <f>IF($BI5&lt;&gt;"",IF('Capacity summary'!$D$14="Yes",IF(COUNTBLANK('Capacity summary'!$H124:$BG124)&lt;52,IF('Capacity summary'!N124&lt;&gt;"",$BI5*N5,0),N5*$BI5),N5*$BI5),0)</f>
        <v>0</v>
      </c>
      <c r="BR5" s="319">
        <f>IF($BI5&lt;&gt;"",IF('Capacity summary'!$D$14="Yes",IF(COUNTBLANK('Capacity summary'!$H124:$BG124)&lt;52,IF('Capacity summary'!O124&lt;&gt;"",$BI5*O5,0),O5*$BI5),O5*$BI5),0)</f>
        <v>0</v>
      </c>
      <c r="BS5" s="319">
        <f>IF($BI5&lt;&gt;"",IF('Capacity summary'!$D$14="Yes",IF(COUNTBLANK('Capacity summary'!$H124:$BG124)&lt;52,IF('Capacity summary'!P124&lt;&gt;"",$BI5*P5,0),P5*$BI5),P5*$BI5),0)</f>
        <v>0</v>
      </c>
      <c r="BT5" s="319">
        <f>IF($BI5&lt;&gt;"",IF('Capacity summary'!$D$14="Yes",IF(COUNTBLANK('Capacity summary'!$H124:$BG124)&lt;52,IF('Capacity summary'!Q124&lt;&gt;"",$BI5*Q5,0),Q5*$BI5),Q5*$BI5),0)</f>
        <v>0</v>
      </c>
      <c r="BU5" s="319">
        <f>IF($BI5&lt;&gt;"",IF('Capacity summary'!$D$14="Yes",IF(COUNTBLANK('Capacity summary'!$H124:$BG124)&lt;52,IF('Capacity summary'!R124&lt;&gt;"",$BI5*R5,0),R5*$BI5),R5*$BI5),0)</f>
        <v>0</v>
      </c>
      <c r="BV5" s="319">
        <f>IF($BI5&lt;&gt;"",IF('Capacity summary'!$D$14="Yes",IF(COUNTBLANK('Capacity summary'!$H124:$BG124)&lt;52,IF('Capacity summary'!S124&lt;&gt;"",$BI5*S5,0),S5*$BI5),S5*$BI5),0)</f>
        <v>0</v>
      </c>
      <c r="BW5" s="319">
        <f>IF($BI5&lt;&gt;"",IF('Capacity summary'!$D$14="Yes",IF(COUNTBLANK('Capacity summary'!$H124:$BG124)&lt;52,IF('Capacity summary'!T124&lt;&gt;"",$BI5*T5,0),T5*$BI5),T5*$BI5),0)</f>
        <v>0</v>
      </c>
      <c r="BX5" s="319">
        <f>IF($BI5&lt;&gt;"",IF('Capacity summary'!$D$14="Yes",IF(COUNTBLANK('Capacity summary'!$H124:$BG124)&lt;52,IF('Capacity summary'!U124&lt;&gt;"",$BI5*U5,0),U5*$BI5),U5*$BI5),0)</f>
        <v>0</v>
      </c>
      <c r="BY5" s="319">
        <f>IF($BI5&lt;&gt;"",IF('Capacity summary'!$D$14="Yes",IF(COUNTBLANK('Capacity summary'!$H124:$BG124)&lt;52,IF('Capacity summary'!V124&lt;&gt;"",$BI5*V5,0),V5*$BI5),V5*$BI5),0)</f>
        <v>0</v>
      </c>
      <c r="BZ5" s="319">
        <f>IF($BI5&lt;&gt;"",IF('Capacity summary'!$D$14="Yes",IF(COUNTBLANK('Capacity summary'!$H124:$BG124)&lt;52,IF('Capacity summary'!W124&lt;&gt;"",$BI5*W5,0),W5*$BI5),W5*$BI5),0)</f>
        <v>0</v>
      </c>
      <c r="CA5" s="319">
        <f>IF($BI5&lt;&gt;"",IF('Capacity summary'!$D$14="Yes",IF(COUNTBLANK('Capacity summary'!$H124:$BG124)&lt;52,IF('Capacity summary'!X124&lt;&gt;"",$BI5*X5,0),X5*$BI5),X5*$BI5),0)</f>
        <v>0</v>
      </c>
      <c r="CB5" s="319">
        <f>IF($BI5&lt;&gt;"",IF('Capacity summary'!$D$14="Yes",IF(COUNTBLANK('Capacity summary'!$H124:$BG124)&lt;52,IF('Capacity summary'!Y124&lt;&gt;"",$BI5*Y5,0),Y5*$BI5),Y5*$BI5),0)</f>
        <v>0</v>
      </c>
      <c r="CC5" s="319">
        <f>IF($BI5&lt;&gt;"",IF('Capacity summary'!$D$14="Yes",IF(COUNTBLANK('Capacity summary'!$H124:$BG124)&lt;52,IF('Capacity summary'!Z124&lt;&gt;"",$BI5*Z5,0),Z5*$BI5),Z5*$BI5),0)</f>
        <v>0</v>
      </c>
      <c r="CD5" s="319">
        <f>IF($BI5&lt;&gt;"",IF('Capacity summary'!$D$14="Yes",IF(COUNTBLANK('Capacity summary'!$H124:$BG124)&lt;52,IF('Capacity summary'!AA124&lt;&gt;"",$BI5*AA5,0),AA5*$BI5),AA5*$BI5),0)</f>
        <v>0</v>
      </c>
      <c r="CE5" s="319">
        <f>IF($BI5&lt;&gt;"",IF('Capacity summary'!$D$14="Yes",IF(COUNTBLANK('Capacity summary'!$H124:$BG124)&lt;52,IF('Capacity summary'!AB124&lt;&gt;"",$BI5*AB5,0),AB5*$BI5),AB5*$BI5),0)</f>
        <v>0</v>
      </c>
      <c r="CF5" s="319">
        <f>IF($BI5&lt;&gt;"",IF('Capacity summary'!$D$14="Yes",IF(COUNTBLANK('Capacity summary'!$H124:$BG124)&lt;52,IF('Capacity summary'!AC124&lt;&gt;"",$BI5*AC5,0),AC5*$BI5),AC5*$BI5),0)</f>
        <v>0</v>
      </c>
      <c r="CG5" s="319">
        <f>IF($BI5&lt;&gt;"",IF('Capacity summary'!$D$14="Yes",IF(COUNTBLANK('Capacity summary'!$H124:$BG124)&lt;52,IF('Capacity summary'!AD124&lt;&gt;"",$BI5*AD5,0),AD5*$BI5),AD5*$BI5),0)</f>
        <v>0</v>
      </c>
      <c r="CH5" s="319">
        <f>IF($BI5&lt;&gt;"",IF('Capacity summary'!$D$14="Yes",IF(COUNTBLANK('Capacity summary'!$H124:$BG124)&lt;52,IF('Capacity summary'!AE124&lt;&gt;"",$BI5*AE5,0),AE5*$BI5),AE5*$BI5),0)</f>
        <v>0</v>
      </c>
      <c r="CI5" s="319">
        <f>IF($BI5&lt;&gt;"",IF('Capacity summary'!$D$14="Yes",IF(COUNTBLANK('Capacity summary'!$H124:$BG124)&lt;52,IF('Capacity summary'!AF124&lt;&gt;"",$BI5*AF5,0),AF5*$BI5),AF5*$BI5),0)</f>
        <v>0</v>
      </c>
      <c r="CJ5" s="319">
        <f>IF($BI5&lt;&gt;"",IF('Capacity summary'!$D$14="Yes",IF(COUNTBLANK('Capacity summary'!$H124:$BG124)&lt;52,IF('Capacity summary'!AG124&lt;&gt;"",$BI5*AG5,0),AG5*$BI5),AG5*$BI5),0)</f>
        <v>0</v>
      </c>
      <c r="CK5" s="319">
        <f>IF($BI5&lt;&gt;"",IF('Capacity summary'!$D$14="Yes",IF(COUNTBLANK('Capacity summary'!$H124:$BG124)&lt;52,IF('Capacity summary'!AH124&lt;&gt;"",$BI5*AH5,0),AH5*$BI5),AH5*$BI5),0)</f>
        <v>0</v>
      </c>
      <c r="CL5" s="319">
        <f>IF($BI5&lt;&gt;"",IF('Capacity summary'!$D$14="Yes",IF(COUNTBLANK('Capacity summary'!$H124:$BG124)&lt;52,IF('Capacity summary'!AI124&lt;&gt;"",$BI5*AI5,0),AI5*$BI5),AI5*$BI5),0)</f>
        <v>0</v>
      </c>
      <c r="CM5" s="319">
        <f>IF($BI5&lt;&gt;"",IF('Capacity summary'!$D$14="Yes",IF(COUNTBLANK('Capacity summary'!$H124:$BG124)&lt;52,IF('Capacity summary'!AJ124&lt;&gt;"",$BI5*AJ5,0),AJ5*$BI5),AJ5*$BI5),0)</f>
        <v>0</v>
      </c>
      <c r="CN5" s="319">
        <f>IF($BI5&lt;&gt;"",IF('Capacity summary'!$D$14="Yes",IF(COUNTBLANK('Capacity summary'!$H124:$BG124)&lt;52,IF('Capacity summary'!AK124&lt;&gt;"",$BI5*AK5,0),AK5*$BI5),AK5*$BI5),0)</f>
        <v>0</v>
      </c>
      <c r="CO5" s="319">
        <f>IF($BI5&lt;&gt;"",IF('Capacity summary'!$D$14="Yes",IF(COUNTBLANK('Capacity summary'!$H124:$BG124)&lt;52,IF('Capacity summary'!AL124&lt;&gt;"",$BI5*AL5,0),AL5*$BI5),AL5*$BI5),0)</f>
        <v>0</v>
      </c>
      <c r="CP5" s="319">
        <f>IF($BI5&lt;&gt;"",IF('Capacity summary'!$D$14="Yes",IF(COUNTBLANK('Capacity summary'!$H124:$BG124)&lt;52,IF('Capacity summary'!AM124&lt;&gt;"",$BI5*AM5,0),AM5*$BI5),AM5*$BI5),0)</f>
        <v>0</v>
      </c>
      <c r="CQ5" s="319">
        <f>IF($BI5&lt;&gt;"",IF('Capacity summary'!$D$14="Yes",IF(COUNTBLANK('Capacity summary'!$H124:$BG124)&lt;52,IF('Capacity summary'!AN124&lt;&gt;"",$BI5*AN5,0),AN5*$BI5),AN5*$BI5),0)</f>
        <v>0</v>
      </c>
      <c r="CR5" s="319">
        <f>IF($BI5&lt;&gt;"",IF('Capacity summary'!$D$14="Yes",IF(COUNTBLANK('Capacity summary'!$H124:$BG124)&lt;52,IF('Capacity summary'!AO124&lt;&gt;"",$BI5*AO5,0),AO5*$BI5),AO5*$BI5),0)</f>
        <v>0</v>
      </c>
      <c r="CS5" s="319">
        <f>IF($BI5&lt;&gt;"",IF('Capacity summary'!$D$14="Yes",IF(COUNTBLANK('Capacity summary'!$H124:$BG124)&lt;52,IF('Capacity summary'!AP124&lt;&gt;"",$BI5*AP5,0),AP5*$BI5),AP5*$BI5),0)</f>
        <v>0</v>
      </c>
      <c r="CT5" s="319">
        <f>IF($BI5&lt;&gt;"",IF('Capacity summary'!$D$14="Yes",IF(COUNTBLANK('Capacity summary'!$H124:$BG124)&lt;52,IF('Capacity summary'!AQ124&lt;&gt;"",$BI5*AQ5,0),AQ5*$BI5),AQ5*$BI5),0)</f>
        <v>0</v>
      </c>
      <c r="CU5" s="319">
        <f>IF($BI5&lt;&gt;"",IF('Capacity summary'!$D$14="Yes",IF(COUNTBLANK('Capacity summary'!$H124:$BG124)&lt;52,IF('Capacity summary'!AR124&lt;&gt;"",$BI5*AR5,0),AR5*$BI5),AR5*$BI5),0)</f>
        <v>0</v>
      </c>
      <c r="CV5" s="319">
        <f>IF($BI5&lt;&gt;"",IF('Capacity summary'!$D$14="Yes",IF(COUNTBLANK('Capacity summary'!$H124:$BG124)&lt;52,IF('Capacity summary'!AS124&lt;&gt;"",$BI5*AS5,0),AS5*$BI5),AS5*$BI5),0)</f>
        <v>0</v>
      </c>
      <c r="CW5" s="319">
        <f>IF($BI5&lt;&gt;"",IF('Capacity summary'!$D$14="Yes",IF(COUNTBLANK('Capacity summary'!$H124:$BG124)&lt;52,IF('Capacity summary'!AT124&lt;&gt;"",$BI5*AT5,0),AT5*$BI5),AT5*$BI5),0)</f>
        <v>0</v>
      </c>
      <c r="CX5" s="319">
        <f>IF($BI5&lt;&gt;"",IF('Capacity summary'!$D$14="Yes",IF(COUNTBLANK('Capacity summary'!$H124:$BG124)&lt;52,IF('Capacity summary'!AU124&lt;&gt;"",$BI5*AU5,0),AU5*$BI5),AU5*$BI5),0)</f>
        <v>0</v>
      </c>
      <c r="CY5" s="319">
        <f>IF($BI5&lt;&gt;"",IF('Capacity summary'!$D$14="Yes",IF(COUNTBLANK('Capacity summary'!$H124:$BG124)&lt;52,IF('Capacity summary'!AV124&lt;&gt;"",$BI5*AV5,0),AV5*$BI5),AV5*$BI5),0)</f>
        <v>0</v>
      </c>
      <c r="CZ5" s="319">
        <f>IF($BI5&lt;&gt;"",IF('Capacity summary'!$D$14="Yes",IF(COUNTBLANK('Capacity summary'!$H124:$BG124)&lt;52,IF('Capacity summary'!AW124&lt;&gt;"",$BI5*AW5,0),AW5*$BI5),AW5*$BI5),0)</f>
        <v>0</v>
      </c>
      <c r="DA5" s="319">
        <f>IF($BI5&lt;&gt;"",IF('Capacity summary'!$D$14="Yes",IF(COUNTBLANK('Capacity summary'!$H124:$BG124)&lt;52,IF('Capacity summary'!AX124&lt;&gt;"",$BI5*AX5,0),AX5*$BI5),AX5*$BI5),0)</f>
        <v>0</v>
      </c>
      <c r="DB5" s="319">
        <f>IF($BI5&lt;&gt;"",IF('Capacity summary'!$D$14="Yes",IF(COUNTBLANK('Capacity summary'!$H124:$BG124)&lt;52,IF('Capacity summary'!AY124&lt;&gt;"",$BI5*AY5,0),AY5*$BI5),AY5*$BI5),0)</f>
        <v>0</v>
      </c>
      <c r="DC5" s="319">
        <f>IF($BI5&lt;&gt;"",IF('Capacity summary'!$D$14="Yes",IF(COUNTBLANK('Capacity summary'!$H124:$BG124)&lt;52,IF('Capacity summary'!AZ124&lt;&gt;"",$BI5*AZ5,0),AZ5*$BI5),AZ5*$BI5),0)</f>
        <v>0</v>
      </c>
      <c r="DD5" s="319">
        <f>IF($BI5&lt;&gt;"",IF('Capacity summary'!$D$14="Yes",IF(COUNTBLANK('Capacity summary'!$H124:$BG124)&lt;52,IF('Capacity summary'!BA124&lt;&gt;"",$BI5*BA5,0),BA5*$BI5),BA5*$BI5),0)</f>
        <v>0</v>
      </c>
      <c r="DE5" s="319">
        <f>IF($BI5&lt;&gt;"",IF('Capacity summary'!$D$14="Yes",IF(COUNTBLANK('Capacity summary'!$H124:$BG124)&lt;52,IF('Capacity summary'!BB124&lt;&gt;"",$BI5*BB5,0),BB5*$BI5),BB5*$BI5),0)</f>
        <v>0</v>
      </c>
      <c r="DF5" s="319">
        <f>IF($BI5&lt;&gt;"",IF('Capacity summary'!$D$14="Yes",IF(COUNTBLANK('Capacity summary'!$H124:$BG124)&lt;52,IF('Capacity summary'!BC124&lt;&gt;"",$BI5*BC5,0),BC5*$BI5),BC5*$BI5),0)</f>
        <v>0</v>
      </c>
      <c r="DG5" s="319">
        <f>IF($BI5&lt;&gt;"",IF('Capacity summary'!$D$14="Yes",IF(COUNTBLANK('Capacity summary'!$H124:$BG124)&lt;52,IF('Capacity summary'!BD124&lt;&gt;"",$BI5*BD5,0),BD5*$BI5),BD5*$BI5),0)</f>
        <v>0</v>
      </c>
      <c r="DH5" s="319">
        <f>IF($BI5&lt;&gt;"",IF('Capacity summary'!$D$14="Yes",IF(COUNTBLANK('Capacity summary'!$H124:$BG124)&lt;52,IF('Capacity summary'!BE124&lt;&gt;"",$BI5*BE5,0),BE5*$BI5),BE5*$BI5),0)</f>
        <v>0</v>
      </c>
      <c r="DI5" s="319">
        <f>IF($BI5&lt;&gt;"",IF('Capacity summary'!$D$14="Yes",IF(COUNTBLANK('Capacity summary'!$H124:$BG124)&lt;52,IF('Capacity summary'!BF124&lt;&gt;"",$BI5*BF5,0),BF5*$BI5),BF5*$BI5),0)</f>
        <v>0</v>
      </c>
      <c r="DJ5" s="319">
        <f>IF($BI5&lt;&gt;"",IF('Capacity summary'!$D$14="Yes",IF(COUNTBLANK('Capacity summary'!$H124:$BG124)&lt;52,IF('Capacity summary'!BG124&lt;&gt;"",$BI5*BG5,0),BG5*$BI5),BG5*$BI5),0)</f>
        <v>0</v>
      </c>
      <c r="DK5" s="5">
        <f>SUM(BK5:DJ5)</f>
        <v>0</v>
      </c>
      <c r="DL5" s="5" t="str">
        <f>Capacity!H17</f>
        <v/>
      </c>
      <c r="DP5" s="5"/>
    </row>
    <row r="6" spans="2:120" x14ac:dyDescent="0.2">
      <c r="B6" s="68"/>
      <c r="C6" s="68" t="str">
        <f>ROW(A2)&amp;". "&amp;Capacity!B18</f>
        <v xml:space="preserve">2. </v>
      </c>
      <c r="D6" s="68">
        <f>'Capacity setup'!C13</f>
        <v>0</v>
      </c>
      <c r="E6" s="68">
        <f>'Capacity setup'!D13</f>
        <v>0</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IF(ROW(C2)&lt;=Capacity!$A$16,IF('Capacity summary'!$D$14="No",SUM(H6:BG6),'Capacity summary'!$E125),0)</f>
        <v>0</v>
      </c>
      <c r="BI6" s="5" t="str">
        <f>IF(BH6&gt;0,IF(BH6&lt;Capacity!E18,Capacity!F18,Capacity!H18/'Capacity calculation (hide)'!BH6),"")</f>
        <v/>
      </c>
      <c r="BK6" s="319">
        <f>IF($BI6&lt;&gt;"",IF('Capacity summary'!$D$14="Yes",IF(COUNTBLANK('Capacity summary'!$H125:$BG125)&lt;52,IF('Capacity summary'!H125&lt;&gt;"",$BI6*H6,0),H6*$BI6),H6*$BI6),0)</f>
        <v>0</v>
      </c>
      <c r="BL6" s="319">
        <f>IF($BI6&lt;&gt;"",IF('Capacity summary'!$D$14="Yes",IF(COUNTBLANK('Capacity summary'!$H125:$BG125)&lt;52,IF('Capacity summary'!I125&lt;&gt;"",$BI6*I6,0),I6*$BI6),I6*$BI6),0)</f>
        <v>0</v>
      </c>
      <c r="BM6" s="319">
        <f>IF($BI6&lt;&gt;"",IF('Capacity summary'!$D$14="Yes",IF(COUNTBLANK('Capacity summary'!$H125:$BG125)&lt;52,IF('Capacity summary'!J125&lt;&gt;"",$BI6*J6,0),J6*$BI6),J6*$BI6),0)</f>
        <v>0</v>
      </c>
      <c r="BN6" s="319">
        <f>IF($BI6&lt;&gt;"",IF('Capacity summary'!$D$14="Yes",IF(COUNTBLANK('Capacity summary'!$H125:$BG125)&lt;52,IF('Capacity summary'!K125&lt;&gt;"",$BI6*K6,0),K6*$BI6),K6*$BI6),0)</f>
        <v>0</v>
      </c>
      <c r="BO6" s="319">
        <f>IF($BI6&lt;&gt;"",IF('Capacity summary'!$D$14="Yes",IF(COUNTBLANK('Capacity summary'!$H125:$BG125)&lt;52,IF('Capacity summary'!L125&lt;&gt;"",$BI6*L6,0),L6*$BI6),L6*$BI6),0)</f>
        <v>0</v>
      </c>
      <c r="BP6" s="319">
        <f>IF($BI6&lt;&gt;"",IF('Capacity summary'!$D$14="Yes",IF(COUNTBLANK('Capacity summary'!$H125:$BG125)&lt;52,IF('Capacity summary'!M125&lt;&gt;"",$BI6*M6,0),M6*$BI6),M6*$BI6),0)</f>
        <v>0</v>
      </c>
      <c r="BQ6" s="319">
        <f>IF($BI6&lt;&gt;"",IF('Capacity summary'!$D$14="Yes",IF(COUNTBLANK('Capacity summary'!$H125:$BG125)&lt;52,IF('Capacity summary'!N125&lt;&gt;"",$BI6*N6,0),N6*$BI6),N6*$BI6),0)</f>
        <v>0</v>
      </c>
      <c r="BR6" s="319">
        <f>IF($BI6&lt;&gt;"",IF('Capacity summary'!$D$14="Yes",IF(COUNTBLANK('Capacity summary'!$H125:$BG125)&lt;52,IF('Capacity summary'!O125&lt;&gt;"",$BI6*O6,0),O6*$BI6),O6*$BI6),0)</f>
        <v>0</v>
      </c>
      <c r="BS6" s="319">
        <f>IF($BI6&lt;&gt;"",IF('Capacity summary'!$D$14="Yes",IF(COUNTBLANK('Capacity summary'!$H125:$BG125)&lt;52,IF('Capacity summary'!P125&lt;&gt;"",$BI6*P6,0),P6*$BI6),P6*$BI6),0)</f>
        <v>0</v>
      </c>
      <c r="BT6" s="319">
        <f>IF($BI6&lt;&gt;"",IF('Capacity summary'!$D$14="Yes",IF(COUNTBLANK('Capacity summary'!$H125:$BG125)&lt;52,IF('Capacity summary'!Q125&lt;&gt;"",$BI6*Q6,0),Q6*$BI6),Q6*$BI6),0)</f>
        <v>0</v>
      </c>
      <c r="BU6" s="319">
        <f>IF($BI6&lt;&gt;"",IF('Capacity summary'!$D$14="Yes",IF(COUNTBLANK('Capacity summary'!$H125:$BG125)&lt;52,IF('Capacity summary'!R125&lt;&gt;"",$BI6*R6,0),R6*$BI6),R6*$BI6),0)</f>
        <v>0</v>
      </c>
      <c r="BV6" s="319">
        <f>IF($BI6&lt;&gt;"",IF('Capacity summary'!$D$14="Yes",IF(COUNTBLANK('Capacity summary'!$H125:$BG125)&lt;52,IF('Capacity summary'!S125&lt;&gt;"",$BI6*S6,0),S6*$BI6),S6*$BI6),0)</f>
        <v>0</v>
      </c>
      <c r="BW6" s="319">
        <f>IF($BI6&lt;&gt;"",IF('Capacity summary'!$D$14="Yes",IF(COUNTBLANK('Capacity summary'!$H125:$BG125)&lt;52,IF('Capacity summary'!T125&lt;&gt;"",$BI6*T6,0),T6*$BI6),T6*$BI6),0)</f>
        <v>0</v>
      </c>
      <c r="BX6" s="319">
        <f>IF($BI6&lt;&gt;"",IF('Capacity summary'!$D$14="Yes",IF(COUNTBLANK('Capacity summary'!$H125:$BG125)&lt;52,IF('Capacity summary'!U125&lt;&gt;"",$BI6*U6,0),U6*$BI6),U6*$BI6),0)</f>
        <v>0</v>
      </c>
      <c r="BY6" s="319">
        <f>IF($BI6&lt;&gt;"",IF('Capacity summary'!$D$14="Yes",IF(COUNTBLANK('Capacity summary'!$H125:$BG125)&lt;52,IF('Capacity summary'!V125&lt;&gt;"",$BI6*V6,0),V6*$BI6),V6*$BI6),0)</f>
        <v>0</v>
      </c>
      <c r="BZ6" s="319">
        <f>IF($BI6&lt;&gt;"",IF('Capacity summary'!$D$14="Yes",IF(COUNTBLANK('Capacity summary'!$H125:$BG125)&lt;52,IF('Capacity summary'!W125&lt;&gt;"",$BI6*W6,0),W6*$BI6),W6*$BI6),0)</f>
        <v>0</v>
      </c>
      <c r="CA6" s="319">
        <f>IF($BI6&lt;&gt;"",IF('Capacity summary'!$D$14="Yes",IF(COUNTBLANK('Capacity summary'!$H125:$BG125)&lt;52,IF('Capacity summary'!X125&lt;&gt;"",$BI6*X6,0),X6*$BI6),X6*$BI6),0)</f>
        <v>0</v>
      </c>
      <c r="CB6" s="319">
        <f>IF($BI6&lt;&gt;"",IF('Capacity summary'!$D$14="Yes",IF(COUNTBLANK('Capacity summary'!$H125:$BG125)&lt;52,IF('Capacity summary'!Y125&lt;&gt;"",$BI6*Y6,0),Y6*$BI6),Y6*$BI6),0)</f>
        <v>0</v>
      </c>
      <c r="CC6" s="319">
        <f>IF($BI6&lt;&gt;"",IF('Capacity summary'!$D$14="Yes",IF(COUNTBLANK('Capacity summary'!$H125:$BG125)&lt;52,IF('Capacity summary'!Z125&lt;&gt;"",$BI6*Z6,0),Z6*$BI6),Z6*$BI6),0)</f>
        <v>0</v>
      </c>
      <c r="CD6" s="319">
        <f>IF($BI6&lt;&gt;"",IF('Capacity summary'!$D$14="Yes",IF(COUNTBLANK('Capacity summary'!$H125:$BG125)&lt;52,IF('Capacity summary'!AA125&lt;&gt;"",$BI6*AA6,0),AA6*$BI6),AA6*$BI6),0)</f>
        <v>0</v>
      </c>
      <c r="CE6" s="319">
        <f>IF($BI6&lt;&gt;"",IF('Capacity summary'!$D$14="Yes",IF(COUNTBLANK('Capacity summary'!$H125:$BG125)&lt;52,IF('Capacity summary'!AB125&lt;&gt;"",$BI6*AB6,0),AB6*$BI6),AB6*$BI6),0)</f>
        <v>0</v>
      </c>
      <c r="CF6" s="319">
        <f>IF($BI6&lt;&gt;"",IF('Capacity summary'!$D$14="Yes",IF(COUNTBLANK('Capacity summary'!$H125:$BG125)&lt;52,IF('Capacity summary'!AC125&lt;&gt;"",$BI6*AC6,0),AC6*$BI6),AC6*$BI6),0)</f>
        <v>0</v>
      </c>
      <c r="CG6" s="319">
        <f>IF($BI6&lt;&gt;"",IF('Capacity summary'!$D$14="Yes",IF(COUNTBLANK('Capacity summary'!$H125:$BG125)&lt;52,IF('Capacity summary'!AD125&lt;&gt;"",$BI6*AD6,0),AD6*$BI6),AD6*$BI6),0)</f>
        <v>0</v>
      </c>
      <c r="CH6" s="319">
        <f>IF($BI6&lt;&gt;"",IF('Capacity summary'!$D$14="Yes",IF(COUNTBLANK('Capacity summary'!$H125:$BG125)&lt;52,IF('Capacity summary'!AE125&lt;&gt;"",$BI6*AE6,0),AE6*$BI6),AE6*$BI6),0)</f>
        <v>0</v>
      </c>
      <c r="CI6" s="319">
        <f>IF($BI6&lt;&gt;"",IF('Capacity summary'!$D$14="Yes",IF(COUNTBLANK('Capacity summary'!$H125:$BG125)&lt;52,IF('Capacity summary'!AF125&lt;&gt;"",$BI6*AF6,0),AF6*$BI6),AF6*$BI6),0)</f>
        <v>0</v>
      </c>
      <c r="CJ6" s="319">
        <f>IF($BI6&lt;&gt;"",IF('Capacity summary'!$D$14="Yes",IF(COUNTBLANK('Capacity summary'!$H125:$BG125)&lt;52,IF('Capacity summary'!AG125&lt;&gt;"",$BI6*AG6,0),AG6*$BI6),AG6*$BI6),0)</f>
        <v>0</v>
      </c>
      <c r="CK6" s="319">
        <f>IF($BI6&lt;&gt;"",IF('Capacity summary'!$D$14="Yes",IF(COUNTBLANK('Capacity summary'!$H125:$BG125)&lt;52,IF('Capacity summary'!AH125&lt;&gt;"",$BI6*AH6,0),AH6*$BI6),AH6*$BI6),0)</f>
        <v>0</v>
      </c>
      <c r="CL6" s="319">
        <f>IF($BI6&lt;&gt;"",IF('Capacity summary'!$D$14="Yes",IF(COUNTBLANK('Capacity summary'!$H125:$BG125)&lt;52,IF('Capacity summary'!AI125&lt;&gt;"",$BI6*AI6,0),AI6*$BI6),AI6*$BI6),0)</f>
        <v>0</v>
      </c>
      <c r="CM6" s="319">
        <f>IF($BI6&lt;&gt;"",IF('Capacity summary'!$D$14="Yes",IF(COUNTBLANK('Capacity summary'!$H125:$BG125)&lt;52,IF('Capacity summary'!AJ125&lt;&gt;"",$BI6*AJ6,0),AJ6*$BI6),AJ6*$BI6),0)</f>
        <v>0</v>
      </c>
      <c r="CN6" s="319">
        <f>IF($BI6&lt;&gt;"",IF('Capacity summary'!$D$14="Yes",IF(COUNTBLANK('Capacity summary'!$H125:$BG125)&lt;52,IF('Capacity summary'!AK125&lt;&gt;"",$BI6*AK6,0),AK6*$BI6),AK6*$BI6),0)</f>
        <v>0</v>
      </c>
      <c r="CO6" s="319">
        <f>IF($BI6&lt;&gt;"",IF('Capacity summary'!$D$14="Yes",IF(COUNTBLANK('Capacity summary'!$H125:$BG125)&lt;52,IF('Capacity summary'!AL125&lt;&gt;"",$BI6*AL6,0),AL6*$BI6),AL6*$BI6),0)</f>
        <v>0</v>
      </c>
      <c r="CP6" s="319">
        <f>IF($BI6&lt;&gt;"",IF('Capacity summary'!$D$14="Yes",IF(COUNTBLANK('Capacity summary'!$H125:$BG125)&lt;52,IF('Capacity summary'!AM125&lt;&gt;"",$BI6*AM6,0),AM6*$BI6),AM6*$BI6),0)</f>
        <v>0</v>
      </c>
      <c r="CQ6" s="319">
        <f>IF($BI6&lt;&gt;"",IF('Capacity summary'!$D$14="Yes",IF(COUNTBLANK('Capacity summary'!$H125:$BG125)&lt;52,IF('Capacity summary'!AN125&lt;&gt;"",$BI6*AN6,0),AN6*$BI6),AN6*$BI6),0)</f>
        <v>0</v>
      </c>
      <c r="CR6" s="319">
        <f>IF($BI6&lt;&gt;"",IF('Capacity summary'!$D$14="Yes",IF(COUNTBLANK('Capacity summary'!$H125:$BG125)&lt;52,IF('Capacity summary'!AO125&lt;&gt;"",$BI6*AO6,0),AO6*$BI6),AO6*$BI6),0)</f>
        <v>0</v>
      </c>
      <c r="CS6" s="319">
        <f>IF($BI6&lt;&gt;"",IF('Capacity summary'!$D$14="Yes",IF(COUNTBLANK('Capacity summary'!$H125:$BG125)&lt;52,IF('Capacity summary'!AP125&lt;&gt;"",$BI6*AP6,0),AP6*$BI6),AP6*$BI6),0)</f>
        <v>0</v>
      </c>
      <c r="CT6" s="319">
        <f>IF($BI6&lt;&gt;"",IF('Capacity summary'!$D$14="Yes",IF(COUNTBLANK('Capacity summary'!$H125:$BG125)&lt;52,IF('Capacity summary'!AQ125&lt;&gt;"",$BI6*AQ6,0),AQ6*$BI6),AQ6*$BI6),0)</f>
        <v>0</v>
      </c>
      <c r="CU6" s="319">
        <f>IF($BI6&lt;&gt;"",IF('Capacity summary'!$D$14="Yes",IF(COUNTBLANK('Capacity summary'!$H125:$BG125)&lt;52,IF('Capacity summary'!AR125&lt;&gt;"",$BI6*AR6,0),AR6*$BI6),AR6*$BI6),0)</f>
        <v>0</v>
      </c>
      <c r="CV6" s="319">
        <f>IF($BI6&lt;&gt;"",IF('Capacity summary'!$D$14="Yes",IF(COUNTBLANK('Capacity summary'!$H125:$BG125)&lt;52,IF('Capacity summary'!AS125&lt;&gt;"",$BI6*AS6,0),AS6*$BI6),AS6*$BI6),0)</f>
        <v>0</v>
      </c>
      <c r="CW6" s="319">
        <f>IF($BI6&lt;&gt;"",IF('Capacity summary'!$D$14="Yes",IF(COUNTBLANK('Capacity summary'!$H125:$BG125)&lt;52,IF('Capacity summary'!AT125&lt;&gt;"",$BI6*AT6,0),AT6*$BI6),AT6*$BI6),0)</f>
        <v>0</v>
      </c>
      <c r="CX6" s="319">
        <f>IF($BI6&lt;&gt;"",IF('Capacity summary'!$D$14="Yes",IF(COUNTBLANK('Capacity summary'!$H125:$BG125)&lt;52,IF('Capacity summary'!AU125&lt;&gt;"",$BI6*AU6,0),AU6*$BI6),AU6*$BI6),0)</f>
        <v>0</v>
      </c>
      <c r="CY6" s="319">
        <f>IF($BI6&lt;&gt;"",IF('Capacity summary'!$D$14="Yes",IF(COUNTBLANK('Capacity summary'!$H125:$BG125)&lt;52,IF('Capacity summary'!AV125&lt;&gt;"",$BI6*AV6,0),AV6*$BI6),AV6*$BI6),0)</f>
        <v>0</v>
      </c>
      <c r="CZ6" s="319">
        <f>IF($BI6&lt;&gt;"",IF('Capacity summary'!$D$14="Yes",IF(COUNTBLANK('Capacity summary'!$H125:$BG125)&lt;52,IF('Capacity summary'!AW125&lt;&gt;"",$BI6*AW6,0),AW6*$BI6),AW6*$BI6),0)</f>
        <v>0</v>
      </c>
      <c r="DA6" s="319">
        <f>IF($BI6&lt;&gt;"",IF('Capacity summary'!$D$14="Yes",IF(COUNTBLANK('Capacity summary'!$H125:$BG125)&lt;52,IF('Capacity summary'!AX125&lt;&gt;"",$BI6*AX6,0),AX6*$BI6),AX6*$BI6),0)</f>
        <v>0</v>
      </c>
      <c r="DB6" s="319">
        <f>IF($BI6&lt;&gt;"",IF('Capacity summary'!$D$14="Yes",IF(COUNTBLANK('Capacity summary'!$H125:$BG125)&lt;52,IF('Capacity summary'!AY125&lt;&gt;"",$BI6*AY6,0),AY6*$BI6),AY6*$BI6),0)</f>
        <v>0</v>
      </c>
      <c r="DC6" s="319">
        <f>IF($BI6&lt;&gt;"",IF('Capacity summary'!$D$14="Yes",IF(COUNTBLANK('Capacity summary'!$H125:$BG125)&lt;52,IF('Capacity summary'!AZ125&lt;&gt;"",$BI6*AZ6,0),AZ6*$BI6),AZ6*$BI6),0)</f>
        <v>0</v>
      </c>
      <c r="DD6" s="319">
        <f>IF($BI6&lt;&gt;"",IF('Capacity summary'!$D$14="Yes",IF(COUNTBLANK('Capacity summary'!$H125:$BG125)&lt;52,IF('Capacity summary'!BA125&lt;&gt;"",$BI6*BA6,0),BA6*$BI6),BA6*$BI6),0)</f>
        <v>0</v>
      </c>
      <c r="DE6" s="319">
        <f>IF($BI6&lt;&gt;"",IF('Capacity summary'!$D$14="Yes",IF(COUNTBLANK('Capacity summary'!$H125:$BG125)&lt;52,IF('Capacity summary'!BB125&lt;&gt;"",$BI6*BB6,0),BB6*$BI6),BB6*$BI6),0)</f>
        <v>0</v>
      </c>
      <c r="DF6" s="319">
        <f>IF($BI6&lt;&gt;"",IF('Capacity summary'!$D$14="Yes",IF(COUNTBLANK('Capacity summary'!$H125:$BG125)&lt;52,IF('Capacity summary'!BC125&lt;&gt;"",$BI6*BC6,0),BC6*$BI6),BC6*$BI6),0)</f>
        <v>0</v>
      </c>
      <c r="DG6" s="319">
        <f>IF($BI6&lt;&gt;"",IF('Capacity summary'!$D$14="Yes",IF(COUNTBLANK('Capacity summary'!$H125:$BG125)&lt;52,IF('Capacity summary'!BD125&lt;&gt;"",$BI6*BD6,0),BD6*$BI6),BD6*$BI6),0)</f>
        <v>0</v>
      </c>
      <c r="DH6" s="319">
        <f>IF($BI6&lt;&gt;"",IF('Capacity summary'!$D$14="Yes",IF(COUNTBLANK('Capacity summary'!$H125:$BG125)&lt;52,IF('Capacity summary'!BE125&lt;&gt;"",$BI6*BE6,0),BE6*$BI6),BE6*$BI6),0)</f>
        <v>0</v>
      </c>
      <c r="DI6" s="319">
        <f>IF($BI6&lt;&gt;"",IF('Capacity summary'!$D$14="Yes",IF(COUNTBLANK('Capacity summary'!$H125:$BG125)&lt;52,IF('Capacity summary'!BF125&lt;&gt;"",$BI6*BF6,0),BF6*$BI6),BF6*$BI6),0)</f>
        <v>0</v>
      </c>
      <c r="DJ6" s="319">
        <f>IF($BI6&lt;&gt;"",IF('Capacity summary'!$D$14="Yes",IF(COUNTBLANK('Capacity summary'!$H125:$BG125)&lt;52,IF('Capacity summary'!BG125&lt;&gt;"",$BI6*BG6,0),BG6*$BI6),BG6*$BI6),0)</f>
        <v>0</v>
      </c>
      <c r="DK6" s="5">
        <f t="shared" ref="DK6:DK69" si="2">SUM(BK6:DJ6)</f>
        <v>0</v>
      </c>
      <c r="DL6" s="5" t="str">
        <f>Capacity!H18</f>
        <v/>
      </c>
      <c r="DP6" s="5"/>
    </row>
    <row r="7" spans="2:120" x14ac:dyDescent="0.2">
      <c r="B7" s="68"/>
      <c r="C7" s="68" t="str">
        <f>ROW(A3)&amp;". "&amp;Capacity!B19</f>
        <v xml:space="preserve">3. </v>
      </c>
      <c r="D7" s="68">
        <f>'Capacity setup'!C14</f>
        <v>0</v>
      </c>
      <c r="E7" s="68">
        <f>'Capacity setup'!D14</f>
        <v>0</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IF(ROW(C3)&lt;=Capacity!$A$16,IF('Capacity summary'!$D$14="No",SUM(H7:BG7),'Capacity summary'!$E126),0)</f>
        <v>0</v>
      </c>
      <c r="BI7" s="5" t="str">
        <f>IF(BH7&gt;0,IF(BH7&lt;Capacity!E19,Capacity!F19,Capacity!H19/'Capacity calculation (hide)'!BH7),"")</f>
        <v/>
      </c>
      <c r="BK7" s="319">
        <f>IF($BI7&lt;&gt;"",IF('Capacity summary'!$D$14="Yes",IF(COUNTBLANK('Capacity summary'!$H126:$BG126)&lt;52,IF('Capacity summary'!H126&lt;&gt;"",$BI7*H7,0),H7*$BI7),H7*$BI7),0)</f>
        <v>0</v>
      </c>
      <c r="BL7" s="319">
        <f>IF($BI7&lt;&gt;"",IF('Capacity summary'!$D$14="Yes",IF(COUNTBLANK('Capacity summary'!$H126:$BG126)&lt;52,IF('Capacity summary'!I126&lt;&gt;"",$BI7*I7,0),I7*$BI7),I7*$BI7),0)</f>
        <v>0</v>
      </c>
      <c r="BM7" s="319">
        <f>IF($BI7&lt;&gt;"",IF('Capacity summary'!$D$14="Yes",IF(COUNTBLANK('Capacity summary'!$H126:$BG126)&lt;52,IF('Capacity summary'!J126&lt;&gt;"",$BI7*J7,0),J7*$BI7),J7*$BI7),0)</f>
        <v>0</v>
      </c>
      <c r="BN7" s="319">
        <f>IF($BI7&lt;&gt;"",IF('Capacity summary'!$D$14="Yes",IF(COUNTBLANK('Capacity summary'!$H126:$BG126)&lt;52,IF('Capacity summary'!K126&lt;&gt;"",$BI7*K7,0),K7*$BI7),K7*$BI7),0)</f>
        <v>0</v>
      </c>
      <c r="BO7" s="319">
        <f>IF($BI7&lt;&gt;"",IF('Capacity summary'!$D$14="Yes",IF(COUNTBLANK('Capacity summary'!$H126:$BG126)&lt;52,IF('Capacity summary'!L126&lt;&gt;"",$BI7*L7,0),L7*$BI7),L7*$BI7),0)</f>
        <v>0</v>
      </c>
      <c r="BP7" s="319">
        <f>IF($BI7&lt;&gt;"",IF('Capacity summary'!$D$14="Yes",IF(COUNTBLANK('Capacity summary'!$H126:$BG126)&lt;52,IF('Capacity summary'!M126&lt;&gt;"",$BI7*M7,0),M7*$BI7),M7*$BI7),0)</f>
        <v>0</v>
      </c>
      <c r="BQ7" s="319">
        <f>IF($BI7&lt;&gt;"",IF('Capacity summary'!$D$14="Yes",IF(COUNTBLANK('Capacity summary'!$H126:$BG126)&lt;52,IF('Capacity summary'!N126&lt;&gt;"",$BI7*N7,0),N7*$BI7),N7*$BI7),0)</f>
        <v>0</v>
      </c>
      <c r="BR7" s="319">
        <f>IF($BI7&lt;&gt;"",IF('Capacity summary'!$D$14="Yes",IF(COUNTBLANK('Capacity summary'!$H126:$BG126)&lt;52,IF('Capacity summary'!O126&lt;&gt;"",$BI7*O7,0),O7*$BI7),O7*$BI7),0)</f>
        <v>0</v>
      </c>
      <c r="BS7" s="319">
        <f>IF($BI7&lt;&gt;"",IF('Capacity summary'!$D$14="Yes",IF(COUNTBLANK('Capacity summary'!$H126:$BG126)&lt;52,IF('Capacity summary'!P126&lt;&gt;"",$BI7*P7,0),P7*$BI7),P7*$BI7),0)</f>
        <v>0</v>
      </c>
      <c r="BT7" s="319">
        <f>IF($BI7&lt;&gt;"",IF('Capacity summary'!$D$14="Yes",IF(COUNTBLANK('Capacity summary'!$H126:$BG126)&lt;52,IF('Capacity summary'!Q126&lt;&gt;"",$BI7*Q7,0),Q7*$BI7),Q7*$BI7),0)</f>
        <v>0</v>
      </c>
      <c r="BU7" s="319">
        <f>IF($BI7&lt;&gt;"",IF('Capacity summary'!$D$14="Yes",IF(COUNTBLANK('Capacity summary'!$H126:$BG126)&lt;52,IF('Capacity summary'!R126&lt;&gt;"",$BI7*R7,0),R7*$BI7),R7*$BI7),0)</f>
        <v>0</v>
      </c>
      <c r="BV7" s="319">
        <f>IF($BI7&lt;&gt;"",IF('Capacity summary'!$D$14="Yes",IF(COUNTBLANK('Capacity summary'!$H126:$BG126)&lt;52,IF('Capacity summary'!S126&lt;&gt;"",$BI7*S7,0),S7*$BI7),S7*$BI7),0)</f>
        <v>0</v>
      </c>
      <c r="BW7" s="319">
        <f>IF($BI7&lt;&gt;"",IF('Capacity summary'!$D$14="Yes",IF(COUNTBLANK('Capacity summary'!$H126:$BG126)&lt;52,IF('Capacity summary'!T126&lt;&gt;"",$BI7*T7,0),T7*$BI7),T7*$BI7),0)</f>
        <v>0</v>
      </c>
      <c r="BX7" s="319">
        <f>IF($BI7&lt;&gt;"",IF('Capacity summary'!$D$14="Yes",IF(COUNTBLANK('Capacity summary'!$H126:$BG126)&lt;52,IF('Capacity summary'!U126&lt;&gt;"",$BI7*U7,0),U7*$BI7),U7*$BI7),0)</f>
        <v>0</v>
      </c>
      <c r="BY7" s="319">
        <f>IF($BI7&lt;&gt;"",IF('Capacity summary'!$D$14="Yes",IF(COUNTBLANK('Capacity summary'!$H126:$BG126)&lt;52,IF('Capacity summary'!V126&lt;&gt;"",$BI7*V7,0),V7*$BI7),V7*$BI7),0)</f>
        <v>0</v>
      </c>
      <c r="BZ7" s="319">
        <f>IF($BI7&lt;&gt;"",IF('Capacity summary'!$D$14="Yes",IF(COUNTBLANK('Capacity summary'!$H126:$BG126)&lt;52,IF('Capacity summary'!W126&lt;&gt;"",$BI7*W7,0),W7*$BI7),W7*$BI7),0)</f>
        <v>0</v>
      </c>
      <c r="CA7" s="319">
        <f>IF($BI7&lt;&gt;"",IF('Capacity summary'!$D$14="Yes",IF(COUNTBLANK('Capacity summary'!$H126:$BG126)&lt;52,IF('Capacity summary'!X126&lt;&gt;"",$BI7*X7,0),X7*$BI7),X7*$BI7),0)</f>
        <v>0</v>
      </c>
      <c r="CB7" s="319">
        <f>IF($BI7&lt;&gt;"",IF('Capacity summary'!$D$14="Yes",IF(COUNTBLANK('Capacity summary'!$H126:$BG126)&lt;52,IF('Capacity summary'!Y126&lt;&gt;"",$BI7*Y7,0),Y7*$BI7),Y7*$BI7),0)</f>
        <v>0</v>
      </c>
      <c r="CC7" s="319">
        <f>IF($BI7&lt;&gt;"",IF('Capacity summary'!$D$14="Yes",IF(COUNTBLANK('Capacity summary'!$H126:$BG126)&lt;52,IF('Capacity summary'!Z126&lt;&gt;"",$BI7*Z7,0),Z7*$BI7),Z7*$BI7),0)</f>
        <v>0</v>
      </c>
      <c r="CD7" s="319">
        <f>IF($BI7&lt;&gt;"",IF('Capacity summary'!$D$14="Yes",IF(COUNTBLANK('Capacity summary'!$H126:$BG126)&lt;52,IF('Capacity summary'!AA126&lt;&gt;"",$BI7*AA7,0),AA7*$BI7),AA7*$BI7),0)</f>
        <v>0</v>
      </c>
      <c r="CE7" s="319">
        <f>IF($BI7&lt;&gt;"",IF('Capacity summary'!$D$14="Yes",IF(COUNTBLANK('Capacity summary'!$H126:$BG126)&lt;52,IF('Capacity summary'!AB126&lt;&gt;"",$BI7*AB7,0),AB7*$BI7),AB7*$BI7),0)</f>
        <v>0</v>
      </c>
      <c r="CF7" s="319">
        <f>IF($BI7&lt;&gt;"",IF('Capacity summary'!$D$14="Yes",IF(COUNTBLANK('Capacity summary'!$H126:$BG126)&lt;52,IF('Capacity summary'!AC126&lt;&gt;"",$BI7*AC7,0),AC7*$BI7),AC7*$BI7),0)</f>
        <v>0</v>
      </c>
      <c r="CG7" s="319">
        <f>IF($BI7&lt;&gt;"",IF('Capacity summary'!$D$14="Yes",IF(COUNTBLANK('Capacity summary'!$H126:$BG126)&lt;52,IF('Capacity summary'!AD126&lt;&gt;"",$BI7*AD7,0),AD7*$BI7),AD7*$BI7),0)</f>
        <v>0</v>
      </c>
      <c r="CH7" s="319">
        <f>IF($BI7&lt;&gt;"",IF('Capacity summary'!$D$14="Yes",IF(COUNTBLANK('Capacity summary'!$H126:$BG126)&lt;52,IF('Capacity summary'!AE126&lt;&gt;"",$BI7*AE7,0),AE7*$BI7),AE7*$BI7),0)</f>
        <v>0</v>
      </c>
      <c r="CI7" s="319">
        <f>IF($BI7&lt;&gt;"",IF('Capacity summary'!$D$14="Yes",IF(COUNTBLANK('Capacity summary'!$H126:$BG126)&lt;52,IF('Capacity summary'!AF126&lt;&gt;"",$BI7*AF7,0),AF7*$BI7),AF7*$BI7),0)</f>
        <v>0</v>
      </c>
      <c r="CJ7" s="319">
        <f>IF($BI7&lt;&gt;"",IF('Capacity summary'!$D$14="Yes",IF(COUNTBLANK('Capacity summary'!$H126:$BG126)&lt;52,IF('Capacity summary'!AG126&lt;&gt;"",$BI7*AG7,0),AG7*$BI7),AG7*$BI7),0)</f>
        <v>0</v>
      </c>
      <c r="CK7" s="319">
        <f>IF($BI7&lt;&gt;"",IF('Capacity summary'!$D$14="Yes",IF(COUNTBLANK('Capacity summary'!$H126:$BG126)&lt;52,IF('Capacity summary'!AH126&lt;&gt;"",$BI7*AH7,0),AH7*$BI7),AH7*$BI7),0)</f>
        <v>0</v>
      </c>
      <c r="CL7" s="319">
        <f>IF($BI7&lt;&gt;"",IF('Capacity summary'!$D$14="Yes",IF(COUNTBLANK('Capacity summary'!$H126:$BG126)&lt;52,IF('Capacity summary'!AI126&lt;&gt;"",$BI7*AI7,0),AI7*$BI7),AI7*$BI7),0)</f>
        <v>0</v>
      </c>
      <c r="CM7" s="319">
        <f>IF($BI7&lt;&gt;"",IF('Capacity summary'!$D$14="Yes",IF(COUNTBLANK('Capacity summary'!$H126:$BG126)&lt;52,IF('Capacity summary'!AJ126&lt;&gt;"",$BI7*AJ7,0),AJ7*$BI7),AJ7*$BI7),0)</f>
        <v>0</v>
      </c>
      <c r="CN7" s="319">
        <f>IF($BI7&lt;&gt;"",IF('Capacity summary'!$D$14="Yes",IF(COUNTBLANK('Capacity summary'!$H126:$BG126)&lt;52,IF('Capacity summary'!AK126&lt;&gt;"",$BI7*AK7,0),AK7*$BI7),AK7*$BI7),0)</f>
        <v>0</v>
      </c>
      <c r="CO7" s="319">
        <f>IF($BI7&lt;&gt;"",IF('Capacity summary'!$D$14="Yes",IF(COUNTBLANK('Capacity summary'!$H126:$BG126)&lt;52,IF('Capacity summary'!AL126&lt;&gt;"",$BI7*AL7,0),AL7*$BI7),AL7*$BI7),0)</f>
        <v>0</v>
      </c>
      <c r="CP7" s="319">
        <f>IF($BI7&lt;&gt;"",IF('Capacity summary'!$D$14="Yes",IF(COUNTBLANK('Capacity summary'!$H126:$BG126)&lt;52,IF('Capacity summary'!AM126&lt;&gt;"",$BI7*AM7,0),AM7*$BI7),AM7*$BI7),0)</f>
        <v>0</v>
      </c>
      <c r="CQ7" s="319">
        <f>IF($BI7&lt;&gt;"",IF('Capacity summary'!$D$14="Yes",IF(COUNTBLANK('Capacity summary'!$H126:$BG126)&lt;52,IF('Capacity summary'!AN126&lt;&gt;"",$BI7*AN7,0),AN7*$BI7),AN7*$BI7),0)</f>
        <v>0</v>
      </c>
      <c r="CR7" s="319">
        <f>IF($BI7&lt;&gt;"",IF('Capacity summary'!$D$14="Yes",IF(COUNTBLANK('Capacity summary'!$H126:$BG126)&lt;52,IF('Capacity summary'!AO126&lt;&gt;"",$BI7*AO7,0),AO7*$BI7),AO7*$BI7),0)</f>
        <v>0</v>
      </c>
      <c r="CS7" s="319">
        <f>IF($BI7&lt;&gt;"",IF('Capacity summary'!$D$14="Yes",IF(COUNTBLANK('Capacity summary'!$H126:$BG126)&lt;52,IF('Capacity summary'!AP126&lt;&gt;"",$BI7*AP7,0),AP7*$BI7),AP7*$BI7),0)</f>
        <v>0</v>
      </c>
      <c r="CT7" s="319">
        <f>IF($BI7&lt;&gt;"",IF('Capacity summary'!$D$14="Yes",IF(COUNTBLANK('Capacity summary'!$H126:$BG126)&lt;52,IF('Capacity summary'!AQ126&lt;&gt;"",$BI7*AQ7,0),AQ7*$BI7),AQ7*$BI7),0)</f>
        <v>0</v>
      </c>
      <c r="CU7" s="319">
        <f>IF($BI7&lt;&gt;"",IF('Capacity summary'!$D$14="Yes",IF(COUNTBLANK('Capacity summary'!$H126:$BG126)&lt;52,IF('Capacity summary'!AR126&lt;&gt;"",$BI7*AR7,0),AR7*$BI7),AR7*$BI7),0)</f>
        <v>0</v>
      </c>
      <c r="CV7" s="319">
        <f>IF($BI7&lt;&gt;"",IF('Capacity summary'!$D$14="Yes",IF(COUNTBLANK('Capacity summary'!$H126:$BG126)&lt;52,IF('Capacity summary'!AS126&lt;&gt;"",$BI7*AS7,0),AS7*$BI7),AS7*$BI7),0)</f>
        <v>0</v>
      </c>
      <c r="CW7" s="319">
        <f>IF($BI7&lt;&gt;"",IF('Capacity summary'!$D$14="Yes",IF(COUNTBLANK('Capacity summary'!$H126:$BG126)&lt;52,IF('Capacity summary'!AT126&lt;&gt;"",$BI7*AT7,0),AT7*$BI7),AT7*$BI7),0)</f>
        <v>0</v>
      </c>
      <c r="CX7" s="319">
        <f>IF($BI7&lt;&gt;"",IF('Capacity summary'!$D$14="Yes",IF(COUNTBLANK('Capacity summary'!$H126:$BG126)&lt;52,IF('Capacity summary'!AU126&lt;&gt;"",$BI7*AU7,0),AU7*$BI7),AU7*$BI7),0)</f>
        <v>0</v>
      </c>
      <c r="CY7" s="319">
        <f>IF($BI7&lt;&gt;"",IF('Capacity summary'!$D$14="Yes",IF(COUNTBLANK('Capacity summary'!$H126:$BG126)&lt;52,IF('Capacity summary'!AV126&lt;&gt;"",$BI7*AV7,0),AV7*$BI7),AV7*$BI7),0)</f>
        <v>0</v>
      </c>
      <c r="CZ7" s="319">
        <f>IF($BI7&lt;&gt;"",IF('Capacity summary'!$D$14="Yes",IF(COUNTBLANK('Capacity summary'!$H126:$BG126)&lt;52,IF('Capacity summary'!AW126&lt;&gt;"",$BI7*AW7,0),AW7*$BI7),AW7*$BI7),0)</f>
        <v>0</v>
      </c>
      <c r="DA7" s="319">
        <f>IF($BI7&lt;&gt;"",IF('Capacity summary'!$D$14="Yes",IF(COUNTBLANK('Capacity summary'!$H126:$BG126)&lt;52,IF('Capacity summary'!AX126&lt;&gt;"",$BI7*AX7,0),AX7*$BI7),AX7*$BI7),0)</f>
        <v>0</v>
      </c>
      <c r="DB7" s="319">
        <f>IF($BI7&lt;&gt;"",IF('Capacity summary'!$D$14="Yes",IF(COUNTBLANK('Capacity summary'!$H126:$BG126)&lt;52,IF('Capacity summary'!AY126&lt;&gt;"",$BI7*AY7,0),AY7*$BI7),AY7*$BI7),0)</f>
        <v>0</v>
      </c>
      <c r="DC7" s="319">
        <f>IF($BI7&lt;&gt;"",IF('Capacity summary'!$D$14="Yes",IF(COUNTBLANK('Capacity summary'!$H126:$BG126)&lt;52,IF('Capacity summary'!AZ126&lt;&gt;"",$BI7*AZ7,0),AZ7*$BI7),AZ7*$BI7),0)</f>
        <v>0</v>
      </c>
      <c r="DD7" s="319">
        <f>IF($BI7&lt;&gt;"",IF('Capacity summary'!$D$14="Yes",IF(COUNTBLANK('Capacity summary'!$H126:$BG126)&lt;52,IF('Capacity summary'!BA126&lt;&gt;"",$BI7*BA7,0),BA7*$BI7),BA7*$BI7),0)</f>
        <v>0</v>
      </c>
      <c r="DE7" s="319">
        <f>IF($BI7&lt;&gt;"",IF('Capacity summary'!$D$14="Yes",IF(COUNTBLANK('Capacity summary'!$H126:$BG126)&lt;52,IF('Capacity summary'!BB126&lt;&gt;"",$BI7*BB7,0),BB7*$BI7),BB7*$BI7),0)</f>
        <v>0</v>
      </c>
      <c r="DF7" s="319">
        <f>IF($BI7&lt;&gt;"",IF('Capacity summary'!$D$14="Yes",IF(COUNTBLANK('Capacity summary'!$H126:$BG126)&lt;52,IF('Capacity summary'!BC126&lt;&gt;"",$BI7*BC7,0),BC7*$BI7),BC7*$BI7),0)</f>
        <v>0</v>
      </c>
      <c r="DG7" s="319">
        <f>IF($BI7&lt;&gt;"",IF('Capacity summary'!$D$14="Yes",IF(COUNTBLANK('Capacity summary'!$H126:$BG126)&lt;52,IF('Capacity summary'!BD126&lt;&gt;"",$BI7*BD7,0),BD7*$BI7),BD7*$BI7),0)</f>
        <v>0</v>
      </c>
      <c r="DH7" s="319">
        <f>IF($BI7&lt;&gt;"",IF('Capacity summary'!$D$14="Yes",IF(COUNTBLANK('Capacity summary'!$H126:$BG126)&lt;52,IF('Capacity summary'!BE126&lt;&gt;"",$BI7*BE7,0),BE7*$BI7),BE7*$BI7),0)</f>
        <v>0</v>
      </c>
      <c r="DI7" s="319">
        <f>IF($BI7&lt;&gt;"",IF('Capacity summary'!$D$14="Yes",IF(COUNTBLANK('Capacity summary'!$H126:$BG126)&lt;52,IF('Capacity summary'!BF126&lt;&gt;"",$BI7*BF7,0),BF7*$BI7),BF7*$BI7),0)</f>
        <v>0</v>
      </c>
      <c r="DJ7" s="319">
        <f>IF($BI7&lt;&gt;"",IF('Capacity summary'!$D$14="Yes",IF(COUNTBLANK('Capacity summary'!$H126:$BG126)&lt;52,IF('Capacity summary'!BG126&lt;&gt;"",$BI7*BG7,0),BG7*$BI7),BG7*$BI7),0)</f>
        <v>0</v>
      </c>
      <c r="DK7" s="5">
        <f t="shared" si="2"/>
        <v>0</v>
      </c>
      <c r="DL7" s="5" t="str">
        <f>Capacity!H19</f>
        <v/>
      </c>
      <c r="DP7" s="5"/>
    </row>
    <row r="8" spans="2:120" x14ac:dyDescent="0.2">
      <c r="B8" s="68"/>
      <c r="C8" s="68" t="str">
        <f>ROW(A4)&amp;". "&amp;Capacity!B20</f>
        <v xml:space="preserve">4. </v>
      </c>
      <c r="D8" s="68">
        <f>'Capacity setup'!C15</f>
        <v>0</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IF(ROW(C4)&lt;=Capacity!$A$16,IF('Capacity summary'!$D$14="No",SUM(H8:BG8),'Capacity summary'!$E127),0)</f>
        <v>0</v>
      </c>
      <c r="BI8" s="5" t="str">
        <f>IF(BH8&gt;0,IF(BH8&lt;Capacity!E20,Capacity!F20,Capacity!H20/'Capacity calculation (hide)'!BH8),"")</f>
        <v/>
      </c>
      <c r="BK8" s="319">
        <f>IF($BI8&lt;&gt;"",IF('Capacity summary'!$D$14="Yes",IF(COUNTBLANK('Capacity summary'!$H127:$BG127)&lt;52,IF('Capacity summary'!H127&lt;&gt;"",$BI8*H8,0),H8*$BI8),H8*$BI8),0)</f>
        <v>0</v>
      </c>
      <c r="BL8" s="319">
        <f>IF($BI8&lt;&gt;"",IF('Capacity summary'!$D$14="Yes",IF(COUNTBLANK('Capacity summary'!$H127:$BG127)&lt;52,IF('Capacity summary'!I127&lt;&gt;"",$BI8*I8,0),I8*$BI8),I8*$BI8),0)</f>
        <v>0</v>
      </c>
      <c r="BM8" s="319">
        <f>IF($BI8&lt;&gt;"",IF('Capacity summary'!$D$14="Yes",IF(COUNTBLANK('Capacity summary'!$H127:$BG127)&lt;52,IF('Capacity summary'!J127&lt;&gt;"",$BI8*J8,0),J8*$BI8),J8*$BI8),0)</f>
        <v>0</v>
      </c>
      <c r="BN8" s="319">
        <f>IF($BI8&lt;&gt;"",IF('Capacity summary'!$D$14="Yes",IF(COUNTBLANK('Capacity summary'!$H127:$BG127)&lt;52,IF('Capacity summary'!K127&lt;&gt;"",$BI8*K8,0),K8*$BI8),K8*$BI8),0)</f>
        <v>0</v>
      </c>
      <c r="BO8" s="319">
        <f>IF($BI8&lt;&gt;"",IF('Capacity summary'!$D$14="Yes",IF(COUNTBLANK('Capacity summary'!$H127:$BG127)&lt;52,IF('Capacity summary'!L127&lt;&gt;"",$BI8*L8,0),L8*$BI8),L8*$BI8),0)</f>
        <v>0</v>
      </c>
      <c r="BP8" s="319">
        <f>IF($BI8&lt;&gt;"",IF('Capacity summary'!$D$14="Yes",IF(COUNTBLANK('Capacity summary'!$H127:$BG127)&lt;52,IF('Capacity summary'!M127&lt;&gt;"",$BI8*M8,0),M8*$BI8),M8*$BI8),0)</f>
        <v>0</v>
      </c>
      <c r="BQ8" s="319">
        <f>IF($BI8&lt;&gt;"",IF('Capacity summary'!$D$14="Yes",IF(COUNTBLANK('Capacity summary'!$H127:$BG127)&lt;52,IF('Capacity summary'!N127&lt;&gt;"",$BI8*N8,0),N8*$BI8),N8*$BI8),0)</f>
        <v>0</v>
      </c>
      <c r="BR8" s="319">
        <f>IF($BI8&lt;&gt;"",IF('Capacity summary'!$D$14="Yes",IF(COUNTBLANK('Capacity summary'!$H127:$BG127)&lt;52,IF('Capacity summary'!O127&lt;&gt;"",$BI8*O8,0),O8*$BI8),O8*$BI8),0)</f>
        <v>0</v>
      </c>
      <c r="BS8" s="319">
        <f>IF($BI8&lt;&gt;"",IF('Capacity summary'!$D$14="Yes",IF(COUNTBLANK('Capacity summary'!$H127:$BG127)&lt;52,IF('Capacity summary'!P127&lt;&gt;"",$BI8*P8,0),P8*$BI8),P8*$BI8),0)</f>
        <v>0</v>
      </c>
      <c r="BT8" s="319">
        <f>IF($BI8&lt;&gt;"",IF('Capacity summary'!$D$14="Yes",IF(COUNTBLANK('Capacity summary'!$H127:$BG127)&lt;52,IF('Capacity summary'!Q127&lt;&gt;"",$BI8*Q8,0),Q8*$BI8),Q8*$BI8),0)</f>
        <v>0</v>
      </c>
      <c r="BU8" s="319">
        <f>IF($BI8&lt;&gt;"",IF('Capacity summary'!$D$14="Yes",IF(COUNTBLANK('Capacity summary'!$H127:$BG127)&lt;52,IF('Capacity summary'!R127&lt;&gt;"",$BI8*R8,0),R8*$BI8),R8*$BI8),0)</f>
        <v>0</v>
      </c>
      <c r="BV8" s="319">
        <f>IF($BI8&lt;&gt;"",IF('Capacity summary'!$D$14="Yes",IF(COUNTBLANK('Capacity summary'!$H127:$BG127)&lt;52,IF('Capacity summary'!S127&lt;&gt;"",$BI8*S8,0),S8*$BI8),S8*$BI8),0)</f>
        <v>0</v>
      </c>
      <c r="BW8" s="319">
        <f>IF($BI8&lt;&gt;"",IF('Capacity summary'!$D$14="Yes",IF(COUNTBLANK('Capacity summary'!$H127:$BG127)&lt;52,IF('Capacity summary'!T127&lt;&gt;"",$BI8*T8,0),T8*$BI8),T8*$BI8),0)</f>
        <v>0</v>
      </c>
      <c r="BX8" s="319">
        <f>IF($BI8&lt;&gt;"",IF('Capacity summary'!$D$14="Yes",IF(COUNTBLANK('Capacity summary'!$H127:$BG127)&lt;52,IF('Capacity summary'!U127&lt;&gt;"",$BI8*U8,0),U8*$BI8),U8*$BI8),0)</f>
        <v>0</v>
      </c>
      <c r="BY8" s="319">
        <f>IF($BI8&lt;&gt;"",IF('Capacity summary'!$D$14="Yes",IF(COUNTBLANK('Capacity summary'!$H127:$BG127)&lt;52,IF('Capacity summary'!V127&lt;&gt;"",$BI8*V8,0),V8*$BI8),V8*$BI8),0)</f>
        <v>0</v>
      </c>
      <c r="BZ8" s="319">
        <f>IF($BI8&lt;&gt;"",IF('Capacity summary'!$D$14="Yes",IF(COUNTBLANK('Capacity summary'!$H127:$BG127)&lt;52,IF('Capacity summary'!W127&lt;&gt;"",$BI8*W8,0),W8*$BI8),W8*$BI8),0)</f>
        <v>0</v>
      </c>
      <c r="CA8" s="319">
        <f>IF($BI8&lt;&gt;"",IF('Capacity summary'!$D$14="Yes",IF(COUNTBLANK('Capacity summary'!$H127:$BG127)&lt;52,IF('Capacity summary'!X127&lt;&gt;"",$BI8*X8,0),X8*$BI8),X8*$BI8),0)</f>
        <v>0</v>
      </c>
      <c r="CB8" s="319">
        <f>IF($BI8&lt;&gt;"",IF('Capacity summary'!$D$14="Yes",IF(COUNTBLANK('Capacity summary'!$H127:$BG127)&lt;52,IF('Capacity summary'!Y127&lt;&gt;"",$BI8*Y8,0),Y8*$BI8),Y8*$BI8),0)</f>
        <v>0</v>
      </c>
      <c r="CC8" s="319">
        <f>IF($BI8&lt;&gt;"",IF('Capacity summary'!$D$14="Yes",IF(COUNTBLANK('Capacity summary'!$H127:$BG127)&lt;52,IF('Capacity summary'!Z127&lt;&gt;"",$BI8*Z8,0),Z8*$BI8),Z8*$BI8),0)</f>
        <v>0</v>
      </c>
      <c r="CD8" s="319">
        <f>IF($BI8&lt;&gt;"",IF('Capacity summary'!$D$14="Yes",IF(COUNTBLANK('Capacity summary'!$H127:$BG127)&lt;52,IF('Capacity summary'!AA127&lt;&gt;"",$BI8*AA8,0),AA8*$BI8),AA8*$BI8),0)</f>
        <v>0</v>
      </c>
      <c r="CE8" s="319">
        <f>IF($BI8&lt;&gt;"",IF('Capacity summary'!$D$14="Yes",IF(COUNTBLANK('Capacity summary'!$H127:$BG127)&lt;52,IF('Capacity summary'!AB127&lt;&gt;"",$BI8*AB8,0),AB8*$BI8),AB8*$BI8),0)</f>
        <v>0</v>
      </c>
      <c r="CF8" s="319">
        <f>IF($BI8&lt;&gt;"",IF('Capacity summary'!$D$14="Yes",IF(COUNTBLANK('Capacity summary'!$H127:$BG127)&lt;52,IF('Capacity summary'!AC127&lt;&gt;"",$BI8*AC8,0),AC8*$BI8),AC8*$BI8),0)</f>
        <v>0</v>
      </c>
      <c r="CG8" s="319">
        <f>IF($BI8&lt;&gt;"",IF('Capacity summary'!$D$14="Yes",IF(COUNTBLANK('Capacity summary'!$H127:$BG127)&lt;52,IF('Capacity summary'!AD127&lt;&gt;"",$BI8*AD8,0),AD8*$BI8),AD8*$BI8),0)</f>
        <v>0</v>
      </c>
      <c r="CH8" s="319">
        <f>IF($BI8&lt;&gt;"",IF('Capacity summary'!$D$14="Yes",IF(COUNTBLANK('Capacity summary'!$H127:$BG127)&lt;52,IF('Capacity summary'!AE127&lt;&gt;"",$BI8*AE8,0),AE8*$BI8),AE8*$BI8),0)</f>
        <v>0</v>
      </c>
      <c r="CI8" s="319">
        <f>IF($BI8&lt;&gt;"",IF('Capacity summary'!$D$14="Yes",IF(COUNTBLANK('Capacity summary'!$H127:$BG127)&lt;52,IF('Capacity summary'!AF127&lt;&gt;"",$BI8*AF8,0),AF8*$BI8),AF8*$BI8),0)</f>
        <v>0</v>
      </c>
      <c r="CJ8" s="319">
        <f>IF($BI8&lt;&gt;"",IF('Capacity summary'!$D$14="Yes",IF(COUNTBLANK('Capacity summary'!$H127:$BG127)&lt;52,IF('Capacity summary'!AG127&lt;&gt;"",$BI8*AG8,0),AG8*$BI8),AG8*$BI8),0)</f>
        <v>0</v>
      </c>
      <c r="CK8" s="319">
        <f>IF($BI8&lt;&gt;"",IF('Capacity summary'!$D$14="Yes",IF(COUNTBLANK('Capacity summary'!$H127:$BG127)&lt;52,IF('Capacity summary'!AH127&lt;&gt;"",$BI8*AH8,0),AH8*$BI8),AH8*$BI8),0)</f>
        <v>0</v>
      </c>
      <c r="CL8" s="319">
        <f>IF($BI8&lt;&gt;"",IF('Capacity summary'!$D$14="Yes",IF(COUNTBLANK('Capacity summary'!$H127:$BG127)&lt;52,IF('Capacity summary'!AI127&lt;&gt;"",$BI8*AI8,0),AI8*$BI8),AI8*$BI8),0)</f>
        <v>0</v>
      </c>
      <c r="CM8" s="319">
        <f>IF($BI8&lt;&gt;"",IF('Capacity summary'!$D$14="Yes",IF(COUNTBLANK('Capacity summary'!$H127:$BG127)&lt;52,IF('Capacity summary'!AJ127&lt;&gt;"",$BI8*AJ8,0),AJ8*$BI8),AJ8*$BI8),0)</f>
        <v>0</v>
      </c>
      <c r="CN8" s="319">
        <f>IF($BI8&lt;&gt;"",IF('Capacity summary'!$D$14="Yes",IF(COUNTBLANK('Capacity summary'!$H127:$BG127)&lt;52,IF('Capacity summary'!AK127&lt;&gt;"",$BI8*AK8,0),AK8*$BI8),AK8*$BI8),0)</f>
        <v>0</v>
      </c>
      <c r="CO8" s="319">
        <f>IF($BI8&lt;&gt;"",IF('Capacity summary'!$D$14="Yes",IF(COUNTBLANK('Capacity summary'!$H127:$BG127)&lt;52,IF('Capacity summary'!AL127&lt;&gt;"",$BI8*AL8,0),AL8*$BI8),AL8*$BI8),0)</f>
        <v>0</v>
      </c>
      <c r="CP8" s="319">
        <f>IF($BI8&lt;&gt;"",IF('Capacity summary'!$D$14="Yes",IF(COUNTBLANK('Capacity summary'!$H127:$BG127)&lt;52,IF('Capacity summary'!AM127&lt;&gt;"",$BI8*AM8,0),AM8*$BI8),AM8*$BI8),0)</f>
        <v>0</v>
      </c>
      <c r="CQ8" s="319">
        <f>IF($BI8&lt;&gt;"",IF('Capacity summary'!$D$14="Yes",IF(COUNTBLANK('Capacity summary'!$H127:$BG127)&lt;52,IF('Capacity summary'!AN127&lt;&gt;"",$BI8*AN8,0),AN8*$BI8),AN8*$BI8),0)</f>
        <v>0</v>
      </c>
      <c r="CR8" s="319">
        <f>IF($BI8&lt;&gt;"",IF('Capacity summary'!$D$14="Yes",IF(COUNTBLANK('Capacity summary'!$H127:$BG127)&lt;52,IF('Capacity summary'!AO127&lt;&gt;"",$BI8*AO8,0),AO8*$BI8),AO8*$BI8),0)</f>
        <v>0</v>
      </c>
      <c r="CS8" s="319">
        <f>IF($BI8&lt;&gt;"",IF('Capacity summary'!$D$14="Yes",IF(COUNTBLANK('Capacity summary'!$H127:$BG127)&lt;52,IF('Capacity summary'!AP127&lt;&gt;"",$BI8*AP8,0),AP8*$BI8),AP8*$BI8),0)</f>
        <v>0</v>
      </c>
      <c r="CT8" s="319">
        <f>IF($BI8&lt;&gt;"",IF('Capacity summary'!$D$14="Yes",IF(COUNTBLANK('Capacity summary'!$H127:$BG127)&lt;52,IF('Capacity summary'!AQ127&lt;&gt;"",$BI8*AQ8,0),AQ8*$BI8),AQ8*$BI8),0)</f>
        <v>0</v>
      </c>
      <c r="CU8" s="319">
        <f>IF($BI8&lt;&gt;"",IF('Capacity summary'!$D$14="Yes",IF(COUNTBLANK('Capacity summary'!$H127:$BG127)&lt;52,IF('Capacity summary'!AR127&lt;&gt;"",$BI8*AR8,0),AR8*$BI8),AR8*$BI8),0)</f>
        <v>0</v>
      </c>
      <c r="CV8" s="319">
        <f>IF($BI8&lt;&gt;"",IF('Capacity summary'!$D$14="Yes",IF(COUNTBLANK('Capacity summary'!$H127:$BG127)&lt;52,IF('Capacity summary'!AS127&lt;&gt;"",$BI8*AS8,0),AS8*$BI8),AS8*$BI8),0)</f>
        <v>0</v>
      </c>
      <c r="CW8" s="319">
        <f>IF($BI8&lt;&gt;"",IF('Capacity summary'!$D$14="Yes",IF(COUNTBLANK('Capacity summary'!$H127:$BG127)&lt;52,IF('Capacity summary'!AT127&lt;&gt;"",$BI8*AT8,0),AT8*$BI8),AT8*$BI8),0)</f>
        <v>0</v>
      </c>
      <c r="CX8" s="319">
        <f>IF($BI8&lt;&gt;"",IF('Capacity summary'!$D$14="Yes",IF(COUNTBLANK('Capacity summary'!$H127:$BG127)&lt;52,IF('Capacity summary'!AU127&lt;&gt;"",$BI8*AU8,0),AU8*$BI8),AU8*$BI8),0)</f>
        <v>0</v>
      </c>
      <c r="CY8" s="319">
        <f>IF($BI8&lt;&gt;"",IF('Capacity summary'!$D$14="Yes",IF(COUNTBLANK('Capacity summary'!$H127:$BG127)&lt;52,IF('Capacity summary'!AV127&lt;&gt;"",$BI8*AV8,0),AV8*$BI8),AV8*$BI8),0)</f>
        <v>0</v>
      </c>
      <c r="CZ8" s="319">
        <f>IF($BI8&lt;&gt;"",IF('Capacity summary'!$D$14="Yes",IF(COUNTBLANK('Capacity summary'!$H127:$BG127)&lt;52,IF('Capacity summary'!AW127&lt;&gt;"",$BI8*AW8,0),AW8*$BI8),AW8*$BI8),0)</f>
        <v>0</v>
      </c>
      <c r="DA8" s="319">
        <f>IF($BI8&lt;&gt;"",IF('Capacity summary'!$D$14="Yes",IF(COUNTBLANK('Capacity summary'!$H127:$BG127)&lt;52,IF('Capacity summary'!AX127&lt;&gt;"",$BI8*AX8,0),AX8*$BI8),AX8*$BI8),0)</f>
        <v>0</v>
      </c>
      <c r="DB8" s="319">
        <f>IF($BI8&lt;&gt;"",IF('Capacity summary'!$D$14="Yes",IF(COUNTBLANK('Capacity summary'!$H127:$BG127)&lt;52,IF('Capacity summary'!AY127&lt;&gt;"",$BI8*AY8,0),AY8*$BI8),AY8*$BI8),0)</f>
        <v>0</v>
      </c>
      <c r="DC8" s="319">
        <f>IF($BI8&lt;&gt;"",IF('Capacity summary'!$D$14="Yes",IF(COUNTBLANK('Capacity summary'!$H127:$BG127)&lt;52,IF('Capacity summary'!AZ127&lt;&gt;"",$BI8*AZ8,0),AZ8*$BI8),AZ8*$BI8),0)</f>
        <v>0</v>
      </c>
      <c r="DD8" s="319">
        <f>IF($BI8&lt;&gt;"",IF('Capacity summary'!$D$14="Yes",IF(COUNTBLANK('Capacity summary'!$H127:$BG127)&lt;52,IF('Capacity summary'!BA127&lt;&gt;"",$BI8*BA8,0),BA8*$BI8),BA8*$BI8),0)</f>
        <v>0</v>
      </c>
      <c r="DE8" s="319">
        <f>IF($BI8&lt;&gt;"",IF('Capacity summary'!$D$14="Yes",IF(COUNTBLANK('Capacity summary'!$H127:$BG127)&lt;52,IF('Capacity summary'!BB127&lt;&gt;"",$BI8*BB8,0),BB8*$BI8),BB8*$BI8),0)</f>
        <v>0</v>
      </c>
      <c r="DF8" s="319">
        <f>IF($BI8&lt;&gt;"",IF('Capacity summary'!$D$14="Yes",IF(COUNTBLANK('Capacity summary'!$H127:$BG127)&lt;52,IF('Capacity summary'!BC127&lt;&gt;"",$BI8*BC8,0),BC8*$BI8),BC8*$BI8),0)</f>
        <v>0</v>
      </c>
      <c r="DG8" s="319">
        <f>IF($BI8&lt;&gt;"",IF('Capacity summary'!$D$14="Yes",IF(COUNTBLANK('Capacity summary'!$H127:$BG127)&lt;52,IF('Capacity summary'!BD127&lt;&gt;"",$BI8*BD8,0),BD8*$BI8),BD8*$BI8),0)</f>
        <v>0</v>
      </c>
      <c r="DH8" s="319">
        <f>IF($BI8&lt;&gt;"",IF('Capacity summary'!$D$14="Yes",IF(COUNTBLANK('Capacity summary'!$H127:$BG127)&lt;52,IF('Capacity summary'!BE127&lt;&gt;"",$BI8*BE8,0),BE8*$BI8),BE8*$BI8),0)</f>
        <v>0</v>
      </c>
      <c r="DI8" s="319">
        <f>IF($BI8&lt;&gt;"",IF('Capacity summary'!$D$14="Yes",IF(COUNTBLANK('Capacity summary'!$H127:$BG127)&lt;52,IF('Capacity summary'!BF127&lt;&gt;"",$BI8*BF8,0),BF8*$BI8),BF8*$BI8),0)</f>
        <v>0</v>
      </c>
      <c r="DJ8" s="319">
        <f>IF($BI8&lt;&gt;"",IF('Capacity summary'!$D$14="Yes",IF(COUNTBLANK('Capacity summary'!$H127:$BG127)&lt;52,IF('Capacity summary'!BG127&lt;&gt;"",$BI8*BG8,0),BG8*$BI8),BG8*$BI8),0)</f>
        <v>0</v>
      </c>
      <c r="DK8" s="5">
        <f t="shared" si="2"/>
        <v>0</v>
      </c>
      <c r="DL8" s="5" t="str">
        <f>Capacity!H20</f>
        <v/>
      </c>
      <c r="DP8" s="5"/>
    </row>
    <row r="9" spans="2:120" x14ac:dyDescent="0.2">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2">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2">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2">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2">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2">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2">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2">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2">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2">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2">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2">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2">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2">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2">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2">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2">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2">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2">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2">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2">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2">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2">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2">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2">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2">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2">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2">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2">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2">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2">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2">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2">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2">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2">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2">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2">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2">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2">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2">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2">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2">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2">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2">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2">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2">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2">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2">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2">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2">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2">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2">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2">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2">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2">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2">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2">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2">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2">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2">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2">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2">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2">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2">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2">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2">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2">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2">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2">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2">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2">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2">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2">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2">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2">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2">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2">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2">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2">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2">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2">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2">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2">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2">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2">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2">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2">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2">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2">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2">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2">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2">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2">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2">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2">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2">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2">
      <c r="B105" s="68"/>
    </row>
    <row r="106" spans="2:116" x14ac:dyDescent="0.2">
      <c r="B106" s="68"/>
    </row>
    <row r="107" spans="2:116" x14ac:dyDescent="0.2">
      <c r="B107" s="68"/>
    </row>
    <row r="108" spans="2:116" x14ac:dyDescent="0.2">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ht="15"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2">
      <c r="C110" t="s">
        <v>469</v>
      </c>
      <c r="H110" s="68"/>
      <c r="BJ110"/>
      <c r="BK110">
        <f ca="1">BK3</f>
        <v>45</v>
      </c>
      <c r="BL110" s="68">
        <f t="shared" ref="BL110:DJ110" ca="1" si="4">BL3</f>
        <v>46</v>
      </c>
      <c r="BM110" s="68">
        <f t="shared" ca="1" si="4"/>
        <v>47</v>
      </c>
      <c r="BN110" s="68">
        <f t="shared" ca="1" si="4"/>
        <v>48</v>
      </c>
      <c r="BO110" s="68">
        <f t="shared" ca="1" si="4"/>
        <v>49</v>
      </c>
      <c r="BP110" s="68">
        <f t="shared" ca="1" si="4"/>
        <v>50</v>
      </c>
      <c r="BQ110" s="68">
        <f t="shared" ca="1" si="4"/>
        <v>51</v>
      </c>
      <c r="BR110" s="68">
        <f t="shared" ca="1" si="4"/>
        <v>52</v>
      </c>
      <c r="BS110" s="68">
        <f t="shared" ca="1" si="4"/>
        <v>1</v>
      </c>
      <c r="BT110" s="68">
        <f t="shared" ca="1" si="4"/>
        <v>2</v>
      </c>
      <c r="BU110" s="68">
        <f t="shared" ca="1" si="4"/>
        <v>3</v>
      </c>
      <c r="BV110" s="68">
        <f t="shared" ca="1" si="4"/>
        <v>4</v>
      </c>
      <c r="BW110" s="68">
        <f t="shared" ca="1" si="4"/>
        <v>5</v>
      </c>
      <c r="BX110" s="68">
        <f t="shared" ca="1" si="4"/>
        <v>6</v>
      </c>
      <c r="BY110" s="68">
        <f t="shared" ca="1" si="4"/>
        <v>7</v>
      </c>
      <c r="BZ110" s="68">
        <f t="shared" ca="1" si="4"/>
        <v>8</v>
      </c>
      <c r="CA110" s="68">
        <f t="shared" ca="1" si="4"/>
        <v>9</v>
      </c>
      <c r="CB110" s="68">
        <f t="shared" ca="1" si="4"/>
        <v>10</v>
      </c>
      <c r="CC110" s="68">
        <f t="shared" ca="1" si="4"/>
        <v>11</v>
      </c>
      <c r="CD110" s="68">
        <f t="shared" ca="1" si="4"/>
        <v>12</v>
      </c>
      <c r="CE110" s="68">
        <f t="shared" ca="1" si="4"/>
        <v>13</v>
      </c>
      <c r="CF110" s="68">
        <f t="shared" ca="1" si="4"/>
        <v>14</v>
      </c>
      <c r="CG110" s="68">
        <f t="shared" ca="1" si="4"/>
        <v>15</v>
      </c>
      <c r="CH110" s="68">
        <f t="shared" ca="1" si="4"/>
        <v>16</v>
      </c>
      <c r="CI110" s="68">
        <f t="shared" ca="1" si="4"/>
        <v>17</v>
      </c>
      <c r="CJ110" s="68">
        <f t="shared" ca="1" si="4"/>
        <v>18</v>
      </c>
      <c r="CK110" s="68">
        <f t="shared" ca="1" si="4"/>
        <v>19</v>
      </c>
      <c r="CL110" s="68">
        <f t="shared" ca="1" si="4"/>
        <v>20</v>
      </c>
      <c r="CM110" s="68">
        <f t="shared" ca="1" si="4"/>
        <v>21</v>
      </c>
      <c r="CN110" s="68">
        <f t="shared" ca="1" si="4"/>
        <v>22</v>
      </c>
      <c r="CO110" s="68">
        <f t="shared" ca="1" si="4"/>
        <v>23</v>
      </c>
      <c r="CP110" s="68">
        <f t="shared" ca="1" si="4"/>
        <v>24</v>
      </c>
      <c r="CQ110" s="68">
        <f t="shared" ca="1" si="4"/>
        <v>25</v>
      </c>
      <c r="CR110" s="68">
        <f t="shared" ca="1" si="4"/>
        <v>26</v>
      </c>
      <c r="CS110" s="68">
        <f t="shared" ca="1" si="4"/>
        <v>27</v>
      </c>
      <c r="CT110" s="68">
        <f t="shared" ca="1" si="4"/>
        <v>28</v>
      </c>
      <c r="CU110" s="68">
        <f t="shared" ca="1" si="4"/>
        <v>29</v>
      </c>
      <c r="CV110" s="68">
        <f t="shared" ca="1" si="4"/>
        <v>30</v>
      </c>
      <c r="CW110" s="68">
        <f t="shared" ca="1" si="4"/>
        <v>31</v>
      </c>
      <c r="CX110" s="68">
        <f t="shared" ca="1" si="4"/>
        <v>32</v>
      </c>
      <c r="CY110" s="68">
        <f t="shared" ca="1" si="4"/>
        <v>33</v>
      </c>
      <c r="CZ110" s="68">
        <f t="shared" ca="1" si="4"/>
        <v>34</v>
      </c>
      <c r="DA110" s="68">
        <f t="shared" ca="1" si="4"/>
        <v>35</v>
      </c>
      <c r="DB110" s="68">
        <f t="shared" ca="1" si="4"/>
        <v>36</v>
      </c>
      <c r="DC110" s="68">
        <f t="shared" ca="1" si="4"/>
        <v>37</v>
      </c>
      <c r="DD110" s="68">
        <f t="shared" ca="1" si="4"/>
        <v>38</v>
      </c>
      <c r="DE110" s="68">
        <f t="shared" ca="1" si="4"/>
        <v>39</v>
      </c>
      <c r="DF110" s="68">
        <f t="shared" ca="1" si="4"/>
        <v>40</v>
      </c>
      <c r="DG110" s="68">
        <f t="shared" ca="1" si="4"/>
        <v>41</v>
      </c>
      <c r="DH110" s="68">
        <f t="shared" ca="1" si="4"/>
        <v>42</v>
      </c>
      <c r="DI110" s="68">
        <f t="shared" ca="1" si="4"/>
        <v>43</v>
      </c>
      <c r="DJ110" s="68">
        <f t="shared" ca="1" si="4"/>
        <v>44</v>
      </c>
    </row>
    <row r="111" spans="2:116" x14ac:dyDescent="0.2">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
      <c r="C112" t="str">
        <f>ROW(A1)&amp;". "&amp;Capacity!N17</f>
        <v xml:space="preserve">1. </v>
      </c>
      <c r="D112">
        <f>'Capacity setup'!C118</f>
        <v>0</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summary'!H24&lt;&gt;"",$BI112*H112,0),H112*$BI112),H112*$BI112),0)</f>
        <v>0</v>
      </c>
      <c r="BL112" s="5">
        <f>IF($BI112&lt;&gt;"",IF('Capacity summary'!$C$14="Yes",IF(COUNTBLANK('Capacity summary'!$H24:$BG24)&lt;52,IF('Capacity summary'!I24&lt;&gt;"",$BI112*I112,0),I112*$BI112),I112*$BI112),0)</f>
        <v>0</v>
      </c>
      <c r="BM112" s="5">
        <f>IF($BI112&lt;&gt;"",IF('Capacity summary'!$C$14="Yes",IF(COUNTBLANK('Capacity summary'!$H24:$BG24)&lt;52,IF('Capacity summary'!J24&lt;&gt;"",$BI112*J112,0),J112*$BI112),J112*$BI112),0)</f>
        <v>0</v>
      </c>
      <c r="BN112" s="5">
        <f>IF($BI112&lt;&gt;"",IF('Capacity summary'!$C$14="Yes",IF(COUNTBLANK('Capacity summary'!$H24:$BG24)&lt;52,IF('Capacity summary'!K24&lt;&gt;"",$BI112*K112,0),K112*$BI112),K112*$BI112),0)</f>
        <v>0</v>
      </c>
      <c r="BO112" s="5">
        <f>IF($BI112&lt;&gt;"",IF('Capacity summary'!$C$14="Yes",IF(COUNTBLANK('Capacity summary'!$H24:$BG24)&lt;52,IF('Capacity summary'!L24&lt;&gt;"",$BI112*L112,0),L112*$BI112),L112*$BI112),0)</f>
        <v>0</v>
      </c>
      <c r="BP112" s="5">
        <f>IF($BI112&lt;&gt;"",IF('Capacity summary'!$C$14="Yes",IF(COUNTBLANK('Capacity summary'!$H24:$BG24)&lt;52,IF('Capacity summary'!M24&lt;&gt;"",$BI112*M112,0),M112*$BI112),M112*$BI112),0)</f>
        <v>0</v>
      </c>
      <c r="BQ112" s="5">
        <f>IF($BI112&lt;&gt;"",IF('Capacity summary'!$C$14="Yes",IF(COUNTBLANK('Capacity summary'!$H24:$BG24)&lt;52,IF('Capacity summary'!N24&lt;&gt;"",$BI112*N112,0),N112*$BI112),N112*$BI112),0)</f>
        <v>0</v>
      </c>
      <c r="BR112" s="5">
        <f>IF($BI112&lt;&gt;"",IF('Capacity summary'!$C$14="Yes",IF(COUNTBLANK('Capacity summary'!$H24:$BG24)&lt;52,IF('Capacity summary'!O24&lt;&gt;"",$BI112*O112,0),O112*$BI112),O112*$BI112),0)</f>
        <v>0</v>
      </c>
      <c r="BS112" s="5">
        <f>IF($BI112&lt;&gt;"",IF('Capacity summary'!$C$14="Yes",IF(COUNTBLANK('Capacity summary'!$H24:$BG24)&lt;52,IF('Capacity summary'!P24&lt;&gt;"",$BI112*P112,0),P112*$BI112),P112*$BI112),0)</f>
        <v>0</v>
      </c>
      <c r="BT112" s="5">
        <f>IF($BI112&lt;&gt;"",IF('Capacity summary'!$C$14="Yes",IF(COUNTBLANK('Capacity summary'!$H24:$BG24)&lt;52,IF('Capacity summary'!Q24&lt;&gt;"",$BI112*Q112,0),Q112*$BI112),Q112*$BI112),0)</f>
        <v>0</v>
      </c>
      <c r="BU112" s="5">
        <f>IF($BI112&lt;&gt;"",IF('Capacity summary'!$C$14="Yes",IF(COUNTBLANK('Capacity summary'!$H24:$BG24)&lt;52,IF('Capacity summary'!R24&lt;&gt;"",$BI112*R112,0),R112*$BI112),R112*$BI112),0)</f>
        <v>0</v>
      </c>
      <c r="BV112" s="5">
        <f>IF($BI112&lt;&gt;"",IF('Capacity summary'!$C$14="Yes",IF(COUNTBLANK('Capacity summary'!$H24:$BG24)&lt;52,IF('Capacity summary'!S24&lt;&gt;"",$BI112*S112,0),S112*$BI112),S112*$BI112),0)</f>
        <v>0</v>
      </c>
      <c r="BW112" s="5">
        <f>IF($BI112&lt;&gt;"",IF('Capacity summary'!$C$14="Yes",IF(COUNTBLANK('Capacity summary'!$H24:$BG24)&lt;52,IF('Capacity summary'!T24&lt;&gt;"",$BI112*T112,0),T112*$BI112),T112*$BI112),0)</f>
        <v>0</v>
      </c>
      <c r="BX112" s="5">
        <f>IF($BI112&lt;&gt;"",IF('Capacity summary'!$C$14="Yes",IF(COUNTBLANK('Capacity summary'!$H24:$BG24)&lt;52,IF('Capacity summary'!U24&lt;&gt;"",$BI112*U112,0),U112*$BI112),U112*$BI112),0)</f>
        <v>0</v>
      </c>
      <c r="BY112" s="5">
        <f>IF($BI112&lt;&gt;"",IF('Capacity summary'!$C$14="Yes",IF(COUNTBLANK('Capacity summary'!$H24:$BG24)&lt;52,IF('Capacity summary'!V24&lt;&gt;"",$BI112*V112,0),V112*$BI112),V112*$BI112),0)</f>
        <v>0</v>
      </c>
      <c r="BZ112" s="5">
        <f>IF($BI112&lt;&gt;"",IF('Capacity summary'!$C$14="Yes",IF(COUNTBLANK('Capacity summary'!$H24:$BG24)&lt;52,IF('Capacity summary'!W24&lt;&gt;"",$BI112*W112,0),W112*$BI112),W112*$BI112),0)</f>
        <v>0</v>
      </c>
      <c r="CA112" s="5">
        <f>IF($BI112&lt;&gt;"",IF('Capacity summary'!$C$14="Yes",IF(COUNTBLANK('Capacity summary'!$H24:$BG24)&lt;52,IF('Capacity summary'!X24&lt;&gt;"",$BI112*X112,0),X112*$BI112),X112*$BI112),0)</f>
        <v>0</v>
      </c>
      <c r="CB112" s="5">
        <f>IF($BI112&lt;&gt;"",IF('Capacity summary'!$C$14="Yes",IF(COUNTBLANK('Capacity summary'!$H24:$BG24)&lt;52,IF('Capacity summary'!Y24&lt;&gt;"",$BI112*Y112,0),Y112*$BI112),Y112*$BI112),0)</f>
        <v>0</v>
      </c>
      <c r="CC112" s="5">
        <f>IF($BI112&lt;&gt;"",IF('Capacity summary'!$C$14="Yes",IF(COUNTBLANK('Capacity summary'!$H24:$BG24)&lt;52,IF('Capacity summary'!Z24&lt;&gt;"",$BI112*Z112,0),Z112*$BI112),Z112*$BI112),0)</f>
        <v>0</v>
      </c>
      <c r="CD112" s="5">
        <f>IF($BI112&lt;&gt;"",IF('Capacity summary'!$C$14="Yes",IF(COUNTBLANK('Capacity summary'!$H24:$BG24)&lt;52,IF('Capacity summary'!AA24&lt;&gt;"",$BI112*AA112,0),AA112*$BI112),AA112*$BI112),0)</f>
        <v>0</v>
      </c>
      <c r="CE112" s="5">
        <f>IF($BI112&lt;&gt;"",IF('Capacity summary'!$C$14="Yes",IF(COUNTBLANK('Capacity summary'!$H24:$BG24)&lt;52,IF('Capacity summary'!AB24&lt;&gt;"",$BI112*AB112,0),AB112*$BI112),AB112*$BI112),0)</f>
        <v>0</v>
      </c>
      <c r="CF112" s="5">
        <f>IF($BI112&lt;&gt;"",IF('Capacity summary'!$C$14="Yes",IF(COUNTBLANK('Capacity summary'!$H24:$BG24)&lt;52,IF('Capacity summary'!AC24&lt;&gt;"",$BI112*AC112,0),AC112*$BI112),AC112*$BI112),0)</f>
        <v>0</v>
      </c>
      <c r="CG112" s="5">
        <f>IF($BI112&lt;&gt;"",IF('Capacity summary'!$C$14="Yes",IF(COUNTBLANK('Capacity summary'!$H24:$BG24)&lt;52,IF('Capacity summary'!AD24&lt;&gt;"",$BI112*AD112,0),AD112*$BI112),AD112*$BI112),0)</f>
        <v>0</v>
      </c>
      <c r="CH112" s="5">
        <f>IF($BI112&lt;&gt;"",IF('Capacity summary'!$C$14="Yes",IF(COUNTBLANK('Capacity summary'!$H24:$BG24)&lt;52,IF('Capacity summary'!AE24&lt;&gt;"",$BI112*AE112,0),AE112*$BI112),AE112*$BI112),0)</f>
        <v>0</v>
      </c>
      <c r="CI112" s="5">
        <f>IF($BI112&lt;&gt;"",IF('Capacity summary'!$C$14="Yes",IF(COUNTBLANK('Capacity summary'!$H24:$BG24)&lt;52,IF('Capacity summary'!AF24&lt;&gt;"",$BI112*AF112,0),AF112*$BI112),AF112*$BI112),0)</f>
        <v>0</v>
      </c>
      <c r="CJ112" s="5">
        <f>IF($BI112&lt;&gt;"",IF('Capacity summary'!$C$14="Yes",IF(COUNTBLANK('Capacity summary'!$H24:$BG24)&lt;52,IF('Capacity summary'!AG24&lt;&gt;"",$BI112*AG112,0),AG112*$BI112),AG112*$BI112),0)</f>
        <v>0</v>
      </c>
      <c r="CK112" s="5">
        <f>IF($BI112&lt;&gt;"",IF('Capacity summary'!$C$14="Yes",IF(COUNTBLANK('Capacity summary'!$H24:$BG24)&lt;52,IF('Capacity summary'!AH24&lt;&gt;"",$BI112*AH112,0),AH112*$BI112),AH112*$BI112),0)</f>
        <v>0</v>
      </c>
      <c r="CL112" s="5">
        <f>IF($BI112&lt;&gt;"",IF('Capacity summary'!$C$14="Yes",IF(COUNTBLANK('Capacity summary'!$H24:$BG24)&lt;52,IF('Capacity summary'!AI24&lt;&gt;"",$BI112*AI112,0),AI112*$BI112),AI112*$BI112),0)</f>
        <v>0</v>
      </c>
      <c r="CM112" s="5">
        <f>IF($BI112&lt;&gt;"",IF('Capacity summary'!$C$14="Yes",IF(COUNTBLANK('Capacity summary'!$H24:$BG24)&lt;52,IF('Capacity summary'!AJ24&lt;&gt;"",$BI112*AJ112,0),AJ112*$BI112),AJ112*$BI112),0)</f>
        <v>0</v>
      </c>
      <c r="CN112" s="5">
        <f>IF($BI112&lt;&gt;"",IF('Capacity summary'!$C$14="Yes",IF(COUNTBLANK('Capacity summary'!$H24:$BG24)&lt;52,IF('Capacity summary'!AK24&lt;&gt;"",$BI112*AK112,0),AK112*$BI112),AK112*$BI112),0)</f>
        <v>0</v>
      </c>
      <c r="CO112" s="5">
        <f>IF($BI112&lt;&gt;"",IF('Capacity summary'!$C$14="Yes",IF(COUNTBLANK('Capacity summary'!$H24:$BG24)&lt;52,IF('Capacity summary'!AL24&lt;&gt;"",$BI112*AL112,0),AL112*$BI112),AL112*$BI112),0)</f>
        <v>0</v>
      </c>
      <c r="CP112" s="5">
        <f>IF($BI112&lt;&gt;"",IF('Capacity summary'!$C$14="Yes",IF(COUNTBLANK('Capacity summary'!$H24:$BG24)&lt;52,IF('Capacity summary'!AM24&lt;&gt;"",$BI112*AM112,0),AM112*$BI112),AM112*$BI112),0)</f>
        <v>0</v>
      </c>
      <c r="CQ112" s="5">
        <f>IF($BI112&lt;&gt;"",IF('Capacity summary'!$C$14="Yes",IF(COUNTBLANK('Capacity summary'!$H24:$BG24)&lt;52,IF('Capacity summary'!AN24&lt;&gt;"",$BI112*AN112,0),AN112*$BI112),AN112*$BI112),0)</f>
        <v>0</v>
      </c>
      <c r="CR112" s="5">
        <f>IF($BI112&lt;&gt;"",IF('Capacity summary'!$C$14="Yes",IF(COUNTBLANK('Capacity summary'!$H24:$BG24)&lt;52,IF('Capacity summary'!AO24&lt;&gt;"",$BI112*AO112,0),AO112*$BI112),AO112*$BI112),0)</f>
        <v>0</v>
      </c>
      <c r="CS112" s="5">
        <f>IF($BI112&lt;&gt;"",IF('Capacity summary'!$C$14="Yes",IF(COUNTBLANK('Capacity summary'!$H24:$BG24)&lt;52,IF('Capacity summary'!AP24&lt;&gt;"",$BI112*AP112,0),AP112*$BI112),AP112*$BI112),0)</f>
        <v>0</v>
      </c>
      <c r="CT112" s="5">
        <f>IF($BI112&lt;&gt;"",IF('Capacity summary'!$C$14="Yes",IF(COUNTBLANK('Capacity summary'!$H24:$BG24)&lt;52,IF('Capacity summary'!AQ24&lt;&gt;"",$BI112*AQ112,0),AQ112*$BI112),AQ112*$BI112),0)</f>
        <v>0</v>
      </c>
      <c r="CU112" s="5">
        <f>IF($BI112&lt;&gt;"",IF('Capacity summary'!$C$14="Yes",IF(COUNTBLANK('Capacity summary'!$H24:$BG24)&lt;52,IF('Capacity summary'!AR24&lt;&gt;"",$BI112*AR112,0),AR112*$BI112),AR112*$BI112),0)</f>
        <v>0</v>
      </c>
      <c r="CV112" s="5">
        <f>IF($BI112&lt;&gt;"",IF('Capacity summary'!$C$14="Yes",IF(COUNTBLANK('Capacity summary'!$H24:$BG24)&lt;52,IF('Capacity summary'!AS24&lt;&gt;"",$BI112*AS112,0),AS112*$BI112),AS112*$BI112),0)</f>
        <v>0</v>
      </c>
      <c r="CW112" s="5">
        <f>IF($BI112&lt;&gt;"",IF('Capacity summary'!$C$14="Yes",IF(COUNTBLANK('Capacity summary'!$H24:$BG24)&lt;52,IF('Capacity summary'!AT24&lt;&gt;"",$BI112*AT112,0),AT112*$BI112),AT112*$BI112),0)</f>
        <v>0</v>
      </c>
      <c r="CX112" s="5">
        <f>IF($BI112&lt;&gt;"",IF('Capacity summary'!$C$14="Yes",IF(COUNTBLANK('Capacity summary'!$H24:$BG24)&lt;52,IF('Capacity summary'!AU24&lt;&gt;"",$BI112*AU112,0),AU112*$BI112),AU112*$BI112),0)</f>
        <v>0</v>
      </c>
      <c r="CY112" s="5">
        <f>IF($BI112&lt;&gt;"",IF('Capacity summary'!$C$14="Yes",IF(COUNTBLANK('Capacity summary'!$H24:$BG24)&lt;52,IF('Capacity summary'!AV24&lt;&gt;"",$BI112*AV112,0),AV112*$BI112),AV112*$BI112),0)</f>
        <v>0</v>
      </c>
      <c r="CZ112" s="5">
        <f>IF($BI112&lt;&gt;"",IF('Capacity summary'!$C$14="Yes",IF(COUNTBLANK('Capacity summary'!$H24:$BG24)&lt;52,IF('Capacity summary'!AW24&lt;&gt;"",$BI112*AW112,0),AW112*$BI112),AW112*$BI112),0)</f>
        <v>0</v>
      </c>
      <c r="DA112" s="5">
        <f>IF($BI112&lt;&gt;"",IF('Capacity summary'!$C$14="Yes",IF(COUNTBLANK('Capacity summary'!$H24:$BG24)&lt;52,IF('Capacity summary'!AX24&lt;&gt;"",$BI112*AX112,0),AX112*$BI112),AX112*$BI112),0)</f>
        <v>0</v>
      </c>
      <c r="DB112" s="5">
        <f>IF($BI112&lt;&gt;"",IF('Capacity summary'!$C$14="Yes",IF(COUNTBLANK('Capacity summary'!$H24:$BG24)&lt;52,IF('Capacity summary'!AY24&lt;&gt;"",$BI112*AY112,0),AY112*$BI112),AY112*$BI112),0)</f>
        <v>0</v>
      </c>
      <c r="DC112" s="5">
        <f>IF($BI112&lt;&gt;"",IF('Capacity summary'!$C$14="Yes",IF(COUNTBLANK('Capacity summary'!$H24:$BG24)&lt;52,IF('Capacity summary'!AZ24&lt;&gt;"",$BI112*AZ112,0),AZ112*$BI112),AZ112*$BI112),0)</f>
        <v>0</v>
      </c>
      <c r="DD112" s="5">
        <f>IF($BI112&lt;&gt;"",IF('Capacity summary'!$C$14="Yes",IF(COUNTBLANK('Capacity summary'!$H24:$BG24)&lt;52,IF('Capacity summary'!BA24&lt;&gt;"",$BI112*BA112,0),BA112*$BI112),BA112*$BI112),0)</f>
        <v>0</v>
      </c>
      <c r="DE112" s="5">
        <f>IF($BI112&lt;&gt;"",IF('Capacity summary'!$C$14="Yes",IF(COUNTBLANK('Capacity summary'!$H24:$BG24)&lt;52,IF('Capacity summary'!BB24&lt;&gt;"",$BI112*BB112,0),BB112*$BI112),BB112*$BI112),0)</f>
        <v>0</v>
      </c>
      <c r="DF112" s="5">
        <f>IF($BI112&lt;&gt;"",IF('Capacity summary'!$C$14="Yes",IF(COUNTBLANK('Capacity summary'!$H24:$BG24)&lt;52,IF('Capacity summary'!BC24&lt;&gt;"",$BI112*BC112,0),BC112*$BI112),BC112*$BI112),0)</f>
        <v>0</v>
      </c>
      <c r="DG112" s="5">
        <f>IF($BI112&lt;&gt;"",IF('Capacity summary'!$C$14="Yes",IF(COUNTBLANK('Capacity summary'!$H24:$BG24)&lt;52,IF('Capacity summary'!BD24&lt;&gt;"",$BI112*BD112,0),BD112*$BI112),BD112*$BI112),0)</f>
        <v>0</v>
      </c>
      <c r="DH112" s="5">
        <f>IF($BI112&lt;&gt;"",IF('Capacity summary'!$C$14="Yes",IF(COUNTBLANK('Capacity summary'!$H24:$BG24)&lt;52,IF('Capacity summary'!BE24&lt;&gt;"",$BI112*BE112,0),BE112*$BI112),BE112*$BI112),0)</f>
        <v>0</v>
      </c>
      <c r="DI112" s="5">
        <f>IF($BI112&lt;&gt;"",IF('Capacity summary'!$C$14="Yes",IF(COUNTBLANK('Capacity summary'!$H24:$BG24)&lt;52,IF('Capacity summary'!BF24&lt;&gt;"",$BI112*BF112,0),BF112*$BI112),BF112*$BI112),0)</f>
        <v>0</v>
      </c>
      <c r="DJ112" s="5">
        <f>IF($BI112&lt;&gt;"",IF('Capacity summary'!$C$14="Yes",IF(COUNTBLANK('Capacity summary'!$H24:$BG24)&lt;52,IF('Capacity summary'!BG24&lt;&gt;"",$BI112*BG112,0),BG112*$BI112),BG112*$BI112),0)</f>
        <v>0</v>
      </c>
      <c r="DK112" s="138">
        <f>SUM(BK112:DJ112)</f>
        <v>0</v>
      </c>
    </row>
    <row r="113" spans="3:115" x14ac:dyDescent="0.2">
      <c r="C113" s="68" t="str">
        <f>ROW(A2)&amp;". "&amp;Capacity!N18</f>
        <v xml:space="preserve">2. </v>
      </c>
      <c r="D113" s="68">
        <f>'Capacity setup'!C119</f>
        <v>0</v>
      </c>
      <c r="E113" s="68">
        <f>'Capacity setup'!D119</f>
        <v>0</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0</v>
      </c>
      <c r="BI113" s="68" t="str">
        <f>IF(BH113&gt;0,IF(BH113&lt;Capacity!Q18,Capacity!R18,Capacity!T18/'Capacity calculation (hide)'!BH113),"")</f>
        <v/>
      </c>
      <c r="BJ113" s="5"/>
      <c r="BK113" s="5">
        <f>IF($BI113&lt;&gt;"",IF('Capacity summary'!$C$14="Yes",IF(COUNTBLANK('Capacity summary'!$H25:$BG25)&lt;52,IF('Capacity summary'!H25&lt;&gt;"",$BI113*H113,0),H113*$BI113),H113*$BI113),0)</f>
        <v>0</v>
      </c>
      <c r="BL113" s="5">
        <f>IF($BI113&lt;&gt;"",IF('Capacity summary'!$C$14="Yes",IF(COUNTBLANK('Capacity summary'!$H25:$BG25)&lt;52,IF('Capacity summary'!I25&lt;&gt;"",$BI113*I113,0),I113*$BI113),I113*$BI113),0)</f>
        <v>0</v>
      </c>
      <c r="BM113" s="5">
        <f>IF($BI113&lt;&gt;"",IF('Capacity summary'!$C$14="Yes",IF(COUNTBLANK('Capacity summary'!$H25:$BG25)&lt;52,IF('Capacity summary'!J25&lt;&gt;"",$BI113*J113,0),J113*$BI113),J113*$BI113),0)</f>
        <v>0</v>
      </c>
      <c r="BN113" s="5">
        <f>IF($BI113&lt;&gt;"",IF('Capacity summary'!$C$14="Yes",IF(COUNTBLANK('Capacity summary'!$H25:$BG25)&lt;52,IF('Capacity summary'!K25&lt;&gt;"",$BI113*K113,0),K113*$BI113),K113*$BI113),0)</f>
        <v>0</v>
      </c>
      <c r="BO113" s="5">
        <f>IF($BI113&lt;&gt;"",IF('Capacity summary'!$C$14="Yes",IF(COUNTBLANK('Capacity summary'!$H25:$BG25)&lt;52,IF('Capacity summary'!L25&lt;&gt;"",$BI113*L113,0),L113*$BI113),L113*$BI113),0)</f>
        <v>0</v>
      </c>
      <c r="BP113" s="5">
        <f>IF($BI113&lt;&gt;"",IF('Capacity summary'!$C$14="Yes",IF(COUNTBLANK('Capacity summary'!$H25:$BG25)&lt;52,IF('Capacity summary'!M25&lt;&gt;"",$BI113*M113,0),M113*$BI113),M113*$BI113),0)</f>
        <v>0</v>
      </c>
      <c r="BQ113" s="5">
        <f>IF($BI113&lt;&gt;"",IF('Capacity summary'!$C$14="Yes",IF(COUNTBLANK('Capacity summary'!$H25:$BG25)&lt;52,IF('Capacity summary'!N25&lt;&gt;"",$BI113*N113,0),N113*$BI113),N113*$BI113),0)</f>
        <v>0</v>
      </c>
      <c r="BR113" s="5">
        <f>IF($BI113&lt;&gt;"",IF('Capacity summary'!$C$14="Yes",IF(COUNTBLANK('Capacity summary'!$H25:$BG25)&lt;52,IF('Capacity summary'!O25&lt;&gt;"",$BI113*O113,0),O113*$BI113),O113*$BI113),0)</f>
        <v>0</v>
      </c>
      <c r="BS113" s="5">
        <f>IF($BI113&lt;&gt;"",IF('Capacity summary'!$C$14="Yes",IF(COUNTBLANK('Capacity summary'!$H25:$BG25)&lt;52,IF('Capacity summary'!P25&lt;&gt;"",$BI113*P113,0),P113*$BI113),P113*$BI113),0)</f>
        <v>0</v>
      </c>
      <c r="BT113" s="5">
        <f>IF($BI113&lt;&gt;"",IF('Capacity summary'!$C$14="Yes",IF(COUNTBLANK('Capacity summary'!$H25:$BG25)&lt;52,IF('Capacity summary'!Q25&lt;&gt;"",$BI113*Q113,0),Q113*$BI113),Q113*$BI113),0)</f>
        <v>0</v>
      </c>
      <c r="BU113" s="5">
        <f>IF($BI113&lt;&gt;"",IF('Capacity summary'!$C$14="Yes",IF(COUNTBLANK('Capacity summary'!$H25:$BG25)&lt;52,IF('Capacity summary'!R25&lt;&gt;"",$BI113*R113,0),R113*$BI113),R113*$BI113),0)</f>
        <v>0</v>
      </c>
      <c r="BV113" s="5">
        <f>IF($BI113&lt;&gt;"",IF('Capacity summary'!$C$14="Yes",IF(COUNTBLANK('Capacity summary'!$H25:$BG25)&lt;52,IF('Capacity summary'!S25&lt;&gt;"",$BI113*S113,0),S113*$BI113),S113*$BI113),0)</f>
        <v>0</v>
      </c>
      <c r="BW113" s="5">
        <f>IF($BI113&lt;&gt;"",IF('Capacity summary'!$C$14="Yes",IF(COUNTBLANK('Capacity summary'!$H25:$BG25)&lt;52,IF('Capacity summary'!T25&lt;&gt;"",$BI113*T113,0),T113*$BI113),T113*$BI113),0)</f>
        <v>0</v>
      </c>
      <c r="BX113" s="5">
        <f>IF($BI113&lt;&gt;"",IF('Capacity summary'!$C$14="Yes",IF(COUNTBLANK('Capacity summary'!$H25:$BG25)&lt;52,IF('Capacity summary'!U25&lt;&gt;"",$BI113*U113,0),U113*$BI113),U113*$BI113),0)</f>
        <v>0</v>
      </c>
      <c r="BY113" s="5">
        <f>IF($BI113&lt;&gt;"",IF('Capacity summary'!$C$14="Yes",IF(COUNTBLANK('Capacity summary'!$H25:$BG25)&lt;52,IF('Capacity summary'!V25&lt;&gt;"",$BI113*V113,0),V113*$BI113),V113*$BI113),0)</f>
        <v>0</v>
      </c>
      <c r="BZ113" s="5">
        <f>IF($BI113&lt;&gt;"",IF('Capacity summary'!$C$14="Yes",IF(COUNTBLANK('Capacity summary'!$H25:$BG25)&lt;52,IF('Capacity summary'!W25&lt;&gt;"",$BI113*W113,0),W113*$BI113),W113*$BI113),0)</f>
        <v>0</v>
      </c>
      <c r="CA113" s="5">
        <f>IF($BI113&lt;&gt;"",IF('Capacity summary'!$C$14="Yes",IF(COUNTBLANK('Capacity summary'!$H25:$BG25)&lt;52,IF('Capacity summary'!X25&lt;&gt;"",$BI113*X113,0),X113*$BI113),X113*$BI113),0)</f>
        <v>0</v>
      </c>
      <c r="CB113" s="5">
        <f>IF($BI113&lt;&gt;"",IF('Capacity summary'!$C$14="Yes",IF(COUNTBLANK('Capacity summary'!$H25:$BG25)&lt;52,IF('Capacity summary'!Y25&lt;&gt;"",$BI113*Y113,0),Y113*$BI113),Y113*$BI113),0)</f>
        <v>0</v>
      </c>
      <c r="CC113" s="5">
        <f>IF($BI113&lt;&gt;"",IF('Capacity summary'!$C$14="Yes",IF(COUNTBLANK('Capacity summary'!$H25:$BG25)&lt;52,IF('Capacity summary'!Z25&lt;&gt;"",$BI113*Z113,0),Z113*$BI113),Z113*$BI113),0)</f>
        <v>0</v>
      </c>
      <c r="CD113" s="5">
        <f>IF($BI113&lt;&gt;"",IF('Capacity summary'!$C$14="Yes",IF(COUNTBLANK('Capacity summary'!$H25:$BG25)&lt;52,IF('Capacity summary'!AA25&lt;&gt;"",$BI113*AA113,0),AA113*$BI113),AA113*$BI113),0)</f>
        <v>0</v>
      </c>
      <c r="CE113" s="5">
        <f>IF($BI113&lt;&gt;"",IF('Capacity summary'!$C$14="Yes",IF(COUNTBLANK('Capacity summary'!$H25:$BG25)&lt;52,IF('Capacity summary'!AB25&lt;&gt;"",$BI113*AB113,0),AB113*$BI113),AB113*$BI113),0)</f>
        <v>0</v>
      </c>
      <c r="CF113" s="5">
        <f>IF($BI113&lt;&gt;"",IF('Capacity summary'!$C$14="Yes",IF(COUNTBLANK('Capacity summary'!$H25:$BG25)&lt;52,IF('Capacity summary'!AC25&lt;&gt;"",$BI113*AC113,0),AC113*$BI113),AC113*$BI113),0)</f>
        <v>0</v>
      </c>
      <c r="CG113" s="5">
        <f>IF($BI113&lt;&gt;"",IF('Capacity summary'!$C$14="Yes",IF(COUNTBLANK('Capacity summary'!$H25:$BG25)&lt;52,IF('Capacity summary'!AD25&lt;&gt;"",$BI113*AD113,0),AD113*$BI113),AD113*$BI113),0)</f>
        <v>0</v>
      </c>
      <c r="CH113" s="5">
        <f>IF($BI113&lt;&gt;"",IF('Capacity summary'!$C$14="Yes",IF(COUNTBLANK('Capacity summary'!$H25:$BG25)&lt;52,IF('Capacity summary'!AE25&lt;&gt;"",$BI113*AE113,0),AE113*$BI113),AE113*$BI113),0)</f>
        <v>0</v>
      </c>
      <c r="CI113" s="5">
        <f>IF($BI113&lt;&gt;"",IF('Capacity summary'!$C$14="Yes",IF(COUNTBLANK('Capacity summary'!$H25:$BG25)&lt;52,IF('Capacity summary'!AF25&lt;&gt;"",$BI113*AF113,0),AF113*$BI113),AF113*$BI113),0)</f>
        <v>0</v>
      </c>
      <c r="CJ113" s="5">
        <f>IF($BI113&lt;&gt;"",IF('Capacity summary'!$C$14="Yes",IF(COUNTBLANK('Capacity summary'!$H25:$BG25)&lt;52,IF('Capacity summary'!AG25&lt;&gt;"",$BI113*AG113,0),AG113*$BI113),AG113*$BI113),0)</f>
        <v>0</v>
      </c>
      <c r="CK113" s="5">
        <f>IF($BI113&lt;&gt;"",IF('Capacity summary'!$C$14="Yes",IF(COUNTBLANK('Capacity summary'!$H25:$BG25)&lt;52,IF('Capacity summary'!AH25&lt;&gt;"",$BI113*AH113,0),AH113*$BI113),AH113*$BI113),0)</f>
        <v>0</v>
      </c>
      <c r="CL113" s="5">
        <f>IF($BI113&lt;&gt;"",IF('Capacity summary'!$C$14="Yes",IF(COUNTBLANK('Capacity summary'!$H25:$BG25)&lt;52,IF('Capacity summary'!AI25&lt;&gt;"",$BI113*AI113,0),AI113*$BI113),AI113*$BI113),0)</f>
        <v>0</v>
      </c>
      <c r="CM113" s="5">
        <f>IF($BI113&lt;&gt;"",IF('Capacity summary'!$C$14="Yes",IF(COUNTBLANK('Capacity summary'!$H25:$BG25)&lt;52,IF('Capacity summary'!AJ25&lt;&gt;"",$BI113*AJ113,0),AJ113*$BI113),AJ113*$BI113),0)</f>
        <v>0</v>
      </c>
      <c r="CN113" s="5">
        <f>IF($BI113&lt;&gt;"",IF('Capacity summary'!$C$14="Yes",IF(COUNTBLANK('Capacity summary'!$H25:$BG25)&lt;52,IF('Capacity summary'!AK25&lt;&gt;"",$BI113*AK113,0),AK113*$BI113),AK113*$BI113),0)</f>
        <v>0</v>
      </c>
      <c r="CO113" s="5">
        <f>IF($BI113&lt;&gt;"",IF('Capacity summary'!$C$14="Yes",IF(COUNTBLANK('Capacity summary'!$H25:$BG25)&lt;52,IF('Capacity summary'!AL25&lt;&gt;"",$BI113*AL113,0),AL113*$BI113),AL113*$BI113),0)</f>
        <v>0</v>
      </c>
      <c r="CP113" s="5">
        <f>IF($BI113&lt;&gt;"",IF('Capacity summary'!$C$14="Yes",IF(COUNTBLANK('Capacity summary'!$H25:$BG25)&lt;52,IF('Capacity summary'!AM25&lt;&gt;"",$BI113*AM113,0),AM113*$BI113),AM113*$BI113),0)</f>
        <v>0</v>
      </c>
      <c r="CQ113" s="5">
        <f>IF($BI113&lt;&gt;"",IF('Capacity summary'!$C$14="Yes",IF(COUNTBLANK('Capacity summary'!$H25:$BG25)&lt;52,IF('Capacity summary'!AN25&lt;&gt;"",$BI113*AN113,0),AN113*$BI113),AN113*$BI113),0)</f>
        <v>0</v>
      </c>
      <c r="CR113" s="5">
        <f>IF($BI113&lt;&gt;"",IF('Capacity summary'!$C$14="Yes",IF(COUNTBLANK('Capacity summary'!$H25:$BG25)&lt;52,IF('Capacity summary'!AO25&lt;&gt;"",$BI113*AO113,0),AO113*$BI113),AO113*$BI113),0)</f>
        <v>0</v>
      </c>
      <c r="CS113" s="5">
        <f>IF($BI113&lt;&gt;"",IF('Capacity summary'!$C$14="Yes",IF(COUNTBLANK('Capacity summary'!$H25:$BG25)&lt;52,IF('Capacity summary'!AP25&lt;&gt;"",$BI113*AP113,0),AP113*$BI113),AP113*$BI113),0)</f>
        <v>0</v>
      </c>
      <c r="CT113" s="5">
        <f>IF($BI113&lt;&gt;"",IF('Capacity summary'!$C$14="Yes",IF(COUNTBLANK('Capacity summary'!$H25:$BG25)&lt;52,IF('Capacity summary'!AQ25&lt;&gt;"",$BI113*AQ113,0),AQ113*$BI113),AQ113*$BI113),0)</f>
        <v>0</v>
      </c>
      <c r="CU113" s="5">
        <f>IF($BI113&lt;&gt;"",IF('Capacity summary'!$C$14="Yes",IF(COUNTBLANK('Capacity summary'!$H25:$BG25)&lt;52,IF('Capacity summary'!AR25&lt;&gt;"",$BI113*AR113,0),AR113*$BI113),AR113*$BI113),0)</f>
        <v>0</v>
      </c>
      <c r="CV113" s="5">
        <f>IF($BI113&lt;&gt;"",IF('Capacity summary'!$C$14="Yes",IF(COUNTBLANK('Capacity summary'!$H25:$BG25)&lt;52,IF('Capacity summary'!AS25&lt;&gt;"",$BI113*AS113,0),AS113*$BI113),AS113*$BI113),0)</f>
        <v>0</v>
      </c>
      <c r="CW113" s="5">
        <f>IF($BI113&lt;&gt;"",IF('Capacity summary'!$C$14="Yes",IF(COUNTBLANK('Capacity summary'!$H25:$BG25)&lt;52,IF('Capacity summary'!AT25&lt;&gt;"",$BI113*AT113,0),AT113*$BI113),AT113*$BI113),0)</f>
        <v>0</v>
      </c>
      <c r="CX113" s="5">
        <f>IF($BI113&lt;&gt;"",IF('Capacity summary'!$C$14="Yes",IF(COUNTBLANK('Capacity summary'!$H25:$BG25)&lt;52,IF('Capacity summary'!AU25&lt;&gt;"",$BI113*AU113,0),AU113*$BI113),AU113*$BI113),0)</f>
        <v>0</v>
      </c>
      <c r="CY113" s="5">
        <f>IF($BI113&lt;&gt;"",IF('Capacity summary'!$C$14="Yes",IF(COUNTBLANK('Capacity summary'!$H25:$BG25)&lt;52,IF('Capacity summary'!AV25&lt;&gt;"",$BI113*AV113,0),AV113*$BI113),AV113*$BI113),0)</f>
        <v>0</v>
      </c>
      <c r="CZ113" s="5">
        <f>IF($BI113&lt;&gt;"",IF('Capacity summary'!$C$14="Yes",IF(COUNTBLANK('Capacity summary'!$H25:$BG25)&lt;52,IF('Capacity summary'!AW25&lt;&gt;"",$BI113*AW113,0),AW113*$BI113),AW113*$BI113),0)</f>
        <v>0</v>
      </c>
      <c r="DA113" s="5">
        <f>IF($BI113&lt;&gt;"",IF('Capacity summary'!$C$14="Yes",IF(COUNTBLANK('Capacity summary'!$H25:$BG25)&lt;52,IF('Capacity summary'!AX25&lt;&gt;"",$BI113*AX113,0),AX113*$BI113),AX113*$BI113),0)</f>
        <v>0</v>
      </c>
      <c r="DB113" s="5">
        <f>IF($BI113&lt;&gt;"",IF('Capacity summary'!$C$14="Yes",IF(COUNTBLANK('Capacity summary'!$H25:$BG25)&lt;52,IF('Capacity summary'!AY25&lt;&gt;"",$BI113*AY113,0),AY113*$BI113),AY113*$BI113),0)</f>
        <v>0</v>
      </c>
      <c r="DC113" s="5">
        <f>IF($BI113&lt;&gt;"",IF('Capacity summary'!$C$14="Yes",IF(COUNTBLANK('Capacity summary'!$H25:$BG25)&lt;52,IF('Capacity summary'!AZ25&lt;&gt;"",$BI113*AZ113,0),AZ113*$BI113),AZ113*$BI113),0)</f>
        <v>0</v>
      </c>
      <c r="DD113" s="5">
        <f>IF($BI113&lt;&gt;"",IF('Capacity summary'!$C$14="Yes",IF(COUNTBLANK('Capacity summary'!$H25:$BG25)&lt;52,IF('Capacity summary'!BA25&lt;&gt;"",$BI113*BA113,0),BA113*$BI113),BA113*$BI113),0)</f>
        <v>0</v>
      </c>
      <c r="DE113" s="5">
        <f>IF($BI113&lt;&gt;"",IF('Capacity summary'!$C$14="Yes",IF(COUNTBLANK('Capacity summary'!$H25:$BG25)&lt;52,IF('Capacity summary'!BB25&lt;&gt;"",$BI113*BB113,0),BB113*$BI113),BB113*$BI113),0)</f>
        <v>0</v>
      </c>
      <c r="DF113" s="5">
        <f>IF($BI113&lt;&gt;"",IF('Capacity summary'!$C$14="Yes",IF(COUNTBLANK('Capacity summary'!$H25:$BG25)&lt;52,IF('Capacity summary'!BC25&lt;&gt;"",$BI113*BC113,0),BC113*$BI113),BC113*$BI113),0)</f>
        <v>0</v>
      </c>
      <c r="DG113" s="5">
        <f>IF($BI113&lt;&gt;"",IF('Capacity summary'!$C$14="Yes",IF(COUNTBLANK('Capacity summary'!$H25:$BG25)&lt;52,IF('Capacity summary'!BD25&lt;&gt;"",$BI113*BD113,0),BD113*$BI113),BD113*$BI113),0)</f>
        <v>0</v>
      </c>
      <c r="DH113" s="5">
        <f>IF($BI113&lt;&gt;"",IF('Capacity summary'!$C$14="Yes",IF(COUNTBLANK('Capacity summary'!$H25:$BG25)&lt;52,IF('Capacity summary'!BE25&lt;&gt;"",$BI113*BE113,0),BE113*$BI113),BE113*$BI113),0)</f>
        <v>0</v>
      </c>
      <c r="DI113" s="5">
        <f>IF($BI113&lt;&gt;"",IF('Capacity summary'!$C$14="Yes",IF(COUNTBLANK('Capacity summary'!$H25:$BG25)&lt;52,IF('Capacity summary'!BF25&lt;&gt;"",$BI113*BF113,0),BF113*$BI113),BF113*$BI113),0)</f>
        <v>0</v>
      </c>
      <c r="DJ113" s="5">
        <f>IF($BI113&lt;&gt;"",IF('Capacity summary'!$C$14="Yes",IF(COUNTBLANK('Capacity summary'!$H25:$BG25)&lt;52,IF('Capacity summary'!BG25&lt;&gt;"",$BI113*BG113,0),BG113*$BI113),BG113*$BI113),0)</f>
        <v>0</v>
      </c>
      <c r="DK113" s="138">
        <f t="shared" ref="DK113:DK176" si="6">SUM(BK113:DJ113)</f>
        <v>0</v>
      </c>
    </row>
    <row r="114" spans="3:115" x14ac:dyDescent="0.2">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2">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2">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2">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2">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2">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2">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2">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2">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2">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2">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2">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2">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2">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2">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2">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2">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2">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2">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2">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2">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2">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2">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2">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2">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2">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2">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2">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2">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2">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2">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2">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2">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2">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2">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2">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2">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2">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2">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2">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2">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2">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2">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2">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2">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2">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2">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2">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2">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2">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2">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2">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2">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2">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2">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2">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2">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2">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2">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2">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2">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2">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2">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2">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2">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2">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2">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2">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2">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2">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2">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2">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2">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2">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2">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2">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2">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2">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2">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2">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2">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2">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2">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2">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2">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2">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2">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2">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2">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2">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2">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2">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2">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2">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2">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2">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2">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2">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2">
      <c r="B212" s="68"/>
    </row>
    <row r="213" spans="2:115" x14ac:dyDescent="0.2">
      <c r="B213" s="68"/>
    </row>
    <row r="214" spans="2:115" ht="15" x14ac:dyDescent="0.2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
      <c r="B215" s="68"/>
    </row>
    <row r="216" spans="2:115" x14ac:dyDescent="0.2">
      <c r="B216" s="68"/>
    </row>
    <row r="217" spans="2:115" x14ac:dyDescent="0.2">
      <c r="B217" s="68"/>
    </row>
    <row r="218" spans="2:115" x14ac:dyDescent="0.2">
      <c r="B218" s="68"/>
    </row>
    <row r="219" spans="2:115" x14ac:dyDescent="0.2">
      <c r="B219" s="68"/>
    </row>
    <row r="220" spans="2:115" x14ac:dyDescent="0.2">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heetViews>
  <sheetFormatPr defaultRowHeight="14.25" x14ac:dyDescent="0.2"/>
  <cols>
    <col min="1" max="1" width="16.125" customWidth="1"/>
    <col min="2" max="2" width="13.125" customWidth="1"/>
    <col min="3" max="4" width="11.125" customWidth="1"/>
    <col min="5" max="6" width="19.875" customWidth="1"/>
    <col min="7" max="10" width="9.125" customWidth="1"/>
  </cols>
  <sheetData>
    <row r="1" spans="1:12" x14ac:dyDescent="0.2">
      <c r="B1" s="68"/>
    </row>
    <row r="2" spans="1:12" x14ac:dyDescent="0.2">
      <c r="A2" t="s">
        <v>312</v>
      </c>
      <c r="C2" s="347" t="s">
        <v>89</v>
      </c>
      <c r="D2" s="349"/>
      <c r="F2" s="243" t="str">
        <f ca="1">"On aggregate, 1 patient = "&amp;TEXT('Demand background (hide)'!$BN$16,"#.#")&amp;" "&amp;Setup!$I$17</f>
        <v>On aggregate, 1 patient = 1. Patients</v>
      </c>
    </row>
    <row r="3" spans="1:12" x14ac:dyDescent="0.2">
      <c r="A3" t="s">
        <v>330</v>
      </c>
      <c r="C3" s="392">
        <v>52</v>
      </c>
      <c r="D3" s="349"/>
      <c r="F3" s="102" t="s">
        <v>328</v>
      </c>
    </row>
    <row r="4" spans="1:12" x14ac:dyDescent="0.2">
      <c r="A4" t="s">
        <v>14</v>
      </c>
      <c r="C4" s="347" t="s">
        <v>19</v>
      </c>
      <c r="D4" s="349"/>
    </row>
    <row r="5" spans="1:12" x14ac:dyDescent="0.2">
      <c r="K5" s="73"/>
    </row>
    <row r="6" spans="1:12" ht="15.75" thickBot="1" x14ac:dyDescent="0.3">
      <c r="A6" s="104" t="s">
        <v>311</v>
      </c>
      <c r="B6" s="105"/>
      <c r="C6" s="105"/>
      <c r="D6" s="10"/>
      <c r="E6" s="405" t="s">
        <v>349</v>
      </c>
      <c r="F6" s="405"/>
      <c r="G6" s="64" t="s">
        <v>89</v>
      </c>
      <c r="H6" s="10" t="s">
        <v>90</v>
      </c>
      <c r="I6" s="10"/>
      <c r="K6" s="73"/>
    </row>
    <row r="7" spans="1:12" ht="15" thickBot="1" x14ac:dyDescent="0.25">
      <c r="A7" s="11"/>
      <c r="B7" s="12"/>
      <c r="C7" s="12"/>
      <c r="D7" s="10"/>
      <c r="E7" s="406" t="s">
        <v>216</v>
      </c>
      <c r="F7" s="400"/>
      <c r="G7" s="387">
        <v>0</v>
      </c>
      <c r="H7" s="389">
        <f ca="1">'Parameters calculator (hide)'!B25</f>
        <v>0</v>
      </c>
      <c r="I7" s="10"/>
    </row>
    <row r="8" spans="1:12" ht="15" thickBot="1" x14ac:dyDescent="0.25">
      <c r="A8" s="12"/>
      <c r="B8" s="12"/>
      <c r="C8" s="12"/>
      <c r="D8" s="13"/>
      <c r="E8" s="14"/>
      <c r="F8" s="15"/>
      <c r="G8" s="388"/>
      <c r="H8" s="390"/>
      <c r="I8" s="10"/>
    </row>
    <row r="9" spans="1:12" ht="15" thickBot="1" x14ac:dyDescent="0.25">
      <c r="A9" s="86" t="s">
        <v>340</v>
      </c>
      <c r="B9" s="395" t="str">
        <f ca="1">TEXT('Parameters calculator (hide)'!B19,"#,#")</f>
        <v/>
      </c>
      <c r="C9" s="12"/>
      <c r="D9" s="13"/>
      <c r="E9" s="10"/>
      <c r="F9" s="10"/>
      <c r="G9" s="10"/>
      <c r="H9" s="10"/>
      <c r="I9" s="10"/>
    </row>
    <row r="10" spans="1:12" ht="15" thickBot="1" x14ac:dyDescent="0.25">
      <c r="A10" s="245" t="str">
        <f>"("&amp;$C$4&amp;")"</f>
        <v>(Patients)</v>
      </c>
      <c r="B10" s="396"/>
      <c r="C10" s="16"/>
      <c r="D10" s="17"/>
      <c r="E10" s="397" t="s">
        <v>351</v>
      </c>
      <c r="F10" s="398"/>
      <c r="G10" s="64" t="s">
        <v>89</v>
      </c>
      <c r="H10" s="10" t="s">
        <v>90</v>
      </c>
      <c r="I10" s="10"/>
      <c r="K10" s="5"/>
    </row>
    <row r="11" spans="1:12" ht="15" thickBot="1" x14ac:dyDescent="0.25">
      <c r="A11" s="92" t="s">
        <v>341</v>
      </c>
      <c r="B11" s="12"/>
      <c r="C11" s="18"/>
      <c r="D11" s="13"/>
      <c r="E11" s="399" t="s">
        <v>91</v>
      </c>
      <c r="F11" s="400"/>
      <c r="G11" s="401">
        <v>0</v>
      </c>
      <c r="H11" s="389">
        <f ca="1">'Parameters calculator (hide)'!C25</f>
        <v>0</v>
      </c>
      <c r="I11" s="10"/>
    </row>
    <row r="12" spans="1:12" ht="15" thickBot="1" x14ac:dyDescent="0.25">
      <c r="A12" s="92" t="str">
        <f ca="1">"normalised to "&amp;TEXT('Parameters calculator (hide)'!$B$18,"#")&amp;" wks"</f>
        <v>normalised to 52 wks</v>
      </c>
      <c r="B12" s="12"/>
      <c r="C12" s="18"/>
      <c r="D12" s="10"/>
      <c r="E12" s="19"/>
      <c r="F12" s="15"/>
      <c r="G12" s="402"/>
      <c r="H12" s="390"/>
      <c r="I12" s="10"/>
    </row>
    <row r="13" spans="1:12" x14ac:dyDescent="0.2">
      <c r="A13" s="11" t="s">
        <v>92</v>
      </c>
      <c r="B13" s="12"/>
      <c r="C13" s="18"/>
      <c r="D13" s="20" t="s">
        <v>93</v>
      </c>
      <c r="E13" s="10"/>
      <c r="F13" s="10"/>
      <c r="G13" s="10"/>
      <c r="H13" s="10"/>
      <c r="I13" s="10"/>
    </row>
    <row r="14" spans="1:12" ht="15" thickBot="1" x14ac:dyDescent="0.25">
      <c r="B14" s="21"/>
      <c r="C14" s="22"/>
      <c r="D14" s="21"/>
      <c r="E14" s="21"/>
      <c r="F14" s="21"/>
      <c r="G14" s="21"/>
      <c r="H14" s="21"/>
      <c r="I14" s="21"/>
      <c r="J14" s="21"/>
      <c r="K14" s="21"/>
      <c r="L14" s="21"/>
    </row>
    <row r="15" spans="1:12" ht="15" thickBot="1" x14ac:dyDescent="0.25">
      <c r="B15" s="94"/>
      <c r="C15" s="403" t="s">
        <v>376</v>
      </c>
      <c r="D15" s="404"/>
      <c r="E15" s="21"/>
      <c r="F15" s="373" t="s">
        <v>402</v>
      </c>
      <c r="G15" s="373"/>
      <c r="H15" s="21"/>
      <c r="I15" s="65" t="s">
        <v>89</v>
      </c>
      <c r="J15" s="21" t="s">
        <v>90</v>
      </c>
      <c r="K15" s="21"/>
      <c r="L15" s="21"/>
    </row>
    <row r="16" spans="1:12" ht="15" thickBot="1" x14ac:dyDescent="0.25">
      <c r="B16" s="21"/>
      <c r="C16" s="376" t="e">
        <f ca="1">IF(B9-H7-H11+J16&lt;0, 0, B9-H7-H11+J16)</f>
        <v>#VALUE!</v>
      </c>
      <c r="D16" s="377"/>
      <c r="E16" s="21"/>
      <c r="F16" s="21" t="s">
        <v>94</v>
      </c>
      <c r="G16" s="21"/>
      <c r="H16" s="21"/>
      <c r="I16" s="380">
        <f>'Parameters calculator (hide)'!$H$24</f>
        <v>1</v>
      </c>
      <c r="J16" s="382">
        <f ca="1">'Parameters calculator (hide)'!H25</f>
        <v>0</v>
      </c>
      <c r="K16" s="21"/>
      <c r="L16" s="21"/>
    </row>
    <row r="17" spans="1:13" ht="15" thickBot="1" x14ac:dyDescent="0.25">
      <c r="B17" s="21"/>
      <c r="C17" s="378"/>
      <c r="D17" s="379"/>
      <c r="E17" s="23"/>
      <c r="F17" s="24"/>
      <c r="G17" s="24"/>
      <c r="H17" s="24"/>
      <c r="I17" s="381"/>
      <c r="J17" s="383"/>
      <c r="K17" s="25"/>
      <c r="L17" s="21"/>
    </row>
    <row r="18" spans="1:13" x14ac:dyDescent="0.2">
      <c r="B18" s="91" t="s">
        <v>377</v>
      </c>
      <c r="C18" s="21"/>
      <c r="D18" s="23"/>
      <c r="E18" s="21"/>
      <c r="F18" s="21"/>
      <c r="G18" s="21"/>
      <c r="H18" s="26"/>
      <c r="I18" s="26"/>
      <c r="J18" s="26"/>
      <c r="K18" s="27"/>
      <c r="L18" s="21"/>
    </row>
    <row r="19" spans="1:13" x14ac:dyDescent="0.2">
      <c r="B19" s="91" t="s">
        <v>378</v>
      </c>
      <c r="C19" s="21"/>
      <c r="D19" s="28"/>
      <c r="E19" s="21"/>
      <c r="F19" s="21"/>
      <c r="G19" s="21"/>
      <c r="H19" s="26"/>
      <c r="I19" s="26"/>
      <c r="J19" s="26"/>
      <c r="K19" s="27"/>
      <c r="L19" s="21"/>
    </row>
    <row r="20" spans="1:13" ht="15" thickBot="1" x14ac:dyDescent="0.25">
      <c r="B20" s="91"/>
      <c r="C20" s="21"/>
      <c r="D20" s="28"/>
      <c r="E20" s="384" t="s">
        <v>350</v>
      </c>
      <c r="F20" s="384"/>
      <c r="G20" s="65" t="s">
        <v>89</v>
      </c>
      <c r="H20" s="26" t="s">
        <v>90</v>
      </c>
      <c r="I20" s="26"/>
      <c r="J20" s="26"/>
      <c r="K20" s="27"/>
      <c r="L20" s="21"/>
    </row>
    <row r="21" spans="1:13" ht="15" thickBot="1" x14ac:dyDescent="0.25">
      <c r="B21" s="21"/>
      <c r="C21" s="21"/>
      <c r="D21" s="29"/>
      <c r="E21" s="385" t="s">
        <v>95</v>
      </c>
      <c r="F21" s="386"/>
      <c r="G21" s="387">
        <v>0</v>
      </c>
      <c r="H21" s="389">
        <f ca="1">'Parameters calculator (hide)'!E25</f>
        <v>0</v>
      </c>
      <c r="I21" s="30"/>
      <c r="J21" s="30"/>
      <c r="K21" s="22"/>
      <c r="L21" s="21"/>
    </row>
    <row r="22" spans="1:13" ht="15" thickBot="1" x14ac:dyDescent="0.25">
      <c r="B22" s="91"/>
      <c r="C22" s="27"/>
      <c r="D22" s="24"/>
      <c r="E22" s="24"/>
      <c r="F22" s="25"/>
      <c r="G22" s="388"/>
      <c r="H22" s="390"/>
      <c r="I22" s="25"/>
      <c r="J22" s="21"/>
      <c r="K22" s="21"/>
      <c r="L22" s="21"/>
    </row>
    <row r="23" spans="1:13" x14ac:dyDescent="0.2">
      <c r="B23" s="31" t="s">
        <v>96</v>
      </c>
      <c r="C23" s="27"/>
      <c r="D23" s="21"/>
      <c r="E23" s="21"/>
      <c r="F23" s="21"/>
      <c r="G23" s="21"/>
      <c r="H23" s="26"/>
      <c r="I23" s="27"/>
      <c r="J23" s="21"/>
      <c r="K23" s="21"/>
      <c r="L23" s="21"/>
    </row>
    <row r="24" spans="1:13" x14ac:dyDescent="0.2">
      <c r="A24" s="32"/>
      <c r="B24" s="32"/>
      <c r="C24" s="33"/>
      <c r="D24" s="32"/>
      <c r="E24" s="32"/>
      <c r="F24" s="32"/>
      <c r="G24" s="32"/>
      <c r="H24" s="32"/>
      <c r="I24" s="33"/>
      <c r="J24" s="32"/>
      <c r="K24" s="32"/>
    </row>
    <row r="25" spans="1:13" ht="15" thickBot="1" x14ac:dyDescent="0.25">
      <c r="A25" s="391" t="s">
        <v>375</v>
      </c>
      <c r="B25" s="32"/>
      <c r="C25" s="33"/>
      <c r="D25" s="32"/>
      <c r="E25" s="32"/>
      <c r="F25" s="32"/>
      <c r="G25" s="32"/>
      <c r="H25" s="32"/>
      <c r="I25" s="33"/>
      <c r="J25" s="32"/>
      <c r="K25" s="32"/>
    </row>
    <row r="26" spans="1:13" ht="15" thickBot="1" x14ac:dyDescent="0.25">
      <c r="A26" s="391"/>
      <c r="B26" s="393">
        <f ca="1">'Parameters calculator (hide)'!B27</f>
        <v>0</v>
      </c>
      <c r="C26" s="34"/>
      <c r="D26" s="32"/>
      <c r="E26" s="32"/>
      <c r="F26" s="32"/>
      <c r="G26" s="93"/>
      <c r="H26" s="32"/>
      <c r="I26" s="33" t="s">
        <v>89</v>
      </c>
      <c r="J26" s="32" t="s">
        <v>90</v>
      </c>
      <c r="K26" s="32"/>
    </row>
    <row r="27" spans="1:13" ht="15" thickBot="1" x14ac:dyDescent="0.25">
      <c r="A27" s="246" t="str">
        <f>"("&amp;$C$4&amp;")"</f>
        <v>(Patients)</v>
      </c>
      <c r="B27" s="394"/>
      <c r="C27" s="32"/>
      <c r="D27" s="32"/>
      <c r="E27" s="32"/>
      <c r="F27" s="84" t="s">
        <v>403</v>
      </c>
      <c r="G27" s="93"/>
      <c r="H27" s="32"/>
      <c r="I27" s="387">
        <v>0</v>
      </c>
      <c r="J27" s="374">
        <f ca="1">'Parameters calculator (hide)'!F25</f>
        <v>0</v>
      </c>
      <c r="K27" s="32"/>
    </row>
    <row r="28" spans="1:13" ht="15" thickBot="1" x14ac:dyDescent="0.25">
      <c r="A28" s="84"/>
      <c r="B28" s="32"/>
      <c r="C28" s="32"/>
      <c r="D28" s="32"/>
      <c r="E28" s="32"/>
      <c r="F28" s="32" t="s">
        <v>97</v>
      </c>
      <c r="G28" s="32"/>
      <c r="H28" s="32"/>
      <c r="I28" s="388"/>
      <c r="J28" s="375"/>
      <c r="K28" s="32"/>
    </row>
    <row r="29" spans="1:13" x14ac:dyDescent="0.2">
      <c r="A29" s="35" t="s">
        <v>98</v>
      </c>
      <c r="B29" s="32"/>
      <c r="C29" s="32"/>
      <c r="D29" s="32"/>
      <c r="E29" s="32"/>
      <c r="F29" s="32"/>
      <c r="G29" s="32"/>
      <c r="H29" s="32"/>
      <c r="I29" s="32"/>
      <c r="J29" s="32"/>
      <c r="K29" s="32"/>
    </row>
    <row r="30" spans="1:13" ht="15" thickBot="1" x14ac:dyDescent="0.25"/>
    <row r="31" spans="1:13" ht="15" thickBot="1" x14ac:dyDescent="0.25">
      <c r="A31" t="s">
        <v>374</v>
      </c>
      <c r="F31" s="215"/>
    </row>
    <row r="32" spans="1:13" ht="14.25" customHeight="1" x14ac:dyDescent="0.2">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ht="15" x14ac:dyDescent="0.25">
      <c r="A33" s="2"/>
      <c r="H33" s="152" t="str">
        <f>IF(H32&lt;&gt;"","Please recheck your figures.","")</f>
        <v/>
      </c>
    </row>
    <row r="36" spans="1:8" ht="15" x14ac:dyDescent="0.25">
      <c r="A36" s="2"/>
      <c r="C36" s="5"/>
    </row>
    <row r="37" spans="1:8" x14ac:dyDescent="0.2">
      <c r="C37" s="5"/>
    </row>
    <row r="42" spans="1:8" x14ac:dyDescent="0.2">
      <c r="B42" s="68"/>
    </row>
    <row r="43" spans="1:8" x14ac:dyDescent="0.2">
      <c r="B43" s="68"/>
    </row>
    <row r="44" spans="1:8" x14ac:dyDescent="0.2">
      <c r="B44" s="68"/>
    </row>
    <row r="45" spans="1:8" x14ac:dyDescent="0.2">
      <c r="B45" s="68"/>
    </row>
    <row r="46" spans="1:8" x14ac:dyDescent="0.2">
      <c r="B46" s="68"/>
    </row>
    <row r="47" spans="1:8" x14ac:dyDescent="0.2">
      <c r="B47" s="68"/>
    </row>
    <row r="48" spans="1:8" x14ac:dyDescent="0.2">
      <c r="B48" s="68"/>
    </row>
    <row r="49" spans="2:2" x14ac:dyDescent="0.2">
      <c r="B49" s="68"/>
    </row>
    <row r="50" spans="2:2" x14ac:dyDescent="0.2">
      <c r="B50" s="68"/>
    </row>
    <row r="51" spans="2:2" x14ac:dyDescent="0.2">
      <c r="B51" s="68"/>
    </row>
    <row r="52" spans="2:2" x14ac:dyDescent="0.2">
      <c r="B52" s="68"/>
    </row>
    <row r="53" spans="2:2" x14ac:dyDescent="0.2">
      <c r="B53" s="68"/>
    </row>
    <row r="54" spans="2:2" x14ac:dyDescent="0.2">
      <c r="B54" s="68"/>
    </row>
    <row r="55" spans="2:2" x14ac:dyDescent="0.2">
      <c r="B55" s="68"/>
    </row>
    <row r="56" spans="2:2" x14ac:dyDescent="0.2">
      <c r="B56" s="68"/>
    </row>
    <row r="57" spans="2:2" x14ac:dyDescent="0.2">
      <c r="B57" s="68"/>
    </row>
    <row r="58" spans="2:2" x14ac:dyDescent="0.2">
      <c r="B58" s="68"/>
    </row>
    <row r="59" spans="2:2" x14ac:dyDescent="0.2">
      <c r="B59" s="68"/>
    </row>
    <row r="60" spans="2:2" x14ac:dyDescent="0.2">
      <c r="B60" s="68"/>
    </row>
    <row r="61" spans="2:2" x14ac:dyDescent="0.2">
      <c r="B61" s="68"/>
    </row>
    <row r="62" spans="2:2" x14ac:dyDescent="0.2">
      <c r="B62" s="68"/>
    </row>
    <row r="63" spans="2:2" x14ac:dyDescent="0.2">
      <c r="B63" s="68"/>
    </row>
    <row r="64" spans="2:2" x14ac:dyDescent="0.2">
      <c r="B64" s="68"/>
    </row>
    <row r="65" spans="2:2" x14ac:dyDescent="0.2">
      <c r="B65" s="68"/>
    </row>
    <row r="66" spans="2:2" x14ac:dyDescent="0.2">
      <c r="B66" s="68"/>
    </row>
    <row r="67" spans="2:2" x14ac:dyDescent="0.2">
      <c r="B67" s="68"/>
    </row>
    <row r="68" spans="2:2" x14ac:dyDescent="0.2">
      <c r="B68" s="68"/>
    </row>
    <row r="69" spans="2:2" x14ac:dyDescent="0.2">
      <c r="B69" s="68"/>
    </row>
    <row r="70" spans="2:2" x14ac:dyDescent="0.2">
      <c r="B70" s="68"/>
    </row>
    <row r="71" spans="2:2" x14ac:dyDescent="0.2">
      <c r="B71" s="68"/>
    </row>
    <row r="72" spans="2:2" x14ac:dyDescent="0.2">
      <c r="B72" s="68"/>
    </row>
    <row r="73" spans="2:2" x14ac:dyDescent="0.2">
      <c r="B73" s="68"/>
    </row>
    <row r="74" spans="2:2" x14ac:dyDescent="0.2">
      <c r="B74" s="68"/>
    </row>
    <row r="75" spans="2:2" x14ac:dyDescent="0.2">
      <c r="B75" s="68"/>
    </row>
    <row r="76" spans="2:2" x14ac:dyDescent="0.2">
      <c r="B76" s="68"/>
    </row>
    <row r="77" spans="2:2" x14ac:dyDescent="0.2">
      <c r="B77" s="68"/>
    </row>
    <row r="78" spans="2:2" x14ac:dyDescent="0.2">
      <c r="B78" s="68"/>
    </row>
    <row r="79" spans="2:2" x14ac:dyDescent="0.2">
      <c r="B79" s="68"/>
    </row>
    <row r="80" spans="2:2" x14ac:dyDescent="0.2">
      <c r="B80" s="68"/>
    </row>
    <row r="81" spans="1:2" x14ac:dyDescent="0.2">
      <c r="B81" s="68"/>
    </row>
    <row r="82" spans="1:2" x14ac:dyDescent="0.2">
      <c r="B82" s="68"/>
    </row>
    <row r="83" spans="1:2" x14ac:dyDescent="0.2">
      <c r="A83" s="68"/>
      <c r="B83" s="68"/>
    </row>
    <row r="84" spans="1:2" x14ac:dyDescent="0.2">
      <c r="A84" s="68"/>
      <c r="B84" s="68"/>
    </row>
    <row r="85" spans="1:2" x14ac:dyDescent="0.2">
      <c r="A85" s="68"/>
      <c r="B85" s="68"/>
    </row>
    <row r="86" spans="1:2" x14ac:dyDescent="0.2">
      <c r="A86" s="68"/>
      <c r="B86" s="68"/>
    </row>
    <row r="87" spans="1:2" x14ac:dyDescent="0.2">
      <c r="B87" s="68"/>
    </row>
    <row r="88" spans="1:2" x14ac:dyDescent="0.2">
      <c r="A88" s="68"/>
      <c r="B88" s="68"/>
    </row>
    <row r="89" spans="1:2" x14ac:dyDescent="0.2">
      <c r="A89" s="68"/>
      <c r="B89" s="68"/>
    </row>
    <row r="90" spans="1:2" x14ac:dyDescent="0.2">
      <c r="A90" s="68"/>
      <c r="B90" s="68"/>
    </row>
    <row r="91" spans="1:2" x14ac:dyDescent="0.2">
      <c r="A91" s="68"/>
      <c r="B91" s="68"/>
    </row>
    <row r="92" spans="1:2" x14ac:dyDescent="0.2">
      <c r="B92" s="68"/>
    </row>
    <row r="93" spans="1:2" x14ac:dyDescent="0.2">
      <c r="B93" s="68"/>
    </row>
    <row r="94" spans="1:2" x14ac:dyDescent="0.2">
      <c r="B94" s="68"/>
    </row>
    <row r="95" spans="1:2" x14ac:dyDescent="0.2">
      <c r="B95" s="68"/>
    </row>
    <row r="96" spans="1:2" x14ac:dyDescent="0.2">
      <c r="B96" s="68"/>
    </row>
  </sheetData>
  <sheetProtection algorithmName="SHA-512" hashValue="OAGf/c/guoO/UBB4v4KyxRGuNV8K/qwrCzD3cpmF4PIMJwgJXCoWNlazKKcXkS/ho9+4e9zCIEco/NbRWDxanA==" saltValue="MbXIbVOD25NmmF7gG8Wg+g=="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4.25" x14ac:dyDescent="0.2"/>
  <cols>
    <col min="1" max="1" width="32.125" customWidth="1"/>
    <col min="2" max="9" width="10.625" customWidth="1"/>
  </cols>
  <sheetData>
    <row r="1" spans="1:7" ht="15" x14ac:dyDescent="0.25">
      <c r="A1" s="104" t="s">
        <v>325</v>
      </c>
      <c r="B1" s="105"/>
      <c r="C1" s="105"/>
      <c r="D1" s="105"/>
      <c r="E1" s="105"/>
      <c r="F1" s="105"/>
      <c r="G1" s="105"/>
    </row>
    <row r="3" spans="1:7" x14ac:dyDescent="0.2">
      <c r="A3" t="s">
        <v>323</v>
      </c>
    </row>
    <row r="4" spans="1:7" s="68" customFormat="1" ht="15" x14ac:dyDescent="0.25">
      <c r="A4" s="216">
        <v>52</v>
      </c>
      <c r="B4"/>
    </row>
    <row r="5" spans="1:7" s="68" customFormat="1" x14ac:dyDescent="0.2"/>
    <row r="6" spans="1:7" s="68" customFormat="1" x14ac:dyDescent="0.2"/>
    <row r="7" spans="1:7" s="68" customFormat="1" x14ac:dyDescent="0.2"/>
    <row r="8" spans="1:7" ht="15" x14ac:dyDescent="0.25">
      <c r="A8" s="90" t="s">
        <v>104</v>
      </c>
      <c r="B8" s="98" t="s">
        <v>77</v>
      </c>
      <c r="C8" s="98" t="s">
        <v>313</v>
      </c>
      <c r="D8" s="97"/>
      <c r="E8" s="99" t="s">
        <v>101</v>
      </c>
      <c r="F8" s="97"/>
      <c r="G8" s="100" t="s">
        <v>314</v>
      </c>
    </row>
    <row r="9" spans="1:7" x14ac:dyDescent="0.2">
      <c r="A9" s="87" t="str">
        <f>IF(Setup!C27&lt;&gt;"",Setup!C27,"Modality "&amp;ROW(A1))</f>
        <v>Modality 1</v>
      </c>
      <c r="B9" s="217"/>
      <c r="C9" s="217"/>
      <c r="E9" s="217"/>
      <c r="G9" s="217"/>
    </row>
    <row r="10" spans="1:7" hidden="1" x14ac:dyDescent="0.2">
      <c r="A10" s="87" t="str">
        <f>IF(Setup!C28&lt;&gt;"",Setup!C28,"Modality "&amp;ROW(A2))</f>
        <v>Modality 2</v>
      </c>
      <c r="B10" s="217"/>
      <c r="C10" s="217"/>
      <c r="E10" s="217"/>
      <c r="G10" s="217"/>
    </row>
    <row r="11" spans="1:7" hidden="1" x14ac:dyDescent="0.2">
      <c r="A11" s="87" t="str">
        <f>IF(Setup!C29&lt;&gt;"",Setup!C29,"Modality "&amp;ROW(A3))</f>
        <v>Modality 3</v>
      </c>
      <c r="B11" s="217"/>
      <c r="C11" s="217"/>
      <c r="E11" s="217"/>
      <c r="G11" s="217"/>
    </row>
    <row r="12" spans="1:7" hidden="1" x14ac:dyDescent="0.2">
      <c r="A12" s="87" t="str">
        <f>IF(Setup!C30&lt;&gt;"",Setup!C30,"Modality "&amp;ROW(A8))</f>
        <v>Modality 4</v>
      </c>
      <c r="B12" s="217"/>
      <c r="C12" s="217"/>
      <c r="E12" s="217"/>
      <c r="G12" s="217"/>
    </row>
    <row r="13" spans="1:7" hidden="1" x14ac:dyDescent="0.2">
      <c r="A13" s="87" t="str">
        <f>IF(Setup!C31&lt;&gt;"",Setup!C31,"Modality "&amp;ROW(A9))</f>
        <v>Modality 5</v>
      </c>
      <c r="B13" s="217"/>
      <c r="C13" s="217"/>
      <c r="E13" s="217"/>
      <c r="G13" s="217"/>
    </row>
    <row r="14" spans="1:7" hidden="1" x14ac:dyDescent="0.2">
      <c r="A14" s="87" t="str">
        <f>IF(Setup!C32&lt;&gt;"",Setup!C32,"Modality "&amp;ROW(A10))</f>
        <v>Modality 6</v>
      </c>
      <c r="B14" s="217"/>
      <c r="C14" s="217"/>
      <c r="E14" s="217"/>
      <c r="G14" s="217"/>
    </row>
    <row r="15" spans="1:7" hidden="1" x14ac:dyDescent="0.2">
      <c r="A15" s="87" t="str">
        <f>IF(Setup!C33&lt;&gt;"",Setup!C33,"Modality "&amp;ROW(A11))</f>
        <v>Modality 7</v>
      </c>
      <c r="B15" s="217"/>
      <c r="C15" s="217"/>
      <c r="E15" s="217"/>
      <c r="G15" s="217"/>
    </row>
    <row r="16" spans="1:7" hidden="1" x14ac:dyDescent="0.2">
      <c r="A16" s="87" t="str">
        <f>IF(Setup!C34&lt;&gt;"",Setup!C34,"Modality "&amp;ROW(A12))</f>
        <v>Modality 8</v>
      </c>
      <c r="B16" s="217"/>
      <c r="C16" s="217"/>
      <c r="E16" s="217"/>
      <c r="G16" s="217"/>
    </row>
    <row r="17" spans="1:7" hidden="1" x14ac:dyDescent="0.2">
      <c r="A17" s="87" t="str">
        <f>IF(Setup!C35&lt;&gt;"",Setup!C35,"Modality "&amp;ROW(A13))</f>
        <v>Modality 9</v>
      </c>
      <c r="B17" s="217"/>
      <c r="C17" s="217"/>
      <c r="E17" s="217"/>
      <c r="G17" s="217"/>
    </row>
    <row r="18" spans="1:7" hidden="1" x14ac:dyDescent="0.2">
      <c r="A18" s="87" t="str">
        <f>IF(Setup!C36&lt;&gt;"",Setup!C36,"Modality "&amp;ROW(A14))</f>
        <v>Modality 10</v>
      </c>
      <c r="B18" s="217"/>
      <c r="C18" s="217"/>
      <c r="E18" s="217"/>
      <c r="G18" s="217"/>
    </row>
    <row r="19" spans="1:7" x14ac:dyDescent="0.2">
      <c r="A19" s="68"/>
    </row>
    <row r="20" spans="1:7" s="68" customFormat="1" ht="15" x14ac:dyDescent="0.25">
      <c r="B20" s="97" t="s">
        <v>19</v>
      </c>
      <c r="C20" s="97" t="str">
        <f>Setup!I17</f>
        <v>Patients</v>
      </c>
    </row>
    <row r="21" spans="1:7" s="68" customFormat="1" x14ac:dyDescent="0.2">
      <c r="A21" s="68" t="s">
        <v>398</v>
      </c>
      <c r="B21" s="96">
        <f ca="1">'Parameters calculator (hide)'!B19</f>
        <v>0</v>
      </c>
      <c r="C21" s="96">
        <f ca="1">'Parameters calculator (hide)'!B19*'Parameters calculator (hide)'!E18</f>
        <v>0</v>
      </c>
    </row>
    <row r="22" spans="1:7" s="68" customFormat="1" x14ac:dyDescent="0.2">
      <c r="A22" s="68" t="s">
        <v>399</v>
      </c>
      <c r="B22" s="70"/>
      <c r="C22" s="70"/>
    </row>
    <row r="23" spans="1:7" s="68" customFormat="1" x14ac:dyDescent="0.2"/>
    <row r="24" spans="1:7" s="68" customFormat="1" x14ac:dyDescent="0.2"/>
    <row r="25" spans="1:7" ht="15" x14ac:dyDescent="0.25">
      <c r="A25" s="89" t="str">
        <f>"Summed and translated to "&amp;Setup!$I$17</f>
        <v>Summed and translated to Patients</v>
      </c>
      <c r="B25" s="70">
        <f ca="1">'Parameters calculator (hide)'!C15</f>
        <v>0</v>
      </c>
      <c r="C25" s="96">
        <f ca="1">'Parameters calculator (hide)'!E15</f>
        <v>0</v>
      </c>
      <c r="E25" s="96">
        <f ca="1">'Parameters calculator (hide)'!G15</f>
        <v>0</v>
      </c>
      <c r="G25" s="70">
        <f ca="1">'Parameters calculator (hide)'!I15</f>
        <v>0</v>
      </c>
    </row>
    <row r="26" spans="1:7" ht="15" x14ac:dyDescent="0.25">
      <c r="A26" s="89" t="s">
        <v>324</v>
      </c>
      <c r="B26" s="95" t="e">
        <f ca="1">'Parameters calculator (hide)'!C16</f>
        <v>#DIV/0!</v>
      </c>
      <c r="C26" s="95" t="e">
        <f ca="1">'Parameters calculator (hide)'!E16</f>
        <v>#DIV/0!</v>
      </c>
      <c r="E26" s="95" t="e">
        <f ca="1">'Parameters calculator (hide)'!G16</f>
        <v>#DIV/0!</v>
      </c>
      <c r="G26" s="95">
        <f ca="1">'Parameters calculator (hide)'!I16</f>
        <v>0</v>
      </c>
    </row>
    <row r="27" spans="1:7" x14ac:dyDescent="0.2">
      <c r="A27" s="68"/>
      <c r="B27" s="68"/>
      <c r="C27" s="68"/>
      <c r="D27" s="68"/>
      <c r="E27" s="68"/>
      <c r="F27" s="68"/>
      <c r="G27" s="68"/>
    </row>
    <row r="28" spans="1:7" x14ac:dyDescent="0.2">
      <c r="A28" s="68"/>
      <c r="B28" s="68"/>
      <c r="C28" s="68"/>
      <c r="D28" s="68"/>
      <c r="E28" s="68"/>
      <c r="F28" s="68"/>
      <c r="G28" s="68"/>
    </row>
    <row r="29" spans="1:7" x14ac:dyDescent="0.2">
      <c r="A29" t="s">
        <v>400</v>
      </c>
    </row>
  </sheetData>
  <sheetProtection algorithmName="SHA-512" hashValue="+em2D7CuNJ1feHrC/anskWAgcag3qTHfHjgQfVPNtc9wiqLVrV2InfaAY1KYD8Hc7Nk2cJa/10o8/aW+JQr+Pw==" saltValue="Zf5wc83aUW6rgbVj4ix3v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defaultRowHeight="14.25" x14ac:dyDescent="0.2"/>
  <cols>
    <col min="1" max="1" width="15.875" customWidth="1"/>
    <col min="3" max="3" width="11" bestFit="1" customWidth="1"/>
    <col min="5" max="5" width="17.25" customWidth="1"/>
  </cols>
  <sheetData>
    <row r="1" spans="1:9" x14ac:dyDescent="0.2">
      <c r="A1" t="s">
        <v>407</v>
      </c>
    </row>
    <row r="3" spans="1:9" x14ac:dyDescent="0.2">
      <c r="B3" t="s">
        <v>77</v>
      </c>
      <c r="D3" t="s">
        <v>100</v>
      </c>
      <c r="F3" t="s">
        <v>101</v>
      </c>
      <c r="H3" t="s">
        <v>102</v>
      </c>
    </row>
    <row r="4" spans="1:9" x14ac:dyDescent="0.2">
      <c r="A4" t="s">
        <v>104</v>
      </c>
      <c r="B4" t="s">
        <v>19</v>
      </c>
      <c r="C4" t="s">
        <v>315</v>
      </c>
      <c r="D4" s="68" t="s">
        <v>19</v>
      </c>
      <c r="E4" s="68" t="s">
        <v>315</v>
      </c>
      <c r="F4" s="68" t="s">
        <v>19</v>
      </c>
      <c r="G4" s="68" t="s">
        <v>315</v>
      </c>
      <c r="H4" s="68" t="s">
        <v>19</v>
      </c>
      <c r="I4" s="68" t="s">
        <v>315</v>
      </c>
    </row>
    <row r="5" spans="1:9" x14ac:dyDescent="0.2">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348</v>
      </c>
      <c r="C16" s="85" t="e">
        <f ca="1">C15/'Parameters calculator'!$C$21</f>
        <v>#DIV/0!</v>
      </c>
      <c r="E16" s="85" t="e">
        <f ca="1">E15/('Parameters calculator'!$C$21-C15)</f>
        <v>#DIV/0!</v>
      </c>
      <c r="G16" s="85" t="e">
        <f ca="1">G15/('Parameters calculator'!$C$21-C15)</f>
        <v>#DIV/0!</v>
      </c>
      <c r="I16" s="85">
        <f ca="1">IF(G15=0,0,I15/G15)</f>
        <v>0</v>
      </c>
    </row>
    <row r="17" spans="1:13" s="68" customFormat="1" x14ac:dyDescent="0.2"/>
    <row r="18" spans="1:13" s="68" customFormat="1" x14ac:dyDescent="0.2">
      <c r="A18" s="68" t="s">
        <v>149</v>
      </c>
      <c r="B18" s="68">
        <f ca="1">IF(LEFT(INDIRECT(H18),4)="Base",MAX('SPC background (hide)'!$I$5:$I$11),INDIRECT(H18))</f>
        <v>52</v>
      </c>
      <c r="D18" s="68" t="s">
        <v>214</v>
      </c>
      <c r="E18" s="5">
        <f ca="1">'Demand background (hide)'!BN16</f>
        <v>1</v>
      </c>
      <c r="G18" s="68" t="s">
        <v>397</v>
      </c>
      <c r="H18" s="52" t="s">
        <v>504</v>
      </c>
    </row>
    <row r="19" spans="1:13" x14ac:dyDescent="0.2">
      <c r="A19" t="s">
        <v>331</v>
      </c>
      <c r="B19">
        <f ca="1">'Demand background (hide)'!$BM$18*'Parameters calculator (hide)'!$B$18*IF(OR(Parameters!C4="Patients",B34=1),1/E18,1)</f>
        <v>0</v>
      </c>
    </row>
    <row r="20" spans="1:13" x14ac:dyDescent="0.2">
      <c r="B20" t="s">
        <v>77</v>
      </c>
      <c r="C20" t="s">
        <v>338</v>
      </c>
      <c r="E20" t="s">
        <v>101</v>
      </c>
      <c r="F20" t="s">
        <v>339</v>
      </c>
      <c r="H20" t="s">
        <v>103</v>
      </c>
    </row>
    <row r="21" spans="1:13" s="68" customFormat="1" x14ac:dyDescent="0.2">
      <c r="A21" s="68" t="s">
        <v>336</v>
      </c>
      <c r="B21" s="85">
        <f>Parameters!$G$7</f>
        <v>0</v>
      </c>
      <c r="C21" s="85">
        <f>Parameters!$G$11</f>
        <v>0</v>
      </c>
      <c r="D21" s="48"/>
      <c r="E21" s="85">
        <f>Parameters!$G$21</f>
        <v>0</v>
      </c>
      <c r="F21" s="85">
        <f>Parameters!$I$27</f>
        <v>0</v>
      </c>
      <c r="G21" s="48"/>
      <c r="H21" s="85">
        <f>1-F21</f>
        <v>1</v>
      </c>
      <c r="M21" s="68" t="s">
        <v>396</v>
      </c>
    </row>
    <row r="22" spans="1:13" s="68" customFormat="1" x14ac:dyDescent="0.2">
      <c r="A22" s="68" t="s">
        <v>337</v>
      </c>
      <c r="B22" s="5">
        <f ca="1">Parameters!$H$7</f>
        <v>0</v>
      </c>
      <c r="C22" s="5">
        <f ca="1">Parameters!$H$11</f>
        <v>0</v>
      </c>
      <c r="E22" s="5">
        <f ca="1">Parameters!$H$21</f>
        <v>0</v>
      </c>
      <c r="F22" s="5">
        <f ca="1">Parameters!$J$27</f>
        <v>0</v>
      </c>
      <c r="H22" s="5">
        <f ca="1">E22-F22</f>
        <v>0</v>
      </c>
    </row>
    <row r="23" spans="1:13" s="68" customFormat="1" x14ac:dyDescent="0.2"/>
    <row r="24" spans="1:13" x14ac:dyDescent="0.2">
      <c r="A24" s="68" t="s">
        <v>334</v>
      </c>
      <c r="B24" s="85" t="e">
        <f ca="1">IF($B$34=2,IFERROR(B22/B19,NA()),C16)</f>
        <v>#N/A</v>
      </c>
      <c r="C24" s="85" t="e">
        <f ca="1">IF($B$34=2,IFERROR(C22/(B19-B22),NA()),E16)</f>
        <v>#N/A</v>
      </c>
      <c r="D24" s="48"/>
      <c r="E24" s="85" t="e">
        <f ca="1">IF($B$34=2,IFERROR(E22/(B19-B22),NA()),G16)</f>
        <v>#N/A</v>
      </c>
      <c r="F24" s="85">
        <f ca="1">IF($B$34=2,IF(E22=0,0,IFERROR(F22/E22,NA())),I16)</f>
        <v>0</v>
      </c>
      <c r="G24" s="48"/>
      <c r="H24" s="85">
        <f>IF(Parameters!$C$2="%",'Parameters calculator (hide)'!$H$21,1-F24)</f>
        <v>1</v>
      </c>
    </row>
    <row r="25" spans="1:13" x14ac:dyDescent="0.2">
      <c r="A25" t="s">
        <v>335</v>
      </c>
      <c r="B25" s="5">
        <f ca="1">IFERROR(B19*B21,NA())</f>
        <v>0</v>
      </c>
      <c r="C25" s="5">
        <f ca="1">IFERROR((B19*(1-B21)*C21),NA())</f>
        <v>0</v>
      </c>
      <c r="D25" s="68"/>
      <c r="E25" s="5">
        <f ca="1">IFERROR(B19*(1-B21)*E21,NA())</f>
        <v>0</v>
      </c>
      <c r="F25" s="5">
        <f ca="1">IFERROR(E25*F21,NA())</f>
        <v>0</v>
      </c>
      <c r="G25" s="68"/>
      <c r="H25" s="5">
        <f ca="1">E25-F25</f>
        <v>0</v>
      </c>
    </row>
    <row r="27" spans="1:13" x14ac:dyDescent="0.2">
      <c r="A27" t="s">
        <v>343</v>
      </c>
      <c r="B27">
        <f ca="1">IF(Parameters!$C$2="Volume",B19-B22-C22+H22-E22,B19-B25-C25+H25-E25)</f>
        <v>0</v>
      </c>
      <c r="M27" t="s">
        <v>317</v>
      </c>
    </row>
    <row r="28" spans="1:13" x14ac:dyDescent="0.2">
      <c r="M28" t="s">
        <v>318</v>
      </c>
    </row>
    <row r="29" spans="1:13" x14ac:dyDescent="0.2">
      <c r="A29" t="s">
        <v>345</v>
      </c>
      <c r="B29" t="s">
        <v>381</v>
      </c>
      <c r="C29" t="s">
        <v>382</v>
      </c>
      <c r="D29" t="s">
        <v>379</v>
      </c>
      <c r="E29" t="s">
        <v>380</v>
      </c>
      <c r="F29" t="s">
        <v>346</v>
      </c>
      <c r="G29" t="s">
        <v>347</v>
      </c>
      <c r="I29" t="s">
        <v>353</v>
      </c>
      <c r="J29" t="s">
        <v>352</v>
      </c>
      <c r="M29" t="s">
        <v>319</v>
      </c>
    </row>
    <row r="30" spans="1:13" x14ac:dyDescent="0.2">
      <c r="A30" t="s">
        <v>77</v>
      </c>
      <c r="B30" t="s">
        <v>383</v>
      </c>
      <c r="C30" t="s">
        <v>387</v>
      </c>
      <c r="D30" s="52" t="s">
        <v>362</v>
      </c>
      <c r="E30" s="52" t="s">
        <v>366</v>
      </c>
      <c r="F30" s="52" t="s">
        <v>362</v>
      </c>
      <c r="G30" s="52" t="s">
        <v>370</v>
      </c>
      <c r="I30" t="s">
        <v>354</v>
      </c>
      <c r="J30" t="s">
        <v>358</v>
      </c>
      <c r="M30" t="s">
        <v>320</v>
      </c>
    </row>
    <row r="31" spans="1:13" x14ac:dyDescent="0.2">
      <c r="A31" t="s">
        <v>338</v>
      </c>
      <c r="B31" t="s">
        <v>384</v>
      </c>
      <c r="C31" t="s">
        <v>388</v>
      </c>
      <c r="D31" s="52" t="s">
        <v>363</v>
      </c>
      <c r="E31" s="52" t="s">
        <v>367</v>
      </c>
      <c r="F31" s="52" t="s">
        <v>363</v>
      </c>
      <c r="G31" s="52" t="s">
        <v>371</v>
      </c>
      <c r="I31" t="s">
        <v>355</v>
      </c>
      <c r="J31" s="68" t="s">
        <v>359</v>
      </c>
      <c r="M31" t="s">
        <v>321</v>
      </c>
    </row>
    <row r="32" spans="1:13" x14ac:dyDescent="0.2">
      <c r="A32" t="s">
        <v>101</v>
      </c>
      <c r="B32" t="s">
        <v>385</v>
      </c>
      <c r="C32" t="s">
        <v>389</v>
      </c>
      <c r="D32" s="52" t="s">
        <v>364</v>
      </c>
      <c r="E32" s="52" t="s">
        <v>368</v>
      </c>
      <c r="F32" s="52" t="s">
        <v>364</v>
      </c>
      <c r="G32" s="52" t="s">
        <v>372</v>
      </c>
      <c r="I32" t="s">
        <v>356</v>
      </c>
      <c r="J32" s="68" t="s">
        <v>360</v>
      </c>
      <c r="M32" t="s">
        <v>322</v>
      </c>
    </row>
    <row r="33" spans="1:13" x14ac:dyDescent="0.2">
      <c r="A33" t="s">
        <v>339</v>
      </c>
      <c r="B33" t="s">
        <v>386</v>
      </c>
      <c r="C33" t="s">
        <v>390</v>
      </c>
      <c r="D33" s="52" t="s">
        <v>365</v>
      </c>
      <c r="E33" s="52" t="s">
        <v>369</v>
      </c>
      <c r="F33" s="52" t="s">
        <v>365</v>
      </c>
      <c r="G33" s="52" t="s">
        <v>373</v>
      </c>
      <c r="I33" t="s">
        <v>357</v>
      </c>
      <c r="J33" s="68" t="s">
        <v>361</v>
      </c>
      <c r="M33" t="s">
        <v>344</v>
      </c>
    </row>
    <row r="34" spans="1:13" x14ac:dyDescent="0.2">
      <c r="A34" t="s">
        <v>333</v>
      </c>
      <c r="B34">
        <v>2</v>
      </c>
      <c r="C34">
        <v>2</v>
      </c>
    </row>
    <row r="37" spans="1:13" x14ac:dyDescent="0.2">
      <c r="A37" s="52" t="s">
        <v>401</v>
      </c>
      <c r="B37" s="68"/>
    </row>
    <row r="38" spans="1:13" x14ac:dyDescent="0.2">
      <c r="A38" t="s">
        <v>413</v>
      </c>
    </row>
    <row r="40" spans="1:13" x14ac:dyDescent="0.2">
      <c r="E40" t="s">
        <v>510</v>
      </c>
    </row>
    <row r="41" spans="1:13" x14ac:dyDescent="0.2">
      <c r="A41" t="s">
        <v>408</v>
      </c>
      <c r="E41" t="s">
        <v>508</v>
      </c>
      <c r="G41" t="s">
        <v>505</v>
      </c>
      <c r="H41" t="s">
        <v>509</v>
      </c>
    </row>
    <row r="42" spans="1:13" x14ac:dyDescent="0.2">
      <c r="B42" t="s">
        <v>89</v>
      </c>
      <c r="E42" s="148">
        <f>Parameters!F31</f>
        <v>0</v>
      </c>
    </row>
    <row r="43" spans="1:13" x14ac:dyDescent="0.2">
      <c r="A43" t="s">
        <v>77</v>
      </c>
      <c r="B43" s="101" t="e">
        <f ca="1">IF(B34=1,C16,B24)</f>
        <v>#N/A</v>
      </c>
      <c r="C43" s="148" t="e">
        <f ca="1">(1-B43)</f>
        <v>#N/A</v>
      </c>
      <c r="E43" s="150"/>
      <c r="G43" s="148"/>
    </row>
    <row r="44" spans="1:13" x14ac:dyDescent="0.2">
      <c r="A44" t="s">
        <v>338</v>
      </c>
      <c r="B44" s="101" t="e">
        <f ca="1">IF(B34=1,E16,C24)</f>
        <v>#N/A</v>
      </c>
      <c r="C44" s="148" t="e">
        <f ca="1">B44</f>
        <v>#N/A</v>
      </c>
      <c r="E44" s="148" t="s">
        <v>511</v>
      </c>
      <c r="G44" s="148"/>
      <c r="H44" s="68"/>
    </row>
    <row r="45" spans="1:13" x14ac:dyDescent="0.2">
      <c r="A45" t="s">
        <v>101</v>
      </c>
      <c r="B45" s="101" t="e">
        <f ca="1">IF(B34=1,G16,E24)</f>
        <v>#N/A</v>
      </c>
      <c r="C45" s="148"/>
      <c r="E45" s="148" t="str">
        <f>IF(E42&gt;0,E42/(1-C44-(B45*B46))/C43,"")</f>
        <v/>
      </c>
      <c r="G45" s="148"/>
      <c r="H45" s="68"/>
    </row>
    <row r="46" spans="1:13" x14ac:dyDescent="0.2">
      <c r="A46" t="s">
        <v>339</v>
      </c>
      <c r="B46" s="101">
        <f ca="1">IF(B34=1,I16,F24)</f>
        <v>0</v>
      </c>
      <c r="C46" s="148" t="e">
        <f ca="1">B46*B45</f>
        <v>#N/A</v>
      </c>
      <c r="E46" s="148"/>
      <c r="G46" s="148"/>
      <c r="H46" s="68"/>
    </row>
    <row r="47" spans="1:13" x14ac:dyDescent="0.2">
      <c r="A47" t="s">
        <v>409</v>
      </c>
      <c r="B47" s="101">
        <f ca="1">IF(B34=1,1-I16,1-F24)</f>
        <v>1</v>
      </c>
      <c r="C47" s="148" t="e">
        <f ca="1">B47*B45</f>
        <v>#N/A</v>
      </c>
      <c r="D47" s="37"/>
      <c r="E47" s="148"/>
      <c r="F47" s="148"/>
      <c r="G47" s="148"/>
      <c r="H47" s="68"/>
    </row>
    <row r="51" spans="1:14" x14ac:dyDescent="0.2">
      <c r="A51" t="s">
        <v>410</v>
      </c>
      <c r="E51" t="s">
        <v>880</v>
      </c>
      <c r="F51" t="s">
        <v>416</v>
      </c>
      <c r="L51" t="s">
        <v>423</v>
      </c>
    </row>
    <row r="53" spans="1:14" x14ac:dyDescent="0.2">
      <c r="A53" t="s">
        <v>411</v>
      </c>
      <c r="B53" t="s">
        <v>150</v>
      </c>
      <c r="C53" t="s">
        <v>151</v>
      </c>
      <c r="D53" t="s">
        <v>887</v>
      </c>
      <c r="F53" t="s">
        <v>417</v>
      </c>
      <c r="G53" t="s">
        <v>426</v>
      </c>
      <c r="L53" t="s">
        <v>150</v>
      </c>
      <c r="M53" t="s">
        <v>151</v>
      </c>
    </row>
    <row r="54" spans="1:14" s="68" customFormat="1" x14ac:dyDescent="0.2">
      <c r="A54"/>
      <c r="B54"/>
      <c r="C54"/>
      <c r="E54" s="5"/>
      <c r="F54" s="5"/>
    </row>
    <row r="55" spans="1:14" s="68" customFormat="1" x14ac:dyDescent="0.2">
      <c r="A55" s="68" t="str">
        <f>Setup!B24</f>
        <v>Routine</v>
      </c>
      <c r="B55" s="68">
        <f>Pathway!B8/IF(Pathway!$E8="Weeks",1,7)</f>
        <v>0</v>
      </c>
      <c r="C55" s="68">
        <f>Pathway!C8/IF(Pathway!$E8="Weeks",1,7)</f>
        <v>0</v>
      </c>
      <c r="D55" s="68">
        <f>Pathway!D8/IF(Pathway!$E8="Weeks",1,7)</f>
        <v>0</v>
      </c>
      <c r="E55" s="68" t="str">
        <f ca="1">IF(AND(Pathway!$H$5="Override",Pathway!$I$6=""),Pathway!H8,Pathway!G8)</f>
        <v/>
      </c>
      <c r="F55" s="5" t="e">
        <f ca="1">('Demand background (hide)'!$BM$18*E55*(B55+((C55-B55)/2)))</f>
        <v>#VALUE!</v>
      </c>
      <c r="G55" s="68" t="e">
        <f ca="1">$C$47*E55*D55*'Demand background (hide)'!$BM$18</f>
        <v>#N/A</v>
      </c>
      <c r="L55" s="68">
        <f t="shared" ref="L55:L57" si="0">B55</f>
        <v>0</v>
      </c>
      <c r="M55" s="68">
        <f t="shared" ref="M55:M57" si="1">C55-B55</f>
        <v>0</v>
      </c>
      <c r="N55" s="68">
        <f>D55</f>
        <v>0</v>
      </c>
    </row>
    <row r="56" spans="1:14" s="68" customFormat="1" x14ac:dyDescent="0.2">
      <c r="A56" s="68" t="str">
        <f>Setup!B23</f>
        <v>Urgent</v>
      </c>
      <c r="B56" s="68">
        <f>Pathway!B7/IF(Pathway!$E7="Weeks",1,7)</f>
        <v>0</v>
      </c>
      <c r="C56" s="68">
        <f>Pathway!C7/IF(Pathway!$E7="Weeks",1,7)</f>
        <v>0</v>
      </c>
      <c r="D56" s="68">
        <f>Pathway!D7/IF(Pathway!$E7="Weeks",1,7)</f>
        <v>0</v>
      </c>
      <c r="E56" s="68" t="str">
        <f ca="1">IF(AND(Pathway!$H$5="Override",Pathway!$I$6=""),Pathway!H7,Pathway!G7)</f>
        <v/>
      </c>
      <c r="F56" s="5" t="e">
        <f ca="1">('Demand background (hide)'!$BM$18*E56*(B56+((C56-B56)/2)))</f>
        <v>#VALUE!</v>
      </c>
      <c r="G56" s="68" t="e">
        <f ca="1">$C$47*E56*D56* 'Demand background (hide)'!$BM$18</f>
        <v>#N/A</v>
      </c>
      <c r="L56" s="68">
        <f t="shared" si="0"/>
        <v>0</v>
      </c>
      <c r="M56" s="68">
        <f t="shared" si="1"/>
        <v>0</v>
      </c>
      <c r="N56" s="68">
        <f t="shared" ref="N56:N57" si="2">D56</f>
        <v>0</v>
      </c>
    </row>
    <row r="57" spans="1:14" x14ac:dyDescent="0.2">
      <c r="A57" t="str">
        <f>Setup!B22</f>
        <v>2WW</v>
      </c>
      <c r="B57">
        <f>Pathway!B6/IF(Pathway!$E6="Weeks",1,7)</f>
        <v>0</v>
      </c>
      <c r="C57" s="68">
        <f>Pathway!C6/IF(Pathway!$E6="Weeks",1,7)</f>
        <v>0</v>
      </c>
      <c r="D57" s="68">
        <f>Pathway!D6/IF(Pathway!$E6="Weeks",1,7)</f>
        <v>0</v>
      </c>
      <c r="E57" s="68" t="str">
        <f ca="1">IF(AND(Pathway!$H$5="Override",Pathway!$I$6=""),Pathway!H6,Pathway!G6)</f>
        <v/>
      </c>
      <c r="F57" s="5" t="e">
        <f ca="1">('Demand background (hide)'!$BM$18*E57*(B57+((C57-B57)/2)))</f>
        <v>#VALUE!</v>
      </c>
      <c r="G57" s="68" t="e">
        <f ca="1">$C$47*E57*D57*'Demand background (hide)'!$BM$18</f>
        <v>#N/A</v>
      </c>
      <c r="L57" s="68">
        <f t="shared" si="0"/>
        <v>0</v>
      </c>
      <c r="M57" s="68">
        <f t="shared" si="1"/>
        <v>0</v>
      </c>
      <c r="N57" s="68">
        <f t="shared" si="2"/>
        <v>0</v>
      </c>
    </row>
    <row r="61" spans="1:14" x14ac:dyDescent="0.2">
      <c r="F61" s="5"/>
      <c r="H61" t="s">
        <v>167</v>
      </c>
      <c r="I61" t="s">
        <v>168</v>
      </c>
    </row>
    <row r="62" spans="1:14" x14ac:dyDescent="0.2">
      <c r="A62" t="s">
        <v>418</v>
      </c>
      <c r="F62" s="5" t="e">
        <f ca="1">SUM(F55:G57)</f>
        <v>#VALUE!</v>
      </c>
      <c r="H62" s="5" t="e">
        <f ca="1">F62*0.95</f>
        <v>#VALUE!</v>
      </c>
      <c r="I62" s="5" t="e">
        <f ca="1">F62*1.05</f>
        <v>#VALUE!</v>
      </c>
    </row>
    <row r="63" spans="1:14" x14ac:dyDescent="0.2">
      <c r="A63" t="s">
        <v>419</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420</v>
      </c>
      <c r="G66" t="s">
        <v>433</v>
      </c>
      <c r="H66" s="5" t="e">
        <f ca="1">IF(Summary!$C$8&lt;&gt;"Patients",H62,H63)</f>
        <v>#VALUE!</v>
      </c>
      <c r="I66" s="5" t="e">
        <f ca="1">IF(Summary!$C$8&lt;&gt;"Patients",I62,I63)</f>
        <v>#VALUE!</v>
      </c>
      <c r="J66" s="5" t="e">
        <f ca="1">I66-H66</f>
        <v>#VALUE!</v>
      </c>
    </row>
    <row r="67" spans="1:10" x14ac:dyDescent="0.2">
      <c r="B67" t="s">
        <v>432</v>
      </c>
      <c r="C67" t="s">
        <v>315</v>
      </c>
      <c r="G67" t="s">
        <v>434</v>
      </c>
      <c r="H67" s="5">
        <f ca="1">IF(Summary!$C$8&lt;&gt;"Patients",C79,B79)</f>
        <v>0</v>
      </c>
    </row>
    <row r="68" spans="1:10" x14ac:dyDescent="0.2">
      <c r="A68" t="str">
        <f>Setup!C27</f>
        <v>Modality 1</v>
      </c>
      <c r="B68" s="5">
        <f>IF(ROW(A1)&lt;=Num_Modalities,Setup!G27,0)</f>
        <v>0</v>
      </c>
      <c r="C68" s="5">
        <f ca="1">Setup!G27*'Demand background (hide)'!BN6</f>
        <v>0</v>
      </c>
      <c r="D68" s="68"/>
      <c r="I68" s="5"/>
    </row>
    <row r="69" spans="1:10" x14ac:dyDescent="0.2">
      <c r="A69" s="68" t="str">
        <f>Setup!C28</f>
        <v>Modality 2</v>
      </c>
      <c r="B69" s="5">
        <f>IF(ROW(A2)&lt;=Num_Modalities,Setup!G28,0)</f>
        <v>0</v>
      </c>
      <c r="C69" s="5">
        <f ca="1">Setup!G28*'Demand background (hide)'!BN7</f>
        <v>0</v>
      </c>
      <c r="D69" s="68"/>
      <c r="G69" t="s">
        <v>309</v>
      </c>
      <c r="H69" t="e">
        <f ca="1">IF(AND(H66&gt;H67,I66&gt;H67),0,IF(H66&lt;I66,"0",TEXT(MAX(0,H67-I66),"#,#"))&amp;" - "&amp;TEXT(H67-H66,"#,#"))</f>
        <v>#VALUE!</v>
      </c>
    </row>
    <row r="70" spans="1:10" x14ac:dyDescent="0.2">
      <c r="A70" s="68" t="str">
        <f>Setup!C29</f>
        <v>Modality 3</v>
      </c>
      <c r="B70" s="5">
        <f>IF(ROW(A3)&lt;=Num_Modalities,Setup!G29,0)</f>
        <v>0</v>
      </c>
      <c r="C70" s="5">
        <f ca="1">Setup!G29*'Demand background (hide)'!BN8</f>
        <v>0</v>
      </c>
      <c r="D70" s="68"/>
    </row>
    <row r="71" spans="1:10" x14ac:dyDescent="0.2">
      <c r="A71" s="68" t="str">
        <f>Setup!C30</f>
        <v>Modality 4</v>
      </c>
      <c r="B71" s="5">
        <f>IF(ROW(A4)&lt;=Num_Modalities,Setup!G30,0)</f>
        <v>0</v>
      </c>
      <c r="C71" s="5">
        <f ca="1">B71*'Demand background (hide)'!BN9</f>
        <v>0</v>
      </c>
      <c r="D71" s="68"/>
      <c r="H71" s="5" t="e">
        <f ca="1">H67-H66</f>
        <v>#VALUE!</v>
      </c>
      <c r="I71" s="5" t="e">
        <f ca="1">H67-I66</f>
        <v>#VALUE!</v>
      </c>
    </row>
    <row r="72" spans="1:10" x14ac:dyDescent="0.2">
      <c r="A72" s="68" t="str">
        <f>Setup!C31</f>
        <v>Modality 5</v>
      </c>
      <c r="B72" s="5">
        <f>IF(ROW(A5)&lt;=Num_Modalities,Setup!G31,0)</f>
        <v>0</v>
      </c>
      <c r="C72" s="5">
        <f ca="1">B72*'Demand background (hide)'!BN10</f>
        <v>0</v>
      </c>
      <c r="D72" s="68"/>
    </row>
    <row r="73" spans="1:10" x14ac:dyDescent="0.2">
      <c r="A73" s="68" t="str">
        <f>Setup!C32</f>
        <v>Modality 6</v>
      </c>
      <c r="B73" s="5">
        <f>IF(ROW(A6)&lt;=Num_Modalities,Setup!G32,0)</f>
        <v>0</v>
      </c>
      <c r="C73" s="5">
        <f ca="1">B73*'Demand background (hide)'!BN11</f>
        <v>0</v>
      </c>
      <c r="D73" s="68"/>
    </row>
    <row r="74" spans="1:10" x14ac:dyDescent="0.2">
      <c r="A74" s="68" t="str">
        <f>Setup!C33</f>
        <v>Modality 7</v>
      </c>
      <c r="B74" s="5">
        <f>IF(ROW(A7)&lt;=Num_Modalities,Setup!G33,0)</f>
        <v>0</v>
      </c>
      <c r="C74" s="5">
        <f ca="1">B74*'Demand background (hide)'!BN12</f>
        <v>0</v>
      </c>
      <c r="D74" s="68"/>
    </row>
    <row r="75" spans="1:10" x14ac:dyDescent="0.2">
      <c r="A75" s="68" t="str">
        <f>Setup!C34</f>
        <v>Modality 8</v>
      </c>
      <c r="B75" s="5">
        <f>IF(ROW(A8)&lt;=Num_Modalities,Setup!G34,0)</f>
        <v>0</v>
      </c>
      <c r="C75" s="5">
        <f ca="1">B75*'Demand background (hide)'!BN13</f>
        <v>0</v>
      </c>
      <c r="D75" s="68"/>
    </row>
    <row r="76" spans="1:10" x14ac:dyDescent="0.2">
      <c r="A76" s="68" t="str">
        <f>Setup!C35</f>
        <v>Modality 9</v>
      </c>
      <c r="B76" s="5">
        <f>IF(ROW(A9)&lt;=Num_Modalities,Setup!G35,0)</f>
        <v>0</v>
      </c>
      <c r="C76" s="5">
        <f ca="1">B76*'Demand background (hide)'!BN14</f>
        <v>0</v>
      </c>
      <c r="D76" s="68"/>
    </row>
    <row r="77" spans="1:10" x14ac:dyDescent="0.2">
      <c r="A77" s="68" t="str">
        <f>Setup!C36</f>
        <v>Modality 10</v>
      </c>
      <c r="B77" s="5">
        <f>IF(ROW(A10)&lt;=Num_Modalities,Setup!G36,0)</f>
        <v>0</v>
      </c>
      <c r="C77" s="5">
        <f ca="1">B77*'Demand background (hide)'!BN15</f>
        <v>0</v>
      </c>
      <c r="D77" s="68"/>
    </row>
    <row r="78" spans="1:10" x14ac:dyDescent="0.2">
      <c r="A78" s="68"/>
    </row>
    <row r="79" spans="1:10" x14ac:dyDescent="0.2">
      <c r="A79" s="68" t="s">
        <v>58</v>
      </c>
      <c r="B79" s="5">
        <f ca="1">SUM(OFFSET($B$68,0,0,Num_Modalities,1))</f>
        <v>0</v>
      </c>
      <c r="C79" s="5">
        <f ca="1">SUM(OFFSET($C$68,0,0,Num_Modalities,1))</f>
        <v>0</v>
      </c>
    </row>
    <row r="80" spans="1:10" x14ac:dyDescent="0.2">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875" customWidth="1"/>
    <col min="8" max="8" width="11.625" bestFit="1" customWidth="1"/>
  </cols>
  <sheetData>
    <row r="3" spans="1:13" ht="15" x14ac:dyDescent="0.25">
      <c r="A3" s="242" t="s">
        <v>410</v>
      </c>
      <c r="B3" s="241"/>
      <c r="C3" s="103"/>
      <c r="D3" s="103"/>
      <c r="E3" s="103"/>
      <c r="F3" s="103"/>
      <c r="G3" s="103"/>
      <c r="H3" s="103"/>
      <c r="I3" s="103"/>
      <c r="J3" s="103"/>
      <c r="K3" s="103"/>
      <c r="L3" s="103"/>
      <c r="M3" s="103"/>
    </row>
    <row r="4" spans="1:13" x14ac:dyDescent="0.2">
      <c r="F4" s="83"/>
    </row>
    <row r="5" spans="1:13" ht="30" x14ac:dyDescent="0.2">
      <c r="A5" s="234" t="s">
        <v>411</v>
      </c>
      <c r="B5" s="238" t="s">
        <v>150</v>
      </c>
      <c r="C5" s="239" t="s">
        <v>406</v>
      </c>
      <c r="D5" s="284" t="s">
        <v>886</v>
      </c>
      <c r="E5" s="285" t="s">
        <v>14</v>
      </c>
      <c r="F5" s="149"/>
      <c r="G5" s="240" t="s">
        <v>507</v>
      </c>
      <c r="H5" s="269" t="s">
        <v>878</v>
      </c>
      <c r="J5" s="68"/>
    </row>
    <row r="6" spans="1:13" x14ac:dyDescent="0.2">
      <c r="A6" s="235" t="str">
        <f>Setup!B22</f>
        <v>2WW</v>
      </c>
      <c r="B6" s="156"/>
      <c r="C6" s="156"/>
      <c r="D6" s="283"/>
      <c r="E6" s="162" t="s">
        <v>404</v>
      </c>
      <c r="G6" s="230" t="str">
        <f ca="1">IFERROR('Demand background (hide)'!BJ20,"")</f>
        <v/>
      </c>
      <c r="H6" s="232"/>
      <c r="I6" s="231" t="str">
        <f>IF(AND(H5="Override",SUM(H6:H8)&lt;&gt;1),"Total values must equal 100%, defaulting to calculated value","")</f>
        <v/>
      </c>
      <c r="J6" s="68"/>
    </row>
    <row r="7" spans="1:13" x14ac:dyDescent="0.2">
      <c r="A7" s="236" t="str">
        <f>Setup!B23</f>
        <v>Urgent</v>
      </c>
      <c r="B7" s="156"/>
      <c r="C7" s="156"/>
      <c r="D7" s="283"/>
      <c r="E7" s="162" t="s">
        <v>405</v>
      </c>
      <c r="G7" s="230" t="str">
        <f ca="1">IFERROR('Demand background (hide)'!BK20,"")</f>
        <v/>
      </c>
      <c r="H7" s="233"/>
      <c r="J7" s="68"/>
    </row>
    <row r="8" spans="1:13" x14ac:dyDescent="0.2">
      <c r="A8" s="237" t="str">
        <f>Setup!B24</f>
        <v>Routine</v>
      </c>
      <c r="B8" s="156"/>
      <c r="C8" s="156"/>
      <c r="D8" s="283"/>
      <c r="E8" s="162" t="s">
        <v>405</v>
      </c>
      <c r="G8" s="230" t="str">
        <f ca="1">IFERROR('Demand background (hide)'!BL20,"")</f>
        <v/>
      </c>
      <c r="H8" s="233"/>
      <c r="J8" s="68"/>
    </row>
    <row r="10" spans="1:13" x14ac:dyDescent="0.2">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abSelected="1" topLeftCell="A9" zoomScaleNormal="100" workbookViewId="0">
      <selection activeCell="B27" sqref="B27:C27"/>
    </sheetView>
  </sheetViews>
  <sheetFormatPr defaultRowHeight="14.25" x14ac:dyDescent="0.2"/>
  <cols>
    <col min="1" max="1" width="1.25" style="68" customWidth="1"/>
    <col min="2" max="2" width="12.375" customWidth="1"/>
    <col min="3" max="3" width="13.5" customWidth="1"/>
    <col min="4" max="5" width="10.5" customWidth="1"/>
    <col min="6" max="6" width="8.75" bestFit="1" customWidth="1"/>
    <col min="7" max="17" width="7.75" customWidth="1"/>
    <col min="18" max="20" width="9" customWidth="1"/>
    <col min="59" max="59" width="9" customWidth="1"/>
  </cols>
  <sheetData>
    <row r="1" spans="2:21" ht="15" x14ac:dyDescent="0.25">
      <c r="B1" s="147" t="s">
        <v>251</v>
      </c>
      <c r="C1" s="32"/>
      <c r="D1" s="32"/>
      <c r="E1" s="32"/>
      <c r="F1" s="32"/>
      <c r="G1" s="32"/>
      <c r="H1" s="32"/>
      <c r="I1" s="32"/>
      <c r="J1" s="32"/>
      <c r="K1" s="32"/>
      <c r="L1" s="32"/>
      <c r="M1" s="32"/>
      <c r="N1" s="32"/>
      <c r="O1" s="32"/>
      <c r="P1" s="32"/>
      <c r="Q1" s="32"/>
      <c r="R1" s="32"/>
      <c r="S1" s="32"/>
      <c r="T1" s="32"/>
      <c r="U1" s="32"/>
    </row>
    <row r="4" spans="2:21" ht="15" x14ac:dyDescent="0.2">
      <c r="B4" s="407" t="s">
        <v>889</v>
      </c>
      <c r="C4" s="407"/>
      <c r="D4" s="407"/>
      <c r="E4" s="407"/>
    </row>
    <row r="6" spans="2:21" ht="15" x14ac:dyDescent="0.25">
      <c r="B6" s="2" t="s">
        <v>306</v>
      </c>
    </row>
    <row r="7" spans="2:21" x14ac:dyDescent="0.2">
      <c r="B7" t="s">
        <v>492</v>
      </c>
      <c r="C7" s="155" t="s">
        <v>24</v>
      </c>
    </row>
    <row r="8" spans="2:21" x14ac:dyDescent="0.2">
      <c r="B8" t="s">
        <v>493</v>
      </c>
      <c r="C8" s="155" t="s">
        <v>19</v>
      </c>
    </row>
    <row r="12" spans="2:21" ht="15" x14ac:dyDescent="0.25">
      <c r="B12" s="344" t="s">
        <v>429</v>
      </c>
      <c r="C12" s="68"/>
    </row>
    <row r="13" spans="2:21" x14ac:dyDescent="0.2">
      <c r="B13" s="345"/>
    </row>
    <row r="17" spans="2:16" s="83" customFormat="1" ht="15" x14ac:dyDescent="0.25">
      <c r="B17" s="339" t="s">
        <v>954</v>
      </c>
    </row>
    <row r="18" spans="2:16" x14ac:dyDescent="0.2">
      <c r="B18" s="340" t="s">
        <v>22</v>
      </c>
    </row>
    <row r="23" spans="2:16" ht="15" x14ac:dyDescent="0.25">
      <c r="B23" s="2" t="s">
        <v>496</v>
      </c>
    </row>
    <row r="24" spans="2:16" x14ac:dyDescent="0.2">
      <c r="B24" s="163" t="s">
        <v>20</v>
      </c>
      <c r="D24" s="414" t="str">
        <f ca="1">"On aggregate, 1 patient = "&amp;TEXT('Demand background (hide)'!$BN$16,"#.#")&amp;" "&amp;Setup!$I$17</f>
        <v>On aggregate, 1 patient = 1. Patients</v>
      </c>
      <c r="E24" s="414"/>
      <c r="F24" s="414"/>
      <c r="G24" s="414"/>
      <c r="H24" s="414"/>
      <c r="I24" s="414"/>
      <c r="J24" s="414"/>
      <c r="K24" s="414"/>
      <c r="P24" s="172" t="s">
        <v>503</v>
      </c>
    </row>
    <row r="26" spans="2:16" s="68" customFormat="1" x14ac:dyDescent="0.2"/>
    <row r="27" spans="2:16" s="68" customFormat="1" ht="15" x14ac:dyDescent="0.25">
      <c r="B27" s="408" t="s">
        <v>304</v>
      </c>
      <c r="C27" s="408"/>
      <c r="D27" s="286" t="s">
        <v>500</v>
      </c>
      <c r="E27" s="286" t="s">
        <v>130</v>
      </c>
    </row>
    <row r="28" spans="2:16" s="68" customFormat="1" x14ac:dyDescent="0.2">
      <c r="B28" s="409" t="s">
        <v>888</v>
      </c>
      <c r="C28" s="409"/>
      <c r="D28" s="281" t="str">
        <f ca="1">IFERROR('Summary Calculations (hide)'!N70,"")</f>
        <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8" customFormat="1" x14ac:dyDescent="0.2">
      <c r="B29" s="409" t="str">
        <f>"  Based on "&amp;Setup!$I$19&amp;"th percentile"</f>
        <v xml:space="preserve">  Based on 65th percentile</v>
      </c>
      <c r="C29" s="409"/>
      <c r="D29" s="281" t="str">
        <f ca="1">IFERROR('Summary Calculations (hide)'!M70,"")</f>
        <v/>
      </c>
      <c r="E29" s="282" t="s">
        <v>502</v>
      </c>
      <c r="G29" s="280" t="str">
        <f ca="1">IF(D29&lt;&gt;"",IF(SUM(D32:D33)&lt;D29,"You need an additional "&amp;CEILING((D29-SUM(D32:D33)),1)&amp;IF($C$8="Patients"," slots",IF($C$8="Minutes"," minutes"," points"))&amp;" to meet the "&amp;Setup!$I$19&amp;"th percentile of demand. Your waiting list size is likely to increase over time.",""),"")</f>
        <v/>
      </c>
    </row>
    <row r="30" spans="2:16" s="68" customFormat="1" x14ac:dyDescent="0.2">
      <c r="B30" s="410" t="s">
        <v>506</v>
      </c>
      <c r="C30" s="411"/>
      <c r="D30" s="281" t="str">
        <f ca="1">IFERROR('Summary Calculations (hide)'!X70,"")</f>
        <v/>
      </c>
      <c r="E30" s="281" t="str">
        <f ca="1">IFERROR('Summary Calculations (hide)'!X71,"")</f>
        <v/>
      </c>
    </row>
    <row r="31" spans="2:16" s="68" customFormat="1" ht="15" x14ac:dyDescent="0.25">
      <c r="B31" s="146" t="s">
        <v>305</v>
      </c>
      <c r="C31" s="144"/>
    </row>
    <row r="32" spans="2:16" s="68" customFormat="1" x14ac:dyDescent="0.2">
      <c r="B32" s="412" t="s">
        <v>498</v>
      </c>
      <c r="C32" s="413"/>
      <c r="D32" s="281">
        <f ca="1">IFERROR('Summary Calculations (hide)'!R70,"")</f>
        <v>0</v>
      </c>
      <c r="E32" s="281">
        <f ca="1">IFERROR('Summary Calculations (hide)'!R71,"")</f>
        <v>0</v>
      </c>
      <c r="H32" s="5"/>
    </row>
    <row r="33" spans="2:21" s="68" customFormat="1" x14ac:dyDescent="0.2">
      <c r="B33" s="412" t="s">
        <v>499</v>
      </c>
      <c r="C33" s="413"/>
      <c r="D33" s="281">
        <f ca="1">IFERROR('Summary Calculations (hide)'!S70,"")</f>
        <v>0</v>
      </c>
      <c r="E33" s="281">
        <f ca="1">IFERROR('Summary Calculations (hide)'!S71,"")</f>
        <v>0</v>
      </c>
    </row>
    <row r="34" spans="2:21" s="68" customFormat="1" ht="15" x14ac:dyDescent="0.25">
      <c r="B34" s="146" t="s">
        <v>937</v>
      </c>
    </row>
    <row r="35" spans="2:21" s="68" customFormat="1" x14ac:dyDescent="0.2">
      <c r="B35" s="412" t="s">
        <v>936</v>
      </c>
      <c r="C35" s="413"/>
      <c r="D35" s="281">
        <f>IFERROR('Summary Calculations (hide)'!V70,"")</f>
        <v>0</v>
      </c>
      <c r="E35" s="281">
        <f>IFERROR('Summary Calculations (hide)'!V71,"")</f>
        <v>0</v>
      </c>
    </row>
    <row r="37" spans="2:21" x14ac:dyDescent="0.2">
      <c r="B37" s="32"/>
      <c r="C37" s="32"/>
      <c r="D37" s="32"/>
      <c r="E37" s="32"/>
      <c r="F37" s="32"/>
      <c r="G37" s="32"/>
      <c r="H37" s="32"/>
      <c r="I37" s="32"/>
      <c r="J37" s="32"/>
      <c r="K37" s="32"/>
      <c r="L37" s="32"/>
      <c r="M37" s="32"/>
      <c r="N37" s="32"/>
      <c r="O37" s="32"/>
      <c r="P37" s="32"/>
      <c r="Q37" s="32"/>
      <c r="R37" s="32"/>
      <c r="S37" s="32"/>
      <c r="T37" s="32"/>
      <c r="U37" s="32"/>
    </row>
    <row r="38" spans="2:21" ht="15" x14ac:dyDescent="0.2">
      <c r="B38" s="407" t="str">
        <f>"Current waiting list vs Estimated sustainable waiting list ("&amp;C8&amp;")"</f>
        <v>Current waiting list vs Estimated sustainable waiting list (Patients)</v>
      </c>
      <c r="C38" s="407"/>
      <c r="D38" s="407"/>
      <c r="E38" s="407"/>
      <c r="F38" s="407"/>
      <c r="G38" s="407"/>
      <c r="H38" s="407"/>
    </row>
    <row r="40" spans="2:21" ht="15" x14ac:dyDescent="0.25">
      <c r="B40" s="417" t="s">
        <v>492</v>
      </c>
      <c r="C40" s="417"/>
      <c r="D40" s="418" t="s">
        <v>251</v>
      </c>
      <c r="E40" s="418"/>
    </row>
    <row r="42" spans="2:21" x14ac:dyDescent="0.2">
      <c r="B42" s="416" t="s">
        <v>1149</v>
      </c>
      <c r="C42" s="416"/>
      <c r="D42" s="341">
        <v>0</v>
      </c>
    </row>
    <row r="43" spans="2:21" x14ac:dyDescent="0.2">
      <c r="B43" s="416" t="s">
        <v>1150</v>
      </c>
      <c r="C43" s="416"/>
      <c r="D43" s="341">
        <v>0</v>
      </c>
    </row>
    <row r="49" spans="2:4" x14ac:dyDescent="0.2">
      <c r="B49" s="139" t="s">
        <v>307</v>
      </c>
      <c r="C49" s="419">
        <f ca="1">'Parameters calculator (hide)'!H67</f>
        <v>0</v>
      </c>
      <c r="D49" s="419"/>
    </row>
    <row r="50" spans="2:4" x14ac:dyDescent="0.2">
      <c r="B50" s="140" t="s">
        <v>308</v>
      </c>
      <c r="C50" s="415" t="str">
        <f ca="1">IFERROR(TEXT('Parameters calculator (hide)'!H66,"#,#")&amp;" - "&amp;TEXT('Parameters calculator (hide)'!I66,"#,#"),"")</f>
        <v/>
      </c>
      <c r="D50" s="415"/>
    </row>
    <row r="53" spans="2:4" x14ac:dyDescent="0.2">
      <c r="B53" s="21" t="s">
        <v>309</v>
      </c>
      <c r="C53" s="415" t="str">
        <f ca="1">IFERROR('Parameters calculator (hide)'!H69,"")</f>
        <v/>
      </c>
      <c r="D53" s="415"/>
    </row>
    <row r="55" spans="2:4" x14ac:dyDescent="0.2">
      <c r="B55" s="350" t="s">
        <v>938</v>
      </c>
      <c r="C55" s="350"/>
    </row>
    <row r="57" spans="2:4" x14ac:dyDescent="0.2">
      <c r="B57" t="s">
        <v>939</v>
      </c>
    </row>
    <row r="58" spans="2:4" x14ac:dyDescent="0.2">
      <c r="B58" s="289"/>
      <c r="C58" t="s">
        <v>405</v>
      </c>
    </row>
    <row r="60" spans="2:4" x14ac:dyDescent="0.2">
      <c r="B60" t="s">
        <v>940</v>
      </c>
    </row>
    <row r="61" spans="2:4" x14ac:dyDescent="0.2">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ihnoEfV6dPHMWpNrqKCNUWr9b9wb6Cb7iskLR7rfrVY8gQQ6STn/acwsjX9kbpMXU53vg0nM6mivFOvHJiKFA==" saltValue="gzNG9/Nr3i2PgKCWYlTETg==" spinCount="100000" sheet="1" objects="1" scenarios="1"/>
  <mergeCells count="18">
    <mergeCell ref="C53:D53"/>
    <mergeCell ref="B42:C42"/>
    <mergeCell ref="B43:C43"/>
    <mergeCell ref="B40:C40"/>
    <mergeCell ref="B55:C55"/>
    <mergeCell ref="D40:E40"/>
    <mergeCell ref="C49:D49"/>
    <mergeCell ref="C50:D50"/>
    <mergeCell ref="B4:E4"/>
    <mergeCell ref="B38:H38"/>
    <mergeCell ref="B27:C27"/>
    <mergeCell ref="B28:C28"/>
    <mergeCell ref="B29:C29"/>
    <mergeCell ref="B30:C30"/>
    <mergeCell ref="B32:C32"/>
    <mergeCell ref="B33:C33"/>
    <mergeCell ref="B35:C35"/>
    <mergeCell ref="D24:K24"/>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276225</xdr:colOff>
                    <xdr:row>45</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4.25" x14ac:dyDescent="0.2"/>
  <cols>
    <col min="1" max="1" width="32.875" customWidth="1"/>
  </cols>
  <sheetData>
    <row r="28" spans="1:12" x14ac:dyDescent="0.2">
      <c r="A28" t="s">
        <v>890</v>
      </c>
      <c r="J28" t="s">
        <v>947</v>
      </c>
    </row>
    <row r="30" spans="1:12" x14ac:dyDescent="0.2">
      <c r="A30" t="s">
        <v>395</v>
      </c>
      <c r="B30" t="s">
        <v>891</v>
      </c>
      <c r="J30" t="s">
        <v>948</v>
      </c>
      <c r="K30" t="s">
        <v>395</v>
      </c>
      <c r="L30" t="s">
        <v>891</v>
      </c>
    </row>
    <row r="31" spans="1:12" x14ac:dyDescent="0.2">
      <c r="A31" t="s">
        <v>11</v>
      </c>
      <c r="B31" t="s">
        <v>933</v>
      </c>
      <c r="J31" t="s">
        <v>949</v>
      </c>
      <c r="K31" t="s">
        <v>99</v>
      </c>
      <c r="L31" t="s">
        <v>943</v>
      </c>
    </row>
    <row r="32" spans="1:12" x14ac:dyDescent="0.2">
      <c r="A32" t="s">
        <v>51</v>
      </c>
      <c r="B32" t="s">
        <v>892</v>
      </c>
      <c r="J32" t="s">
        <v>951</v>
      </c>
      <c r="K32" t="s">
        <v>392</v>
      </c>
      <c r="L32" t="s">
        <v>944</v>
      </c>
    </row>
    <row r="33" spans="1:12" x14ac:dyDescent="0.2">
      <c r="A33" s="68" t="s">
        <v>51</v>
      </c>
      <c r="B33" t="s">
        <v>893</v>
      </c>
      <c r="J33" t="s">
        <v>950</v>
      </c>
      <c r="K33" t="s">
        <v>394</v>
      </c>
      <c r="L33" t="s">
        <v>945</v>
      </c>
    </row>
    <row r="34" spans="1:12" x14ac:dyDescent="0.2">
      <c r="A34" s="68" t="s">
        <v>51</v>
      </c>
      <c r="B34" t="s">
        <v>894</v>
      </c>
      <c r="J34" t="s">
        <v>952</v>
      </c>
      <c r="K34" t="s">
        <v>394</v>
      </c>
      <c r="L34" t="s">
        <v>946</v>
      </c>
    </row>
    <row r="35" spans="1:12" x14ac:dyDescent="0.2">
      <c r="A35" s="68" t="s">
        <v>51</v>
      </c>
      <c r="B35" t="s">
        <v>895</v>
      </c>
    </row>
    <row r="36" spans="1:12" x14ac:dyDescent="0.2">
      <c r="A36" s="68" t="s">
        <v>51</v>
      </c>
      <c r="B36" t="s">
        <v>896</v>
      </c>
    </row>
    <row r="37" spans="1:12" x14ac:dyDescent="0.2">
      <c r="A37" s="68" t="s">
        <v>51</v>
      </c>
      <c r="B37" t="s">
        <v>897</v>
      </c>
    </row>
    <row r="38" spans="1:12" x14ac:dyDescent="0.2">
      <c r="A38" s="68" t="s">
        <v>51</v>
      </c>
      <c r="B38" t="s">
        <v>898</v>
      </c>
    </row>
    <row r="39" spans="1:12" x14ac:dyDescent="0.2">
      <c r="A39" s="68" t="s">
        <v>51</v>
      </c>
      <c r="B39" t="s">
        <v>899</v>
      </c>
    </row>
    <row r="40" spans="1:12" x14ac:dyDescent="0.2">
      <c r="A40" t="s">
        <v>51</v>
      </c>
      <c r="B40" t="s">
        <v>900</v>
      </c>
    </row>
    <row r="41" spans="1:12" x14ac:dyDescent="0.2">
      <c r="A41" t="s">
        <v>51</v>
      </c>
      <c r="B41" t="s">
        <v>901</v>
      </c>
    </row>
    <row r="42" spans="1:12" x14ac:dyDescent="0.2">
      <c r="A42" t="s">
        <v>99</v>
      </c>
      <c r="B42" t="s">
        <v>902</v>
      </c>
    </row>
    <row r="43" spans="1:12" x14ac:dyDescent="0.2">
      <c r="A43" t="s">
        <v>99</v>
      </c>
      <c r="B43" t="s">
        <v>903</v>
      </c>
    </row>
    <row r="44" spans="1:12" x14ac:dyDescent="0.2">
      <c r="A44" t="s">
        <v>905</v>
      </c>
      <c r="B44" t="s">
        <v>1185</v>
      </c>
    </row>
    <row r="45" spans="1:12" x14ac:dyDescent="0.2">
      <c r="A45" t="s">
        <v>391</v>
      </c>
      <c r="B45" t="s">
        <v>906</v>
      </c>
    </row>
    <row r="46" spans="1:12" x14ac:dyDescent="0.2">
      <c r="A46" t="s">
        <v>391</v>
      </c>
      <c r="B46" t="s">
        <v>907</v>
      </c>
    </row>
    <row r="47" spans="1:12" x14ac:dyDescent="0.2">
      <c r="A47" t="s">
        <v>391</v>
      </c>
      <c r="B47" t="s">
        <v>388</v>
      </c>
    </row>
    <row r="48" spans="1:12" x14ac:dyDescent="0.2">
      <c r="A48" t="s">
        <v>391</v>
      </c>
      <c r="B48" t="s">
        <v>908</v>
      </c>
    </row>
    <row r="49" spans="1:2" x14ac:dyDescent="0.2">
      <c r="A49" t="s">
        <v>391</v>
      </c>
      <c r="B49" t="s">
        <v>909</v>
      </c>
    </row>
    <row r="50" spans="1:2" x14ac:dyDescent="0.2">
      <c r="A50" t="s">
        <v>392</v>
      </c>
      <c r="B50" t="s">
        <v>902</v>
      </c>
    </row>
    <row r="51" spans="1:2" x14ac:dyDescent="0.2">
      <c r="A51" t="s">
        <v>392</v>
      </c>
      <c r="B51" t="s">
        <v>910</v>
      </c>
    </row>
    <row r="52" spans="1:2" x14ac:dyDescent="0.2">
      <c r="A52" t="s">
        <v>393</v>
      </c>
      <c r="B52" t="s">
        <v>911</v>
      </c>
    </row>
    <row r="53" spans="1:2" x14ac:dyDescent="0.2">
      <c r="A53" t="s">
        <v>393</v>
      </c>
      <c r="B53" t="s">
        <v>912</v>
      </c>
    </row>
    <row r="54" spans="1:2" x14ac:dyDescent="0.2">
      <c r="A54" t="s">
        <v>913</v>
      </c>
      <c r="B54" t="s">
        <v>914</v>
      </c>
    </row>
    <row r="55" spans="1:2" x14ac:dyDescent="0.2">
      <c r="A55" t="s">
        <v>915</v>
      </c>
      <c r="B55" t="s">
        <v>916</v>
      </c>
    </row>
    <row r="56" spans="1:2" x14ac:dyDescent="0.2">
      <c r="A56" s="68" t="s">
        <v>394</v>
      </c>
      <c r="B56" s="68" t="s">
        <v>918</v>
      </c>
    </row>
    <row r="57" spans="1:2" x14ac:dyDescent="0.2">
      <c r="A57" t="s">
        <v>394</v>
      </c>
      <c r="B57" t="s">
        <v>917</v>
      </c>
    </row>
    <row r="58" spans="1:2" x14ac:dyDescent="0.2">
      <c r="A58" t="s">
        <v>480</v>
      </c>
      <c r="B58" t="s">
        <v>911</v>
      </c>
    </row>
    <row r="59" spans="1:2" x14ac:dyDescent="0.2">
      <c r="A59" s="68" t="s">
        <v>480</v>
      </c>
      <c r="B59" t="s">
        <v>917</v>
      </c>
    </row>
    <row r="60" spans="1:2" x14ac:dyDescent="0.2">
      <c r="A60" s="68" t="s">
        <v>480</v>
      </c>
      <c r="B60" t="s">
        <v>919</v>
      </c>
    </row>
    <row r="61" spans="1:2" x14ac:dyDescent="0.2">
      <c r="A61" s="68" t="s">
        <v>480</v>
      </c>
      <c r="B61" t="s">
        <v>920</v>
      </c>
    </row>
    <row r="62" spans="1:2" x14ac:dyDescent="0.2">
      <c r="A62" t="s">
        <v>921</v>
      </c>
      <c r="B62" t="s">
        <v>922</v>
      </c>
    </row>
    <row r="63" spans="1:2" x14ac:dyDescent="0.2">
      <c r="A63" t="s">
        <v>921</v>
      </c>
      <c r="B63" t="s">
        <v>923</v>
      </c>
    </row>
    <row r="64" spans="1:2" x14ac:dyDescent="0.2">
      <c r="A64" t="s">
        <v>921</v>
      </c>
      <c r="B64" t="s">
        <v>924</v>
      </c>
    </row>
    <row r="65" spans="1:2" x14ac:dyDescent="0.2">
      <c r="A65" t="s">
        <v>251</v>
      </c>
      <c r="B65" t="s">
        <v>925</v>
      </c>
    </row>
    <row r="66" spans="1:2" x14ac:dyDescent="0.2">
      <c r="A66" t="s">
        <v>251</v>
      </c>
      <c r="B66" t="s">
        <v>927</v>
      </c>
    </row>
    <row r="67" spans="1:2" x14ac:dyDescent="0.2">
      <c r="A67" s="68" t="s">
        <v>251</v>
      </c>
      <c r="B67" t="s">
        <v>926</v>
      </c>
    </row>
    <row r="68" spans="1:2" x14ac:dyDescent="0.2">
      <c r="A68" t="s">
        <v>513</v>
      </c>
      <c r="B68" t="s">
        <v>931</v>
      </c>
    </row>
    <row r="69" spans="1:2" x14ac:dyDescent="0.2">
      <c r="A69" t="s">
        <v>513</v>
      </c>
      <c r="B69" t="s">
        <v>902</v>
      </c>
    </row>
    <row r="70" spans="1:2" x14ac:dyDescent="0.2">
      <c r="A70" t="s">
        <v>513</v>
      </c>
      <c r="B70" t="s">
        <v>932</v>
      </c>
    </row>
    <row r="71" spans="1:2" x14ac:dyDescent="0.2">
      <c r="A71" t="s">
        <v>513</v>
      </c>
      <c r="B71" t="s">
        <v>928</v>
      </c>
    </row>
    <row r="72" spans="1:2" x14ac:dyDescent="0.2">
      <c r="A72" t="s">
        <v>513</v>
      </c>
      <c r="B72" t="s">
        <v>929</v>
      </c>
    </row>
    <row r="73" spans="1:2" x14ac:dyDescent="0.2">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67" sqref="U67"/>
    </sheetView>
  </sheetViews>
  <sheetFormatPr defaultRowHeight="14.25" x14ac:dyDescent="0.2"/>
  <cols>
    <col min="1" max="1" width="12.375" style="68" customWidth="1"/>
    <col min="3" max="3" width="9" style="68"/>
    <col min="5" max="5" width="9.875" bestFit="1" customWidth="1"/>
    <col min="7" max="7" width="18.5" bestFit="1" customWidth="1"/>
    <col min="8" max="8" width="15.625" bestFit="1" customWidth="1"/>
    <col min="11" max="12" width="9.75" style="68" customWidth="1"/>
    <col min="22" max="22" width="9" hidden="1" customWidth="1"/>
  </cols>
  <sheetData>
    <row r="1" spans="1:24" x14ac:dyDescent="0.2">
      <c r="A1" s="68" t="s">
        <v>490</v>
      </c>
      <c r="D1" t="s">
        <v>422</v>
      </c>
    </row>
    <row r="2" spans="1:24" x14ac:dyDescent="0.2">
      <c r="A2" s="83" t="str">
        <f>"Required vs available capacity by week ("&amp;Summary!$C$8&amp;")"</f>
        <v>Required vs available capacity by week (Patients)</v>
      </c>
    </row>
    <row r="3" spans="1:24" x14ac:dyDescent="0.2">
      <c r="E3" t="s">
        <v>246</v>
      </c>
      <c r="F3" t="s">
        <v>247</v>
      </c>
      <c r="H3" t="s">
        <v>252</v>
      </c>
      <c r="J3" t="s">
        <v>879</v>
      </c>
      <c r="L3" s="68" t="s">
        <v>1166</v>
      </c>
    </row>
    <row r="4" spans="1:24" x14ac:dyDescent="0.2">
      <c r="D4" t="s">
        <v>241</v>
      </c>
      <c r="E4">
        <f>IFERROR('SPC background (hide)'!C4,"")</f>
        <v>1</v>
      </c>
      <c r="F4">
        <f ca="1">'SPC background (hide)'!G5+'Summary Calculations (hide)'!E4-1</f>
        <v>1</v>
      </c>
      <c r="H4" t="s">
        <v>77</v>
      </c>
      <c r="I4" s="101" t="e">
        <f ca="1">'Parameters calculator (hide)'!B43</f>
        <v>#N/A</v>
      </c>
      <c r="J4" t="e">
        <f ca="1">IF(Planning!C15="",'Summary Calculations (hide)'!I4,Planning!C15)</f>
        <v>#N/A</v>
      </c>
      <c r="L4" s="68" t="e">
        <f ca="1">(1-J4)*(1-J5+(J6*J7))</f>
        <v>#N/A</v>
      </c>
    </row>
    <row r="5" spans="1:24" x14ac:dyDescent="0.2">
      <c r="D5" t="s">
        <v>242</v>
      </c>
      <c r="E5" t="str">
        <f ca="1">IFERROR('SPC background (hide)'!D6,"")</f>
        <v/>
      </c>
      <c r="F5" t="e">
        <f ca="1">'SPC background (hide)'!H7+'Summary Calculations (hide)'!E5-1</f>
        <v>#VALUE!</v>
      </c>
      <c r="H5" t="s">
        <v>253</v>
      </c>
      <c r="I5" s="101" t="e">
        <f ca="1">'Parameters calculator (hide)'!B44</f>
        <v>#N/A</v>
      </c>
      <c r="J5" s="68" t="e">
        <f ca="1">IF(Planning!C16="",'Summary Calculations (hide)'!I5,Planning!C16)</f>
        <v>#N/A</v>
      </c>
    </row>
    <row r="6" spans="1:24" x14ac:dyDescent="0.2">
      <c r="D6" t="s">
        <v>243</v>
      </c>
      <c r="E6" t="str">
        <f ca="1">IFERROR('SPC background (hide)'!D8,"")</f>
        <v/>
      </c>
      <c r="F6" t="str">
        <f ca="1">IFERROR('SPC background (hide)'!H9-'Summary Calculations (hide)'!E6-1,"")</f>
        <v/>
      </c>
      <c r="H6" t="s">
        <v>101</v>
      </c>
      <c r="I6" s="101" t="e">
        <f ca="1">'Parameters calculator (hide)'!B45</f>
        <v>#N/A</v>
      </c>
      <c r="J6" s="68" t="e">
        <f ca="1">IF(Planning!C17="",'Summary Calculations (hide)'!I6,Planning!C17)</f>
        <v>#N/A</v>
      </c>
    </row>
    <row r="7" spans="1:24" x14ac:dyDescent="0.2">
      <c r="D7" t="s">
        <v>244</v>
      </c>
      <c r="E7" t="str">
        <f ca="1">IFERROR('SPC background (hide)'!D10,"")</f>
        <v/>
      </c>
      <c r="F7" t="str">
        <f ca="1">IFERROR('SPC background (hide)'!H11-'Summary Calculations (hide)'!E7-1,"")</f>
        <v/>
      </c>
      <c r="H7" t="s">
        <v>421</v>
      </c>
      <c r="I7" s="101">
        <f ca="1">'Parameters calculator (hide)'!B47</f>
        <v>1</v>
      </c>
      <c r="J7" s="68">
        <f ca="1">IF(Planning!C18="",'Summary Calculations (hide)'!I7,1-Planning!C18)</f>
        <v>1</v>
      </c>
    </row>
    <row r="9" spans="1:24" x14ac:dyDescent="0.2">
      <c r="H9" t="s">
        <v>425</v>
      </c>
      <c r="I9" s="5">
        <f ca="1">'Demand background (hide)'!BN16</f>
        <v>1</v>
      </c>
    </row>
    <row r="11" spans="1:24" x14ac:dyDescent="0.2">
      <c r="D11" t="s">
        <v>245</v>
      </c>
      <c r="E11" s="88">
        <f ca="1">IF(Summary!$B$13="",'Critical resources (hide)'!B6,Summary!$B$13)</f>
        <v>44508</v>
      </c>
    </row>
    <row r="12" spans="1:24" x14ac:dyDescent="0.2">
      <c r="P12" t="s">
        <v>414</v>
      </c>
      <c r="R12" t="str">
        <f>"Required vs available capacity ("&amp;LOWER(Summary!$C$8)&amp;")"</f>
        <v>Required vs available capacity (patients)</v>
      </c>
      <c r="X12" t="s">
        <v>501</v>
      </c>
    </row>
    <row r="13" spans="1:24" x14ac:dyDescent="0.2">
      <c r="E13" t="s">
        <v>99</v>
      </c>
      <c r="G13" s="63"/>
      <c r="H13" s="63"/>
      <c r="I13" t="s">
        <v>305</v>
      </c>
      <c r="K13" s="68" t="s">
        <v>412</v>
      </c>
      <c r="M13" t="s">
        <v>304</v>
      </c>
      <c r="P13" s="68" t="s">
        <v>305</v>
      </c>
      <c r="Q13" s="68"/>
      <c r="R13" s="68" t="s">
        <v>412</v>
      </c>
      <c r="S13" s="68"/>
      <c r="T13" s="68" t="s">
        <v>304</v>
      </c>
      <c r="U13" s="68"/>
      <c r="X13" t="s">
        <v>158</v>
      </c>
    </row>
    <row r="14" spans="1:24" x14ac:dyDescent="0.2">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2">
      <c r="A15" s="88">
        <f ca="1">E11-WEEKDAY(E11,3)</f>
        <v>44508</v>
      </c>
      <c r="B15">
        <f ca="1">YEAR(A15)</f>
        <v>2021</v>
      </c>
      <c r="C15" s="68" t="str">
        <f ca="1">TEXT(A15,"MMM")</f>
        <v>Nov</v>
      </c>
      <c r="D15">
        <f ca="1">WEEKNUM(A15,21)</f>
        <v>45</v>
      </c>
      <c r="E15" s="5" t="e">
        <f ca="1">VLOOKUP($D15,'SPC background (hide)'!$AG$2:$AS$54,12,0)</f>
        <v>#DIV/0!</v>
      </c>
      <c r="F15" s="5" t="str">
        <f ca="1">VLOOKUP($D15,'SPC background (hide)'!$AG$2:$AS$54,13,0)</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IF(I15-IF(Setup!$I$15="Yes",$G15,0)-IF(Setup!$I$13="Yes",$H15,0)&lt;0,0,I15-IF(Setup!$I$15="Yes",$G15,0)-IF(Setup!$I$13="Yes",$H15,0))</f>
        <v>0</v>
      </c>
      <c r="L15" s="5">
        <f ca="1">J15</f>
        <v>0</v>
      </c>
      <c r="M15" s="5" t="e">
        <f ca="1">(E15*(1-'Parameters calculator (hide)'!$B$43))*(1-'Parameters calculator (hide)'!$B$44+('Parameters calculator (hide)'!$B$45*'Parameters calculator (hide)'!$B$47))</f>
        <v>#DIV/0!</v>
      </c>
      <c r="N15" s="5" t="e">
        <f ca="1">(F15*(1-'Parameters calculator (hide)'!$B$43))*(1-'Parameters calculator (hide)'!$B$44+('Parameters calculator (hide)'!$B$45*'Parameters calculator (hide)'!$B$47))</f>
        <v>#VALUE!</v>
      </c>
      <c r="P15" s="5">
        <f ca="1">I15</f>
        <v>0</v>
      </c>
      <c r="Q15" s="5">
        <f ca="1">J15</f>
        <v>0</v>
      </c>
      <c r="R15" s="5">
        <f ca="1">IF(P15-V15&lt;0,0,P15-V15)</f>
        <v>0</v>
      </c>
      <c r="S15" s="5">
        <f ca="1">IF(R15=0,IF(P15+Q15-V15&lt;0,0,P15+Q15-V15),Q15)</f>
        <v>0</v>
      </c>
      <c r="T15" s="5" t="e">
        <f ca="1">M15/IF(Summary!$C$8&lt;&gt;"Patients",1,$I$9)</f>
        <v>#DIV/0!</v>
      </c>
      <c r="U15" s="5" t="e">
        <f ca="1">(IF(N15-M15=0,0.1,N15-M15)/IF(Summary!$C$8&lt;&gt;"Patients",1,$I$9))</f>
        <v>#VALUE!</v>
      </c>
      <c r="V15" s="5">
        <f>SUM(G15:H15)</f>
        <v>0</v>
      </c>
      <c r="X15" s="5" t="e">
        <f ca="1">(VLOOKUP(D15,'SPC background (hide)'!$AG$2:$AN$54,8,0)/IF(Summary!$C$8&lt;&gt;"Patients",1,$I$9))*(1-$I$4)*(1-$I$5+($I$6*$I$7))</f>
        <v>#N/A</v>
      </c>
    </row>
    <row r="16" spans="1:24" x14ac:dyDescent="0.2">
      <c r="A16" s="88">
        <f ca="1">A15+7</f>
        <v>44515</v>
      </c>
      <c r="B16" s="68" t="str">
        <f t="shared" ref="B16:B47" ca="1" si="0">IF(YEAR(A16)&lt;&gt;YEAR(A15),YEAR(A16),"")</f>
        <v/>
      </c>
      <c r="C16" s="68" t="str">
        <f ca="1">IF(TEXT(A16,"MMM")&lt;&gt;TEXT(A15,"MMM"),TEXT(A16,"MMM"),"")</f>
        <v/>
      </c>
      <c r="D16" s="68">
        <f t="shared" ref="D16:D66" ca="1" si="1">WEEKNUM(A16,21)</f>
        <v>46</v>
      </c>
      <c r="E16" s="5" t="e">
        <f ca="1">VLOOKUP($D16,'SPC background (hide)'!$AG$2:$AS$54,12,0)</f>
        <v>#DIV/0!</v>
      </c>
      <c r="F16" s="5" t="str">
        <f ca="1">VLOOKUP($D16,'SPC background (hide)'!$AG$2:$AS$54,13,0)</f>
        <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(E16*(1-'Parameters calculator (hide)'!$B$43))*(1-'Parameters calculator (hide)'!$B$44+('Parameters calculator (hide)'!$B$45*'Parameters calculator (hide)'!$B$47))</f>
        <v>#DIV/0!</v>
      </c>
      <c r="N16" s="5" t="e">
        <f ca="1">(F16*(1-'Parameters calculator (hide)'!$B$43))*(1-'Parameters calculator (hide)'!$B$44+('Parameters calculator (hide)'!$B$45*'Parameters calculator (hide)'!$B$47))</f>
        <v>#VALUE!</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#DIV/0!</v>
      </c>
      <c r="U16" s="5" t="e">
        <f ca="1">(IF(N16-M16=0,0.1,N16-M16)/IF(Summary!$C$8&lt;&gt;"Patients",1,$I$9))</f>
        <v>#VALUE!</v>
      </c>
      <c r="V16" s="5">
        <f t="shared" ref="V16:V66" si="7">SUM(G16:H16)</f>
        <v>0</v>
      </c>
      <c r="X16" s="5" t="e">
        <f ca="1">(VLOOKUP(D16,'SPC background (hide)'!$AG$2:$AN$54,8,0)/IF(Summary!$C$8&lt;&gt;"Patients",1,$I$9))*(1-$I$4)*(1-$I$5+($I$6*$I$7))</f>
        <v>#N/A</v>
      </c>
    </row>
    <row r="17" spans="1:24" x14ac:dyDescent="0.2">
      <c r="A17" s="88">
        <f t="shared" ref="A17:A67" ca="1" si="8">A16+7</f>
        <v>44522</v>
      </c>
      <c r="B17" s="68" t="str">
        <f t="shared" ca="1" si="0"/>
        <v/>
      </c>
      <c r="C17" s="68" t="str">
        <f t="shared" ref="C17:C65" ca="1" si="9">IF(TEXT(A17,"MMM")&lt;&gt;TEXT(A16,"MMM"),TEXT(A17,"MMM"),"")</f>
        <v/>
      </c>
      <c r="D17" s="68">
        <f t="shared" ca="1" si="1"/>
        <v>47</v>
      </c>
      <c r="E17" s="5" t="e">
        <f ca="1">VLOOKUP($D17,'SPC background (hide)'!$AG$2:$AS$54,12,0)</f>
        <v>#DIV/0!</v>
      </c>
      <c r="F17" s="5" t="str">
        <f ca="1">VLOOKUP($D17,'SPC background (hide)'!$AG$2:$AS$54,13,0)</f>
        <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(E17*(1-'Parameters calculator (hide)'!$B$43))*(1-'Parameters calculator (hide)'!$B$44+('Parameters calculator (hide)'!$B$45*'Parameters calculator (hide)'!$B$47))</f>
        <v>#DIV/0!</v>
      </c>
      <c r="N17" s="5" t="e">
        <f ca="1">(F17*(1-'Parameters calculator (hide)'!$B$43))*(1-'Parameters calculator (hide)'!$B$44+('Parameters calculator (hide)'!$B$45*'Parameters calculator (hide)'!$B$47))</f>
        <v>#VALUE!</v>
      </c>
      <c r="P17" s="5">
        <f t="shared" ca="1" si="3"/>
        <v>0</v>
      </c>
      <c r="Q17" s="5">
        <f t="shared" ca="1" si="4"/>
        <v>0</v>
      </c>
      <c r="R17" s="5">
        <f t="shared" ca="1" si="5"/>
        <v>0</v>
      </c>
      <c r="S17" s="5">
        <f t="shared" ca="1" si="6"/>
        <v>0</v>
      </c>
      <c r="T17" s="5" t="e">
        <f ca="1">M17/IF(Summary!$C$8&lt;&gt;"Patients",1,$I$9)</f>
        <v>#DIV/0!</v>
      </c>
      <c r="U17" s="5" t="e">
        <f ca="1">(IF(N17-M17=0,0.1,N17-M17)/IF(Summary!$C$8&lt;&gt;"Patients",1,$I$9))</f>
        <v>#VALUE!</v>
      </c>
      <c r="V17" s="5">
        <f t="shared" si="7"/>
        <v>0</v>
      </c>
      <c r="X17" s="5" t="e">
        <f ca="1">(VLOOKUP(D17,'SPC background (hide)'!$AG$2:$AN$54,8,0)/IF(Summary!$C$8&lt;&gt;"Patients",1,$I$9))*(1-$I$4)*(1-$I$5+($I$6*$I$7))</f>
        <v>#N/A</v>
      </c>
    </row>
    <row r="18" spans="1:24" x14ac:dyDescent="0.2">
      <c r="A18" s="88">
        <f t="shared" ca="1" si="8"/>
        <v>44529</v>
      </c>
      <c r="B18" s="68" t="str">
        <f t="shared" ca="1" si="0"/>
        <v/>
      </c>
      <c r="C18" s="68" t="str">
        <f t="shared" ca="1" si="9"/>
        <v/>
      </c>
      <c r="D18" s="68">
        <f t="shared" ca="1" si="1"/>
        <v>48</v>
      </c>
      <c r="E18" s="5" t="e">
        <f ca="1">VLOOKUP($D18,'SPC background (hide)'!$AG$2:$AS$54,12,0)</f>
        <v>#DIV/0!</v>
      </c>
      <c r="F18" s="5" t="str">
        <f ca="1">VLOOKUP($D18,'SPC background (hide)'!$AG$2:$AS$54,13,0)</f>
        <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(E18*(1-'Parameters calculator (hide)'!$B$43))*(1-'Parameters calculator (hide)'!$B$44+('Parameters calculator (hide)'!$B$45*'Parameters calculator (hide)'!$B$47))</f>
        <v>#DIV/0!</v>
      </c>
      <c r="N18" s="5" t="e">
        <f ca="1">(F18*(1-'Parameters calculator (hide)'!$B$43))*(1-'Parameters calculator (hide)'!$B$44+('Parameters calculator (hide)'!$B$45*'Parameters calculator (hide)'!$B$47))</f>
        <v>#VALUE!</v>
      </c>
      <c r="P18" s="5">
        <f t="shared" ca="1" si="3"/>
        <v>0</v>
      </c>
      <c r="Q18" s="5">
        <f t="shared" ca="1" si="4"/>
        <v>0</v>
      </c>
      <c r="R18" s="5">
        <f t="shared" ca="1" si="5"/>
        <v>0</v>
      </c>
      <c r="S18" s="5">
        <f t="shared" ca="1" si="6"/>
        <v>0</v>
      </c>
      <c r="T18" s="5" t="e">
        <f ca="1">M18/IF(Summary!$C$8&lt;&gt;"Patients",1,$I$9)</f>
        <v>#DIV/0!</v>
      </c>
      <c r="U18" s="5" t="e">
        <f ca="1">(IF(N18-M18=0,0.1,N18-M18)/IF(Summary!$C$8&lt;&gt;"Patients",1,$I$9))</f>
        <v>#VALUE!</v>
      </c>
      <c r="V18" s="5">
        <f t="shared" si="7"/>
        <v>0</v>
      </c>
      <c r="X18" s="5" t="e">
        <f ca="1">(VLOOKUP(D18,'SPC background (hide)'!$AG$2:$AN$54,8,0)/IF(Summary!$C$8&lt;&gt;"Patients",1,$I$9))*(1-$I$4)*(1-$I$5+($I$6*$I$7))</f>
        <v>#N/A</v>
      </c>
    </row>
    <row r="19" spans="1:24" x14ac:dyDescent="0.2">
      <c r="A19" s="88">
        <f t="shared" ca="1" si="8"/>
        <v>44536</v>
      </c>
      <c r="B19" s="68" t="str">
        <f t="shared" ca="1" si="0"/>
        <v/>
      </c>
      <c r="C19" s="68" t="str">
        <f t="shared" ca="1" si="9"/>
        <v>Dec</v>
      </c>
      <c r="D19" s="68">
        <f t="shared" ca="1" si="1"/>
        <v>49</v>
      </c>
      <c r="E19" s="5" t="e">
        <f ca="1">VLOOKUP($D19,'SPC background (hide)'!$AG$2:$AS$54,12,0)</f>
        <v>#DIV/0!</v>
      </c>
      <c r="F19" s="5" t="str">
        <f ca="1">VLOOKUP($D19,'SPC background (hide)'!$AG$2:$AS$54,13,0)</f>
        <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(E19*(1-'Parameters calculator (hide)'!$B$43))*(1-'Parameters calculator (hide)'!$B$44+('Parameters calculator (hide)'!$B$45*'Parameters calculator (hide)'!$B$47))</f>
        <v>#DIV/0!</v>
      </c>
      <c r="N19" s="5" t="e">
        <f ca="1">(F19*(1-'Parameters calculator (hide)'!$B$43))*(1-'Parameters calculator (hide)'!$B$44+('Parameters calculator (hide)'!$B$45*'Parameters calculator (hide)'!$B$47))</f>
        <v>#VALUE!</v>
      </c>
      <c r="P19" s="5">
        <f t="shared" ca="1" si="3"/>
        <v>0</v>
      </c>
      <c r="Q19" s="5">
        <f t="shared" ca="1" si="4"/>
        <v>0</v>
      </c>
      <c r="R19" s="5">
        <f t="shared" ca="1" si="5"/>
        <v>0</v>
      </c>
      <c r="S19" s="5">
        <f t="shared" ca="1" si="6"/>
        <v>0</v>
      </c>
      <c r="T19" s="5" t="e">
        <f ca="1">M19/IF(Summary!$C$8&lt;&gt;"Patients",1,$I$9)</f>
        <v>#DIV/0!</v>
      </c>
      <c r="U19" s="5" t="e">
        <f ca="1">(IF(N19-M19=0,0.1,N19-M19)/IF(Summary!$C$8&lt;&gt;"Patients",1,$I$9))</f>
        <v>#VALUE!</v>
      </c>
      <c r="V19" s="5">
        <f t="shared" si="7"/>
        <v>0</v>
      </c>
      <c r="X19" s="5" t="e">
        <f ca="1">(VLOOKUP(D19,'SPC background (hide)'!$AG$2:$AN$54,8,0)/IF(Summary!$C$8&lt;&gt;"Patients",1,$I$9))*(1-$I$4)*(1-$I$5+($I$6*$I$7))</f>
        <v>#N/A</v>
      </c>
    </row>
    <row r="20" spans="1:24" x14ac:dyDescent="0.2">
      <c r="A20" s="88">
        <f t="shared" ca="1" si="8"/>
        <v>44543</v>
      </c>
      <c r="B20" s="68" t="str">
        <f t="shared" ca="1" si="0"/>
        <v/>
      </c>
      <c r="C20" s="68" t="str">
        <f t="shared" ca="1" si="9"/>
        <v/>
      </c>
      <c r="D20" s="68">
        <f t="shared" ca="1" si="1"/>
        <v>50</v>
      </c>
      <c r="E20" s="5" t="e">
        <f ca="1">VLOOKUP($D20,'SPC background (hide)'!$AG$2:$AS$54,12,0)</f>
        <v>#DIV/0!</v>
      </c>
      <c r="F20" s="5" t="str">
        <f ca="1">VLOOKUP($D20,'SPC background (hide)'!$AG$2:$AS$54,13,0)</f>
        <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(E20*(1-'Parameters calculator (hide)'!$B$43))*(1-'Parameters calculator (hide)'!$B$44+('Parameters calculator (hide)'!$B$45*'Parameters calculator (hide)'!$B$47))</f>
        <v>#DIV/0!</v>
      </c>
      <c r="N20" s="5" t="e">
        <f ca="1">(F20*(1-'Parameters calculator (hide)'!$B$43))*(1-'Parameters calculator (hide)'!$B$44+('Parameters calculator (hide)'!$B$45*'Parameters calculator (hide)'!$B$47))</f>
        <v>#VALUE!</v>
      </c>
      <c r="P20" s="5">
        <f t="shared" ca="1" si="3"/>
        <v>0</v>
      </c>
      <c r="Q20" s="5">
        <f t="shared" ca="1" si="4"/>
        <v>0</v>
      </c>
      <c r="R20" s="5">
        <f t="shared" ca="1" si="5"/>
        <v>0</v>
      </c>
      <c r="S20" s="5">
        <f t="shared" ca="1" si="6"/>
        <v>0</v>
      </c>
      <c r="T20" s="5" t="e">
        <f ca="1">M20/IF(Summary!$C$8&lt;&gt;"Patients",1,$I$9)</f>
        <v>#DIV/0!</v>
      </c>
      <c r="U20" s="5" t="e">
        <f ca="1">(IF(N20-M20=0,0.1,N20-M20)/IF(Summary!$C$8&lt;&gt;"Patients",1,$I$9))</f>
        <v>#VALUE!</v>
      </c>
      <c r="V20" s="5">
        <f t="shared" si="7"/>
        <v>0</v>
      </c>
      <c r="X20" s="5" t="e">
        <f ca="1">(VLOOKUP(D20,'SPC background (hide)'!$AG$2:$AN$54,8,0)/IF(Summary!$C$8&lt;&gt;"Patients",1,$I$9))*(1-$I$4)*(1-$I$5+($I$6*$I$7))</f>
        <v>#N/A</v>
      </c>
    </row>
    <row r="21" spans="1:24" x14ac:dyDescent="0.2">
      <c r="A21" s="88">
        <f t="shared" ca="1" si="8"/>
        <v>44550</v>
      </c>
      <c r="B21" s="68" t="str">
        <f t="shared" ca="1" si="0"/>
        <v/>
      </c>
      <c r="C21" s="68" t="str">
        <f t="shared" ca="1" si="9"/>
        <v/>
      </c>
      <c r="D21" s="68">
        <f t="shared" ca="1" si="1"/>
        <v>51</v>
      </c>
      <c r="E21" s="5" t="e">
        <f ca="1">VLOOKUP($D21,'SPC background (hide)'!$AG$2:$AS$54,12,0)</f>
        <v>#DIV/0!</v>
      </c>
      <c r="F21" s="5" t="str">
        <f ca="1">VLOOKUP($D21,'SPC background (hide)'!$AG$2:$AS$54,13,0)</f>
        <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(E21*(1-'Parameters calculator (hide)'!$B$43))*(1-'Parameters calculator (hide)'!$B$44+('Parameters calculator (hide)'!$B$45*'Parameters calculator (hide)'!$B$47))</f>
        <v>#DIV/0!</v>
      </c>
      <c r="N21" s="5" t="e">
        <f ca="1">(F21*(1-'Parameters calculator (hide)'!$B$43))*(1-'Parameters calculator (hide)'!$B$44+('Parameters calculator (hide)'!$B$45*'Parameters calculator (hide)'!$B$47))</f>
        <v>#VALUE!</v>
      </c>
      <c r="P21" s="5">
        <f t="shared" ca="1" si="3"/>
        <v>0</v>
      </c>
      <c r="Q21" s="5">
        <f t="shared" ca="1" si="4"/>
        <v>0</v>
      </c>
      <c r="R21" s="5">
        <f t="shared" ca="1" si="5"/>
        <v>0</v>
      </c>
      <c r="S21" s="5">
        <f t="shared" ca="1" si="6"/>
        <v>0</v>
      </c>
      <c r="T21" s="5" t="e">
        <f ca="1">M21/IF(Summary!$C$8&lt;&gt;"Patients",1,$I$9)</f>
        <v>#DIV/0!</v>
      </c>
      <c r="U21" s="5" t="e">
        <f ca="1">(IF(N21-M21=0,0.1,N21-M21)/IF(Summary!$C$8&lt;&gt;"Patients",1,$I$9))</f>
        <v>#VALUE!</v>
      </c>
      <c r="V21" s="5">
        <f t="shared" si="7"/>
        <v>0</v>
      </c>
      <c r="X21" s="5" t="e">
        <f ca="1">(VLOOKUP(D21,'SPC background (hide)'!$AG$2:$AN$54,8,0)/IF(Summary!$C$8&lt;&gt;"Patients",1,$I$9))*(1-$I$4)*(1-$I$5+($I$6*$I$7))</f>
        <v>#N/A</v>
      </c>
    </row>
    <row r="22" spans="1:24" x14ac:dyDescent="0.2">
      <c r="A22" s="88">
        <f t="shared" ca="1" si="8"/>
        <v>44557</v>
      </c>
      <c r="B22" s="68" t="str">
        <f t="shared" ca="1" si="0"/>
        <v/>
      </c>
      <c r="C22" s="68" t="str">
        <f t="shared" ca="1" si="9"/>
        <v/>
      </c>
      <c r="D22" s="68">
        <f t="shared" ca="1" si="1"/>
        <v>52</v>
      </c>
      <c r="E22" s="5" t="e">
        <f ca="1">VLOOKUP($D22,'SPC background (hide)'!$AG$2:$AS$54,12,0)</f>
        <v>#DIV/0!</v>
      </c>
      <c r="F22" s="5" t="str">
        <f ca="1">VLOOKUP($D22,'SPC background (hide)'!$AG$2:$AS$54,13,0)</f>
        <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(E22*(1-'Parameters calculator (hide)'!$B$43))*(1-'Parameters calculator (hide)'!$B$44+('Parameters calculator (hide)'!$B$45*'Parameters calculator (hide)'!$B$47))</f>
        <v>#DIV/0!</v>
      </c>
      <c r="N22" s="5" t="e">
        <f ca="1">(F22*(1-'Parameters calculator (hide)'!$B$43))*(1-'Parameters calculator (hide)'!$B$44+('Parameters calculator (hide)'!$B$45*'Parameters calculator (hide)'!$B$47))</f>
        <v>#VALUE!</v>
      </c>
      <c r="P22" s="5">
        <f t="shared" ca="1" si="3"/>
        <v>0</v>
      </c>
      <c r="Q22" s="5">
        <f t="shared" ca="1" si="4"/>
        <v>0</v>
      </c>
      <c r="R22" s="5">
        <f t="shared" ca="1" si="5"/>
        <v>0</v>
      </c>
      <c r="S22" s="5">
        <f t="shared" ca="1" si="6"/>
        <v>0</v>
      </c>
      <c r="T22" s="5" t="e">
        <f ca="1">M22/IF(Summary!$C$8&lt;&gt;"Patients",1,$I$9)</f>
        <v>#DIV/0!</v>
      </c>
      <c r="U22" s="5" t="e">
        <f ca="1">(IF(N22-M22=0,0.1,N22-M22)/IF(Summary!$C$8&lt;&gt;"Patients",1,$I$9))</f>
        <v>#VALUE!</v>
      </c>
      <c r="V22" s="5">
        <f t="shared" si="7"/>
        <v>0</v>
      </c>
      <c r="X22" s="5" t="e">
        <f ca="1">(VLOOKUP(D22,'SPC background (hide)'!$AG$2:$AN$54,8,0)/IF(Summary!$C$8&lt;&gt;"Patients",1,$I$9))*(1-$I$4)*(1-$I$5+($I$6*$I$7))</f>
        <v>#N/A</v>
      </c>
    </row>
    <row r="23" spans="1:24" x14ac:dyDescent="0.2">
      <c r="A23" s="88">
        <f t="shared" ca="1" si="8"/>
        <v>44564</v>
      </c>
      <c r="B23" s="68">
        <f t="shared" ca="1" si="0"/>
        <v>2022</v>
      </c>
      <c r="C23" s="68" t="str">
        <f t="shared" ca="1" si="9"/>
        <v>Jan</v>
      </c>
      <c r="D23" s="68">
        <f t="shared" ca="1" si="1"/>
        <v>1</v>
      </c>
      <c r="E23" s="5">
        <f ca="1">VLOOKUP($D23,'SPC background (hide)'!$AG$2:$AS$54,12,0)</f>
        <v>0</v>
      </c>
      <c r="F23" s="5">
        <f ca="1">VLOOKUP($D23,'SPC background (hide)'!$AG$2:$AS$54,13,0)</f>
        <v>0</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(E23*(1-'Parameters calculator (hide)'!$B$43))*(1-'Parameters calculator (hide)'!$B$44+('Parameters calculator (hide)'!$B$45*'Parameters calculator (hide)'!$B$47))</f>
        <v>#N/A</v>
      </c>
      <c r="N23" s="5" t="e">
        <f ca="1">(F23*(1-'Parameters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(IF(N23-M23=0,0.1,N23-M23)/IF(Summary!$C$8&lt;&gt;"Patients",1,$I$9))</f>
        <v>#N/A</v>
      </c>
      <c r="V23" s="5">
        <f t="shared" si="7"/>
        <v>0</v>
      </c>
      <c r="X23" s="5" t="e">
        <f ca="1">(VLOOKUP(D23,'SPC background (hide)'!$AG$2:$AN$54,8,0)/IF(Summary!$C$8&lt;&gt;"Patients",1,$I$9))*(1-$I$4)*(1-$I$5+($I$6*$I$7))</f>
        <v>#N/A</v>
      </c>
    </row>
    <row r="24" spans="1:24" x14ac:dyDescent="0.2">
      <c r="A24" s="88">
        <f t="shared" ca="1" si="8"/>
        <v>44571</v>
      </c>
      <c r="B24" s="68" t="str">
        <f t="shared" ca="1" si="0"/>
        <v/>
      </c>
      <c r="C24" s="68" t="str">
        <f t="shared" ca="1" si="9"/>
        <v/>
      </c>
      <c r="D24" s="68">
        <f t="shared" ca="1" si="1"/>
        <v>2</v>
      </c>
      <c r="E24" s="5" t="e">
        <f ca="1">VLOOKUP($D24,'SPC background (hide)'!$AG$2:$AS$54,12,0)</f>
        <v>#DIV/0!</v>
      </c>
      <c r="F24" s="5" t="str">
        <f ca="1">VLOOKUP($D24,'SPC background (hide)'!$AG$2:$AS$54,13,0)</f>
        <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(E24*(1-'Parameters calculator (hide)'!$B$43))*(1-'Parameters calculator (hide)'!$B$44+('Parameters calculator (hide)'!$B$45*'Parameters calculator (hide)'!$B$47))</f>
        <v>#DIV/0!</v>
      </c>
      <c r="N24" s="5" t="e">
        <f ca="1">(F24*(1-'Parameters calculator (hide)'!$B$43))*(1-'Parameters calculator (hide)'!$B$44+('Parameters calculator (hide)'!$B$45*'Parameters calculator (hide)'!$B$47))</f>
        <v>#VALUE!</v>
      </c>
      <c r="P24" s="5">
        <f t="shared" ca="1" si="3"/>
        <v>0</v>
      </c>
      <c r="Q24" s="5">
        <f t="shared" ca="1" si="4"/>
        <v>0</v>
      </c>
      <c r="R24" s="5">
        <f t="shared" ca="1" si="5"/>
        <v>0</v>
      </c>
      <c r="S24" s="5">
        <f t="shared" ca="1" si="6"/>
        <v>0</v>
      </c>
      <c r="T24" s="5" t="e">
        <f ca="1">M24/IF(Summary!$C$8&lt;&gt;"Patients",1,$I$9)</f>
        <v>#DIV/0!</v>
      </c>
      <c r="U24" s="5" t="e">
        <f ca="1">(IF(N24-M24=0,0.1,N24-M24)/IF(Summary!$C$8&lt;&gt;"Patients",1,$I$9))</f>
        <v>#VALUE!</v>
      </c>
      <c r="V24" s="5">
        <f t="shared" si="7"/>
        <v>0</v>
      </c>
      <c r="X24" s="5" t="e">
        <f ca="1">(VLOOKUP(D24,'SPC background (hide)'!$AG$2:$AN$54,8,0)/IF(Summary!$C$8&lt;&gt;"Patients",1,$I$9))*(1-$I$4)*(1-$I$5+($I$6*$I$7))</f>
        <v>#N/A</v>
      </c>
    </row>
    <row r="25" spans="1:24" x14ac:dyDescent="0.2">
      <c r="A25" s="88">
        <f t="shared" ca="1" si="8"/>
        <v>44578</v>
      </c>
      <c r="B25" s="68" t="str">
        <f t="shared" ca="1" si="0"/>
        <v/>
      </c>
      <c r="C25" s="68" t="str">
        <f t="shared" ca="1" si="9"/>
        <v/>
      </c>
      <c r="D25" s="68">
        <f t="shared" ca="1" si="1"/>
        <v>3</v>
      </c>
      <c r="E25" s="5" t="e">
        <f ca="1">VLOOKUP($D25,'SPC background (hide)'!$AG$2:$AS$54,12,0)</f>
        <v>#DIV/0!</v>
      </c>
      <c r="F25" s="5" t="str">
        <f ca="1">VLOOKUP($D25,'SPC background (hide)'!$AG$2:$AS$54,13,0)</f>
        <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(E25*(1-'Parameters calculator (hide)'!$B$43))*(1-'Parameters calculator (hide)'!$B$44+('Parameters calculator (hide)'!$B$45*'Parameters calculator (hide)'!$B$47))</f>
        <v>#DIV/0!</v>
      </c>
      <c r="N25" s="5" t="e">
        <f ca="1">(F25*(1-'Parameters calculator (hide)'!$B$43))*(1-'Parameters calculator (hide)'!$B$44+('Parameters calculator (hide)'!$B$45*'Parameters calculator (hide)'!$B$47))</f>
        <v>#VALUE!</v>
      </c>
      <c r="P25" s="5">
        <f t="shared" ca="1" si="3"/>
        <v>0</v>
      </c>
      <c r="Q25" s="5">
        <f t="shared" ca="1" si="4"/>
        <v>0</v>
      </c>
      <c r="R25" s="5">
        <f t="shared" ca="1" si="5"/>
        <v>0</v>
      </c>
      <c r="S25" s="5">
        <f t="shared" ca="1" si="6"/>
        <v>0</v>
      </c>
      <c r="T25" s="5" t="e">
        <f ca="1">M25/IF(Summary!$C$8&lt;&gt;"Patients",1,$I$9)</f>
        <v>#DIV/0!</v>
      </c>
      <c r="U25" s="5" t="e">
        <f ca="1">(IF(N25-M25=0,0.1,N25-M25)/IF(Summary!$C$8&lt;&gt;"Patients",1,$I$9))</f>
        <v>#VALUE!</v>
      </c>
      <c r="V25" s="5">
        <f t="shared" si="7"/>
        <v>0</v>
      </c>
      <c r="X25" s="5" t="e">
        <f ca="1">(VLOOKUP(D25,'SPC background (hide)'!$AG$2:$AN$54,8,0)/IF(Summary!$C$8&lt;&gt;"Patients",1,$I$9))*(1-$I$4)*(1-$I$5+($I$6*$I$7))</f>
        <v>#N/A</v>
      </c>
    </row>
    <row r="26" spans="1:24" x14ac:dyDescent="0.2">
      <c r="A26" s="88">
        <f t="shared" ca="1" si="8"/>
        <v>44585</v>
      </c>
      <c r="B26" s="68" t="str">
        <f t="shared" ca="1" si="0"/>
        <v/>
      </c>
      <c r="C26" s="68" t="str">
        <f t="shared" ca="1" si="9"/>
        <v/>
      </c>
      <c r="D26" s="68">
        <f t="shared" ca="1" si="1"/>
        <v>4</v>
      </c>
      <c r="E26" s="5" t="e">
        <f ca="1">VLOOKUP($D26,'SPC background (hide)'!$AG$2:$AS$54,12,0)</f>
        <v>#DIV/0!</v>
      </c>
      <c r="F26" s="5" t="str">
        <f ca="1">VLOOKUP($D26,'SPC background (hide)'!$AG$2:$AS$54,13,0)</f>
        <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(E26*(1-'Parameters calculator (hide)'!$B$43))*(1-'Parameters calculator (hide)'!$B$44+('Parameters calculator (hide)'!$B$45*'Parameters calculator (hide)'!$B$47))</f>
        <v>#DIV/0!</v>
      </c>
      <c r="N26" s="5" t="e">
        <f ca="1">(F26*(1-'Parameters calculator (hide)'!$B$43))*(1-'Parameters calculator (hide)'!$B$44+('Parameters calculator (hide)'!$B$45*'Parameters calculator (hide)'!$B$47))</f>
        <v>#VALUE!</v>
      </c>
      <c r="P26" s="5">
        <f t="shared" ca="1" si="3"/>
        <v>0</v>
      </c>
      <c r="Q26" s="5">
        <f t="shared" ca="1" si="4"/>
        <v>0</v>
      </c>
      <c r="R26" s="5">
        <f t="shared" ca="1" si="5"/>
        <v>0</v>
      </c>
      <c r="S26" s="5">
        <f t="shared" ca="1" si="6"/>
        <v>0</v>
      </c>
      <c r="T26" s="5" t="e">
        <f ca="1">M26/IF(Summary!$C$8&lt;&gt;"Patients",1,$I$9)</f>
        <v>#DIV/0!</v>
      </c>
      <c r="U26" s="5" t="e">
        <f ca="1">(IF(N26-M26=0,0.1,N26-M26)/IF(Summary!$C$8&lt;&gt;"Patients",1,$I$9))</f>
        <v>#VALUE!</v>
      </c>
      <c r="V26" s="5">
        <f t="shared" si="7"/>
        <v>0</v>
      </c>
      <c r="X26" s="5" t="e">
        <f ca="1">(VLOOKUP(D26,'SPC background (hide)'!$AG$2:$AN$54,8,0)/IF(Summary!$C$8&lt;&gt;"Patients",1,$I$9))*(1-$I$4)*(1-$I$5+($I$6*$I$7))</f>
        <v>#N/A</v>
      </c>
    </row>
    <row r="27" spans="1:24" x14ac:dyDescent="0.2">
      <c r="A27" s="88">
        <f t="shared" ca="1" si="8"/>
        <v>44592</v>
      </c>
      <c r="B27" s="68" t="str">
        <f t="shared" ca="1" si="0"/>
        <v/>
      </c>
      <c r="C27" s="68" t="str">
        <f t="shared" ca="1" si="9"/>
        <v/>
      </c>
      <c r="D27" s="68">
        <f t="shared" ca="1" si="1"/>
        <v>5</v>
      </c>
      <c r="E27" s="5" t="e">
        <f ca="1">VLOOKUP($D27,'SPC background (hide)'!$AG$2:$AS$54,12,0)</f>
        <v>#DIV/0!</v>
      </c>
      <c r="F27" s="5" t="str">
        <f ca="1">VLOOKUP($D27,'SPC background (hide)'!$AG$2:$AS$54,13,0)</f>
        <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(E27*(1-'Parameters calculator (hide)'!$B$43))*(1-'Parameters calculator (hide)'!$B$44+('Parameters calculator (hide)'!$B$45*'Parameters calculator (hide)'!$B$47))</f>
        <v>#DIV/0!</v>
      </c>
      <c r="N27" s="5" t="e">
        <f ca="1">(F27*(1-'Parameters calculator (hide)'!$B$43))*(1-'Parameters calculator (hide)'!$B$44+('Parameters calculator (hide)'!$B$45*'Parameters calculator (hide)'!$B$47))</f>
        <v>#VALUE!</v>
      </c>
      <c r="P27" s="5">
        <f t="shared" ca="1" si="3"/>
        <v>0</v>
      </c>
      <c r="Q27" s="5">
        <f t="shared" ca="1" si="4"/>
        <v>0</v>
      </c>
      <c r="R27" s="5">
        <f t="shared" ca="1" si="5"/>
        <v>0</v>
      </c>
      <c r="S27" s="5">
        <f t="shared" ca="1" si="6"/>
        <v>0</v>
      </c>
      <c r="T27" s="5" t="e">
        <f ca="1">M27/IF(Summary!$C$8&lt;&gt;"Patients",1,$I$9)</f>
        <v>#DIV/0!</v>
      </c>
      <c r="U27" s="5" t="e">
        <f ca="1">(IF(N27-M27=0,0.1,N27-M27)/IF(Summary!$C$8&lt;&gt;"Patients",1,$I$9))</f>
        <v>#VALUE!</v>
      </c>
      <c r="V27" s="5">
        <f t="shared" si="7"/>
        <v>0</v>
      </c>
      <c r="X27" s="5" t="e">
        <f ca="1">(VLOOKUP(D27,'SPC background (hide)'!$AG$2:$AN$54,8,0)/IF(Summary!$C$8&lt;&gt;"Patients",1,$I$9))*(1-$I$4)*(1-$I$5+($I$6*$I$7))</f>
        <v>#N/A</v>
      </c>
    </row>
    <row r="28" spans="1:24" x14ac:dyDescent="0.2">
      <c r="A28" s="88">
        <f t="shared" ca="1" si="8"/>
        <v>44599</v>
      </c>
      <c r="B28" s="68" t="str">
        <f t="shared" ca="1" si="0"/>
        <v/>
      </c>
      <c r="C28" s="68" t="str">
        <f t="shared" ca="1" si="9"/>
        <v>Feb</v>
      </c>
      <c r="D28" s="68">
        <f t="shared" ca="1" si="1"/>
        <v>6</v>
      </c>
      <c r="E28" s="5" t="e">
        <f ca="1">VLOOKUP($D28,'SPC background (hide)'!$AG$2:$AS$54,12,0)</f>
        <v>#DIV/0!</v>
      </c>
      <c r="F28" s="5" t="str">
        <f ca="1">VLOOKUP($D28,'SPC background (hide)'!$AG$2:$AS$54,13,0)</f>
        <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(E28*(1-'Parameters calculator (hide)'!$B$43))*(1-'Parameters calculator (hide)'!$B$44+('Parameters calculator (hide)'!$B$45*'Parameters calculator (hide)'!$B$47))</f>
        <v>#DIV/0!</v>
      </c>
      <c r="N28" s="5" t="e">
        <f ca="1">(F28*(1-'Parameters calculator (hide)'!$B$43))*(1-'Parameters calculator (hide)'!$B$44+('Parameters calculator (hide)'!$B$45*'Parameters calculator (hide)'!$B$47))</f>
        <v>#VALUE!</v>
      </c>
      <c r="P28" s="5">
        <f t="shared" ca="1" si="3"/>
        <v>0</v>
      </c>
      <c r="Q28" s="5">
        <f t="shared" ca="1" si="4"/>
        <v>0</v>
      </c>
      <c r="R28" s="5">
        <f t="shared" ca="1" si="5"/>
        <v>0</v>
      </c>
      <c r="S28" s="5">
        <f t="shared" ca="1" si="6"/>
        <v>0</v>
      </c>
      <c r="T28" s="5" t="e">
        <f ca="1">M28/IF(Summary!$C$8&lt;&gt;"Patients",1,$I$9)</f>
        <v>#DIV/0!</v>
      </c>
      <c r="U28" s="5" t="e">
        <f ca="1">(IF(N28-M28=0,0.1,N28-M28)/IF(Summary!$C$8&lt;&gt;"Patients",1,$I$9))</f>
        <v>#VALUE!</v>
      </c>
      <c r="V28" s="5">
        <f t="shared" si="7"/>
        <v>0</v>
      </c>
      <c r="X28" s="5" t="e">
        <f ca="1">(VLOOKUP(D28,'SPC background (hide)'!$AG$2:$AN$54,8,0)/IF(Summary!$C$8&lt;&gt;"Patients",1,$I$9))*(1-$I$4)*(1-$I$5+($I$6*$I$7))</f>
        <v>#N/A</v>
      </c>
    </row>
    <row r="29" spans="1:24" x14ac:dyDescent="0.2">
      <c r="A29" s="88">
        <f t="shared" ca="1" si="8"/>
        <v>44606</v>
      </c>
      <c r="B29" s="68" t="str">
        <f t="shared" ca="1" si="0"/>
        <v/>
      </c>
      <c r="C29" s="68" t="str">
        <f t="shared" ca="1" si="9"/>
        <v/>
      </c>
      <c r="D29" s="68">
        <f t="shared" ca="1" si="1"/>
        <v>7</v>
      </c>
      <c r="E29" s="5" t="e">
        <f ca="1">VLOOKUP($D29,'SPC background (hide)'!$AG$2:$AS$54,12,0)</f>
        <v>#DIV/0!</v>
      </c>
      <c r="F29" s="5" t="str">
        <f ca="1">VLOOKUP($D29,'SPC background (hide)'!$AG$2:$AS$54,13,0)</f>
        <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(E29*(1-'Parameters calculator (hide)'!$B$43))*(1-'Parameters calculator (hide)'!$B$44+('Parameters calculator (hide)'!$B$45*'Parameters calculator (hide)'!$B$47))</f>
        <v>#DIV/0!</v>
      </c>
      <c r="N29" s="5" t="e">
        <f ca="1">(F29*(1-'Parameters calculator (hide)'!$B$43))*(1-'Parameters calculator (hide)'!$B$44+('Parameters calculator (hide)'!$B$45*'Parameters calculator (hide)'!$B$47))</f>
        <v>#VALUE!</v>
      </c>
      <c r="P29" s="5">
        <f t="shared" ca="1" si="3"/>
        <v>0</v>
      </c>
      <c r="Q29" s="5">
        <f t="shared" ca="1" si="4"/>
        <v>0</v>
      </c>
      <c r="R29" s="5">
        <f t="shared" ca="1" si="5"/>
        <v>0</v>
      </c>
      <c r="S29" s="5">
        <f t="shared" ca="1" si="6"/>
        <v>0</v>
      </c>
      <c r="T29" s="5" t="e">
        <f ca="1">M29/IF(Summary!$C$8&lt;&gt;"Patients",1,$I$9)</f>
        <v>#DIV/0!</v>
      </c>
      <c r="U29" s="5" t="e">
        <f ca="1">(IF(N29-M29=0,0.1,N29-M29)/IF(Summary!$C$8&lt;&gt;"Patients",1,$I$9))</f>
        <v>#VALUE!</v>
      </c>
      <c r="V29" s="5">
        <f t="shared" si="7"/>
        <v>0</v>
      </c>
      <c r="X29" s="5" t="e">
        <f ca="1">(VLOOKUP(D29,'SPC background (hide)'!$AG$2:$AN$54,8,0)/IF(Summary!$C$8&lt;&gt;"Patients",1,$I$9))*(1-$I$4)*(1-$I$5+($I$6*$I$7))</f>
        <v>#N/A</v>
      </c>
    </row>
    <row r="30" spans="1:24" x14ac:dyDescent="0.2">
      <c r="A30" s="88">
        <f t="shared" ca="1" si="8"/>
        <v>44613</v>
      </c>
      <c r="B30" s="68" t="str">
        <f t="shared" ca="1" si="0"/>
        <v/>
      </c>
      <c r="C30" s="68" t="str">
        <f t="shared" ca="1" si="9"/>
        <v/>
      </c>
      <c r="D30" s="68">
        <f t="shared" ca="1" si="1"/>
        <v>8</v>
      </c>
      <c r="E30" s="5" t="e">
        <f ca="1">VLOOKUP($D30,'SPC background (hide)'!$AG$2:$AS$54,12,0)</f>
        <v>#DIV/0!</v>
      </c>
      <c r="F30" s="5" t="str">
        <f ca="1">VLOOKUP($D30,'SPC background (hide)'!$AG$2:$AS$54,13,0)</f>
        <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(E30*(1-'Parameters calculator (hide)'!$B$43))*(1-'Parameters calculator (hide)'!$B$44+('Parameters calculator (hide)'!$B$45*'Parameters calculator (hide)'!$B$47))</f>
        <v>#DIV/0!</v>
      </c>
      <c r="N30" s="5" t="e">
        <f ca="1">(F30*(1-'Parameters calculator (hide)'!$B$43))*(1-'Parameters calculator (hide)'!$B$44+('Parameters calculator (hide)'!$B$45*'Parameters calculator (hide)'!$B$47))</f>
        <v>#VALUE!</v>
      </c>
      <c r="P30" s="5">
        <f t="shared" ca="1" si="3"/>
        <v>0</v>
      </c>
      <c r="Q30" s="5">
        <f t="shared" ca="1" si="4"/>
        <v>0</v>
      </c>
      <c r="R30" s="5">
        <f t="shared" ca="1" si="5"/>
        <v>0</v>
      </c>
      <c r="S30" s="5">
        <f t="shared" ca="1" si="6"/>
        <v>0</v>
      </c>
      <c r="T30" s="5" t="e">
        <f ca="1">M30/IF(Summary!$C$8&lt;&gt;"Patients",1,$I$9)</f>
        <v>#DIV/0!</v>
      </c>
      <c r="U30" s="5" t="e">
        <f ca="1">(IF(N30-M30=0,0.1,N30-M30)/IF(Summary!$C$8&lt;&gt;"Patients",1,$I$9))</f>
        <v>#VALUE!</v>
      </c>
      <c r="V30" s="5">
        <f t="shared" si="7"/>
        <v>0</v>
      </c>
      <c r="X30" s="5" t="e">
        <f ca="1">(VLOOKUP(D30,'SPC background (hide)'!$AG$2:$AN$54,8,0)/IF(Summary!$C$8&lt;&gt;"Patients",1,$I$9))*(1-$I$4)*(1-$I$5+($I$6*$I$7))</f>
        <v>#N/A</v>
      </c>
    </row>
    <row r="31" spans="1:24" x14ac:dyDescent="0.2">
      <c r="A31" s="88">
        <f t="shared" ca="1" si="8"/>
        <v>44620</v>
      </c>
      <c r="B31" s="68" t="str">
        <f t="shared" ca="1" si="0"/>
        <v/>
      </c>
      <c r="C31" s="68" t="str">
        <f t="shared" ca="1" si="9"/>
        <v/>
      </c>
      <c r="D31" s="68">
        <f t="shared" ca="1" si="1"/>
        <v>9</v>
      </c>
      <c r="E31" s="5" t="e">
        <f ca="1">VLOOKUP($D31,'SPC background (hide)'!$AG$2:$AS$54,12,0)</f>
        <v>#DIV/0!</v>
      </c>
      <c r="F31" s="5" t="str">
        <f ca="1">VLOOKUP($D31,'SPC background (hide)'!$AG$2:$AS$54,13,0)</f>
        <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(E31*(1-'Parameters calculator (hide)'!$B$43))*(1-'Parameters calculator (hide)'!$B$44+('Parameters calculator (hide)'!$B$45*'Parameters calculator (hide)'!$B$47))</f>
        <v>#DIV/0!</v>
      </c>
      <c r="N31" s="5" t="e">
        <f ca="1">(F31*(1-'Parameters calculator (hide)'!$B$43))*(1-'Parameters calculator (hide)'!$B$44+('Parameters calculator (hide)'!$B$45*'Parameters calculator (hide)'!$B$47))</f>
        <v>#VALUE!</v>
      </c>
      <c r="P31" s="5">
        <f t="shared" ca="1" si="3"/>
        <v>0</v>
      </c>
      <c r="Q31" s="5">
        <f t="shared" ca="1" si="4"/>
        <v>0</v>
      </c>
      <c r="R31" s="5">
        <f t="shared" ca="1" si="5"/>
        <v>0</v>
      </c>
      <c r="S31" s="5">
        <f t="shared" ca="1" si="6"/>
        <v>0</v>
      </c>
      <c r="T31" s="5" t="e">
        <f ca="1">M31/IF(Summary!$C$8&lt;&gt;"Patients",1,$I$9)</f>
        <v>#DIV/0!</v>
      </c>
      <c r="U31" s="5" t="e">
        <f ca="1">(IF(N31-M31=0,0.1,N31-M31)/IF(Summary!$C$8&lt;&gt;"Patients",1,$I$9))</f>
        <v>#VALUE!</v>
      </c>
      <c r="V31" s="5">
        <f t="shared" si="7"/>
        <v>0</v>
      </c>
      <c r="X31" s="5" t="e">
        <f ca="1">(VLOOKUP(D31,'SPC background (hide)'!$AG$2:$AN$54,8,0)/IF(Summary!$C$8&lt;&gt;"Patients",1,$I$9))*(1-$I$4)*(1-$I$5+($I$6*$I$7))</f>
        <v>#N/A</v>
      </c>
    </row>
    <row r="32" spans="1:24" x14ac:dyDescent="0.2">
      <c r="A32" s="88">
        <f t="shared" ca="1" si="8"/>
        <v>44627</v>
      </c>
      <c r="B32" s="68" t="str">
        <f t="shared" ca="1" si="0"/>
        <v/>
      </c>
      <c r="C32" s="68" t="str">
        <f t="shared" ca="1" si="9"/>
        <v>Mar</v>
      </c>
      <c r="D32" s="68">
        <f t="shared" ca="1" si="1"/>
        <v>10</v>
      </c>
      <c r="E32" s="5" t="e">
        <f ca="1">VLOOKUP($D32,'SPC background (hide)'!$AG$2:$AS$54,12,0)</f>
        <v>#DIV/0!</v>
      </c>
      <c r="F32" s="5" t="str">
        <f ca="1">VLOOKUP($D32,'SPC background (hide)'!$AG$2:$AS$54,13,0)</f>
        <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(E32*(1-'Parameters calculator (hide)'!$B$43))*(1-'Parameters calculator (hide)'!$B$44+('Parameters calculator (hide)'!$B$45*'Parameters calculator (hide)'!$B$47))</f>
        <v>#DIV/0!</v>
      </c>
      <c r="N32" s="5" t="e">
        <f ca="1">(F32*(1-'Parameters calculator (hide)'!$B$43))*(1-'Parameters calculator (hide)'!$B$44+('Parameters calculator (hide)'!$B$45*'Parameters calculator (hide)'!$B$47))</f>
        <v>#VALUE!</v>
      </c>
      <c r="P32" s="5">
        <f t="shared" ca="1" si="3"/>
        <v>0</v>
      </c>
      <c r="Q32" s="5">
        <f t="shared" ca="1" si="4"/>
        <v>0</v>
      </c>
      <c r="R32" s="5">
        <f t="shared" ca="1" si="5"/>
        <v>0</v>
      </c>
      <c r="S32" s="5">
        <f t="shared" ca="1" si="6"/>
        <v>0</v>
      </c>
      <c r="T32" s="5" t="e">
        <f ca="1">M32/IF(Summary!$C$8&lt;&gt;"Patients",1,$I$9)</f>
        <v>#DIV/0!</v>
      </c>
      <c r="U32" s="5" t="e">
        <f ca="1">(IF(N32-M32=0,0.1,N32-M32)/IF(Summary!$C$8&lt;&gt;"Patients",1,$I$9))</f>
        <v>#VALUE!</v>
      </c>
      <c r="V32" s="5">
        <f t="shared" si="7"/>
        <v>0</v>
      </c>
      <c r="X32" s="5" t="e">
        <f ca="1">(VLOOKUP(D32,'SPC background (hide)'!$AG$2:$AN$54,8,0)/IF(Summary!$C$8&lt;&gt;"Patients",1,$I$9))*(1-$I$4)*(1-$I$5+($I$6*$I$7))</f>
        <v>#N/A</v>
      </c>
    </row>
    <row r="33" spans="1:24" x14ac:dyDescent="0.2">
      <c r="A33" s="88">
        <f t="shared" ca="1" si="8"/>
        <v>44634</v>
      </c>
      <c r="B33" s="68" t="str">
        <f t="shared" ca="1" si="0"/>
        <v/>
      </c>
      <c r="C33" s="68" t="str">
        <f t="shared" ca="1" si="9"/>
        <v/>
      </c>
      <c r="D33" s="68">
        <f t="shared" ca="1" si="1"/>
        <v>11</v>
      </c>
      <c r="E33" s="5" t="e">
        <f ca="1">VLOOKUP($D33,'SPC background (hide)'!$AG$2:$AS$54,12,0)</f>
        <v>#DIV/0!</v>
      </c>
      <c r="F33" s="5" t="str">
        <f ca="1">VLOOKUP($D33,'SPC background (hide)'!$AG$2:$AS$54,13,0)</f>
        <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(E33*(1-'Parameters calculator (hide)'!$B$43))*(1-'Parameters calculator (hide)'!$B$44+('Parameters calculator (hide)'!$B$45*'Parameters calculator (hide)'!$B$47))</f>
        <v>#DIV/0!</v>
      </c>
      <c r="N33" s="5" t="e">
        <f ca="1">(F33*(1-'Parameters calculator (hide)'!$B$43))*(1-'Parameters calculator (hide)'!$B$44+('Parameters calculator (hide)'!$B$45*'Parameters calculator (hide)'!$B$47))</f>
        <v>#VALUE!</v>
      </c>
      <c r="P33" s="5">
        <f t="shared" ca="1" si="3"/>
        <v>0</v>
      </c>
      <c r="Q33" s="5">
        <f t="shared" ca="1" si="4"/>
        <v>0</v>
      </c>
      <c r="R33" s="5">
        <f t="shared" ca="1" si="5"/>
        <v>0</v>
      </c>
      <c r="S33" s="5">
        <f t="shared" ca="1" si="6"/>
        <v>0</v>
      </c>
      <c r="T33" s="5" t="e">
        <f ca="1">M33/IF(Summary!$C$8&lt;&gt;"Patients",1,$I$9)</f>
        <v>#DIV/0!</v>
      </c>
      <c r="U33" s="5" t="e">
        <f ca="1">(IF(N33-M33=0,0.1,N33-M33)/IF(Summary!$C$8&lt;&gt;"Patients",1,$I$9))</f>
        <v>#VALUE!</v>
      </c>
      <c r="V33" s="5">
        <f t="shared" si="7"/>
        <v>0</v>
      </c>
      <c r="X33" s="5" t="e">
        <f ca="1">(VLOOKUP(D33,'SPC background (hide)'!$AG$2:$AN$54,8,0)/IF(Summary!$C$8&lt;&gt;"Patients",1,$I$9))*(1-$I$4)*(1-$I$5+($I$6*$I$7))</f>
        <v>#N/A</v>
      </c>
    </row>
    <row r="34" spans="1:24" x14ac:dyDescent="0.2">
      <c r="A34" s="88">
        <f t="shared" ca="1" si="8"/>
        <v>44641</v>
      </c>
      <c r="B34" s="68" t="str">
        <f t="shared" ca="1" si="0"/>
        <v/>
      </c>
      <c r="C34" s="68" t="str">
        <f t="shared" ca="1" si="9"/>
        <v/>
      </c>
      <c r="D34" s="68">
        <f t="shared" ca="1" si="1"/>
        <v>12</v>
      </c>
      <c r="E34" s="5" t="e">
        <f ca="1">VLOOKUP($D34,'SPC background (hide)'!$AG$2:$AS$54,12,0)</f>
        <v>#DIV/0!</v>
      </c>
      <c r="F34" s="5" t="str">
        <f ca="1">VLOOKUP($D34,'SPC background (hide)'!$AG$2:$AS$54,13,0)</f>
        <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(E34*(1-'Parameters calculator (hide)'!$B$43))*(1-'Parameters calculator (hide)'!$B$44+('Parameters calculator (hide)'!$B$45*'Parameters calculator (hide)'!$B$47))</f>
        <v>#DIV/0!</v>
      </c>
      <c r="N34" s="5" t="e">
        <f ca="1">(F34*(1-'Parameters calculator (hide)'!$B$43))*(1-'Parameters calculator (hide)'!$B$44+('Parameters calculator (hide)'!$B$45*'Parameters calculator (hide)'!$B$47))</f>
        <v>#VALUE!</v>
      </c>
      <c r="P34" s="5">
        <f t="shared" ca="1" si="3"/>
        <v>0</v>
      </c>
      <c r="Q34" s="5">
        <f t="shared" ca="1" si="4"/>
        <v>0</v>
      </c>
      <c r="R34" s="5">
        <f t="shared" ca="1" si="5"/>
        <v>0</v>
      </c>
      <c r="S34" s="5">
        <f t="shared" ca="1" si="6"/>
        <v>0</v>
      </c>
      <c r="T34" s="5" t="e">
        <f ca="1">M34/IF(Summary!$C$8&lt;&gt;"Patients",1,$I$9)</f>
        <v>#DIV/0!</v>
      </c>
      <c r="U34" s="5" t="e">
        <f ca="1">(IF(N34-M34=0,0.1,N34-M34)/IF(Summary!$C$8&lt;&gt;"Patients",1,$I$9))</f>
        <v>#VALUE!</v>
      </c>
      <c r="V34" s="5">
        <f t="shared" si="7"/>
        <v>0</v>
      </c>
      <c r="X34" s="5" t="e">
        <f ca="1">(VLOOKUP(D34,'SPC background (hide)'!$AG$2:$AN$54,8,0)/IF(Summary!$C$8&lt;&gt;"Patients",1,$I$9))*(1-$I$4)*(1-$I$5+($I$6*$I$7))</f>
        <v>#N/A</v>
      </c>
    </row>
    <row r="35" spans="1:24" x14ac:dyDescent="0.2">
      <c r="A35" s="88">
        <f t="shared" ca="1" si="8"/>
        <v>44648</v>
      </c>
      <c r="B35" s="68" t="str">
        <f t="shared" ca="1" si="0"/>
        <v/>
      </c>
      <c r="C35" s="68" t="str">
        <f t="shared" ca="1" si="9"/>
        <v/>
      </c>
      <c r="D35" s="68">
        <f t="shared" ca="1" si="1"/>
        <v>13</v>
      </c>
      <c r="E35" s="5" t="e">
        <f ca="1">VLOOKUP($D35,'SPC background (hide)'!$AG$2:$AS$54,12,0)</f>
        <v>#DIV/0!</v>
      </c>
      <c r="F35" s="5" t="str">
        <f ca="1">VLOOKUP($D35,'SPC background (hide)'!$AG$2:$AS$54,13,0)</f>
        <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(E35*(1-'Parameters calculator (hide)'!$B$43))*(1-'Parameters calculator (hide)'!$B$44+('Parameters calculator (hide)'!$B$45*'Parameters calculator (hide)'!$B$47))</f>
        <v>#DIV/0!</v>
      </c>
      <c r="N35" s="5" t="e">
        <f ca="1">(F35*(1-'Parameters calculator (hide)'!$B$43))*(1-'Parameters calculator (hide)'!$B$44+('Parameters calculator (hide)'!$B$45*'Parameters calculator (hide)'!$B$47))</f>
        <v>#VALUE!</v>
      </c>
      <c r="P35" s="5">
        <f t="shared" ca="1" si="3"/>
        <v>0</v>
      </c>
      <c r="Q35" s="5">
        <f t="shared" ca="1" si="4"/>
        <v>0</v>
      </c>
      <c r="R35" s="5">
        <f t="shared" ca="1" si="5"/>
        <v>0</v>
      </c>
      <c r="S35" s="5">
        <f t="shared" ca="1" si="6"/>
        <v>0</v>
      </c>
      <c r="T35" s="5" t="e">
        <f ca="1">M35/IF(Summary!$C$8&lt;&gt;"Patients",1,$I$9)</f>
        <v>#DIV/0!</v>
      </c>
      <c r="U35" s="5" t="e">
        <f ca="1">(IF(N35-M35=0,0.1,N35-M35)/IF(Summary!$C$8&lt;&gt;"Patients",1,$I$9))</f>
        <v>#VALUE!</v>
      </c>
      <c r="V35" s="5">
        <f t="shared" si="7"/>
        <v>0</v>
      </c>
      <c r="X35" s="5" t="e">
        <f ca="1">(VLOOKUP(D35,'SPC background (hide)'!$AG$2:$AN$54,8,0)/IF(Summary!$C$8&lt;&gt;"Patients",1,$I$9))*(1-$I$4)*(1-$I$5+($I$6*$I$7))</f>
        <v>#N/A</v>
      </c>
    </row>
    <row r="36" spans="1:24" x14ac:dyDescent="0.2">
      <c r="A36" s="88">
        <f t="shared" ca="1" si="8"/>
        <v>44655</v>
      </c>
      <c r="B36" s="68" t="str">
        <f t="shared" ca="1" si="0"/>
        <v/>
      </c>
      <c r="C36" s="68" t="str">
        <f t="shared" ca="1" si="9"/>
        <v>Apr</v>
      </c>
      <c r="D36" s="68">
        <f t="shared" ca="1" si="1"/>
        <v>14</v>
      </c>
      <c r="E36" s="5" t="e">
        <f ca="1">VLOOKUP($D36,'SPC background (hide)'!$AG$2:$AS$54,12,0)</f>
        <v>#DIV/0!</v>
      </c>
      <c r="F36" s="5" t="str">
        <f ca="1">VLOOKUP($D36,'SPC background (hide)'!$AG$2:$AS$54,13,0)</f>
        <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(E36*(1-'Parameters calculator (hide)'!$B$43))*(1-'Parameters calculator (hide)'!$B$44+('Parameters calculator (hide)'!$B$45*'Parameters calculator (hide)'!$B$47))</f>
        <v>#DIV/0!</v>
      </c>
      <c r="N36" s="5" t="e">
        <f ca="1">(F36*(1-'Parameters calculator (hide)'!$B$43))*(1-'Parameters calculator (hide)'!$B$44+('Parameters calculator (hide)'!$B$45*'Parameters calculator (hide)'!$B$47))</f>
        <v>#VALUE!</v>
      </c>
      <c r="P36" s="5">
        <f t="shared" ca="1" si="3"/>
        <v>0</v>
      </c>
      <c r="Q36" s="5">
        <f t="shared" ca="1" si="4"/>
        <v>0</v>
      </c>
      <c r="R36" s="5">
        <f t="shared" ca="1" si="5"/>
        <v>0</v>
      </c>
      <c r="S36" s="5">
        <f t="shared" ca="1" si="6"/>
        <v>0</v>
      </c>
      <c r="T36" s="5" t="e">
        <f ca="1">M36/IF(Summary!$C$8&lt;&gt;"Patients",1,$I$9)</f>
        <v>#DIV/0!</v>
      </c>
      <c r="U36" s="5" t="e">
        <f ca="1">(IF(N36-M36=0,0.1,N36-M36)/IF(Summary!$C$8&lt;&gt;"Patients",1,$I$9))</f>
        <v>#VALUE!</v>
      </c>
      <c r="V36" s="5">
        <f t="shared" si="7"/>
        <v>0</v>
      </c>
      <c r="X36" s="5" t="e">
        <f ca="1">(VLOOKUP(D36,'SPC background (hide)'!$AG$2:$AN$54,8,0)/IF(Summary!$C$8&lt;&gt;"Patients",1,$I$9))*(1-$I$4)*(1-$I$5+($I$6*$I$7))</f>
        <v>#N/A</v>
      </c>
    </row>
    <row r="37" spans="1:24" x14ac:dyDescent="0.2">
      <c r="A37" s="88">
        <f t="shared" ca="1" si="8"/>
        <v>44662</v>
      </c>
      <c r="B37" s="68" t="str">
        <f t="shared" ca="1" si="0"/>
        <v/>
      </c>
      <c r="C37" s="68" t="str">
        <f t="shared" ca="1" si="9"/>
        <v/>
      </c>
      <c r="D37" s="68">
        <f t="shared" ca="1" si="1"/>
        <v>15</v>
      </c>
      <c r="E37" s="5" t="e">
        <f ca="1">VLOOKUP($D37,'SPC background (hide)'!$AG$2:$AS$54,12,0)</f>
        <v>#DIV/0!</v>
      </c>
      <c r="F37" s="5" t="str">
        <f ca="1">VLOOKUP($D37,'SPC background (hide)'!$AG$2:$AS$54,13,0)</f>
        <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(E37*(1-'Parameters calculator (hide)'!$B$43))*(1-'Parameters calculator (hide)'!$B$44+('Parameters calculator (hide)'!$B$45*'Parameters calculator (hide)'!$B$47))</f>
        <v>#DIV/0!</v>
      </c>
      <c r="N37" s="5" t="e">
        <f ca="1">(F37*(1-'Parameters calculator (hide)'!$B$43))*(1-'Parameters calculator (hide)'!$B$44+('Parameters calculator (hide)'!$B$45*'Parameters calculator (hide)'!$B$47))</f>
        <v>#VALUE!</v>
      </c>
      <c r="P37" s="5">
        <f t="shared" ca="1" si="3"/>
        <v>0</v>
      </c>
      <c r="Q37" s="5">
        <f t="shared" ca="1" si="4"/>
        <v>0</v>
      </c>
      <c r="R37" s="5">
        <f t="shared" ca="1" si="5"/>
        <v>0</v>
      </c>
      <c r="S37" s="5">
        <f t="shared" ca="1" si="6"/>
        <v>0</v>
      </c>
      <c r="T37" s="5" t="e">
        <f ca="1">M37/IF(Summary!$C$8&lt;&gt;"Patients",1,$I$9)</f>
        <v>#DIV/0!</v>
      </c>
      <c r="U37" s="5" t="e">
        <f ca="1">(IF(N37-M37=0,0.1,N37-M37)/IF(Summary!$C$8&lt;&gt;"Patients",1,$I$9))</f>
        <v>#VALUE!</v>
      </c>
      <c r="V37" s="5">
        <f t="shared" si="7"/>
        <v>0</v>
      </c>
      <c r="X37" s="5" t="e">
        <f ca="1">(VLOOKUP(D37,'SPC background (hide)'!$AG$2:$AN$54,8,0)/IF(Summary!$C$8&lt;&gt;"Patients",1,$I$9))*(1-$I$4)*(1-$I$5+($I$6*$I$7))</f>
        <v>#N/A</v>
      </c>
    </row>
    <row r="38" spans="1:24" x14ac:dyDescent="0.2">
      <c r="A38" s="88">
        <f t="shared" ca="1" si="8"/>
        <v>44669</v>
      </c>
      <c r="B38" s="68" t="str">
        <f t="shared" ca="1" si="0"/>
        <v/>
      </c>
      <c r="C38" s="68" t="str">
        <f t="shared" ca="1" si="9"/>
        <v/>
      </c>
      <c r="D38" s="68">
        <f t="shared" ca="1" si="1"/>
        <v>16</v>
      </c>
      <c r="E38" s="5" t="e">
        <f ca="1">VLOOKUP($D38,'SPC background (hide)'!$AG$2:$AS$54,12,0)</f>
        <v>#DIV/0!</v>
      </c>
      <c r="F38" s="5" t="str">
        <f ca="1">VLOOKUP($D38,'SPC background (hide)'!$AG$2:$AS$54,13,0)</f>
        <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(E38*(1-'Parameters calculator (hide)'!$B$43))*(1-'Parameters calculator (hide)'!$B$44+('Parameters calculator (hide)'!$B$45*'Parameters calculator (hide)'!$B$47))</f>
        <v>#DIV/0!</v>
      </c>
      <c r="N38" s="5" t="e">
        <f ca="1">(F38*(1-'Parameters calculator (hide)'!$B$43))*(1-'Parameters calculator (hide)'!$B$44+('Parameters calculator (hide)'!$B$45*'Parameters calculator (hide)'!$B$47))</f>
        <v>#VALUE!</v>
      </c>
      <c r="P38" s="5">
        <f t="shared" ca="1" si="3"/>
        <v>0</v>
      </c>
      <c r="Q38" s="5">
        <f t="shared" ca="1" si="4"/>
        <v>0</v>
      </c>
      <c r="R38" s="5">
        <f t="shared" ca="1" si="5"/>
        <v>0</v>
      </c>
      <c r="S38" s="5">
        <f t="shared" ca="1" si="6"/>
        <v>0</v>
      </c>
      <c r="T38" s="5" t="e">
        <f ca="1">M38/IF(Summary!$C$8&lt;&gt;"Patients",1,$I$9)</f>
        <v>#DIV/0!</v>
      </c>
      <c r="U38" s="5" t="e">
        <f ca="1">(IF(N38-M38=0,0.1,N38-M38)/IF(Summary!$C$8&lt;&gt;"Patients",1,$I$9))</f>
        <v>#VALUE!</v>
      </c>
      <c r="V38" s="5">
        <f t="shared" si="7"/>
        <v>0</v>
      </c>
      <c r="X38" s="5" t="e">
        <f ca="1">(VLOOKUP(D38,'SPC background (hide)'!$AG$2:$AN$54,8,0)/IF(Summary!$C$8&lt;&gt;"Patients",1,$I$9))*(1-$I$4)*(1-$I$5+($I$6*$I$7))</f>
        <v>#N/A</v>
      </c>
    </row>
    <row r="39" spans="1:24" x14ac:dyDescent="0.2">
      <c r="A39" s="88">
        <f t="shared" ca="1" si="8"/>
        <v>44676</v>
      </c>
      <c r="B39" s="68" t="str">
        <f t="shared" ca="1" si="0"/>
        <v/>
      </c>
      <c r="C39" s="68" t="str">
        <f t="shared" ca="1" si="9"/>
        <v/>
      </c>
      <c r="D39" s="68">
        <f t="shared" ca="1" si="1"/>
        <v>17</v>
      </c>
      <c r="E39" s="5" t="e">
        <f ca="1">VLOOKUP($D39,'SPC background (hide)'!$AG$2:$AS$54,12,0)</f>
        <v>#DIV/0!</v>
      </c>
      <c r="F39" s="5" t="str">
        <f ca="1">VLOOKUP($D39,'SPC background (hide)'!$AG$2:$AS$54,13,0)</f>
        <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(E39*(1-'Parameters calculator (hide)'!$B$43))*(1-'Parameters calculator (hide)'!$B$44+('Parameters calculator (hide)'!$B$45*'Parameters calculator (hide)'!$B$47))</f>
        <v>#DIV/0!</v>
      </c>
      <c r="N39" s="5" t="e">
        <f ca="1">(F39*(1-'Parameters calculator (hide)'!$B$43))*(1-'Parameters calculator (hide)'!$B$44+('Parameters calculator (hide)'!$B$45*'Parameters calculator (hide)'!$B$47))</f>
        <v>#VALUE!</v>
      </c>
      <c r="P39" s="5">
        <f t="shared" ca="1" si="3"/>
        <v>0</v>
      </c>
      <c r="Q39" s="5">
        <f t="shared" ca="1" si="4"/>
        <v>0</v>
      </c>
      <c r="R39" s="5">
        <f t="shared" ca="1" si="5"/>
        <v>0</v>
      </c>
      <c r="S39" s="5">
        <f t="shared" ca="1" si="6"/>
        <v>0</v>
      </c>
      <c r="T39" s="5" t="e">
        <f ca="1">M39/IF(Summary!$C$8&lt;&gt;"Patients",1,$I$9)</f>
        <v>#DIV/0!</v>
      </c>
      <c r="U39" s="5" t="e">
        <f ca="1">(IF(N39-M39=0,0.1,N39-M39)/IF(Summary!$C$8&lt;&gt;"Patients",1,$I$9))</f>
        <v>#VALUE!</v>
      </c>
      <c r="V39" s="5">
        <f t="shared" si="7"/>
        <v>0</v>
      </c>
      <c r="X39" s="5" t="e">
        <f ca="1">(VLOOKUP(D39,'SPC background (hide)'!$AG$2:$AN$54,8,0)/IF(Summary!$C$8&lt;&gt;"Patients",1,$I$9))*(1-$I$4)*(1-$I$5+($I$6*$I$7))</f>
        <v>#N/A</v>
      </c>
    </row>
    <row r="40" spans="1:24" x14ac:dyDescent="0.2">
      <c r="A40" s="88">
        <f t="shared" ca="1" si="8"/>
        <v>44683</v>
      </c>
      <c r="B40" s="68" t="str">
        <f t="shared" ca="1" si="0"/>
        <v/>
      </c>
      <c r="C40" s="68" t="str">
        <f t="shared" ca="1" si="9"/>
        <v>May</v>
      </c>
      <c r="D40" s="68">
        <f t="shared" ca="1" si="1"/>
        <v>18</v>
      </c>
      <c r="E40" s="5" t="e">
        <f ca="1">VLOOKUP($D40,'SPC background (hide)'!$AG$2:$AS$54,12,0)</f>
        <v>#DIV/0!</v>
      </c>
      <c r="F40" s="5" t="str">
        <f ca="1">VLOOKUP($D40,'SPC background (hide)'!$AG$2:$AS$54,13,0)</f>
        <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(E40*(1-'Parameters calculator (hide)'!$B$43))*(1-'Parameters calculator (hide)'!$B$44+('Parameters calculator (hide)'!$B$45*'Parameters calculator (hide)'!$B$47))</f>
        <v>#DIV/0!</v>
      </c>
      <c r="N40" s="5" t="e">
        <f ca="1">(F40*(1-'Parameters calculator (hide)'!$B$43))*(1-'Parameters calculator (hide)'!$B$44+('Parameters calculator (hide)'!$B$45*'Parameters calculator (hide)'!$B$47))</f>
        <v>#VALUE!</v>
      </c>
      <c r="P40" s="5">
        <f t="shared" ca="1" si="3"/>
        <v>0</v>
      </c>
      <c r="Q40" s="5">
        <f t="shared" ca="1" si="4"/>
        <v>0</v>
      </c>
      <c r="R40" s="5">
        <f t="shared" ca="1" si="5"/>
        <v>0</v>
      </c>
      <c r="S40" s="5">
        <f t="shared" ca="1" si="6"/>
        <v>0</v>
      </c>
      <c r="T40" s="5" t="e">
        <f ca="1">M40/IF(Summary!$C$8&lt;&gt;"Patients",1,$I$9)</f>
        <v>#DIV/0!</v>
      </c>
      <c r="U40" s="5" t="e">
        <f ca="1">(IF(N40-M40=0,0.1,N40-M40)/IF(Summary!$C$8&lt;&gt;"Patients",1,$I$9))</f>
        <v>#VALUE!</v>
      </c>
      <c r="V40" s="5">
        <f t="shared" si="7"/>
        <v>0</v>
      </c>
      <c r="X40" s="5" t="e">
        <f ca="1">(VLOOKUP(D40,'SPC background (hide)'!$AG$2:$AN$54,8,0)/IF(Summary!$C$8&lt;&gt;"Patients",1,$I$9))*(1-$I$4)*(1-$I$5+($I$6*$I$7))</f>
        <v>#N/A</v>
      </c>
    </row>
    <row r="41" spans="1:24" x14ac:dyDescent="0.2">
      <c r="A41" s="88">
        <f t="shared" ca="1" si="8"/>
        <v>44690</v>
      </c>
      <c r="B41" s="68" t="str">
        <f t="shared" ca="1" si="0"/>
        <v/>
      </c>
      <c r="C41" s="68" t="str">
        <f t="shared" ca="1" si="9"/>
        <v/>
      </c>
      <c r="D41" s="68">
        <f t="shared" ca="1" si="1"/>
        <v>19</v>
      </c>
      <c r="E41" s="5" t="e">
        <f ca="1">VLOOKUP($D41,'SPC background (hide)'!$AG$2:$AS$54,12,0)</f>
        <v>#DIV/0!</v>
      </c>
      <c r="F41" s="5" t="str">
        <f ca="1">VLOOKUP($D41,'SPC background (hide)'!$AG$2:$AS$54,13,0)</f>
        <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(E41*(1-'Parameters calculator (hide)'!$B$43))*(1-'Parameters calculator (hide)'!$B$44+('Parameters calculator (hide)'!$B$45*'Parameters calculator (hide)'!$B$47))</f>
        <v>#DIV/0!</v>
      </c>
      <c r="N41" s="5" t="e">
        <f ca="1">(F41*(1-'Parameters calculator (hide)'!$B$43))*(1-'Parameters calculator (hide)'!$B$44+('Parameters calculator (hide)'!$B$45*'Parameters calculator (hide)'!$B$47))</f>
        <v>#VALUE!</v>
      </c>
      <c r="P41" s="5">
        <f t="shared" ca="1" si="3"/>
        <v>0</v>
      </c>
      <c r="Q41" s="5">
        <f t="shared" ca="1" si="4"/>
        <v>0</v>
      </c>
      <c r="R41" s="5">
        <f t="shared" ca="1" si="5"/>
        <v>0</v>
      </c>
      <c r="S41" s="5">
        <f t="shared" ca="1" si="6"/>
        <v>0</v>
      </c>
      <c r="T41" s="5" t="e">
        <f ca="1">M41/IF(Summary!$C$8&lt;&gt;"Patients",1,$I$9)</f>
        <v>#DIV/0!</v>
      </c>
      <c r="U41" s="5" t="e">
        <f ca="1">(IF(N41-M41=0,0.1,N41-M41)/IF(Summary!$C$8&lt;&gt;"Patients",1,$I$9))</f>
        <v>#VALUE!</v>
      </c>
      <c r="V41" s="5">
        <f t="shared" si="7"/>
        <v>0</v>
      </c>
      <c r="X41" s="5" t="e">
        <f ca="1">(VLOOKUP(D41,'SPC background (hide)'!$AG$2:$AN$54,8,0)/IF(Summary!$C$8&lt;&gt;"Patients",1,$I$9))*(1-$I$4)*(1-$I$5+($I$6*$I$7))</f>
        <v>#N/A</v>
      </c>
    </row>
    <row r="42" spans="1:24" x14ac:dyDescent="0.2">
      <c r="A42" s="88">
        <f t="shared" ca="1" si="8"/>
        <v>44697</v>
      </c>
      <c r="B42" s="68" t="str">
        <f t="shared" ca="1" si="0"/>
        <v/>
      </c>
      <c r="C42" s="68" t="str">
        <f t="shared" ca="1" si="9"/>
        <v/>
      </c>
      <c r="D42" s="68">
        <f t="shared" ca="1" si="1"/>
        <v>20</v>
      </c>
      <c r="E42" s="5" t="e">
        <f ca="1">VLOOKUP($D42,'SPC background (hide)'!$AG$2:$AS$54,12,0)</f>
        <v>#DIV/0!</v>
      </c>
      <c r="F42" s="5" t="str">
        <f ca="1">VLOOKUP($D42,'SPC background (hide)'!$AG$2:$AS$54,13,0)</f>
        <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(E42*(1-'Parameters calculator (hide)'!$B$43))*(1-'Parameters calculator (hide)'!$B$44+('Parameters calculator (hide)'!$B$45*'Parameters calculator (hide)'!$B$47))</f>
        <v>#DIV/0!</v>
      </c>
      <c r="N42" s="5" t="e">
        <f ca="1">(F42*(1-'Parameters calculator (hide)'!$B$43))*(1-'Parameters calculator (hide)'!$B$44+('Parameters calculator (hide)'!$B$45*'Parameters calculator (hide)'!$B$47))</f>
        <v>#VALUE!</v>
      </c>
      <c r="P42" s="5">
        <f t="shared" ca="1" si="3"/>
        <v>0</v>
      </c>
      <c r="Q42" s="5">
        <f t="shared" ca="1" si="4"/>
        <v>0</v>
      </c>
      <c r="R42" s="5">
        <f t="shared" ca="1" si="5"/>
        <v>0</v>
      </c>
      <c r="S42" s="5">
        <f t="shared" ca="1" si="6"/>
        <v>0</v>
      </c>
      <c r="T42" s="5" t="e">
        <f ca="1">M42/IF(Summary!$C$8&lt;&gt;"Patients",1,$I$9)</f>
        <v>#DIV/0!</v>
      </c>
      <c r="U42" s="5" t="e">
        <f ca="1">(IF(N42-M42=0,0.1,N42-M42)/IF(Summary!$C$8&lt;&gt;"Patients",1,$I$9))</f>
        <v>#VALUE!</v>
      </c>
      <c r="V42" s="5">
        <f t="shared" si="7"/>
        <v>0</v>
      </c>
      <c r="X42" s="5" t="e">
        <f ca="1">(VLOOKUP(D42,'SPC background (hide)'!$AG$2:$AN$54,8,0)/IF(Summary!$C$8&lt;&gt;"Patients",1,$I$9))*(1-$I$4)*(1-$I$5+($I$6*$I$7))</f>
        <v>#N/A</v>
      </c>
    </row>
    <row r="43" spans="1:24" x14ac:dyDescent="0.2">
      <c r="A43" s="88">
        <f t="shared" ca="1" si="8"/>
        <v>44704</v>
      </c>
      <c r="B43" s="68" t="str">
        <f t="shared" ca="1" si="0"/>
        <v/>
      </c>
      <c r="C43" s="68" t="str">
        <f t="shared" ca="1" si="9"/>
        <v/>
      </c>
      <c r="D43" s="68">
        <f t="shared" ca="1" si="1"/>
        <v>21</v>
      </c>
      <c r="E43" s="5" t="e">
        <f ca="1">VLOOKUP($D43,'SPC background (hide)'!$AG$2:$AS$54,12,0)</f>
        <v>#DIV/0!</v>
      </c>
      <c r="F43" s="5" t="str">
        <f ca="1">VLOOKUP($D43,'SPC background (hide)'!$AG$2:$AS$54,13,0)</f>
        <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(E43*(1-'Parameters calculator (hide)'!$B$43))*(1-'Parameters calculator (hide)'!$B$44+('Parameters calculator (hide)'!$B$45*'Parameters calculator (hide)'!$B$47))</f>
        <v>#DIV/0!</v>
      </c>
      <c r="N43" s="5" t="e">
        <f ca="1">(F43*(1-'Parameters calculator (hide)'!$B$43))*(1-'Parameters calculator (hide)'!$B$44+('Parameters calculator (hide)'!$B$45*'Parameters calculator (hide)'!$B$47))</f>
        <v>#VALUE!</v>
      </c>
      <c r="P43" s="5">
        <f t="shared" ca="1" si="3"/>
        <v>0</v>
      </c>
      <c r="Q43" s="5">
        <f t="shared" ca="1" si="4"/>
        <v>0</v>
      </c>
      <c r="R43" s="5">
        <f t="shared" ca="1" si="5"/>
        <v>0</v>
      </c>
      <c r="S43" s="5">
        <f t="shared" ca="1" si="6"/>
        <v>0</v>
      </c>
      <c r="T43" s="5" t="e">
        <f ca="1">M43/IF(Summary!$C$8&lt;&gt;"Patients",1,$I$9)</f>
        <v>#DIV/0!</v>
      </c>
      <c r="U43" s="5" t="e">
        <f ca="1">(IF(N43-M43=0,0.1,N43-M43)/IF(Summary!$C$8&lt;&gt;"Patients",1,$I$9))</f>
        <v>#VALUE!</v>
      </c>
      <c r="V43" s="5">
        <f t="shared" si="7"/>
        <v>0</v>
      </c>
      <c r="X43" s="5" t="e">
        <f ca="1">(VLOOKUP(D43,'SPC background (hide)'!$AG$2:$AN$54,8,0)/IF(Summary!$C$8&lt;&gt;"Patients",1,$I$9))*(1-$I$4)*(1-$I$5+($I$6*$I$7))</f>
        <v>#N/A</v>
      </c>
    </row>
    <row r="44" spans="1:24" x14ac:dyDescent="0.2">
      <c r="A44" s="88">
        <f t="shared" ca="1" si="8"/>
        <v>44711</v>
      </c>
      <c r="B44" s="68" t="str">
        <f t="shared" ca="1" si="0"/>
        <v/>
      </c>
      <c r="C44" s="68" t="str">
        <f t="shared" ca="1" si="9"/>
        <v/>
      </c>
      <c r="D44" s="68">
        <f t="shared" ca="1" si="1"/>
        <v>22</v>
      </c>
      <c r="E44" s="5" t="e">
        <f ca="1">VLOOKUP($D44,'SPC background (hide)'!$AG$2:$AS$54,12,0)</f>
        <v>#DIV/0!</v>
      </c>
      <c r="F44" s="5" t="str">
        <f ca="1">VLOOKUP($D44,'SPC background (hide)'!$AG$2:$AS$54,13,0)</f>
        <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(E44*(1-'Parameters calculator (hide)'!$B$43))*(1-'Parameters calculator (hide)'!$B$44+('Parameters calculator (hide)'!$B$45*'Parameters calculator (hide)'!$B$47))</f>
        <v>#DIV/0!</v>
      </c>
      <c r="N44" s="5" t="e">
        <f ca="1">(F44*(1-'Parameters calculator (hide)'!$B$43))*(1-'Parameters calculator (hide)'!$B$44+('Parameters calculator (hide)'!$B$45*'Parameters calculator (hide)'!$B$47))</f>
        <v>#VALUE!</v>
      </c>
      <c r="P44" s="5">
        <f t="shared" ca="1" si="3"/>
        <v>0</v>
      </c>
      <c r="Q44" s="5">
        <f t="shared" ca="1" si="4"/>
        <v>0</v>
      </c>
      <c r="R44" s="5">
        <f t="shared" ca="1" si="5"/>
        <v>0</v>
      </c>
      <c r="S44" s="5">
        <f t="shared" ca="1" si="6"/>
        <v>0</v>
      </c>
      <c r="T44" s="5" t="e">
        <f ca="1">M44/IF(Summary!$C$8&lt;&gt;"Patients",1,$I$9)</f>
        <v>#DIV/0!</v>
      </c>
      <c r="U44" s="5" t="e">
        <f ca="1">(IF(N44-M44=0,0.1,N44-M44)/IF(Summary!$C$8&lt;&gt;"Patients",1,$I$9))</f>
        <v>#VALUE!</v>
      </c>
      <c r="V44" s="5">
        <f t="shared" si="7"/>
        <v>0</v>
      </c>
      <c r="X44" s="5" t="e">
        <f ca="1">(VLOOKUP(D44,'SPC background (hide)'!$AG$2:$AN$54,8,0)/IF(Summary!$C$8&lt;&gt;"Patients",1,$I$9))*(1-$I$4)*(1-$I$5+($I$6*$I$7))</f>
        <v>#N/A</v>
      </c>
    </row>
    <row r="45" spans="1:24" x14ac:dyDescent="0.2">
      <c r="A45" s="88">
        <f t="shared" ca="1" si="8"/>
        <v>44718</v>
      </c>
      <c r="B45" s="68" t="str">
        <f t="shared" ca="1" si="0"/>
        <v/>
      </c>
      <c r="C45" s="68" t="str">
        <f t="shared" ca="1" si="9"/>
        <v>Jun</v>
      </c>
      <c r="D45" s="68">
        <f t="shared" ca="1" si="1"/>
        <v>23</v>
      </c>
      <c r="E45" s="5" t="e">
        <f ca="1">VLOOKUP($D45,'SPC background (hide)'!$AG$2:$AS$54,12,0)</f>
        <v>#DIV/0!</v>
      </c>
      <c r="F45" s="5" t="str">
        <f ca="1">VLOOKUP($D45,'SPC background (hide)'!$AG$2:$AS$54,13,0)</f>
        <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(E45*(1-'Parameters calculator (hide)'!$B$43))*(1-'Parameters calculator (hide)'!$B$44+('Parameters calculator (hide)'!$B$45*'Parameters calculator (hide)'!$B$47))</f>
        <v>#DIV/0!</v>
      </c>
      <c r="N45" s="5" t="e">
        <f ca="1">(F45*(1-'Parameters calculator (hide)'!$B$43))*(1-'Parameters calculator (hide)'!$B$44+('Parameters calculator (hide)'!$B$45*'Parameters calculator (hide)'!$B$47))</f>
        <v>#VALUE!</v>
      </c>
      <c r="P45" s="5">
        <f t="shared" ca="1" si="3"/>
        <v>0</v>
      </c>
      <c r="Q45" s="5">
        <f t="shared" ca="1" si="4"/>
        <v>0</v>
      </c>
      <c r="R45" s="5">
        <f t="shared" ca="1" si="5"/>
        <v>0</v>
      </c>
      <c r="S45" s="5">
        <f t="shared" ca="1" si="6"/>
        <v>0</v>
      </c>
      <c r="T45" s="5" t="e">
        <f ca="1">M45/IF(Summary!$C$8&lt;&gt;"Patients",1,$I$9)</f>
        <v>#DIV/0!</v>
      </c>
      <c r="U45" s="5" t="e">
        <f ca="1">(IF(N45-M45=0,0.1,N45-M45)/IF(Summary!$C$8&lt;&gt;"Patients",1,$I$9))</f>
        <v>#VALUE!</v>
      </c>
      <c r="V45" s="5">
        <f t="shared" si="7"/>
        <v>0</v>
      </c>
      <c r="X45" s="5" t="e">
        <f ca="1">(VLOOKUP(D45,'SPC background (hide)'!$AG$2:$AN$54,8,0)/IF(Summary!$C$8&lt;&gt;"Patients",1,$I$9))*(1-$I$4)*(1-$I$5+($I$6*$I$7))</f>
        <v>#N/A</v>
      </c>
    </row>
    <row r="46" spans="1:24" x14ac:dyDescent="0.2">
      <c r="A46" s="88">
        <f t="shared" ca="1" si="8"/>
        <v>44725</v>
      </c>
      <c r="B46" s="68" t="str">
        <f t="shared" ca="1" si="0"/>
        <v/>
      </c>
      <c r="C46" s="68" t="str">
        <f t="shared" ca="1" si="9"/>
        <v/>
      </c>
      <c r="D46" s="68">
        <f t="shared" ca="1" si="1"/>
        <v>24</v>
      </c>
      <c r="E46" s="5" t="e">
        <f ca="1">VLOOKUP($D46,'SPC background (hide)'!$AG$2:$AS$54,12,0)</f>
        <v>#DIV/0!</v>
      </c>
      <c r="F46" s="5" t="str">
        <f ca="1">VLOOKUP($D46,'SPC background (hide)'!$AG$2:$AS$54,13,0)</f>
        <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(E46*(1-'Parameters calculator (hide)'!$B$43))*(1-'Parameters calculator (hide)'!$B$44+('Parameters calculator (hide)'!$B$45*'Parameters calculator (hide)'!$B$47))</f>
        <v>#DIV/0!</v>
      </c>
      <c r="N46" s="5" t="e">
        <f ca="1">(F46*(1-'Parameters calculator (hide)'!$B$43))*(1-'Parameters calculator (hide)'!$B$44+('Parameters calculator (hide)'!$B$45*'Parameters calculator (hide)'!$B$47))</f>
        <v>#VALUE!</v>
      </c>
      <c r="P46" s="5">
        <f t="shared" ca="1" si="3"/>
        <v>0</v>
      </c>
      <c r="Q46" s="5">
        <f t="shared" ca="1" si="4"/>
        <v>0</v>
      </c>
      <c r="R46" s="5">
        <f t="shared" ca="1" si="5"/>
        <v>0</v>
      </c>
      <c r="S46" s="5">
        <f t="shared" ca="1" si="6"/>
        <v>0</v>
      </c>
      <c r="T46" s="5" t="e">
        <f ca="1">M46/IF(Summary!$C$8&lt;&gt;"Patients",1,$I$9)</f>
        <v>#DIV/0!</v>
      </c>
      <c r="U46" s="5" t="e">
        <f ca="1">(IF(N46-M46=0,0.1,N46-M46)/IF(Summary!$C$8&lt;&gt;"Patients",1,$I$9))</f>
        <v>#VALUE!</v>
      </c>
      <c r="V46" s="5">
        <f t="shared" si="7"/>
        <v>0</v>
      </c>
      <c r="X46" s="5" t="e">
        <f ca="1">(VLOOKUP(D46,'SPC background (hide)'!$AG$2:$AN$54,8,0)/IF(Summary!$C$8&lt;&gt;"Patients",1,$I$9))*(1-$I$4)*(1-$I$5+($I$6*$I$7))</f>
        <v>#N/A</v>
      </c>
    </row>
    <row r="47" spans="1:24" x14ac:dyDescent="0.2">
      <c r="A47" s="88">
        <f t="shared" ca="1" si="8"/>
        <v>44732</v>
      </c>
      <c r="B47" s="68" t="str">
        <f t="shared" ca="1" si="0"/>
        <v/>
      </c>
      <c r="C47" s="68" t="str">
        <f t="shared" ca="1" si="9"/>
        <v/>
      </c>
      <c r="D47" s="68">
        <f t="shared" ca="1" si="1"/>
        <v>25</v>
      </c>
      <c r="E47" s="5" t="e">
        <f ca="1">VLOOKUP($D47,'SPC background (hide)'!$AG$2:$AS$54,12,0)</f>
        <v>#DIV/0!</v>
      </c>
      <c r="F47" s="5" t="str">
        <f ca="1">VLOOKUP($D47,'SPC background (hide)'!$AG$2:$AS$54,13,0)</f>
        <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(E47*(1-'Parameters calculator (hide)'!$B$43))*(1-'Parameters calculator (hide)'!$B$44+('Parameters calculator (hide)'!$B$45*'Parameters calculator (hide)'!$B$47))</f>
        <v>#DIV/0!</v>
      </c>
      <c r="N47" s="5" t="e">
        <f ca="1">(F47*(1-'Parameters calculator (hide)'!$B$43))*(1-'Parameters calculator (hide)'!$B$44+('Parameters calculator (hide)'!$B$45*'Parameters calculator (hide)'!$B$47))</f>
        <v>#VALUE!</v>
      </c>
      <c r="P47" s="5">
        <f t="shared" ca="1" si="3"/>
        <v>0</v>
      </c>
      <c r="Q47" s="5">
        <f t="shared" ca="1" si="4"/>
        <v>0</v>
      </c>
      <c r="R47" s="5">
        <f t="shared" ca="1" si="5"/>
        <v>0</v>
      </c>
      <c r="S47" s="5">
        <f t="shared" ca="1" si="6"/>
        <v>0</v>
      </c>
      <c r="T47" s="5" t="e">
        <f ca="1">M47/IF(Summary!$C$8&lt;&gt;"Patients",1,$I$9)</f>
        <v>#DIV/0!</v>
      </c>
      <c r="U47" s="5" t="e">
        <f ca="1">(IF(N47-M47=0,0.1,N47-M47)/IF(Summary!$C$8&lt;&gt;"Patients",1,$I$9))</f>
        <v>#VALUE!</v>
      </c>
      <c r="V47" s="5">
        <f t="shared" si="7"/>
        <v>0</v>
      </c>
      <c r="X47" s="5" t="e">
        <f ca="1">(VLOOKUP(D47,'SPC background (hide)'!$AG$2:$AN$54,8,0)/IF(Summary!$C$8&lt;&gt;"Patients",1,$I$9))*(1-$I$4)*(1-$I$5+($I$6*$I$7))</f>
        <v>#N/A</v>
      </c>
    </row>
    <row r="48" spans="1:24" x14ac:dyDescent="0.2">
      <c r="A48" s="88">
        <f t="shared" ca="1" si="8"/>
        <v>44739</v>
      </c>
      <c r="B48" s="68" t="str">
        <f t="shared" ref="B48:B66" ca="1" si="10">IF(YEAR(A48)&lt;&gt;YEAR(A47),YEAR(A48),"")</f>
        <v/>
      </c>
      <c r="C48" s="68" t="str">
        <f t="shared" ca="1" si="9"/>
        <v/>
      </c>
      <c r="D48" s="68">
        <f t="shared" ca="1" si="1"/>
        <v>26</v>
      </c>
      <c r="E48" s="5" t="e">
        <f ca="1">VLOOKUP($D48,'SPC background (hide)'!$AG$2:$AS$54,12,0)</f>
        <v>#DIV/0!</v>
      </c>
      <c r="F48" s="5" t="str">
        <f ca="1">VLOOKUP($D48,'SPC background (hide)'!$AG$2:$AS$54,13,0)</f>
        <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(E48*(1-'Parameters calculator (hide)'!$B$43))*(1-'Parameters calculator (hide)'!$B$44+('Parameters calculator (hide)'!$B$45*'Parameters calculator (hide)'!$B$47))</f>
        <v>#DIV/0!</v>
      </c>
      <c r="N48" s="5" t="e">
        <f ca="1">(F48*(1-'Parameters calculator (hide)'!$B$43))*(1-'Parameters calculator (hide)'!$B$44+('Parameters calculator (hide)'!$B$45*'Parameters calculator (hide)'!$B$47))</f>
        <v>#VALUE!</v>
      </c>
      <c r="P48" s="5">
        <f t="shared" ca="1" si="3"/>
        <v>0</v>
      </c>
      <c r="Q48" s="5">
        <f t="shared" ca="1" si="4"/>
        <v>0</v>
      </c>
      <c r="R48" s="5">
        <f t="shared" ca="1" si="5"/>
        <v>0</v>
      </c>
      <c r="S48" s="5">
        <f t="shared" ca="1" si="6"/>
        <v>0</v>
      </c>
      <c r="T48" s="5" t="e">
        <f ca="1">M48/IF(Summary!$C$8&lt;&gt;"Patients",1,$I$9)</f>
        <v>#DIV/0!</v>
      </c>
      <c r="U48" s="5" t="e">
        <f ca="1">(IF(N48-M48=0,0.1,N48-M48)/IF(Summary!$C$8&lt;&gt;"Patients",1,$I$9))</f>
        <v>#VALUE!</v>
      </c>
      <c r="V48" s="5">
        <f t="shared" si="7"/>
        <v>0</v>
      </c>
      <c r="X48" s="5" t="e">
        <f ca="1">(VLOOKUP(D48,'SPC background (hide)'!$AG$2:$AN$54,8,0)/IF(Summary!$C$8&lt;&gt;"Patients",1,$I$9))*(1-$I$4)*(1-$I$5+($I$6*$I$7))</f>
        <v>#N/A</v>
      </c>
    </row>
    <row r="49" spans="1:24" x14ac:dyDescent="0.2">
      <c r="A49" s="88">
        <f t="shared" ca="1" si="8"/>
        <v>44746</v>
      </c>
      <c r="B49" s="68" t="str">
        <f t="shared" ca="1" si="10"/>
        <v/>
      </c>
      <c r="C49" s="68" t="str">
        <f t="shared" ca="1" si="9"/>
        <v>Jul</v>
      </c>
      <c r="D49" s="68">
        <f t="shared" ca="1" si="1"/>
        <v>27</v>
      </c>
      <c r="E49" s="5" t="e">
        <f ca="1">VLOOKUP($D49,'SPC background (hide)'!$AG$2:$AS$54,12,0)</f>
        <v>#DIV/0!</v>
      </c>
      <c r="F49" s="5" t="str">
        <f ca="1">VLOOKUP($D49,'SPC background (hide)'!$AG$2:$AS$54,13,0)</f>
        <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(E49*(1-'Parameters calculator (hide)'!$B$43))*(1-'Parameters calculator (hide)'!$B$44+('Parameters calculator (hide)'!$B$45*'Parameters calculator (hide)'!$B$47))</f>
        <v>#DIV/0!</v>
      </c>
      <c r="N49" s="5" t="e">
        <f ca="1">(F49*(1-'Parameters calculator (hide)'!$B$43))*(1-'Parameters calculator (hide)'!$B$44+('Parameters calculator (hide)'!$B$45*'Parameters calculator (hide)'!$B$47))</f>
        <v>#VALUE!</v>
      </c>
      <c r="P49" s="5">
        <f t="shared" ca="1" si="3"/>
        <v>0</v>
      </c>
      <c r="Q49" s="5">
        <f t="shared" ca="1" si="4"/>
        <v>0</v>
      </c>
      <c r="R49" s="5">
        <f t="shared" ca="1" si="5"/>
        <v>0</v>
      </c>
      <c r="S49" s="5">
        <f t="shared" ca="1" si="6"/>
        <v>0</v>
      </c>
      <c r="T49" s="5" t="e">
        <f ca="1">M49/IF(Summary!$C$8&lt;&gt;"Patients",1,$I$9)</f>
        <v>#DIV/0!</v>
      </c>
      <c r="U49" s="5" t="e">
        <f ca="1">(IF(N49-M49=0,0.1,N49-M49)/IF(Summary!$C$8&lt;&gt;"Patients",1,$I$9))</f>
        <v>#VALUE!</v>
      </c>
      <c r="V49" s="5">
        <f t="shared" si="7"/>
        <v>0</v>
      </c>
      <c r="X49" s="5" t="e">
        <f ca="1">(VLOOKUP(D49,'SPC background (hide)'!$AG$2:$AN$54,8,0)/IF(Summary!$C$8&lt;&gt;"Patients",1,$I$9))*(1-$I$4)*(1-$I$5+($I$6*$I$7))</f>
        <v>#N/A</v>
      </c>
    </row>
    <row r="50" spans="1:24" x14ac:dyDescent="0.2">
      <c r="A50" s="88">
        <f t="shared" ca="1" si="8"/>
        <v>44753</v>
      </c>
      <c r="B50" s="68" t="str">
        <f t="shared" ca="1" si="10"/>
        <v/>
      </c>
      <c r="C50" s="68" t="str">
        <f t="shared" ca="1" si="9"/>
        <v/>
      </c>
      <c r="D50" s="68">
        <f t="shared" ca="1" si="1"/>
        <v>28</v>
      </c>
      <c r="E50" s="5" t="e">
        <f ca="1">VLOOKUP($D50,'SPC background (hide)'!$AG$2:$AS$54,12,0)</f>
        <v>#DIV/0!</v>
      </c>
      <c r="F50" s="5" t="str">
        <f ca="1">VLOOKUP($D50,'SPC background (hide)'!$AG$2:$AS$54,13,0)</f>
        <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(E50*(1-'Parameters calculator (hide)'!$B$43))*(1-'Parameters calculator (hide)'!$B$44+('Parameters calculator (hide)'!$B$45*'Parameters calculator (hide)'!$B$47))</f>
        <v>#DIV/0!</v>
      </c>
      <c r="N50" s="5" t="e">
        <f ca="1">(F50*(1-'Parameters calculator (hide)'!$B$43))*(1-'Parameters calculator (hide)'!$B$44+('Parameters calculator (hide)'!$B$45*'Parameters calculator (hide)'!$B$47))</f>
        <v>#VALUE!</v>
      </c>
      <c r="P50" s="5">
        <f t="shared" ca="1" si="3"/>
        <v>0</v>
      </c>
      <c r="Q50" s="5">
        <f t="shared" ca="1" si="4"/>
        <v>0</v>
      </c>
      <c r="R50" s="5">
        <f t="shared" ca="1" si="5"/>
        <v>0</v>
      </c>
      <c r="S50" s="5">
        <f t="shared" ca="1" si="6"/>
        <v>0</v>
      </c>
      <c r="T50" s="5" t="e">
        <f ca="1">M50/IF(Summary!$C$8&lt;&gt;"Patients",1,$I$9)</f>
        <v>#DIV/0!</v>
      </c>
      <c r="U50" s="5" t="e">
        <f ca="1">(IF(N50-M50=0,0.1,N50-M50)/IF(Summary!$C$8&lt;&gt;"Patients",1,$I$9))</f>
        <v>#VALUE!</v>
      </c>
      <c r="V50" s="5">
        <f t="shared" si="7"/>
        <v>0</v>
      </c>
      <c r="X50" s="5" t="e">
        <f ca="1">(VLOOKUP(D50,'SPC background (hide)'!$AG$2:$AN$54,8,0)/IF(Summary!$C$8&lt;&gt;"Patients",1,$I$9))*(1-$I$4)*(1-$I$5+($I$6*$I$7))</f>
        <v>#N/A</v>
      </c>
    </row>
    <row r="51" spans="1:24" x14ac:dyDescent="0.2">
      <c r="A51" s="88">
        <f t="shared" ca="1" si="8"/>
        <v>44760</v>
      </c>
      <c r="B51" s="68" t="str">
        <f t="shared" ca="1" si="10"/>
        <v/>
      </c>
      <c r="C51" s="68" t="str">
        <f t="shared" ca="1" si="9"/>
        <v/>
      </c>
      <c r="D51" s="68">
        <f t="shared" ca="1" si="1"/>
        <v>29</v>
      </c>
      <c r="E51" s="5" t="e">
        <f ca="1">VLOOKUP($D51,'SPC background (hide)'!$AG$2:$AS$54,12,0)</f>
        <v>#DIV/0!</v>
      </c>
      <c r="F51" s="5" t="str">
        <f ca="1">VLOOKUP($D51,'SPC background (hide)'!$AG$2:$AS$54,13,0)</f>
        <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(E51*(1-'Parameters calculator (hide)'!$B$43))*(1-'Parameters calculator (hide)'!$B$44+('Parameters calculator (hide)'!$B$45*'Parameters calculator (hide)'!$B$47))</f>
        <v>#DIV/0!</v>
      </c>
      <c r="N51" s="5" t="e">
        <f ca="1">(F51*(1-'Parameters calculator (hide)'!$B$43))*(1-'Parameters calculator (hide)'!$B$44+('Parameters calculator (hide)'!$B$45*'Parameters calculator (hide)'!$B$47))</f>
        <v>#VALUE!</v>
      </c>
      <c r="P51" s="5">
        <f t="shared" ca="1" si="3"/>
        <v>0</v>
      </c>
      <c r="Q51" s="5">
        <f t="shared" ca="1" si="4"/>
        <v>0</v>
      </c>
      <c r="R51" s="5">
        <f t="shared" ca="1" si="5"/>
        <v>0</v>
      </c>
      <c r="S51" s="5">
        <f t="shared" ca="1" si="6"/>
        <v>0</v>
      </c>
      <c r="T51" s="5" t="e">
        <f ca="1">M51/IF(Summary!$C$8&lt;&gt;"Patients",1,$I$9)</f>
        <v>#DIV/0!</v>
      </c>
      <c r="U51" s="5" t="e">
        <f ca="1">(IF(N51-M51=0,0.1,N51-M51)/IF(Summary!$C$8&lt;&gt;"Patients",1,$I$9))</f>
        <v>#VALUE!</v>
      </c>
      <c r="V51" s="5">
        <f t="shared" si="7"/>
        <v>0</v>
      </c>
      <c r="X51" s="5" t="e">
        <f ca="1">(VLOOKUP(D51,'SPC background (hide)'!$AG$2:$AN$54,8,0)/IF(Summary!$C$8&lt;&gt;"Patients",1,$I$9))*(1-$I$4)*(1-$I$5+($I$6*$I$7))</f>
        <v>#N/A</v>
      </c>
    </row>
    <row r="52" spans="1:24" x14ac:dyDescent="0.2">
      <c r="A52" s="88">
        <f t="shared" ca="1" si="8"/>
        <v>44767</v>
      </c>
      <c r="B52" s="68" t="str">
        <f t="shared" ca="1" si="10"/>
        <v/>
      </c>
      <c r="C52" s="68" t="str">
        <f t="shared" ca="1" si="9"/>
        <v/>
      </c>
      <c r="D52" s="68">
        <f t="shared" ca="1" si="1"/>
        <v>30</v>
      </c>
      <c r="E52" s="5" t="e">
        <f ca="1">VLOOKUP($D52,'SPC background (hide)'!$AG$2:$AS$54,12,0)</f>
        <v>#DIV/0!</v>
      </c>
      <c r="F52" s="5" t="str">
        <f ca="1">VLOOKUP($D52,'SPC background (hide)'!$AG$2:$AS$54,13,0)</f>
        <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(E52*(1-'Parameters calculator (hide)'!$B$43))*(1-'Parameters calculator (hide)'!$B$44+('Parameters calculator (hide)'!$B$45*'Parameters calculator (hide)'!$B$47))</f>
        <v>#DIV/0!</v>
      </c>
      <c r="N52" s="5" t="e">
        <f ca="1">(F52*(1-'Parameters calculator (hide)'!$B$43))*(1-'Parameters calculator (hide)'!$B$44+('Parameters calculator (hide)'!$B$45*'Parameters calculator (hide)'!$B$47))</f>
        <v>#VALUE!</v>
      </c>
      <c r="P52" s="5">
        <f t="shared" ca="1" si="3"/>
        <v>0</v>
      </c>
      <c r="Q52" s="5">
        <f t="shared" ca="1" si="4"/>
        <v>0</v>
      </c>
      <c r="R52" s="5">
        <f t="shared" ca="1" si="5"/>
        <v>0</v>
      </c>
      <c r="S52" s="5">
        <f t="shared" ca="1" si="6"/>
        <v>0</v>
      </c>
      <c r="T52" s="5" t="e">
        <f ca="1">M52/IF(Summary!$C$8&lt;&gt;"Patients",1,$I$9)</f>
        <v>#DIV/0!</v>
      </c>
      <c r="U52" s="5" t="e">
        <f ca="1">(IF(N52-M52=0,0.1,N52-M52)/IF(Summary!$C$8&lt;&gt;"Patients",1,$I$9))</f>
        <v>#VALUE!</v>
      </c>
      <c r="V52" s="5">
        <f t="shared" si="7"/>
        <v>0</v>
      </c>
      <c r="X52" s="5" t="e">
        <f ca="1">(VLOOKUP(D52,'SPC background (hide)'!$AG$2:$AN$54,8,0)/IF(Summary!$C$8&lt;&gt;"Patients",1,$I$9))*(1-$I$4)*(1-$I$5+($I$6*$I$7))</f>
        <v>#N/A</v>
      </c>
    </row>
    <row r="53" spans="1:24" x14ac:dyDescent="0.2">
      <c r="A53" s="88">
        <f t="shared" ca="1" si="8"/>
        <v>44774</v>
      </c>
      <c r="B53" s="68" t="str">
        <f t="shared" ca="1" si="10"/>
        <v/>
      </c>
      <c r="C53" s="68" t="str">
        <f t="shared" ca="1" si="9"/>
        <v>Aug</v>
      </c>
      <c r="D53" s="68">
        <f t="shared" ca="1" si="1"/>
        <v>31</v>
      </c>
      <c r="E53" s="5" t="e">
        <f ca="1">VLOOKUP($D53,'SPC background (hide)'!$AG$2:$AS$54,12,0)</f>
        <v>#DIV/0!</v>
      </c>
      <c r="F53" s="5" t="str">
        <f ca="1">VLOOKUP($D53,'SPC background (hide)'!$AG$2:$AS$54,13,0)</f>
        <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(E53*(1-'Parameters calculator (hide)'!$B$43))*(1-'Parameters calculator (hide)'!$B$44+('Parameters calculator (hide)'!$B$45*'Parameters calculator (hide)'!$B$47))</f>
        <v>#DIV/0!</v>
      </c>
      <c r="N53" s="5" t="e">
        <f ca="1">(F53*(1-'Parameters calculator (hide)'!$B$43))*(1-'Parameters calculator (hide)'!$B$44+('Parameters calculator (hide)'!$B$45*'Parameters calculator (hide)'!$B$47))</f>
        <v>#VALUE!</v>
      </c>
      <c r="P53" s="5">
        <f t="shared" ca="1" si="3"/>
        <v>0</v>
      </c>
      <c r="Q53" s="5">
        <f t="shared" ca="1" si="4"/>
        <v>0</v>
      </c>
      <c r="R53" s="5">
        <f t="shared" ca="1" si="5"/>
        <v>0</v>
      </c>
      <c r="S53" s="5">
        <f t="shared" ca="1" si="6"/>
        <v>0</v>
      </c>
      <c r="T53" s="5" t="e">
        <f ca="1">M53/IF(Summary!$C$8&lt;&gt;"Patients",1,$I$9)</f>
        <v>#DIV/0!</v>
      </c>
      <c r="U53" s="5" t="e">
        <f ca="1">(IF(N53-M53=0,0.1,N53-M53)/IF(Summary!$C$8&lt;&gt;"Patients",1,$I$9))</f>
        <v>#VALUE!</v>
      </c>
      <c r="V53" s="5">
        <f t="shared" si="7"/>
        <v>0</v>
      </c>
      <c r="X53" s="5" t="e">
        <f ca="1">(VLOOKUP(D53,'SPC background (hide)'!$AG$2:$AN$54,8,0)/IF(Summary!$C$8&lt;&gt;"Patients",1,$I$9))*(1-$I$4)*(1-$I$5+($I$6*$I$7))</f>
        <v>#N/A</v>
      </c>
    </row>
    <row r="54" spans="1:24" x14ac:dyDescent="0.2">
      <c r="A54" s="88">
        <f t="shared" ca="1" si="8"/>
        <v>44781</v>
      </c>
      <c r="B54" s="68" t="str">
        <f t="shared" ca="1" si="10"/>
        <v/>
      </c>
      <c r="C54" s="68" t="str">
        <f t="shared" ca="1" si="9"/>
        <v/>
      </c>
      <c r="D54" s="68">
        <f t="shared" ca="1" si="1"/>
        <v>32</v>
      </c>
      <c r="E54" s="5" t="e">
        <f ca="1">VLOOKUP($D54,'SPC background (hide)'!$AG$2:$AS$54,12,0)</f>
        <v>#DIV/0!</v>
      </c>
      <c r="F54" s="5" t="str">
        <f ca="1">VLOOKUP($D54,'SPC background (hide)'!$AG$2:$AS$54,13,0)</f>
        <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(E54*(1-'Parameters calculator (hide)'!$B$43))*(1-'Parameters calculator (hide)'!$B$44+('Parameters calculator (hide)'!$B$45*'Parameters calculator (hide)'!$B$47))</f>
        <v>#DIV/0!</v>
      </c>
      <c r="N54" s="5" t="e">
        <f ca="1">(F54*(1-'Parameters calculator (hide)'!$B$43))*(1-'Parameters calculator (hide)'!$B$44+('Parameters calculator (hide)'!$B$45*'Parameters calculator (hide)'!$B$47))</f>
        <v>#VALUE!</v>
      </c>
      <c r="P54" s="5">
        <f t="shared" ca="1" si="3"/>
        <v>0</v>
      </c>
      <c r="Q54" s="5">
        <f t="shared" ca="1" si="4"/>
        <v>0</v>
      </c>
      <c r="R54" s="5">
        <f t="shared" ca="1" si="5"/>
        <v>0</v>
      </c>
      <c r="S54" s="5">
        <f t="shared" ca="1" si="6"/>
        <v>0</v>
      </c>
      <c r="T54" s="5" t="e">
        <f ca="1">M54/IF(Summary!$C$8&lt;&gt;"Patients",1,$I$9)</f>
        <v>#DIV/0!</v>
      </c>
      <c r="U54" s="5" t="e">
        <f ca="1">(IF(N54-M54=0,0.1,N54-M54)/IF(Summary!$C$8&lt;&gt;"Patients",1,$I$9))</f>
        <v>#VALUE!</v>
      </c>
      <c r="V54" s="5">
        <f t="shared" si="7"/>
        <v>0</v>
      </c>
      <c r="X54" s="5" t="e">
        <f ca="1">(VLOOKUP(D54,'SPC background (hide)'!$AG$2:$AN$54,8,0)/IF(Summary!$C$8&lt;&gt;"Patients",1,$I$9))*(1-$I$4)*(1-$I$5+($I$6*$I$7))</f>
        <v>#N/A</v>
      </c>
    </row>
    <row r="55" spans="1:24" x14ac:dyDescent="0.2">
      <c r="A55" s="88">
        <f t="shared" ca="1" si="8"/>
        <v>44788</v>
      </c>
      <c r="B55" s="68" t="str">
        <f t="shared" ca="1" si="10"/>
        <v/>
      </c>
      <c r="C55" s="68" t="str">
        <f t="shared" ca="1" si="9"/>
        <v/>
      </c>
      <c r="D55" s="68">
        <f t="shared" ca="1" si="1"/>
        <v>33</v>
      </c>
      <c r="E55" s="5" t="e">
        <f ca="1">VLOOKUP($D55,'SPC background (hide)'!$AG$2:$AS$54,12,0)</f>
        <v>#DIV/0!</v>
      </c>
      <c r="F55" s="5" t="str">
        <f ca="1">VLOOKUP($D55,'SPC background (hide)'!$AG$2:$AS$54,13,0)</f>
        <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(E55*(1-'Parameters calculator (hide)'!$B$43))*(1-'Parameters calculator (hide)'!$B$44+('Parameters calculator (hide)'!$B$45*'Parameters calculator (hide)'!$B$47))</f>
        <v>#DIV/0!</v>
      </c>
      <c r="N55" s="5" t="e">
        <f ca="1">(F55*(1-'Parameters calculator (hide)'!$B$43))*(1-'Parameters calculator (hide)'!$B$44+('Parameters calculator (hide)'!$B$45*'Parameters calculator (hide)'!$B$47))</f>
        <v>#VALUE!</v>
      </c>
      <c r="P55" s="5">
        <f t="shared" ca="1" si="3"/>
        <v>0</v>
      </c>
      <c r="Q55" s="5">
        <f t="shared" ca="1" si="4"/>
        <v>0</v>
      </c>
      <c r="R55" s="5">
        <f t="shared" ca="1" si="5"/>
        <v>0</v>
      </c>
      <c r="S55" s="5">
        <f t="shared" ca="1" si="6"/>
        <v>0</v>
      </c>
      <c r="T55" s="5" t="e">
        <f ca="1">M55/IF(Summary!$C$8&lt;&gt;"Patients",1,$I$9)</f>
        <v>#DIV/0!</v>
      </c>
      <c r="U55" s="5" t="e">
        <f ca="1">(IF(N55-M55=0,0.1,N55-M55)/IF(Summary!$C$8&lt;&gt;"Patients",1,$I$9))</f>
        <v>#VALUE!</v>
      </c>
      <c r="V55" s="5">
        <f t="shared" si="7"/>
        <v>0</v>
      </c>
      <c r="X55" s="5" t="e">
        <f ca="1">(VLOOKUP(D55,'SPC background (hide)'!$AG$2:$AN$54,8,0)/IF(Summary!$C$8&lt;&gt;"Patients",1,$I$9))*(1-$I$4)*(1-$I$5+($I$6*$I$7))</f>
        <v>#N/A</v>
      </c>
    </row>
    <row r="56" spans="1:24" x14ac:dyDescent="0.2">
      <c r="A56" s="88">
        <f t="shared" ca="1" si="8"/>
        <v>44795</v>
      </c>
      <c r="B56" s="68" t="str">
        <f t="shared" ca="1" si="10"/>
        <v/>
      </c>
      <c r="C56" s="68" t="str">
        <f t="shared" ca="1" si="9"/>
        <v/>
      </c>
      <c r="D56" s="68">
        <f t="shared" ca="1" si="1"/>
        <v>34</v>
      </c>
      <c r="E56" s="5" t="e">
        <f ca="1">VLOOKUP($D56,'SPC background (hide)'!$AG$2:$AS$54,12,0)</f>
        <v>#DIV/0!</v>
      </c>
      <c r="F56" s="5" t="str">
        <f ca="1">VLOOKUP($D56,'SPC background (hide)'!$AG$2:$AS$54,13,0)</f>
        <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(E56*(1-'Parameters calculator (hide)'!$B$43))*(1-'Parameters calculator (hide)'!$B$44+('Parameters calculator (hide)'!$B$45*'Parameters calculator (hide)'!$B$47))</f>
        <v>#DIV/0!</v>
      </c>
      <c r="N56" s="5" t="e">
        <f ca="1">(F56*(1-'Parameters calculator (hide)'!$B$43))*(1-'Parameters calculator (hide)'!$B$44+('Parameters calculator (hide)'!$B$45*'Parameters calculator (hide)'!$B$47))</f>
        <v>#VALUE!</v>
      </c>
      <c r="P56" s="5">
        <f t="shared" ca="1" si="3"/>
        <v>0</v>
      </c>
      <c r="Q56" s="5">
        <f t="shared" ca="1" si="4"/>
        <v>0</v>
      </c>
      <c r="R56" s="5">
        <f t="shared" ca="1" si="5"/>
        <v>0</v>
      </c>
      <c r="S56" s="5">
        <f t="shared" ca="1" si="6"/>
        <v>0</v>
      </c>
      <c r="T56" s="5" t="e">
        <f ca="1">M56/IF(Summary!$C$8&lt;&gt;"Patients",1,$I$9)</f>
        <v>#DIV/0!</v>
      </c>
      <c r="U56" s="5" t="e">
        <f ca="1">(IF(N56-M56=0,0.1,N56-M56)/IF(Summary!$C$8&lt;&gt;"Patients",1,$I$9))</f>
        <v>#VALUE!</v>
      </c>
      <c r="V56" s="5">
        <f t="shared" si="7"/>
        <v>0</v>
      </c>
      <c r="X56" s="5" t="e">
        <f ca="1">(VLOOKUP(D56,'SPC background (hide)'!$AG$2:$AN$54,8,0)/IF(Summary!$C$8&lt;&gt;"Patients",1,$I$9))*(1-$I$4)*(1-$I$5+($I$6*$I$7))</f>
        <v>#N/A</v>
      </c>
    </row>
    <row r="57" spans="1:24" x14ac:dyDescent="0.2">
      <c r="A57" s="88">
        <f t="shared" ca="1" si="8"/>
        <v>44802</v>
      </c>
      <c r="B57" s="68" t="str">
        <f t="shared" ca="1" si="10"/>
        <v/>
      </c>
      <c r="C57" s="68" t="str">
        <f t="shared" ca="1" si="9"/>
        <v/>
      </c>
      <c r="D57" s="68">
        <f t="shared" ca="1" si="1"/>
        <v>35</v>
      </c>
      <c r="E57" s="5" t="e">
        <f ca="1">VLOOKUP($D57,'SPC background (hide)'!$AG$2:$AS$54,12,0)</f>
        <v>#DIV/0!</v>
      </c>
      <c r="F57" s="5" t="str">
        <f ca="1">VLOOKUP($D57,'SPC background (hide)'!$AG$2:$AS$54,13,0)</f>
        <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(E57*(1-'Parameters calculator (hide)'!$B$43))*(1-'Parameters calculator (hide)'!$B$44+('Parameters calculator (hide)'!$B$45*'Parameters calculator (hide)'!$B$47))</f>
        <v>#DIV/0!</v>
      </c>
      <c r="N57" s="5" t="e">
        <f ca="1">(F57*(1-'Parameters calculator (hide)'!$B$43))*(1-'Parameters calculator (hide)'!$B$44+('Parameters calculator (hide)'!$B$45*'Parameters calculator (hide)'!$B$47))</f>
        <v>#VALUE!</v>
      </c>
      <c r="P57" s="5">
        <f t="shared" ca="1" si="3"/>
        <v>0</v>
      </c>
      <c r="Q57" s="5">
        <f t="shared" ca="1" si="4"/>
        <v>0</v>
      </c>
      <c r="R57" s="5">
        <f t="shared" ca="1" si="5"/>
        <v>0</v>
      </c>
      <c r="S57" s="5">
        <f t="shared" ca="1" si="6"/>
        <v>0</v>
      </c>
      <c r="T57" s="5" t="e">
        <f ca="1">M57/IF(Summary!$C$8&lt;&gt;"Patients",1,$I$9)</f>
        <v>#DIV/0!</v>
      </c>
      <c r="U57" s="5" t="e">
        <f ca="1">(IF(N57-M57=0,0.1,N57-M57)/IF(Summary!$C$8&lt;&gt;"Patients",1,$I$9))</f>
        <v>#VALUE!</v>
      </c>
      <c r="V57" s="5">
        <f t="shared" si="7"/>
        <v>0</v>
      </c>
      <c r="X57" s="5" t="e">
        <f ca="1">(VLOOKUP(D57,'SPC background (hide)'!$AG$2:$AN$54,8,0)/IF(Summary!$C$8&lt;&gt;"Patients",1,$I$9))*(1-$I$4)*(1-$I$5+($I$6*$I$7))</f>
        <v>#N/A</v>
      </c>
    </row>
    <row r="58" spans="1:24" x14ac:dyDescent="0.2">
      <c r="A58" s="88">
        <f t="shared" ca="1" si="8"/>
        <v>44809</v>
      </c>
      <c r="B58" s="68" t="str">
        <f t="shared" ca="1" si="10"/>
        <v/>
      </c>
      <c r="C58" s="68" t="str">
        <f t="shared" ca="1" si="9"/>
        <v>Sep</v>
      </c>
      <c r="D58" s="68">
        <f t="shared" ca="1" si="1"/>
        <v>36</v>
      </c>
      <c r="E58" s="5" t="e">
        <f ca="1">VLOOKUP($D58,'SPC background (hide)'!$AG$2:$AS$54,12,0)</f>
        <v>#DIV/0!</v>
      </c>
      <c r="F58" s="5" t="str">
        <f ca="1">VLOOKUP($D58,'SPC background (hide)'!$AG$2:$AS$54,13,0)</f>
        <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(E58*(1-'Parameters calculator (hide)'!$B$43))*(1-'Parameters calculator (hide)'!$B$44+('Parameters calculator (hide)'!$B$45*'Parameters calculator (hide)'!$B$47))</f>
        <v>#DIV/0!</v>
      </c>
      <c r="N58" s="5" t="e">
        <f ca="1">(F58*(1-'Parameters calculator (hide)'!$B$43))*(1-'Parameters calculator (hide)'!$B$44+('Parameters calculator (hide)'!$B$45*'Parameters calculator (hide)'!$B$47))</f>
        <v>#VALUE!</v>
      </c>
      <c r="P58" s="5">
        <f t="shared" ca="1" si="3"/>
        <v>0</v>
      </c>
      <c r="Q58" s="5">
        <f t="shared" ca="1" si="4"/>
        <v>0</v>
      </c>
      <c r="R58" s="5">
        <f t="shared" ca="1" si="5"/>
        <v>0</v>
      </c>
      <c r="S58" s="5">
        <f t="shared" ca="1" si="6"/>
        <v>0</v>
      </c>
      <c r="T58" s="5" t="e">
        <f ca="1">M58/IF(Summary!$C$8&lt;&gt;"Patients",1,$I$9)</f>
        <v>#DIV/0!</v>
      </c>
      <c r="U58" s="5" t="e">
        <f ca="1">(IF(N58-M58=0,0.1,N58-M58)/IF(Summary!$C$8&lt;&gt;"Patients",1,$I$9))</f>
        <v>#VALUE!</v>
      </c>
      <c r="V58" s="5">
        <f t="shared" si="7"/>
        <v>0</v>
      </c>
      <c r="X58" s="5" t="e">
        <f ca="1">(VLOOKUP(D58,'SPC background (hide)'!$AG$2:$AN$54,8,0)/IF(Summary!$C$8&lt;&gt;"Patients",1,$I$9))*(1-$I$4)*(1-$I$5+($I$6*$I$7))</f>
        <v>#N/A</v>
      </c>
    </row>
    <row r="59" spans="1:24" x14ac:dyDescent="0.2">
      <c r="A59" s="88">
        <f t="shared" ca="1" si="8"/>
        <v>44816</v>
      </c>
      <c r="B59" s="68" t="str">
        <f t="shared" ca="1" si="10"/>
        <v/>
      </c>
      <c r="C59" s="68" t="str">
        <f t="shared" ca="1" si="9"/>
        <v/>
      </c>
      <c r="D59" s="68">
        <f t="shared" ca="1" si="1"/>
        <v>37</v>
      </c>
      <c r="E59" s="5" t="e">
        <f ca="1">VLOOKUP($D59,'SPC background (hide)'!$AG$2:$AS$54,12,0)</f>
        <v>#DIV/0!</v>
      </c>
      <c r="F59" s="5" t="str">
        <f ca="1">VLOOKUP($D59,'SPC background (hide)'!$AG$2:$AS$54,13,0)</f>
        <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(E59*(1-'Parameters calculator (hide)'!$B$43))*(1-'Parameters calculator (hide)'!$B$44+('Parameters calculator (hide)'!$B$45*'Parameters calculator (hide)'!$B$47))</f>
        <v>#DIV/0!</v>
      </c>
      <c r="N59" s="5" t="e">
        <f ca="1">(F59*(1-'Parameters calculator (hide)'!$B$43))*(1-'Parameters calculator (hide)'!$B$44+('Parameters calculator (hide)'!$B$45*'Parameters calculator (hide)'!$B$47))</f>
        <v>#VALUE!</v>
      </c>
      <c r="P59" s="5">
        <f t="shared" ca="1" si="3"/>
        <v>0</v>
      </c>
      <c r="Q59" s="5">
        <f t="shared" ca="1" si="4"/>
        <v>0</v>
      </c>
      <c r="R59" s="5">
        <f t="shared" ca="1" si="5"/>
        <v>0</v>
      </c>
      <c r="S59" s="5">
        <f t="shared" ca="1" si="6"/>
        <v>0</v>
      </c>
      <c r="T59" s="5" t="e">
        <f ca="1">M59/IF(Summary!$C$8&lt;&gt;"Patients",1,$I$9)</f>
        <v>#DIV/0!</v>
      </c>
      <c r="U59" s="5" t="e">
        <f ca="1">(IF(N59-M59=0,0.1,N59-M59)/IF(Summary!$C$8&lt;&gt;"Patients",1,$I$9))</f>
        <v>#VALUE!</v>
      </c>
      <c r="V59" s="5">
        <f t="shared" si="7"/>
        <v>0</v>
      </c>
      <c r="X59" s="5" t="e">
        <f ca="1">(VLOOKUP(D59,'SPC background (hide)'!$AG$2:$AN$54,8,0)/IF(Summary!$C$8&lt;&gt;"Patients",1,$I$9))*(1-$I$4)*(1-$I$5+($I$6*$I$7))</f>
        <v>#N/A</v>
      </c>
    </row>
    <row r="60" spans="1:24" x14ac:dyDescent="0.2">
      <c r="A60" s="88">
        <f t="shared" ca="1" si="8"/>
        <v>44823</v>
      </c>
      <c r="B60" s="68" t="str">
        <f t="shared" ca="1" si="10"/>
        <v/>
      </c>
      <c r="C60" s="68" t="str">
        <f t="shared" ca="1" si="9"/>
        <v/>
      </c>
      <c r="D60" s="68">
        <f t="shared" ca="1" si="1"/>
        <v>38</v>
      </c>
      <c r="E60" s="5" t="e">
        <f ca="1">VLOOKUP($D60,'SPC background (hide)'!$AG$2:$AS$54,12,0)</f>
        <v>#DIV/0!</v>
      </c>
      <c r="F60" s="5" t="str">
        <f ca="1">VLOOKUP($D60,'SPC background (hide)'!$AG$2:$AS$54,13,0)</f>
        <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(E60*(1-'Parameters calculator (hide)'!$B$43))*(1-'Parameters calculator (hide)'!$B$44+('Parameters calculator (hide)'!$B$45*'Parameters calculator (hide)'!$B$47))</f>
        <v>#DIV/0!</v>
      </c>
      <c r="N60" s="5" t="e">
        <f ca="1">(F60*(1-'Parameters calculator (hide)'!$B$43))*(1-'Parameters calculator (hide)'!$B$44+('Parameters calculator (hide)'!$B$45*'Parameters calculator (hide)'!$B$47))</f>
        <v>#VALUE!</v>
      </c>
      <c r="P60" s="5">
        <f t="shared" ca="1" si="3"/>
        <v>0</v>
      </c>
      <c r="Q60" s="5">
        <f t="shared" ca="1" si="4"/>
        <v>0</v>
      </c>
      <c r="R60" s="5">
        <f t="shared" ca="1" si="5"/>
        <v>0</v>
      </c>
      <c r="S60" s="5">
        <f t="shared" ca="1" si="6"/>
        <v>0</v>
      </c>
      <c r="T60" s="5" t="e">
        <f ca="1">M60/IF(Summary!$C$8&lt;&gt;"Patients",1,$I$9)</f>
        <v>#DIV/0!</v>
      </c>
      <c r="U60" s="5" t="e">
        <f ca="1">(IF(N60-M60=0,0.1,N60-M60)/IF(Summary!$C$8&lt;&gt;"Patients",1,$I$9))</f>
        <v>#VALUE!</v>
      </c>
      <c r="V60" s="5">
        <f t="shared" si="7"/>
        <v>0</v>
      </c>
      <c r="X60" s="5" t="e">
        <f ca="1">(VLOOKUP(D60,'SPC background (hide)'!$AG$2:$AN$54,8,0)/IF(Summary!$C$8&lt;&gt;"Patients",1,$I$9))*(1-$I$4)*(1-$I$5+($I$6*$I$7))</f>
        <v>#N/A</v>
      </c>
    </row>
    <row r="61" spans="1:24" x14ac:dyDescent="0.2">
      <c r="A61" s="88">
        <f t="shared" ca="1" si="8"/>
        <v>44830</v>
      </c>
      <c r="B61" s="68" t="str">
        <f t="shared" ca="1" si="10"/>
        <v/>
      </c>
      <c r="C61" s="68" t="str">
        <f t="shared" ca="1" si="9"/>
        <v/>
      </c>
      <c r="D61" s="68">
        <f t="shared" ca="1" si="1"/>
        <v>39</v>
      </c>
      <c r="E61" s="5" t="e">
        <f ca="1">VLOOKUP($D61,'SPC background (hide)'!$AG$2:$AS$54,12,0)</f>
        <v>#DIV/0!</v>
      </c>
      <c r="F61" s="5" t="str">
        <f ca="1">VLOOKUP($D61,'SPC background (hide)'!$AG$2:$AS$54,13,0)</f>
        <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(E61*(1-'Parameters calculator (hide)'!$B$43))*(1-'Parameters calculator (hide)'!$B$44+('Parameters calculator (hide)'!$B$45*'Parameters calculator (hide)'!$B$47))</f>
        <v>#DIV/0!</v>
      </c>
      <c r="N61" s="5" t="e">
        <f ca="1">(F61*(1-'Parameters calculator (hide)'!$B$43))*(1-'Parameters calculator (hide)'!$B$44+('Parameters calculator (hide)'!$B$45*'Parameters calculator (hide)'!$B$47))</f>
        <v>#VALUE!</v>
      </c>
      <c r="P61" s="5">
        <f t="shared" ca="1" si="3"/>
        <v>0</v>
      </c>
      <c r="Q61" s="5">
        <f t="shared" ca="1" si="4"/>
        <v>0</v>
      </c>
      <c r="R61" s="5">
        <f t="shared" ca="1" si="5"/>
        <v>0</v>
      </c>
      <c r="S61" s="5">
        <f t="shared" ca="1" si="6"/>
        <v>0</v>
      </c>
      <c r="T61" s="5" t="e">
        <f ca="1">M61/IF(Summary!$C$8&lt;&gt;"Patients",1,$I$9)</f>
        <v>#DIV/0!</v>
      </c>
      <c r="U61" s="5" t="e">
        <f ca="1">(IF(N61-M61=0,0.1,N61-M61)/IF(Summary!$C$8&lt;&gt;"Patients",1,$I$9))</f>
        <v>#VALUE!</v>
      </c>
      <c r="V61" s="5">
        <f t="shared" si="7"/>
        <v>0</v>
      </c>
      <c r="X61" s="5" t="e">
        <f ca="1">(VLOOKUP(D61,'SPC background (hide)'!$AG$2:$AN$54,8,0)/IF(Summary!$C$8&lt;&gt;"Patients",1,$I$9))*(1-$I$4)*(1-$I$5+($I$6*$I$7))</f>
        <v>#N/A</v>
      </c>
    </row>
    <row r="62" spans="1:24" x14ac:dyDescent="0.2">
      <c r="A62" s="88">
        <f t="shared" ca="1" si="8"/>
        <v>44837</v>
      </c>
      <c r="B62" s="68" t="str">
        <f t="shared" ca="1" si="10"/>
        <v/>
      </c>
      <c r="C62" s="68" t="str">
        <f t="shared" ca="1" si="9"/>
        <v>Oct</v>
      </c>
      <c r="D62" s="68">
        <f t="shared" ca="1" si="1"/>
        <v>40</v>
      </c>
      <c r="E62" s="5" t="e">
        <f ca="1">VLOOKUP($D62,'SPC background (hide)'!$AG$2:$AS$54,12,0)</f>
        <v>#DIV/0!</v>
      </c>
      <c r="F62" s="5" t="str">
        <f ca="1">VLOOKUP($D62,'SPC background (hide)'!$AG$2:$AS$54,13,0)</f>
        <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(E62*(1-'Parameters calculator (hide)'!$B$43))*(1-'Parameters calculator (hide)'!$B$44+('Parameters calculator (hide)'!$B$45*'Parameters calculator (hide)'!$B$47))</f>
        <v>#DIV/0!</v>
      </c>
      <c r="N62" s="5" t="e">
        <f ca="1">(F62*(1-'Parameters calculator (hide)'!$B$43))*(1-'Parameters calculator (hide)'!$B$44+('Parameters calculator (hide)'!$B$45*'Parameters calculator (hide)'!$B$47))</f>
        <v>#VALUE!</v>
      </c>
      <c r="P62" s="5">
        <f t="shared" ca="1" si="3"/>
        <v>0</v>
      </c>
      <c r="Q62" s="5">
        <f t="shared" ca="1" si="4"/>
        <v>0</v>
      </c>
      <c r="R62" s="5">
        <f t="shared" ca="1" si="5"/>
        <v>0</v>
      </c>
      <c r="S62" s="5">
        <f t="shared" ca="1" si="6"/>
        <v>0</v>
      </c>
      <c r="T62" s="5" t="e">
        <f ca="1">M62/IF(Summary!$C$8&lt;&gt;"Patients",1,$I$9)</f>
        <v>#DIV/0!</v>
      </c>
      <c r="U62" s="5" t="e">
        <f ca="1">(IF(N62-M62=0,0.1,N62-M62)/IF(Summary!$C$8&lt;&gt;"Patients",1,$I$9))</f>
        <v>#VALUE!</v>
      </c>
      <c r="V62" s="5">
        <f t="shared" si="7"/>
        <v>0</v>
      </c>
      <c r="X62" s="5" t="e">
        <f ca="1">(VLOOKUP(D62,'SPC background (hide)'!$AG$2:$AN$54,8,0)/IF(Summary!$C$8&lt;&gt;"Patients",1,$I$9))*(1-$I$4)*(1-$I$5+($I$6*$I$7))</f>
        <v>#N/A</v>
      </c>
    </row>
    <row r="63" spans="1:24" x14ac:dyDescent="0.2">
      <c r="A63" s="88">
        <f t="shared" ca="1" si="8"/>
        <v>44844</v>
      </c>
      <c r="B63" s="68" t="str">
        <f t="shared" ca="1" si="10"/>
        <v/>
      </c>
      <c r="C63" s="68" t="str">
        <f t="shared" ca="1" si="9"/>
        <v/>
      </c>
      <c r="D63" s="68">
        <f t="shared" ca="1" si="1"/>
        <v>41</v>
      </c>
      <c r="E63" s="5" t="e">
        <f ca="1">VLOOKUP($D63,'SPC background (hide)'!$AG$2:$AS$54,12,0)</f>
        <v>#DIV/0!</v>
      </c>
      <c r="F63" s="5" t="str">
        <f ca="1">VLOOKUP($D63,'SPC background (hide)'!$AG$2:$AS$54,13,0)</f>
        <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(E63*(1-'Parameters calculator (hide)'!$B$43))*(1-'Parameters calculator (hide)'!$B$44+('Parameters calculator (hide)'!$B$45*'Parameters calculator (hide)'!$B$47))</f>
        <v>#DIV/0!</v>
      </c>
      <c r="N63" s="5" t="e">
        <f ca="1">(F63*(1-'Parameters calculator (hide)'!$B$43))*(1-'Parameters calculator (hide)'!$B$44+('Parameters calculator (hide)'!$B$45*'Parameters calculator (hide)'!$B$47))</f>
        <v>#VALUE!</v>
      </c>
      <c r="P63" s="5">
        <f t="shared" ca="1" si="3"/>
        <v>0</v>
      </c>
      <c r="Q63" s="5">
        <f t="shared" ca="1" si="4"/>
        <v>0</v>
      </c>
      <c r="R63" s="5">
        <f t="shared" ca="1" si="5"/>
        <v>0</v>
      </c>
      <c r="S63" s="5">
        <f t="shared" ca="1" si="6"/>
        <v>0</v>
      </c>
      <c r="T63" s="5" t="e">
        <f ca="1">M63/IF(Summary!$C$8&lt;&gt;"Patients",1,$I$9)</f>
        <v>#DIV/0!</v>
      </c>
      <c r="U63" s="5" t="e">
        <f ca="1">(IF(N63-M63=0,0.1,N63-M63)/IF(Summary!$C$8&lt;&gt;"Patients",1,$I$9))</f>
        <v>#VALUE!</v>
      </c>
      <c r="V63" s="5">
        <f t="shared" si="7"/>
        <v>0</v>
      </c>
      <c r="X63" s="5" t="e">
        <f ca="1">(VLOOKUP(D63,'SPC background (hide)'!$AG$2:$AN$54,8,0)/IF(Summary!$C$8&lt;&gt;"Patients",1,$I$9))*(1-$I$4)*(1-$I$5+($I$6*$I$7))</f>
        <v>#N/A</v>
      </c>
    </row>
    <row r="64" spans="1:24" x14ac:dyDescent="0.2">
      <c r="A64" s="88">
        <f t="shared" ca="1" si="8"/>
        <v>44851</v>
      </c>
      <c r="B64" s="68" t="str">
        <f t="shared" ca="1" si="10"/>
        <v/>
      </c>
      <c r="C64" s="68" t="str">
        <f t="shared" ca="1" si="9"/>
        <v/>
      </c>
      <c r="D64" s="68">
        <f t="shared" ca="1" si="1"/>
        <v>42</v>
      </c>
      <c r="E64" s="5" t="e">
        <f ca="1">VLOOKUP($D64,'SPC background (hide)'!$AG$2:$AS$54,12,0)</f>
        <v>#DIV/0!</v>
      </c>
      <c r="F64" s="5" t="str">
        <f ca="1">VLOOKUP($D64,'SPC background (hide)'!$AG$2:$AS$54,13,0)</f>
        <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(E64*(1-'Parameters calculator (hide)'!$B$43))*(1-'Parameters calculator (hide)'!$B$44+('Parameters calculator (hide)'!$B$45*'Parameters calculator (hide)'!$B$47))</f>
        <v>#DIV/0!</v>
      </c>
      <c r="N64" s="5" t="e">
        <f ca="1">(F64*(1-'Parameters calculator (hide)'!$B$43))*(1-'Parameters calculator (hide)'!$B$44+('Parameters calculator (hide)'!$B$45*'Parameters calculator (hide)'!$B$47))</f>
        <v>#VALUE!</v>
      </c>
      <c r="P64" s="5">
        <f t="shared" ca="1" si="3"/>
        <v>0</v>
      </c>
      <c r="Q64" s="5">
        <f t="shared" ca="1" si="4"/>
        <v>0</v>
      </c>
      <c r="R64" s="5">
        <f t="shared" ca="1" si="5"/>
        <v>0</v>
      </c>
      <c r="S64" s="5">
        <f t="shared" ca="1" si="6"/>
        <v>0</v>
      </c>
      <c r="T64" s="5" t="e">
        <f ca="1">M64/IF(Summary!$C$8&lt;&gt;"Patients",1,$I$9)</f>
        <v>#DIV/0!</v>
      </c>
      <c r="U64" s="5" t="e">
        <f ca="1">(IF(N64-M64=0,0.1,N64-M64)/IF(Summary!$C$8&lt;&gt;"Patients",1,$I$9))</f>
        <v>#VALUE!</v>
      </c>
      <c r="V64" s="5">
        <f t="shared" si="7"/>
        <v>0</v>
      </c>
      <c r="X64" s="5" t="e">
        <f ca="1">(VLOOKUP(D64,'SPC background (hide)'!$AG$2:$AN$54,8,0)/IF(Summary!$C$8&lt;&gt;"Patients",1,$I$9))*(1-$I$4)*(1-$I$5+($I$6*$I$7))</f>
        <v>#N/A</v>
      </c>
    </row>
    <row r="65" spans="1:24" x14ac:dyDescent="0.2">
      <c r="A65" s="88">
        <f t="shared" ca="1" si="8"/>
        <v>44858</v>
      </c>
      <c r="B65" s="68" t="str">
        <f t="shared" ca="1" si="10"/>
        <v/>
      </c>
      <c r="C65" s="68" t="str">
        <f t="shared" ca="1" si="9"/>
        <v/>
      </c>
      <c r="D65" s="68">
        <f t="shared" ca="1" si="1"/>
        <v>43</v>
      </c>
      <c r="E65" s="5" t="e">
        <f ca="1">VLOOKUP($D65,'SPC background (hide)'!$AG$2:$AS$54,12,0)</f>
        <v>#DIV/0!</v>
      </c>
      <c r="F65" s="5" t="str">
        <f ca="1">VLOOKUP($D65,'SPC background (hide)'!$AG$2:$AS$54,13,0)</f>
        <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(E65*(1-'Parameters calculator (hide)'!$B$43))*(1-'Parameters calculator (hide)'!$B$44+('Parameters calculator (hide)'!$B$45*'Parameters calculator (hide)'!$B$47))</f>
        <v>#DIV/0!</v>
      </c>
      <c r="N65" s="5" t="e">
        <f ca="1">(F65*(1-'Parameters calculator (hide)'!$B$43))*(1-'Parameters calculator (hide)'!$B$44+('Parameters calculator (hide)'!$B$45*'Parameters calculator (hide)'!$B$47))</f>
        <v>#VALUE!</v>
      </c>
      <c r="P65" s="5">
        <f t="shared" ca="1" si="3"/>
        <v>0</v>
      </c>
      <c r="Q65" s="5">
        <f t="shared" ca="1" si="4"/>
        <v>0</v>
      </c>
      <c r="R65" s="5">
        <f t="shared" ca="1" si="5"/>
        <v>0</v>
      </c>
      <c r="S65" s="5">
        <f t="shared" ca="1" si="6"/>
        <v>0</v>
      </c>
      <c r="T65" s="5" t="e">
        <f ca="1">M65/IF(Summary!$C$8&lt;&gt;"Patients",1,$I$9)</f>
        <v>#DIV/0!</v>
      </c>
      <c r="U65" s="5" t="e">
        <f ca="1">(IF(N65-M65=0,0.1,N65-M65)/IF(Summary!$C$8&lt;&gt;"Patients",1,$I$9))</f>
        <v>#VALUE!</v>
      </c>
      <c r="V65" s="5">
        <f t="shared" si="7"/>
        <v>0</v>
      </c>
      <c r="X65" s="5" t="e">
        <f ca="1">(VLOOKUP(D65,'SPC background (hide)'!$AG$2:$AN$54,8,0)/IF(Summary!$C$8&lt;&gt;"Patients",1,$I$9))*(1-$I$4)*(1-$I$5+($I$6*$I$7))</f>
        <v>#N/A</v>
      </c>
    </row>
    <row r="66" spans="1:24" x14ac:dyDescent="0.2">
      <c r="A66" s="88">
        <f t="shared" ca="1" si="8"/>
        <v>44865</v>
      </c>
      <c r="B66" s="68" t="str">
        <f t="shared" ca="1" si="10"/>
        <v/>
      </c>
      <c r="C66" s="68" t="str">
        <f ca="1">IF(TEXT(A66,"MMM")&lt;&gt;TEXT(A65,"MMM"),TEXT(A66,"MMM"),"")</f>
        <v/>
      </c>
      <c r="D66" s="68">
        <f t="shared" ca="1" si="1"/>
        <v>44</v>
      </c>
      <c r="E66" s="5" t="e">
        <f ca="1">VLOOKUP($D66,'SPC background (hide)'!$AG$2:$AS$54,12,0)</f>
        <v>#DIV/0!</v>
      </c>
      <c r="F66" s="5" t="str">
        <f ca="1">VLOOKUP($D66,'SPC background (hide)'!$AG$2:$AS$54,13,0)</f>
        <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(E66*(1-'Parameters calculator (hide)'!$B$43))*(1-'Parameters calculator (hide)'!$B$44+('Parameters calculator (hide)'!$B$45*'Parameters calculator (hide)'!$B$47))</f>
        <v>#DIV/0!</v>
      </c>
      <c r="N66" s="5" t="e">
        <f ca="1">(F66*(1-'Parameters calculator (hide)'!$B$43))*(1-'Parameters calculator (hide)'!$B$44+('Parameters calculator (hide)'!$B$45*'Parameters calculator (hide)'!$B$47))</f>
        <v>#VALUE!</v>
      </c>
      <c r="P66" s="5">
        <f t="shared" ca="1" si="3"/>
        <v>0</v>
      </c>
      <c r="Q66" s="5">
        <f t="shared" ca="1" si="4"/>
        <v>0</v>
      </c>
      <c r="R66" s="5">
        <f t="shared" ca="1" si="5"/>
        <v>0</v>
      </c>
      <c r="S66" s="5">
        <f t="shared" ca="1" si="6"/>
        <v>0</v>
      </c>
      <c r="T66" s="5" t="e">
        <f ca="1">M66/IF(Summary!$C$8&lt;&gt;"Patients",1,$I$9)</f>
        <v>#DIV/0!</v>
      </c>
      <c r="U66" s="5" t="e">
        <f ca="1">(IF(N66-M66=0,0.1,N66-M66)/IF(Summary!$C$8&lt;&gt;"Patients",1,$I$9))</f>
        <v>#VALUE!</v>
      </c>
      <c r="V66" s="5">
        <f t="shared" si="7"/>
        <v>0</v>
      </c>
      <c r="X66" s="5" t="e">
        <f ca="1">(VLOOKUP(D66,'SPC background (hide)'!$AG$2:$AN$54,8,0)/IF(Summary!$C$8&lt;&gt;"Patients",1,$I$9))*(1-$I$4)*(1-$I$5+($I$6*$I$7))</f>
        <v>#N/A</v>
      </c>
    </row>
    <row r="67" spans="1:24" x14ac:dyDescent="0.2">
      <c r="A67" s="303">
        <f t="shared" ca="1" si="8"/>
        <v>44872</v>
      </c>
      <c r="B67" s="68" t="str">
        <f t="shared" ref="B67" ca="1" si="11">IF(YEAR(A67)&lt;&gt;YEAR(A66),YEAR(A67),"")</f>
        <v/>
      </c>
      <c r="C67" s="68" t="str">
        <f t="shared" ref="C67" ca="1" si="12">IF(TEXT(A67,"MMM")&lt;&gt;TEXT(A66,"MMM"),TEXT(A67,"MMM"),"")</f>
        <v>Nov</v>
      </c>
      <c r="D67" s="60">
        <f ca="1">IF(MAX(D15:D66)=53,WEEKNUM(A67,21),53)</f>
        <v>53</v>
      </c>
      <c r="E67" s="5" t="e">
        <f ca="1">VLOOKUP($D67,'SPC background (hide)'!$AG$2:$AS$54,12,0)</f>
        <v>#DIV/0!</v>
      </c>
      <c r="F67" s="5" t="str">
        <f ca="1">VLOOKUP($D67,'SPC background (hide)'!$AG$2:$AS$54,13,0)</f>
        <v/>
      </c>
      <c r="G67" s="5" t="str">
        <f>IF(Setup!$I$15="Yes",VLOOKUP(D67,'SPC background (hide)'!$AG$2:$AT$54,14,0)/IF(Summary!$C$8="Patients",'Summary Calculations (hide)'!$I$9,1),"")</f>
        <v/>
      </c>
      <c r="H67" s="68" t="str">
        <f>IF(Setup!$I$13="Yes",'Planned background (hide)'!$V$23/IF(Summary!$C$8="Patients",'Summary Calculations (hide)'!$I$9,1),"")</f>
        <v/>
      </c>
      <c r="I67" s="305">
        <f ca="1">IF(D67=53,HLOOKUP(52,'Capacity calculation (hide)'!$BK$3:$DJ$4,2,0),I66)</f>
        <v>0</v>
      </c>
      <c r="J67" s="305">
        <f ca="1">IF(D67=53,HLOOKUP(52,'Capacity calculation (hide)'!$BK$110:$DJ$111,2,0),J66)</f>
        <v>0</v>
      </c>
      <c r="K67" s="5">
        <f ca="1">IF(I67-IF(Setup!$I$15="Yes",$G67,0)-IF(Setup!$I$13="Yes",$H67,0)&lt;0,0,I67-IF(Setup!$I$15="Yes",$G67,0)-IF(Setup!$I$13="Yes",$H67,0))</f>
        <v>0</v>
      </c>
      <c r="L67" s="5">
        <f t="shared" ref="L67" ca="1" si="13">J67</f>
        <v>0</v>
      </c>
      <c r="M67" s="5" t="e">
        <f ca="1">(E67*(1-'Parameters calculator (hide)'!$B$43))*(1-'Parameters calculator (hide)'!$B$44+('Parameters calculator (hide)'!$B$45*'Parameters calculator (hide)'!$B$47))</f>
        <v>#DIV/0!</v>
      </c>
      <c r="N67" s="5" t="e">
        <f ca="1">(F67*(1-'Parameters calculator (hide)'!$B$43))*(1-'Parameters calculator (hide)'!$B$44+('Parameters calculator (hide)'!$B$45*'Parameters calculator (hide)'!$B$47))</f>
        <v>#VALUE!</v>
      </c>
      <c r="O67" s="68"/>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#DIV/0!</v>
      </c>
      <c r="U67" s="5" t="e">
        <f ca="1">(IF(N67-M67=0,0.1,N67-M67)/IF(Summary!$C$8&lt;&gt;"Patients",1,$I$9))</f>
        <v>#VALUE!</v>
      </c>
      <c r="V67" s="5">
        <f t="shared" ref="V67" si="18">SUM(G67:H67)</f>
        <v>0</v>
      </c>
      <c r="W67" s="68"/>
      <c r="X67" s="5" t="e">
        <f ca="1">(VLOOKUP(D67,'SPC background (hide)'!$AG$2:$AN$54,8,0)/IF(Summary!$C$8&lt;&gt;"Patients",1,$I$9))*(1-$I$4)*(1-$I$5+($I$6*$I$7))</f>
        <v>#N/A</v>
      </c>
    </row>
    <row r="68" spans="1:24" s="68" customFormat="1" x14ac:dyDescent="0.2">
      <c r="X68" s="5"/>
    </row>
    <row r="69" spans="1:24" x14ac:dyDescent="0.2">
      <c r="X69" s="5"/>
    </row>
    <row r="70" spans="1:24" x14ac:dyDescent="0.2">
      <c r="D70" t="s">
        <v>292</v>
      </c>
      <c r="E70" s="5" t="e">
        <f ca="1">AVERAGE(E15:E67)</f>
        <v>#DIV/0!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6" t="e">
        <f ca="1">AVERAGE(M15:M67)/IF(Summary!$C$8&lt;&gt;"Patients",1,$I$9)</f>
        <v>#DIV/0!</v>
      </c>
      <c r="N70" s="106" t="e">
        <f ca="1">AVERAGE(N15:N67)/IF(Summary!$C$8&lt;&gt;"Patients",1,$I$9)</f>
        <v>#VALUE!</v>
      </c>
      <c r="R70" s="5">
        <f ca="1">AVERAGE(R15:R67)</f>
        <v>0</v>
      </c>
      <c r="S70" s="5">
        <f ca="1">AVERAGE(S15:S67)</f>
        <v>0</v>
      </c>
      <c r="V70" s="106">
        <f>IF(AND(Setup!$I$13="No",Setup!$I$15="No"),0,IF(H70&lt;&gt;"",H70,0)+IF(G70&lt;&gt;"",G70,0))</f>
        <v>0</v>
      </c>
      <c r="X70" s="5" t="e">
        <f ca="1">AVERAGE(X15:X67)</f>
        <v>#N/A</v>
      </c>
    </row>
    <row r="71" spans="1:24" x14ac:dyDescent="0.2">
      <c r="E71" s="61"/>
      <c r="I71" t="s">
        <v>310</v>
      </c>
      <c r="K71" s="106">
        <f ca="1">(K70)/IF(Summary!$C$8&lt;&gt;"Patients",1,$I$9)</f>
        <v>0</v>
      </c>
      <c r="L71" s="106">
        <f ca="1">(L70)/IF(Summary!$C$8&lt;&gt;"Patients",1,$I$9)</f>
        <v>0</v>
      </c>
      <c r="M71" s="5"/>
      <c r="N71" s="5" t="e">
        <f ca="1">IF(N70-M70=0,0.1,N70-M70)</f>
        <v>#VALUE!</v>
      </c>
      <c r="R71" s="5">
        <f ca="1">SUM(R15:R67)</f>
        <v>0</v>
      </c>
      <c r="S71" s="5">
        <f ca="1">SUM(S15:S67)</f>
        <v>0</v>
      </c>
      <c r="V71" s="5">
        <f>SUM(V15:V67)</f>
        <v>0</v>
      </c>
      <c r="X71" s="5" t="e">
        <f ca="1">SUM(X15:X67)</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1138</v>
      </c>
    </row>
    <row r="3" spans="1:29" x14ac:dyDescent="0.2">
      <c r="A3" t="s">
        <v>1124</v>
      </c>
      <c r="B3" s="308">
        <f>Summary!$D$42</f>
        <v>0</v>
      </c>
      <c r="H3" t="s">
        <v>155</v>
      </c>
      <c r="I3" t="s">
        <v>150</v>
      </c>
      <c r="J3" t="s">
        <v>151</v>
      </c>
      <c r="K3" t="s">
        <v>158</v>
      </c>
      <c r="L3" t="s">
        <v>1136</v>
      </c>
      <c r="M3" t="s">
        <v>534</v>
      </c>
      <c r="N3" t="s">
        <v>1137</v>
      </c>
    </row>
    <row r="4" spans="1:29" x14ac:dyDescent="0.2">
      <c r="A4" t="s">
        <v>1125</v>
      </c>
      <c r="B4" s="308">
        <f>Summary!$D$43</f>
        <v>0</v>
      </c>
      <c r="H4">
        <v>1</v>
      </c>
      <c r="I4">
        <f>'SPC background (hide)'!L4</f>
        <v>1</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77</v>
      </c>
      <c r="B5" s="3" t="e">
        <f ca="1">'Summary Calculations (hide)'!I4</f>
        <v>#N/A</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
      <c r="A6" t="s">
        <v>1126</v>
      </c>
      <c r="B6" s="3" t="e">
        <f ca="1">'Summary Calculations (hide)'!I5</f>
        <v>#N/A</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
      <c r="A7" t="s">
        <v>101</v>
      </c>
      <c r="B7" s="3" t="e">
        <f ca="1">'Summary Calculations (hide)'!I6</f>
        <v>#N/A</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
      <c r="A8" t="s">
        <v>421</v>
      </c>
      <c r="B8" s="3">
        <f ca="1">'Summary Calculations (hide)'!I7</f>
        <v>1</v>
      </c>
      <c r="H8" s="68">
        <v>5</v>
      </c>
      <c r="I8" s="68">
        <f ca="1">'SPC background (hide)'!L8</f>
        <v>2</v>
      </c>
      <c r="J8" s="68">
        <f ca="1">'SPC background (hide)'!M8</f>
        <v>52</v>
      </c>
      <c r="K8" s="5">
        <f ca="1">'SPC background (hide)'!O8</f>
        <v>0</v>
      </c>
      <c r="L8" s="68" t="str">
        <f ca="1">IFERROR(VLOOKUP(H8,'SPC background (hide)'!$AI$2:$AJ$54,2,FALSE),"")</f>
        <v/>
      </c>
      <c r="M8" s="5" t="e">
        <f ca="1">'SPC background (hide)'!P8</f>
        <v>#DIV/0!</v>
      </c>
      <c r="N8" s="5" t="str">
        <f ca="1">'SPC background (hide)'!Q8</f>
        <v/>
      </c>
    </row>
    <row r="10" spans="1:29" x14ac:dyDescent="0.2">
      <c r="A10" t="s">
        <v>1158</v>
      </c>
      <c r="B10" s="3"/>
      <c r="H10" t="s">
        <v>1135</v>
      </c>
      <c r="T10" t="s">
        <v>1141</v>
      </c>
    </row>
    <row r="11" spans="1:29" x14ac:dyDescent="0.2">
      <c r="A11" t="s">
        <v>1127</v>
      </c>
      <c r="B11" s="3" t="e">
        <f ca="1">(1-B5)*(1-(B6+B7))</f>
        <v>#N/A</v>
      </c>
      <c r="C11" s="52" t="s">
        <v>1154</v>
      </c>
      <c r="D11" t="s">
        <v>1148</v>
      </c>
      <c r="T11" t="s">
        <v>1142</v>
      </c>
      <c r="U11" t="s">
        <v>1143</v>
      </c>
      <c r="V11" t="s">
        <v>1144</v>
      </c>
      <c r="W11" t="s">
        <v>1145</v>
      </c>
      <c r="X11" t="s">
        <v>1146</v>
      </c>
      <c r="Y11" t="s">
        <v>1147</v>
      </c>
      <c r="Z11" t="s">
        <v>158</v>
      </c>
      <c r="AA11" t="s">
        <v>1151</v>
      </c>
      <c r="AB11" t="s">
        <v>1152</v>
      </c>
      <c r="AC11" t="s">
        <v>1153</v>
      </c>
    </row>
    <row r="12" spans="1:29" x14ac:dyDescent="0.2">
      <c r="A12" t="s">
        <v>1128</v>
      </c>
      <c r="B12" s="3" t="e">
        <f ca="1">(1-B5) * (B7*B8)</f>
        <v>#N/A</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2">
      <c r="A13" t="s">
        <v>1132</v>
      </c>
      <c r="B13" s="3" t="e">
        <f ca="1">B11+B12</f>
        <v>#N/A</v>
      </c>
      <c r="C13" s="52" t="s">
        <v>1133</v>
      </c>
      <c r="H13" s="303">
        <f ca="1">'Summary Calculations (hide)'!A15</f>
        <v>44508</v>
      </c>
      <c r="I13">
        <f ca="1">'Summary Calculations (hide)'!B15</f>
        <v>2021</v>
      </c>
      <c r="J13" t="str">
        <f ca="1">'Summary Calculations (hide)'!C15</f>
        <v>Nov</v>
      </c>
      <c r="K13">
        <f ca="1">'Summary Calculations (hide)'!D15</f>
        <v>45</v>
      </c>
      <c r="L13">
        <f ca="1">VLOOKUP($K13,'SPC background (hide)'!$AG$2:$AS$54,3,0)</f>
        <v>5</v>
      </c>
      <c r="M13" t="e">
        <f ca="1">((VLOOKUP(L13,$H$4:$N$8,4,FALSE)*(1-$B$5)*(1-$B$6+($B$7*$B$8))))</f>
        <v>#N/A</v>
      </c>
      <c r="N13" s="68" t="e">
        <f ca="1">((VLOOKUP(L13,$H$4:$N$8,5,FALSE)*(1-$B$5)*(1-$B$6+($B$7*$B$8))))</f>
        <v>#VALUE!</v>
      </c>
      <c r="R13" s="5">
        <f ca="1">(VLOOKUP(K13,'Summary Calculations (hide)'!$D$15:$L$67,8,0)+VLOOKUP(K13,'Summary Calculations (hide)'!$D$15:$L$67,9,0))*IF(Summary!$C$8="Patients",'Summary Calculations (hide)'!$I$9,1)</f>
        <v>0</v>
      </c>
      <c r="AA13" t="e">
        <f ca="1">IF(Summary!$C$8="Patients", 'Parameters calculator (hide)'!$H$63,'Parameters calculator (hide)'!$H$62)</f>
        <v>#VALUE!</v>
      </c>
      <c r="AB13" s="68" t="e">
        <f ca="1">IF(Summary!$C$8="Patients", 'Parameters calculator (hide)'!$I$63,'Parameters calculator (hide)'!$I$62)</f>
        <v>#VALUE!</v>
      </c>
      <c r="AC13" t="e">
        <f ca="1">AB13-AA13</f>
        <v>#VALUE!</v>
      </c>
    </row>
    <row r="14" spans="1:29" x14ac:dyDescent="0.2">
      <c r="A14" t="s">
        <v>1129</v>
      </c>
      <c r="B14" s="3" t="e">
        <f ca="1">1 - B7</f>
        <v>#N/A</v>
      </c>
      <c r="C14" s="52" t="s">
        <v>1156</v>
      </c>
      <c r="H14" s="303">
        <f ca="1">'Summary Calculations (hide)'!A16</f>
        <v>44515</v>
      </c>
      <c r="I14" t="str">
        <f ca="1">'Summary Calculations (hide)'!B16</f>
        <v/>
      </c>
      <c r="J14" t="str">
        <f ca="1">'Summary Calculations (hide)'!C16</f>
        <v/>
      </c>
      <c r="K14">
        <f ca="1">'Summary Calculations (hide)'!D16</f>
        <v>46</v>
      </c>
      <c r="L14" s="68">
        <f ca="1">VLOOKUP($K14,'SPC background (hide)'!$AG$2:$AS$54,3,0)</f>
        <v>5</v>
      </c>
      <c r="M14" s="68" t="e">
        <f t="shared" ref="M14:M64" ca="1" si="0">((VLOOKUP(L14,$H$4:$N$8,4,FALSE)*(1-$B$5)*(1-$B$6+($B$7*$B$8))))</f>
        <v>#N/A</v>
      </c>
      <c r="N14" s="68" t="e">
        <f t="shared" ref="N14:N64" ca="1" si="1">((VLOOKUP(L14,$H$4:$N$8,5,FALSE)*(1-$B$5)*(1-$B$6+($B$7*$B$8))))</f>
        <v>#VALUE!</v>
      </c>
      <c r="O14" s="68"/>
      <c r="P14" s="68"/>
      <c r="Q14" s="68"/>
      <c r="R14" s="5">
        <f ca="1">(VLOOKUP(K14,'Summary Calculations (hide)'!$D$15:$L$67,8,0)+VLOOKUP(K14,'Summary Calculations (hide)'!$D$15:$L$67,9,0))*IF(Summary!$C$8="Patients",'Summary Calculations (hide)'!$I$9,1)</f>
        <v>0</v>
      </c>
      <c r="AA14" s="68" t="e">
        <f ca="1">IF(Summary!$C$8="Patients", 'Parameters calculator (hide)'!$H$63,'Parameters calculator (hide)'!$H$62)</f>
        <v>#VALUE!</v>
      </c>
      <c r="AB14" s="68" t="e">
        <f ca="1">IF(Summary!$C$8="Patients", 'Parameters calculator (hide)'!$I$63,'Parameters calculator (hide)'!$I$62)</f>
        <v>#VALUE!</v>
      </c>
      <c r="AC14" s="68" t="e">
        <f t="shared" ref="AC14:AC64" ca="1" si="2">AB14-AA14</f>
        <v>#VALUE!</v>
      </c>
    </row>
    <row r="15" spans="1:29" x14ac:dyDescent="0.2">
      <c r="A15" t="s">
        <v>1130</v>
      </c>
      <c r="B15" s="3" t="e">
        <f ca="1">B7*B8</f>
        <v>#N/A</v>
      </c>
      <c r="C15" s="52" t="s">
        <v>1157</v>
      </c>
      <c r="H15" s="303">
        <f ca="1">'Summary Calculations (hide)'!A17</f>
        <v>44522</v>
      </c>
      <c r="I15" t="str">
        <f ca="1">'Summary Calculations (hide)'!B17</f>
        <v/>
      </c>
      <c r="J15" t="str">
        <f ca="1">'Summary Calculations (hide)'!C17</f>
        <v/>
      </c>
      <c r="K15">
        <f ca="1">'Summary Calculations (hide)'!D17</f>
        <v>47</v>
      </c>
      <c r="L15" s="68">
        <f ca="1">VLOOKUP($K15,'SPC background (hide)'!$AG$2:$AS$54,3,0)</f>
        <v>5</v>
      </c>
      <c r="M15" s="68" t="e">
        <f t="shared" ca="1" si="0"/>
        <v>#N/A</v>
      </c>
      <c r="N15" s="68" t="e">
        <f t="shared" ca="1" si="1"/>
        <v>#VALUE!</v>
      </c>
      <c r="O15" s="68"/>
      <c r="P15" s="68"/>
      <c r="Q15" s="68"/>
      <c r="R15" s="5">
        <f ca="1">(VLOOKUP(K15,'Summary Calculations (hide)'!$D$15:$L$67,8,0)+VLOOKUP(K15,'Summary Calculations (hide)'!$D$15:$L$67,9,0))*IF(Summary!$C$8="Patients",'Summary Calculations (hide)'!$I$9,1)</f>
        <v>0</v>
      </c>
      <c r="AA15" s="68" t="e">
        <f ca="1">IF(Summary!$C$8="Patients", 'Parameters calculator (hide)'!$H$63,'Parameters calculator (hide)'!$H$62)</f>
        <v>#VALUE!</v>
      </c>
      <c r="AB15" s="68" t="e">
        <f ca="1">IF(Summary!$C$8="Patients", 'Parameters calculator (hide)'!$I$63,'Parameters calculator (hide)'!$I$62)</f>
        <v>#VALUE!</v>
      </c>
      <c r="AC15" s="68" t="e">
        <f t="shared" ca="1" si="2"/>
        <v>#VALUE!</v>
      </c>
    </row>
    <row r="16" spans="1:29" x14ac:dyDescent="0.2">
      <c r="A16" t="s">
        <v>1140</v>
      </c>
      <c r="B16" s="3" t="e">
        <f ca="1">B14+B15</f>
        <v>#N/A</v>
      </c>
      <c r="C16" s="52" t="s">
        <v>1134</v>
      </c>
      <c r="H16" s="303">
        <f ca="1">'Summary Calculations (hide)'!A18</f>
        <v>44529</v>
      </c>
      <c r="I16" t="str">
        <f ca="1">'Summary Calculations (hide)'!B18</f>
        <v/>
      </c>
      <c r="J16" t="str">
        <f ca="1">'Summary Calculations (hide)'!C18</f>
        <v/>
      </c>
      <c r="K16">
        <f ca="1">'Summary Calculations (hide)'!D18</f>
        <v>48</v>
      </c>
      <c r="L16" s="68">
        <f ca="1">VLOOKUP($K16,'SPC background (hide)'!$AG$2:$AS$54,3,0)</f>
        <v>5</v>
      </c>
      <c r="M16" s="68" t="e">
        <f t="shared" ca="1" si="0"/>
        <v>#N/A</v>
      </c>
      <c r="N16" s="68" t="e">
        <f t="shared" ca="1" si="1"/>
        <v>#VALUE!</v>
      </c>
      <c r="O16" s="68"/>
      <c r="P16" s="68"/>
      <c r="Q16" s="68"/>
      <c r="R16" s="5">
        <f ca="1">(VLOOKUP(K16,'Summary Calculations (hide)'!$D$15:$L$67,8,0)+VLOOKUP(K16,'Summary Calculations (hide)'!$D$15:$L$67,9,0))*IF(Summary!$C$8="Patients",'Summary Calculations (hide)'!$I$9,1)</f>
        <v>0</v>
      </c>
      <c r="AA16" s="68" t="e">
        <f ca="1">IF(Summary!$C$8="Patients", 'Parameters calculator (hide)'!$H$63,'Parameters calculator (hide)'!$H$62)</f>
        <v>#VALUE!</v>
      </c>
      <c r="AB16" s="68" t="e">
        <f ca="1">IF(Summary!$C$8="Patients", 'Parameters calculator (hide)'!$I$63,'Parameters calculator (hide)'!$I$62)</f>
        <v>#VALUE!</v>
      </c>
      <c r="AC16" s="68" t="e">
        <f t="shared" ca="1" si="2"/>
        <v>#VALUE!</v>
      </c>
    </row>
    <row r="17" spans="1:29" x14ac:dyDescent="0.2">
      <c r="H17" s="303">
        <f ca="1">'Summary Calculations (hide)'!A19</f>
        <v>44536</v>
      </c>
      <c r="I17" t="str">
        <f ca="1">'Summary Calculations (hide)'!B19</f>
        <v/>
      </c>
      <c r="J17" t="str">
        <f ca="1">'Summary Calculations (hide)'!C19</f>
        <v>Dec</v>
      </c>
      <c r="K17">
        <f ca="1">'Summary Calculations (hide)'!D19</f>
        <v>49</v>
      </c>
      <c r="L17" s="68">
        <f ca="1">VLOOKUP($K17,'SPC background (hide)'!$AG$2:$AS$54,3,0)</f>
        <v>5</v>
      </c>
      <c r="M17" s="68" t="e">
        <f t="shared" ca="1" si="0"/>
        <v>#N/A</v>
      </c>
      <c r="N17" s="68" t="e">
        <f t="shared" ca="1" si="1"/>
        <v>#VALUE!</v>
      </c>
      <c r="O17" s="68"/>
      <c r="P17" s="68"/>
      <c r="Q17" s="68"/>
      <c r="R17" s="5">
        <f ca="1">(VLOOKUP(K17,'Summary Calculations (hide)'!$D$15:$L$67,8,0)+VLOOKUP(K17,'Summary Calculations (hide)'!$D$15:$L$67,9,0))*IF(Summary!$C$8="Patients",'Summary Calculations (hide)'!$I$9,1)</f>
        <v>0</v>
      </c>
      <c r="AA17" s="68" t="e">
        <f ca="1">IF(Summary!$C$8="Patients", 'Parameters calculator (hide)'!$H$63,'Parameters calculator (hide)'!$H$62)</f>
        <v>#VALUE!</v>
      </c>
      <c r="AB17" s="68" t="e">
        <f ca="1">IF(Summary!$C$8="Patients", 'Parameters calculator (hide)'!$I$63,'Parameters calculator (hide)'!$I$62)</f>
        <v>#VALUE!</v>
      </c>
      <c r="AC17" s="68" t="e">
        <f t="shared" ca="1" si="2"/>
        <v>#VALUE!</v>
      </c>
    </row>
    <row r="18" spans="1:29" x14ac:dyDescent="0.2">
      <c r="A18" s="3"/>
      <c r="B18" s="3"/>
      <c r="C18" s="3"/>
      <c r="H18" s="303">
        <f ca="1">'Summary Calculations (hide)'!A20</f>
        <v>44543</v>
      </c>
      <c r="I18" t="str">
        <f ca="1">'Summary Calculations (hide)'!B20</f>
        <v/>
      </c>
      <c r="J18" t="str">
        <f ca="1">'Summary Calculations (hide)'!C20</f>
        <v/>
      </c>
      <c r="K18">
        <f ca="1">'Summary Calculations (hide)'!D20</f>
        <v>50</v>
      </c>
      <c r="L18" s="68">
        <f ca="1">VLOOKUP($K18,'SPC background (hide)'!$AG$2:$AS$54,3,0)</f>
        <v>5</v>
      </c>
      <c r="M18" s="68" t="e">
        <f t="shared" ca="1" si="0"/>
        <v>#N/A</v>
      </c>
      <c r="N18" s="68" t="e">
        <f t="shared" ca="1" si="1"/>
        <v>#VALUE!</v>
      </c>
      <c r="O18" s="68"/>
      <c r="P18" s="68"/>
      <c r="Q18" s="68"/>
      <c r="R18" s="5">
        <f ca="1">(VLOOKUP(K18,'Summary Calculations (hide)'!$D$15:$L$67,8,0)+VLOOKUP(K18,'Summary Calculations (hide)'!$D$15:$L$67,9,0))*IF(Summary!$C$8="Patients",'Summary Calculations (hide)'!$I$9,1)</f>
        <v>0</v>
      </c>
      <c r="AA18" s="68" t="e">
        <f ca="1">IF(Summary!$C$8="Patients", 'Parameters calculator (hide)'!$H$63,'Parameters calculator (hide)'!$H$62)</f>
        <v>#VALUE!</v>
      </c>
      <c r="AB18" s="68" t="e">
        <f ca="1">IF(Summary!$C$8="Patients", 'Parameters calculator (hide)'!$I$63,'Parameters calculator (hide)'!$I$62)</f>
        <v>#VALUE!</v>
      </c>
      <c r="AC18" s="68" t="e">
        <f t="shared" ca="1" si="2"/>
        <v>#VALUE!</v>
      </c>
    </row>
    <row r="19" spans="1:29" x14ac:dyDescent="0.2">
      <c r="A19" s="3"/>
      <c r="B19" s="3"/>
      <c r="C19" s="3"/>
      <c r="H19" s="303">
        <f ca="1">'Summary Calculations (hide)'!A21</f>
        <v>44550</v>
      </c>
      <c r="I19" t="str">
        <f ca="1">'Summary Calculations (hide)'!B21</f>
        <v/>
      </c>
      <c r="J19" t="str">
        <f ca="1">'Summary Calculations (hide)'!C21</f>
        <v/>
      </c>
      <c r="K19">
        <f ca="1">'Summary Calculations (hide)'!D21</f>
        <v>51</v>
      </c>
      <c r="L19" s="68">
        <f ca="1">VLOOKUP($K19,'SPC background (hide)'!$AG$2:$AS$54,3,0)</f>
        <v>5</v>
      </c>
      <c r="M19" s="68" t="e">
        <f t="shared" ca="1" si="0"/>
        <v>#N/A</v>
      </c>
      <c r="N19" s="68" t="e">
        <f t="shared" ca="1" si="1"/>
        <v>#VALUE!</v>
      </c>
      <c r="O19" s="68"/>
      <c r="P19" s="68"/>
      <c r="Q19" s="68"/>
      <c r="R19" s="5">
        <f ca="1">(VLOOKUP(K19,'Summary Calculations (hide)'!$D$15:$L$67,8,0)+VLOOKUP(K19,'Summary Calculations (hide)'!$D$15:$L$67,9,0))*IF(Summary!$C$8="Patients",'Summary Calculations (hide)'!$I$9,1)</f>
        <v>0</v>
      </c>
      <c r="AA19" s="68" t="e">
        <f ca="1">IF(Summary!$C$8="Patients", 'Parameters calculator (hide)'!$H$63,'Parameters calculator (hide)'!$H$62)</f>
        <v>#VALUE!</v>
      </c>
      <c r="AB19" s="68" t="e">
        <f ca="1">IF(Summary!$C$8="Patients", 'Parameters calculator (hide)'!$I$63,'Parameters calculator (hide)'!$I$62)</f>
        <v>#VALUE!</v>
      </c>
      <c r="AC19" s="68" t="e">
        <f t="shared" ca="1" si="2"/>
        <v>#VALUE!</v>
      </c>
    </row>
    <row r="20" spans="1:29" x14ac:dyDescent="0.2">
      <c r="A20" s="3"/>
      <c r="B20" s="3"/>
      <c r="C20" s="3"/>
      <c r="H20" s="303">
        <f ca="1">'Summary Calculations (hide)'!A22</f>
        <v>44557</v>
      </c>
      <c r="I20" t="str">
        <f ca="1">'Summary Calculations (hide)'!B22</f>
        <v/>
      </c>
      <c r="J20" t="str">
        <f ca="1">'Summary Calculations (hide)'!C22</f>
        <v/>
      </c>
      <c r="K20">
        <f ca="1">'Summary Calculations (hide)'!D22</f>
        <v>52</v>
      </c>
      <c r="L20" s="68">
        <f ca="1">VLOOKUP($K20,'SPC background (hide)'!$AG$2:$AS$54,3,0)</f>
        <v>5</v>
      </c>
      <c r="M20" s="68" t="e">
        <f t="shared" ca="1" si="0"/>
        <v>#N/A</v>
      </c>
      <c r="N20" s="68" t="e">
        <f t="shared" ca="1" si="1"/>
        <v>#VALUE!</v>
      </c>
      <c r="O20" s="68"/>
      <c r="P20" s="68"/>
      <c r="Q20" s="68"/>
      <c r="R20" s="5">
        <f ca="1">(VLOOKUP(K20,'Summary Calculations (hide)'!$D$15:$L$67,8,0)+VLOOKUP(K20,'Summary Calculations (hide)'!$D$15:$L$67,9,0))*IF(Summary!$C$8="Patients",'Summary Calculations (hide)'!$I$9,1)</f>
        <v>0</v>
      </c>
      <c r="AA20" s="68" t="e">
        <f ca="1">IF(Summary!$C$8="Patients", 'Parameters calculator (hide)'!$H$63,'Parameters calculator (hide)'!$H$62)</f>
        <v>#VALUE!</v>
      </c>
      <c r="AB20" s="68" t="e">
        <f ca="1">IF(Summary!$C$8="Patients", 'Parameters calculator (hide)'!$I$63,'Parameters calculator (hide)'!$I$62)</f>
        <v>#VALUE!</v>
      </c>
      <c r="AC20" s="68" t="e">
        <f t="shared" ca="1" si="2"/>
        <v>#VALUE!</v>
      </c>
    </row>
    <row r="21" spans="1:29" x14ac:dyDescent="0.2">
      <c r="A21" s="3"/>
      <c r="B21" s="3"/>
      <c r="C21" s="3"/>
      <c r="H21" s="303">
        <f ca="1">'Summary Calculations (hide)'!A23</f>
        <v>44564</v>
      </c>
      <c r="I21">
        <f ca="1">'Summary Calculations (hide)'!B23</f>
        <v>2022</v>
      </c>
      <c r="J21" t="str">
        <f ca="1">'Summary Calculations (hide)'!C23</f>
        <v>Jan</v>
      </c>
      <c r="K21">
        <f ca="1">'Summary Calculations (hide)'!D23</f>
        <v>1</v>
      </c>
      <c r="L21" s="68">
        <f ca="1">VLOOKUP($K21,'SPC background (hide)'!$AG$2:$AS$54,3,0)</f>
        <v>1</v>
      </c>
      <c r="M21" s="68" t="e">
        <f t="shared" ca="1" si="0"/>
        <v>#N/A</v>
      </c>
      <c r="N21" s="68" t="e">
        <f t="shared" ca="1" si="1"/>
        <v>#VALUE!</v>
      </c>
      <c r="O21" s="68"/>
      <c r="P21" s="68"/>
      <c r="Q21" s="68"/>
      <c r="R21" s="5">
        <f ca="1">(VLOOKUP(K21,'Summary Calculations (hide)'!$D$15:$L$67,8,0)+VLOOKUP(K21,'Summary Calculations (hide)'!$D$15:$L$67,9,0))*IF(Summary!$C$8="Patients",'Summary Calculations (hide)'!$I$9,1)</f>
        <v>0</v>
      </c>
      <c r="AA21" s="68" t="e">
        <f ca="1">IF(Summary!$C$8="Patients", 'Parameters calculator (hide)'!$H$63,'Parameters calculator (hide)'!$H$62)</f>
        <v>#VALUE!</v>
      </c>
      <c r="AB21" s="68" t="e">
        <f ca="1">IF(Summary!$C$8="Patients", 'Parameters calculator (hide)'!$I$63,'Parameters calculator (hide)'!$I$62)</f>
        <v>#VALUE!</v>
      </c>
      <c r="AC21" s="68" t="e">
        <f t="shared" ca="1" si="2"/>
        <v>#VALUE!</v>
      </c>
    </row>
    <row r="22" spans="1:29" x14ac:dyDescent="0.2">
      <c r="A22" s="3"/>
      <c r="B22" s="3"/>
      <c r="C22" s="3"/>
      <c r="H22" s="303">
        <f ca="1">'Summary Calculations (hide)'!A24</f>
        <v>44571</v>
      </c>
      <c r="I22" t="str">
        <f ca="1">'Summary Calculations (hide)'!B24</f>
        <v/>
      </c>
      <c r="J22" t="str">
        <f ca="1">'Summary Calculations (hide)'!C24</f>
        <v/>
      </c>
      <c r="K22">
        <f ca="1">'Summary Calculations (hide)'!D24</f>
        <v>2</v>
      </c>
      <c r="L22" s="68">
        <f ca="1">VLOOKUP($K22,'SPC background (hide)'!$AG$2:$AS$54,3,0)</f>
        <v>5</v>
      </c>
      <c r="M22" s="68" t="e">
        <f t="shared" ca="1" si="0"/>
        <v>#N/A</v>
      </c>
      <c r="N22" s="68" t="e">
        <f t="shared" ca="1" si="1"/>
        <v>#VALUE!</v>
      </c>
      <c r="O22" s="68"/>
      <c r="P22" s="68"/>
      <c r="Q22" s="68"/>
      <c r="R22" s="5">
        <f ca="1">(VLOOKUP(K22,'Summary Calculations (hide)'!$D$15:$L$67,8,0)+VLOOKUP(K22,'Summary Calculations (hide)'!$D$15:$L$67,9,0))*IF(Summary!$C$8="Patients",'Summary Calculations (hide)'!$I$9,1)</f>
        <v>0</v>
      </c>
      <c r="AA22" s="68" t="e">
        <f ca="1">IF(Summary!$C$8="Patients", 'Parameters calculator (hide)'!$H$63,'Parameters calculator (hide)'!$H$62)</f>
        <v>#VALUE!</v>
      </c>
      <c r="AB22" s="68" t="e">
        <f ca="1">IF(Summary!$C$8="Patients", 'Parameters calculator (hide)'!$I$63,'Parameters calculator (hide)'!$I$62)</f>
        <v>#VALUE!</v>
      </c>
      <c r="AC22" s="68" t="e">
        <f t="shared" ca="1" si="2"/>
        <v>#VALUE!</v>
      </c>
    </row>
    <row r="23" spans="1:29" x14ac:dyDescent="0.2">
      <c r="A23" s="3"/>
      <c r="B23" s="3"/>
      <c r="C23" s="3"/>
      <c r="H23" s="303">
        <f ca="1">'Summary Calculations (hide)'!A25</f>
        <v>44578</v>
      </c>
      <c r="I23" t="str">
        <f ca="1">'Summary Calculations (hide)'!B25</f>
        <v/>
      </c>
      <c r="J23" t="str">
        <f ca="1">'Summary Calculations (hide)'!C25</f>
        <v/>
      </c>
      <c r="K23">
        <f ca="1">'Summary Calculations (hide)'!D25</f>
        <v>3</v>
      </c>
      <c r="L23" s="68">
        <f ca="1">VLOOKUP($K23,'SPC background (hide)'!$AG$2:$AS$54,3,0)</f>
        <v>5</v>
      </c>
      <c r="M23" s="68" t="e">
        <f t="shared" ca="1" si="0"/>
        <v>#N/A</v>
      </c>
      <c r="N23" s="68" t="e">
        <f t="shared" ca="1" si="1"/>
        <v>#VALUE!</v>
      </c>
      <c r="O23" s="68"/>
      <c r="P23" s="68"/>
      <c r="Q23" s="68"/>
      <c r="R23" s="5">
        <f ca="1">(VLOOKUP(K23,'Summary Calculations (hide)'!$D$15:$L$67,8,0)+VLOOKUP(K23,'Summary Calculations (hide)'!$D$15:$L$67,9,0))*IF(Summary!$C$8="Patients",'Summary Calculations (hide)'!$I$9,1)</f>
        <v>0</v>
      </c>
      <c r="AA23" s="68" t="e">
        <f ca="1">IF(Summary!$C$8="Patients", 'Parameters calculator (hide)'!$H$63,'Parameters calculator (hide)'!$H$62)</f>
        <v>#VALUE!</v>
      </c>
      <c r="AB23" s="68" t="e">
        <f ca="1">IF(Summary!$C$8="Patients", 'Parameters calculator (hide)'!$I$63,'Parameters calculator (hide)'!$I$62)</f>
        <v>#VALUE!</v>
      </c>
      <c r="AC23" s="68" t="e">
        <f t="shared" ca="1" si="2"/>
        <v>#VALUE!</v>
      </c>
    </row>
    <row r="24" spans="1:29" x14ac:dyDescent="0.2">
      <c r="A24" s="3"/>
      <c r="B24" s="3"/>
      <c r="C24" s="3"/>
      <c r="H24" s="303">
        <f ca="1">'Summary Calculations (hide)'!A26</f>
        <v>44585</v>
      </c>
      <c r="I24" t="str">
        <f ca="1">'Summary Calculations (hide)'!B26</f>
        <v/>
      </c>
      <c r="J24" t="str">
        <f ca="1">'Summary Calculations (hide)'!C26</f>
        <v/>
      </c>
      <c r="K24">
        <f ca="1">'Summary Calculations (hide)'!D26</f>
        <v>4</v>
      </c>
      <c r="L24" s="68">
        <f ca="1">VLOOKUP($K24,'SPC background (hide)'!$AG$2:$AS$54,3,0)</f>
        <v>5</v>
      </c>
      <c r="M24" s="68" t="e">
        <f t="shared" ca="1" si="0"/>
        <v>#N/A</v>
      </c>
      <c r="N24" s="68" t="e">
        <f t="shared" ca="1" si="1"/>
        <v>#VALUE!</v>
      </c>
      <c r="O24" s="68"/>
      <c r="P24" s="68"/>
      <c r="Q24" s="68"/>
      <c r="R24" s="5">
        <f ca="1">(VLOOKUP(K24,'Summary Calculations (hide)'!$D$15:$L$67,8,0)+VLOOKUP(K24,'Summary Calculations (hide)'!$D$15:$L$67,9,0))*IF(Summary!$C$8="Patients",'Summary Calculations (hide)'!$I$9,1)</f>
        <v>0</v>
      </c>
      <c r="AA24" s="68" t="e">
        <f ca="1">IF(Summary!$C$8="Patients", 'Parameters calculator (hide)'!$H$63,'Parameters calculator (hide)'!$H$62)</f>
        <v>#VALUE!</v>
      </c>
      <c r="AB24" s="68" t="e">
        <f ca="1">IF(Summary!$C$8="Patients", 'Parameters calculator (hide)'!$I$63,'Parameters calculator (hide)'!$I$62)</f>
        <v>#VALUE!</v>
      </c>
      <c r="AC24" s="68" t="e">
        <f t="shared" ca="1" si="2"/>
        <v>#VALUE!</v>
      </c>
    </row>
    <row r="25" spans="1:29" x14ac:dyDescent="0.2">
      <c r="A25" s="3"/>
      <c r="B25" s="3"/>
      <c r="C25" s="3"/>
      <c r="H25" s="303">
        <f ca="1">'Summary Calculations (hide)'!A27</f>
        <v>44592</v>
      </c>
      <c r="I25" t="str">
        <f ca="1">'Summary Calculations (hide)'!B27</f>
        <v/>
      </c>
      <c r="J25" t="str">
        <f ca="1">'Summary Calculations (hide)'!C27</f>
        <v/>
      </c>
      <c r="K25">
        <f ca="1">'Summary Calculations (hide)'!D27</f>
        <v>5</v>
      </c>
      <c r="L25" s="68">
        <f ca="1">VLOOKUP($K25,'SPC background (hide)'!$AG$2:$AS$54,3,0)</f>
        <v>5</v>
      </c>
      <c r="M25" s="68" t="e">
        <f t="shared" ca="1" si="0"/>
        <v>#N/A</v>
      </c>
      <c r="N25" s="68" t="e">
        <f t="shared" ca="1" si="1"/>
        <v>#VALUE!</v>
      </c>
      <c r="O25" s="68"/>
      <c r="P25" s="68"/>
      <c r="Q25" s="68"/>
      <c r="R25" s="5">
        <f ca="1">(VLOOKUP(K25,'Summary Calculations (hide)'!$D$15:$L$67,8,0)+VLOOKUP(K25,'Summary Calculations (hide)'!$D$15:$L$67,9,0))*IF(Summary!$C$8="Patients",'Summary Calculations (hide)'!$I$9,1)</f>
        <v>0</v>
      </c>
      <c r="AA25" s="68" t="e">
        <f ca="1">IF(Summary!$C$8="Patients", 'Parameters calculator (hide)'!$H$63,'Parameters calculator (hide)'!$H$62)</f>
        <v>#VALUE!</v>
      </c>
      <c r="AB25" s="68" t="e">
        <f ca="1">IF(Summary!$C$8="Patients", 'Parameters calculator (hide)'!$I$63,'Parameters calculator (hide)'!$I$62)</f>
        <v>#VALUE!</v>
      </c>
      <c r="AC25" s="68" t="e">
        <f t="shared" ca="1" si="2"/>
        <v>#VALUE!</v>
      </c>
    </row>
    <row r="26" spans="1:29" ht="15" x14ac:dyDescent="0.25">
      <c r="A26" s="3"/>
      <c r="B26" s="3"/>
      <c r="C26" s="309"/>
      <c r="H26" s="303">
        <f ca="1">'Summary Calculations (hide)'!A28</f>
        <v>44599</v>
      </c>
      <c r="I26" t="str">
        <f ca="1">'Summary Calculations (hide)'!B28</f>
        <v/>
      </c>
      <c r="J26" t="str">
        <f ca="1">'Summary Calculations (hide)'!C28</f>
        <v>Feb</v>
      </c>
      <c r="K26">
        <f ca="1">'Summary Calculations (hide)'!D28</f>
        <v>6</v>
      </c>
      <c r="L26" s="68">
        <f ca="1">VLOOKUP($K26,'SPC background (hide)'!$AG$2:$AS$54,3,0)</f>
        <v>5</v>
      </c>
      <c r="M26" s="68" t="e">
        <f t="shared" ca="1" si="0"/>
        <v>#N/A</v>
      </c>
      <c r="N26" s="68" t="e">
        <f t="shared" ca="1" si="1"/>
        <v>#VALUE!</v>
      </c>
      <c r="O26" s="68"/>
      <c r="P26" s="68"/>
      <c r="Q26" s="68"/>
      <c r="R26" s="5">
        <f ca="1">(VLOOKUP(K26,'Summary Calculations (hide)'!$D$15:$L$67,8,0)+VLOOKUP(K26,'Summary Calculations (hide)'!$D$15:$L$67,9,0))*IF(Summary!$C$8="Patients",'Summary Calculations (hide)'!$I$9,1)</f>
        <v>0</v>
      </c>
      <c r="AA26" s="68" t="e">
        <f ca="1">IF(Summary!$C$8="Patients", 'Parameters calculator (hide)'!$H$63,'Parameters calculator (hide)'!$H$62)</f>
        <v>#VALUE!</v>
      </c>
      <c r="AB26" s="68" t="e">
        <f ca="1">IF(Summary!$C$8="Patients", 'Parameters calculator (hide)'!$I$63,'Parameters calculator (hide)'!$I$62)</f>
        <v>#VALUE!</v>
      </c>
      <c r="AC26" s="68" t="e">
        <f t="shared" ca="1" si="2"/>
        <v>#VALUE!</v>
      </c>
    </row>
    <row r="27" spans="1:29" x14ac:dyDescent="0.2">
      <c r="A27" s="3"/>
      <c r="B27" s="3"/>
      <c r="C27" s="3"/>
      <c r="H27" s="303">
        <f ca="1">'Summary Calculations (hide)'!A29</f>
        <v>44606</v>
      </c>
      <c r="I27" t="str">
        <f ca="1">'Summary Calculations (hide)'!B29</f>
        <v/>
      </c>
      <c r="J27" t="str">
        <f ca="1">'Summary Calculations (hide)'!C29</f>
        <v/>
      </c>
      <c r="K27">
        <f ca="1">'Summary Calculations (hide)'!D29</f>
        <v>7</v>
      </c>
      <c r="L27" s="68">
        <f ca="1">VLOOKUP($K27,'SPC background (hide)'!$AG$2:$AS$54,3,0)</f>
        <v>5</v>
      </c>
      <c r="M27" s="68" t="e">
        <f t="shared" ca="1" si="0"/>
        <v>#N/A</v>
      </c>
      <c r="N27" s="68" t="e">
        <f t="shared" ca="1" si="1"/>
        <v>#VALUE!</v>
      </c>
      <c r="O27" s="68"/>
      <c r="P27" s="68"/>
      <c r="Q27" s="68"/>
      <c r="R27" s="5">
        <f ca="1">(VLOOKUP(K27,'Summary Calculations (hide)'!$D$15:$L$67,8,0)+VLOOKUP(K27,'Summary Calculations (hide)'!$D$15:$L$67,9,0))*IF(Summary!$C$8="Patients",'Summary Calculations (hide)'!$I$9,1)</f>
        <v>0</v>
      </c>
      <c r="AA27" s="68" t="e">
        <f ca="1">IF(Summary!$C$8="Patients", 'Parameters calculator (hide)'!$H$63,'Parameters calculator (hide)'!$H$62)</f>
        <v>#VALUE!</v>
      </c>
      <c r="AB27" s="68" t="e">
        <f ca="1">IF(Summary!$C$8="Patients", 'Parameters calculator (hide)'!$I$63,'Parameters calculator (hide)'!$I$62)</f>
        <v>#VALUE!</v>
      </c>
      <c r="AC27" s="68" t="e">
        <f t="shared" ca="1" si="2"/>
        <v>#VALUE!</v>
      </c>
    </row>
    <row r="28" spans="1:29" x14ac:dyDescent="0.2">
      <c r="A28" s="3"/>
      <c r="B28" s="3"/>
      <c r="C28" s="3"/>
      <c r="H28" s="303">
        <f ca="1">'Summary Calculations (hide)'!A30</f>
        <v>44613</v>
      </c>
      <c r="I28" t="str">
        <f ca="1">'Summary Calculations (hide)'!B30</f>
        <v/>
      </c>
      <c r="J28" t="str">
        <f ca="1">'Summary Calculations (hide)'!C30</f>
        <v/>
      </c>
      <c r="K28">
        <f ca="1">'Summary Calculations (hide)'!D30</f>
        <v>8</v>
      </c>
      <c r="L28" s="68">
        <f ca="1">VLOOKUP($K28,'SPC background (hide)'!$AG$2:$AS$54,3,0)</f>
        <v>5</v>
      </c>
      <c r="M28" s="68" t="e">
        <f t="shared" ca="1" si="0"/>
        <v>#N/A</v>
      </c>
      <c r="N28" s="68" t="e">
        <f t="shared" ca="1" si="1"/>
        <v>#VALUE!</v>
      </c>
      <c r="O28" s="68"/>
      <c r="P28" s="68"/>
      <c r="Q28" s="68"/>
      <c r="R28" s="5">
        <f ca="1">(VLOOKUP(K28,'Summary Calculations (hide)'!$D$15:$L$67,8,0)+VLOOKUP(K28,'Summary Calculations (hide)'!$D$15:$L$67,9,0))*IF(Summary!$C$8="Patients",'Summary Calculations (hide)'!$I$9,1)</f>
        <v>0</v>
      </c>
      <c r="AA28" s="68" t="e">
        <f ca="1">IF(Summary!$C$8="Patients", 'Parameters calculator (hide)'!$H$63,'Parameters calculator (hide)'!$H$62)</f>
        <v>#VALUE!</v>
      </c>
      <c r="AB28" s="68" t="e">
        <f ca="1">IF(Summary!$C$8="Patients", 'Parameters calculator (hide)'!$I$63,'Parameters calculator (hide)'!$I$62)</f>
        <v>#VALUE!</v>
      </c>
      <c r="AC28" s="68" t="e">
        <f t="shared" ca="1" si="2"/>
        <v>#VALUE!</v>
      </c>
    </row>
    <row r="29" spans="1:29" x14ac:dyDescent="0.2">
      <c r="A29" s="3"/>
      <c r="B29" s="3"/>
      <c r="C29" s="3"/>
      <c r="H29" s="303">
        <f ca="1">'Summary Calculations (hide)'!A31</f>
        <v>44620</v>
      </c>
      <c r="I29" t="str">
        <f ca="1">'Summary Calculations (hide)'!B31</f>
        <v/>
      </c>
      <c r="J29" t="str">
        <f ca="1">'Summary Calculations (hide)'!C31</f>
        <v/>
      </c>
      <c r="K29">
        <f ca="1">'Summary Calculations (hide)'!D31</f>
        <v>9</v>
      </c>
      <c r="L29" s="68">
        <f ca="1">VLOOKUP($K29,'SPC background (hide)'!$AG$2:$AS$54,3,0)</f>
        <v>5</v>
      </c>
      <c r="M29" s="68" t="e">
        <f t="shared" ca="1" si="0"/>
        <v>#N/A</v>
      </c>
      <c r="N29" s="68" t="e">
        <f t="shared" ca="1" si="1"/>
        <v>#VALUE!</v>
      </c>
      <c r="O29" s="68"/>
      <c r="P29" s="68"/>
      <c r="Q29" s="68"/>
      <c r="R29" s="5">
        <f ca="1">(VLOOKUP(K29,'Summary Calculations (hide)'!$D$15:$L$67,8,0)+VLOOKUP(K29,'Summary Calculations (hide)'!$D$15:$L$67,9,0))*IF(Summary!$C$8="Patients",'Summary Calculations (hide)'!$I$9,1)</f>
        <v>0</v>
      </c>
      <c r="AA29" s="68" t="e">
        <f ca="1">IF(Summary!$C$8="Patients", 'Parameters calculator (hide)'!$H$63,'Parameters calculator (hide)'!$H$62)</f>
        <v>#VALUE!</v>
      </c>
      <c r="AB29" s="68" t="e">
        <f ca="1">IF(Summary!$C$8="Patients", 'Parameters calculator (hide)'!$I$63,'Parameters calculator (hide)'!$I$62)</f>
        <v>#VALUE!</v>
      </c>
      <c r="AC29" s="68" t="e">
        <f t="shared" ca="1" si="2"/>
        <v>#VALUE!</v>
      </c>
    </row>
    <row r="30" spans="1:29" x14ac:dyDescent="0.2">
      <c r="A30" s="3"/>
      <c r="B30" s="3"/>
      <c r="C30" s="3"/>
      <c r="H30" s="303">
        <f ca="1">'Summary Calculations (hide)'!A32</f>
        <v>44627</v>
      </c>
      <c r="I30" t="str">
        <f ca="1">'Summary Calculations (hide)'!B32</f>
        <v/>
      </c>
      <c r="J30" t="str">
        <f ca="1">'Summary Calculations (hide)'!C32</f>
        <v>Mar</v>
      </c>
      <c r="K30">
        <f ca="1">'Summary Calculations (hide)'!D32</f>
        <v>10</v>
      </c>
      <c r="L30" s="68">
        <f ca="1">VLOOKUP($K30,'SPC background (hide)'!$AG$2:$AS$54,3,0)</f>
        <v>5</v>
      </c>
      <c r="M30" s="68" t="e">
        <f t="shared" ca="1" si="0"/>
        <v>#N/A</v>
      </c>
      <c r="N30" s="68" t="e">
        <f t="shared" ca="1" si="1"/>
        <v>#VALUE!</v>
      </c>
      <c r="O30" s="68"/>
      <c r="P30" s="68"/>
      <c r="Q30" s="68"/>
      <c r="R30" s="5">
        <f ca="1">(VLOOKUP(K30,'Summary Calculations (hide)'!$D$15:$L$67,8,0)+VLOOKUP(K30,'Summary Calculations (hide)'!$D$15:$L$67,9,0))*IF(Summary!$C$8="Patients",'Summary Calculations (hide)'!$I$9,1)</f>
        <v>0</v>
      </c>
      <c r="AA30" s="68" t="e">
        <f ca="1">IF(Summary!$C$8="Patients", 'Parameters calculator (hide)'!$H$63,'Parameters calculator (hide)'!$H$62)</f>
        <v>#VALUE!</v>
      </c>
      <c r="AB30" s="68" t="e">
        <f ca="1">IF(Summary!$C$8="Patients", 'Parameters calculator (hide)'!$I$63,'Parameters calculator (hide)'!$I$62)</f>
        <v>#VALUE!</v>
      </c>
      <c r="AC30" s="68" t="e">
        <f t="shared" ca="1" si="2"/>
        <v>#VALUE!</v>
      </c>
    </row>
    <row r="31" spans="1:29" x14ac:dyDescent="0.2">
      <c r="A31" s="3"/>
      <c r="B31" s="3"/>
      <c r="C31" s="3"/>
      <c r="H31" s="303">
        <f ca="1">'Summary Calculations (hide)'!A33</f>
        <v>44634</v>
      </c>
      <c r="I31" t="str">
        <f ca="1">'Summary Calculations (hide)'!B33</f>
        <v/>
      </c>
      <c r="J31" t="str">
        <f ca="1">'Summary Calculations (hide)'!C33</f>
        <v/>
      </c>
      <c r="K31">
        <f ca="1">'Summary Calculations (hide)'!D33</f>
        <v>11</v>
      </c>
      <c r="L31" s="68">
        <f ca="1">VLOOKUP($K31,'SPC background (hide)'!$AG$2:$AS$54,3,0)</f>
        <v>5</v>
      </c>
      <c r="M31" s="68" t="e">
        <f t="shared" ca="1" si="0"/>
        <v>#N/A</v>
      </c>
      <c r="N31" s="68" t="e">
        <f t="shared" ca="1" si="1"/>
        <v>#VALUE!</v>
      </c>
      <c r="O31" s="68"/>
      <c r="P31" s="68"/>
      <c r="Q31" s="68"/>
      <c r="R31" s="5">
        <f ca="1">(VLOOKUP(K31,'Summary Calculations (hide)'!$D$15:$L$67,8,0)+VLOOKUP(K31,'Summary Calculations (hide)'!$D$15:$L$67,9,0))*IF(Summary!$C$8="Patients",'Summary Calculations (hide)'!$I$9,1)</f>
        <v>0</v>
      </c>
      <c r="AA31" s="68" t="e">
        <f ca="1">IF(Summary!$C$8="Patients", 'Parameters calculator (hide)'!$H$63,'Parameters calculator (hide)'!$H$62)</f>
        <v>#VALUE!</v>
      </c>
      <c r="AB31" s="68" t="e">
        <f ca="1">IF(Summary!$C$8="Patients", 'Parameters calculator (hide)'!$I$63,'Parameters calculator (hide)'!$I$62)</f>
        <v>#VALUE!</v>
      </c>
      <c r="AC31" s="68" t="e">
        <f t="shared" ca="1" si="2"/>
        <v>#VALUE!</v>
      </c>
    </row>
    <row r="32" spans="1:29" x14ac:dyDescent="0.2">
      <c r="A32" s="3"/>
      <c r="B32" s="3"/>
      <c r="C32" s="3"/>
      <c r="H32" s="303">
        <f ca="1">'Summary Calculations (hide)'!A34</f>
        <v>44641</v>
      </c>
      <c r="I32" t="str">
        <f ca="1">'Summary Calculations (hide)'!B34</f>
        <v/>
      </c>
      <c r="J32" t="str">
        <f ca="1">'Summary Calculations (hide)'!C34</f>
        <v/>
      </c>
      <c r="K32">
        <f ca="1">'Summary Calculations (hide)'!D34</f>
        <v>12</v>
      </c>
      <c r="L32" s="68">
        <f ca="1">VLOOKUP($K32,'SPC background (hide)'!$AG$2:$AS$54,3,0)</f>
        <v>5</v>
      </c>
      <c r="M32" s="68" t="e">
        <f t="shared" ca="1" si="0"/>
        <v>#N/A</v>
      </c>
      <c r="N32" s="68" t="e">
        <f t="shared" ca="1" si="1"/>
        <v>#VALUE!</v>
      </c>
      <c r="O32" s="68"/>
      <c r="P32" s="68"/>
      <c r="Q32" s="68"/>
      <c r="R32" s="5">
        <f ca="1">(VLOOKUP(K32,'Summary Calculations (hide)'!$D$15:$L$67,8,0)+VLOOKUP(K32,'Summary Calculations (hide)'!$D$15:$L$67,9,0))*IF(Summary!$C$8="Patients",'Summary Calculations (hide)'!$I$9,1)</f>
        <v>0</v>
      </c>
      <c r="AA32" s="68" t="e">
        <f ca="1">IF(Summary!$C$8="Patients", 'Parameters calculator (hide)'!$H$63,'Parameters calculator (hide)'!$H$62)</f>
        <v>#VALUE!</v>
      </c>
      <c r="AB32" s="68" t="e">
        <f ca="1">IF(Summary!$C$8="Patients", 'Parameters calculator (hide)'!$I$63,'Parameters calculator (hide)'!$I$62)</f>
        <v>#VALUE!</v>
      </c>
      <c r="AC32" s="68" t="e">
        <f t="shared" ca="1" si="2"/>
        <v>#VALUE!</v>
      </c>
    </row>
    <row r="33" spans="1:29" x14ac:dyDescent="0.2">
      <c r="B33" t="s">
        <v>1159</v>
      </c>
      <c r="H33" s="303">
        <f ca="1">'Summary Calculations (hide)'!A35</f>
        <v>44648</v>
      </c>
      <c r="I33" t="str">
        <f ca="1">'Summary Calculations (hide)'!B35</f>
        <v/>
      </c>
      <c r="J33" t="str">
        <f ca="1">'Summary Calculations (hide)'!C35</f>
        <v/>
      </c>
      <c r="K33">
        <f ca="1">'Summary Calculations (hide)'!D35</f>
        <v>13</v>
      </c>
      <c r="L33" s="68">
        <f ca="1">VLOOKUP($K33,'SPC background (hide)'!$AG$2:$AS$54,3,0)</f>
        <v>5</v>
      </c>
      <c r="M33" s="68" t="e">
        <f t="shared" ca="1" si="0"/>
        <v>#N/A</v>
      </c>
      <c r="N33" s="68" t="e">
        <f t="shared" ca="1" si="1"/>
        <v>#VALUE!</v>
      </c>
      <c r="O33" s="68"/>
      <c r="P33" s="68"/>
      <c r="Q33" s="68"/>
      <c r="R33" s="5">
        <f ca="1">(VLOOKUP(K33,'Summary Calculations (hide)'!$D$15:$L$67,8,0)+VLOOKUP(K33,'Summary Calculations (hide)'!$D$15:$L$67,9,0))*IF(Summary!$C$8="Patients",'Summary Calculations (hide)'!$I$9,1)</f>
        <v>0</v>
      </c>
      <c r="AA33" s="68" t="e">
        <f ca="1">IF(Summary!$C$8="Patients", 'Parameters calculator (hide)'!$H$63,'Parameters calculator (hide)'!$H$62)</f>
        <v>#VALUE!</v>
      </c>
      <c r="AB33" s="68" t="e">
        <f ca="1">IF(Summary!$C$8="Patients", 'Parameters calculator (hide)'!$I$63,'Parameters calculator (hide)'!$I$62)</f>
        <v>#VALUE!</v>
      </c>
      <c r="AC33" s="68" t="e">
        <f t="shared" ca="1" si="2"/>
        <v>#VALUE!</v>
      </c>
    </row>
    <row r="34" spans="1:29" x14ac:dyDescent="0.2">
      <c r="A34" t="s">
        <v>1131</v>
      </c>
      <c r="B34" s="5">
        <f ca="1">'Parameters calculator (hide)'!C79</f>
        <v>0</v>
      </c>
      <c r="H34" s="303">
        <f ca="1">'Summary Calculations (hide)'!A36</f>
        <v>44655</v>
      </c>
      <c r="I34" t="str">
        <f ca="1">'Summary Calculations (hide)'!B36</f>
        <v/>
      </c>
      <c r="J34" t="str">
        <f ca="1">'Summary Calculations (hide)'!C36</f>
        <v>Apr</v>
      </c>
      <c r="K34">
        <f ca="1">'Summary Calculations (hide)'!D36</f>
        <v>14</v>
      </c>
      <c r="L34" s="68">
        <f ca="1">VLOOKUP($K34,'SPC background (hide)'!$AG$2:$AS$54,3,0)</f>
        <v>5</v>
      </c>
      <c r="M34" s="68" t="e">
        <f t="shared" ca="1" si="0"/>
        <v>#N/A</v>
      </c>
      <c r="N34" s="68" t="e">
        <f t="shared" ca="1" si="1"/>
        <v>#VALUE!</v>
      </c>
      <c r="O34" s="68"/>
      <c r="P34" s="68"/>
      <c r="Q34" s="68"/>
      <c r="R34" s="5">
        <f ca="1">(VLOOKUP(K34,'Summary Calculations (hide)'!$D$15:$L$67,8,0)+VLOOKUP(K34,'Summary Calculations (hide)'!$D$15:$L$67,9,0))*IF(Summary!$C$8="Patients",'Summary Calculations (hide)'!$I$9,1)</f>
        <v>0</v>
      </c>
      <c r="AA34" s="68" t="e">
        <f ca="1">IF(Summary!$C$8="Patients", 'Parameters calculator (hide)'!$H$63,'Parameters calculator (hide)'!$H$62)</f>
        <v>#VALUE!</v>
      </c>
      <c r="AB34" s="68" t="e">
        <f ca="1">IF(Summary!$C$8="Patients", 'Parameters calculator (hide)'!$I$63,'Parameters calculator (hide)'!$I$62)</f>
        <v>#VALUE!</v>
      </c>
      <c r="AC34" s="68" t="e">
        <f t="shared" ca="1" si="2"/>
        <v>#VALUE!</v>
      </c>
    </row>
    <row r="35" spans="1:29" x14ac:dyDescent="0.2">
      <c r="H35" s="303">
        <f ca="1">'Summary Calculations (hide)'!A37</f>
        <v>44662</v>
      </c>
      <c r="I35" t="str">
        <f ca="1">'Summary Calculations (hide)'!B37</f>
        <v/>
      </c>
      <c r="J35" t="str">
        <f ca="1">'Summary Calculations (hide)'!C37</f>
        <v/>
      </c>
      <c r="K35">
        <f ca="1">'Summary Calculations (hide)'!D37</f>
        <v>15</v>
      </c>
      <c r="L35" s="68">
        <f ca="1">VLOOKUP($K35,'SPC background (hide)'!$AG$2:$AS$54,3,0)</f>
        <v>5</v>
      </c>
      <c r="M35" s="68" t="e">
        <f t="shared" ca="1" si="0"/>
        <v>#N/A</v>
      </c>
      <c r="N35" s="68" t="e">
        <f t="shared" ca="1" si="1"/>
        <v>#VALUE!</v>
      </c>
      <c r="O35" s="68"/>
      <c r="P35" s="68"/>
      <c r="Q35" s="68"/>
      <c r="R35" s="5">
        <f ca="1">(VLOOKUP(K35,'Summary Calculations (hide)'!$D$15:$L$67,8,0)+VLOOKUP(K35,'Summary Calculations (hide)'!$D$15:$L$67,9,0))*IF(Summary!$C$8="Patients",'Summary Calculations (hide)'!$I$9,1)</f>
        <v>0</v>
      </c>
      <c r="AA35" s="68" t="e">
        <f ca="1">IF(Summary!$C$8="Patients", 'Parameters calculator (hide)'!$H$63,'Parameters calculator (hide)'!$H$62)</f>
        <v>#VALUE!</v>
      </c>
      <c r="AB35" s="68" t="e">
        <f ca="1">IF(Summary!$C$8="Patients", 'Parameters calculator (hide)'!$I$63,'Parameters calculator (hide)'!$I$62)</f>
        <v>#VALUE!</v>
      </c>
      <c r="AC35" s="68" t="e">
        <f t="shared" ca="1" si="2"/>
        <v>#VALUE!</v>
      </c>
    </row>
    <row r="36" spans="1:29" x14ac:dyDescent="0.2">
      <c r="H36" s="303">
        <f ca="1">'Summary Calculations (hide)'!A38</f>
        <v>44669</v>
      </c>
      <c r="I36" t="str">
        <f ca="1">'Summary Calculations (hide)'!B38</f>
        <v/>
      </c>
      <c r="J36" t="str">
        <f ca="1">'Summary Calculations (hide)'!C38</f>
        <v/>
      </c>
      <c r="K36">
        <f ca="1">'Summary Calculations (hide)'!D38</f>
        <v>16</v>
      </c>
      <c r="L36" s="68">
        <f ca="1">VLOOKUP($K36,'SPC background (hide)'!$AG$2:$AS$54,3,0)</f>
        <v>5</v>
      </c>
      <c r="M36" s="68" t="e">
        <f t="shared" ca="1" si="0"/>
        <v>#N/A</v>
      </c>
      <c r="N36" s="68" t="e">
        <f t="shared" ca="1" si="1"/>
        <v>#VALUE!</v>
      </c>
      <c r="O36" s="68"/>
      <c r="P36" s="68"/>
      <c r="Q36" s="68"/>
      <c r="R36" s="5">
        <f ca="1">(VLOOKUP(K36,'Summary Calculations (hide)'!$D$15:$L$67,8,0)+VLOOKUP(K36,'Summary Calculations (hide)'!$D$15:$L$67,9,0))*IF(Summary!$C$8="Patients",'Summary Calculations (hide)'!$I$9,1)</f>
        <v>0</v>
      </c>
      <c r="AA36" s="68" t="e">
        <f ca="1">IF(Summary!$C$8="Patients", 'Parameters calculator (hide)'!$H$63,'Parameters calculator (hide)'!$H$62)</f>
        <v>#VALUE!</v>
      </c>
      <c r="AB36" s="68" t="e">
        <f ca="1">IF(Summary!$C$8="Patients", 'Parameters calculator (hide)'!$I$63,'Parameters calculator (hide)'!$I$62)</f>
        <v>#VALUE!</v>
      </c>
      <c r="AC36" s="68" t="e">
        <f t="shared" ca="1" si="2"/>
        <v>#VALUE!</v>
      </c>
    </row>
    <row r="37" spans="1:29" x14ac:dyDescent="0.2">
      <c r="H37" s="303">
        <f ca="1">'Summary Calculations (hide)'!A39</f>
        <v>44676</v>
      </c>
      <c r="I37" t="str">
        <f ca="1">'Summary Calculations (hide)'!B39</f>
        <v/>
      </c>
      <c r="J37" t="str">
        <f ca="1">'Summary Calculations (hide)'!C39</f>
        <v/>
      </c>
      <c r="K37">
        <f ca="1">'Summary Calculations (hide)'!D39</f>
        <v>17</v>
      </c>
      <c r="L37" s="68">
        <f ca="1">VLOOKUP($K37,'SPC background (hide)'!$AG$2:$AS$54,3,0)</f>
        <v>5</v>
      </c>
      <c r="M37" s="68" t="e">
        <f t="shared" ca="1" si="0"/>
        <v>#N/A</v>
      </c>
      <c r="N37" s="68" t="e">
        <f t="shared" ca="1" si="1"/>
        <v>#VALUE!</v>
      </c>
      <c r="O37" s="68"/>
      <c r="P37" s="68"/>
      <c r="Q37" s="68"/>
      <c r="R37" s="5">
        <f ca="1">(VLOOKUP(K37,'Summary Calculations (hide)'!$D$15:$L$67,8,0)+VLOOKUP(K37,'Summary Calculations (hide)'!$D$15:$L$67,9,0))*IF(Summary!$C$8="Patients",'Summary Calculations (hide)'!$I$9,1)</f>
        <v>0</v>
      </c>
      <c r="AA37" s="68" t="e">
        <f ca="1">IF(Summary!$C$8="Patients", 'Parameters calculator (hide)'!$H$63,'Parameters calculator (hide)'!$H$62)</f>
        <v>#VALUE!</v>
      </c>
      <c r="AB37" s="68" t="e">
        <f ca="1">IF(Summary!$C$8="Patients", 'Parameters calculator (hide)'!$I$63,'Parameters calculator (hide)'!$I$62)</f>
        <v>#VALUE!</v>
      </c>
      <c r="AC37" s="68" t="e">
        <f t="shared" ca="1" si="2"/>
        <v>#VALUE!</v>
      </c>
    </row>
    <row r="38" spans="1:29" x14ac:dyDescent="0.2">
      <c r="H38" s="303">
        <f ca="1">'Summary Calculations (hide)'!A40</f>
        <v>44683</v>
      </c>
      <c r="I38" t="str">
        <f ca="1">'Summary Calculations (hide)'!B40</f>
        <v/>
      </c>
      <c r="J38" t="str">
        <f ca="1">'Summary Calculations (hide)'!C40</f>
        <v>May</v>
      </c>
      <c r="K38">
        <f ca="1">'Summary Calculations (hide)'!D40</f>
        <v>18</v>
      </c>
      <c r="L38" s="68">
        <f ca="1">VLOOKUP($K38,'SPC background (hide)'!$AG$2:$AS$54,3,0)</f>
        <v>5</v>
      </c>
      <c r="M38" s="68" t="e">
        <f t="shared" ca="1" si="0"/>
        <v>#N/A</v>
      </c>
      <c r="N38" s="68" t="e">
        <f t="shared" ca="1" si="1"/>
        <v>#VALUE!</v>
      </c>
      <c r="O38" s="68"/>
      <c r="P38" s="68"/>
      <c r="Q38" s="68"/>
      <c r="R38" s="5">
        <f ca="1">(VLOOKUP(K38,'Summary Calculations (hide)'!$D$15:$L$67,8,0)+VLOOKUP(K38,'Summary Calculations (hide)'!$D$15:$L$67,9,0))*IF(Summary!$C$8="Patients",'Summary Calculations (hide)'!$I$9,1)</f>
        <v>0</v>
      </c>
      <c r="AA38" s="68" t="e">
        <f ca="1">IF(Summary!$C$8="Patients", 'Parameters calculator (hide)'!$H$63,'Parameters calculator (hide)'!$H$62)</f>
        <v>#VALUE!</v>
      </c>
      <c r="AB38" s="68" t="e">
        <f ca="1">IF(Summary!$C$8="Patients", 'Parameters calculator (hide)'!$I$63,'Parameters calculator (hide)'!$I$62)</f>
        <v>#VALUE!</v>
      </c>
      <c r="AC38" s="68" t="e">
        <f t="shared" ca="1" si="2"/>
        <v>#VALUE!</v>
      </c>
    </row>
    <row r="39" spans="1:29" x14ac:dyDescent="0.2">
      <c r="H39" s="303">
        <f ca="1">'Summary Calculations (hide)'!A41</f>
        <v>44690</v>
      </c>
      <c r="I39" t="str">
        <f ca="1">'Summary Calculations (hide)'!B41</f>
        <v/>
      </c>
      <c r="J39" t="str">
        <f ca="1">'Summary Calculations (hide)'!C41</f>
        <v/>
      </c>
      <c r="K39">
        <f ca="1">'Summary Calculations (hide)'!D41</f>
        <v>19</v>
      </c>
      <c r="L39" s="68">
        <f ca="1">VLOOKUP($K39,'SPC background (hide)'!$AG$2:$AS$54,3,0)</f>
        <v>5</v>
      </c>
      <c r="M39" s="68" t="e">
        <f t="shared" ca="1" si="0"/>
        <v>#N/A</v>
      </c>
      <c r="N39" s="68" t="e">
        <f t="shared" ca="1" si="1"/>
        <v>#VALUE!</v>
      </c>
      <c r="O39" s="68"/>
      <c r="P39" s="68"/>
      <c r="Q39" s="68"/>
      <c r="R39" s="5">
        <f ca="1">(VLOOKUP(K39,'Summary Calculations (hide)'!$D$15:$L$67,8,0)+VLOOKUP(K39,'Summary Calculations (hide)'!$D$15:$L$67,9,0))*IF(Summary!$C$8="Patients",'Summary Calculations (hide)'!$I$9,1)</f>
        <v>0</v>
      </c>
      <c r="AA39" s="68" t="e">
        <f ca="1">IF(Summary!$C$8="Patients", 'Parameters calculator (hide)'!$H$63,'Parameters calculator (hide)'!$H$62)</f>
        <v>#VALUE!</v>
      </c>
      <c r="AB39" s="68" t="e">
        <f ca="1">IF(Summary!$C$8="Patients", 'Parameters calculator (hide)'!$I$63,'Parameters calculator (hide)'!$I$62)</f>
        <v>#VALUE!</v>
      </c>
      <c r="AC39" s="68" t="e">
        <f t="shared" ca="1" si="2"/>
        <v>#VALUE!</v>
      </c>
    </row>
    <row r="40" spans="1:29" x14ac:dyDescent="0.2">
      <c r="H40" s="303">
        <f ca="1">'Summary Calculations (hide)'!A42</f>
        <v>44697</v>
      </c>
      <c r="I40" t="str">
        <f ca="1">'Summary Calculations (hide)'!B42</f>
        <v/>
      </c>
      <c r="J40" t="str">
        <f ca="1">'Summary Calculations (hide)'!C42</f>
        <v/>
      </c>
      <c r="K40">
        <f ca="1">'Summary Calculations (hide)'!D42</f>
        <v>20</v>
      </c>
      <c r="L40" s="68">
        <f ca="1">VLOOKUP($K40,'SPC background (hide)'!$AG$2:$AS$54,3,0)</f>
        <v>5</v>
      </c>
      <c r="M40" s="68" t="e">
        <f t="shared" ca="1" si="0"/>
        <v>#N/A</v>
      </c>
      <c r="N40" s="68" t="e">
        <f t="shared" ca="1" si="1"/>
        <v>#VALUE!</v>
      </c>
      <c r="O40" s="68"/>
      <c r="P40" s="68"/>
      <c r="Q40" s="68"/>
      <c r="R40" s="5">
        <f ca="1">(VLOOKUP(K40,'Summary Calculations (hide)'!$D$15:$L$67,8,0)+VLOOKUP(K40,'Summary Calculations (hide)'!$D$15:$L$67,9,0))*IF(Summary!$C$8="Patients",'Summary Calculations (hide)'!$I$9,1)</f>
        <v>0</v>
      </c>
      <c r="AA40" s="68" t="e">
        <f ca="1">IF(Summary!$C$8="Patients", 'Parameters calculator (hide)'!$H$63,'Parameters calculator (hide)'!$H$62)</f>
        <v>#VALUE!</v>
      </c>
      <c r="AB40" s="68" t="e">
        <f ca="1">IF(Summary!$C$8="Patients", 'Parameters calculator (hide)'!$I$63,'Parameters calculator (hide)'!$I$62)</f>
        <v>#VALUE!</v>
      </c>
      <c r="AC40" s="68" t="e">
        <f t="shared" ca="1" si="2"/>
        <v>#VALUE!</v>
      </c>
    </row>
    <row r="41" spans="1:29" x14ac:dyDescent="0.2">
      <c r="H41" s="303">
        <f ca="1">'Summary Calculations (hide)'!A43</f>
        <v>44704</v>
      </c>
      <c r="I41" t="str">
        <f ca="1">'Summary Calculations (hide)'!B43</f>
        <v/>
      </c>
      <c r="J41" t="str">
        <f ca="1">'Summary Calculations (hide)'!C43</f>
        <v/>
      </c>
      <c r="K41">
        <f ca="1">'Summary Calculations (hide)'!D43</f>
        <v>21</v>
      </c>
      <c r="L41" s="68">
        <f ca="1">VLOOKUP($K41,'SPC background (hide)'!$AG$2:$AS$54,3,0)</f>
        <v>5</v>
      </c>
      <c r="M41" s="68" t="e">
        <f t="shared" ca="1" si="0"/>
        <v>#N/A</v>
      </c>
      <c r="N41" s="68" t="e">
        <f t="shared" ca="1" si="1"/>
        <v>#VALUE!</v>
      </c>
      <c r="O41" s="68"/>
      <c r="P41" s="68"/>
      <c r="Q41" s="68"/>
      <c r="R41" s="5">
        <f ca="1">(VLOOKUP(K41,'Summary Calculations (hide)'!$D$15:$L$67,8,0)+VLOOKUP(K41,'Summary Calculations (hide)'!$D$15:$L$67,9,0))*IF(Summary!$C$8="Patients",'Summary Calculations (hide)'!$I$9,1)</f>
        <v>0</v>
      </c>
      <c r="AA41" s="68" t="e">
        <f ca="1">IF(Summary!$C$8="Patients", 'Parameters calculator (hide)'!$H$63,'Parameters calculator (hide)'!$H$62)</f>
        <v>#VALUE!</v>
      </c>
      <c r="AB41" s="68" t="e">
        <f ca="1">IF(Summary!$C$8="Patients", 'Parameters calculator (hide)'!$I$63,'Parameters calculator (hide)'!$I$62)</f>
        <v>#VALUE!</v>
      </c>
      <c r="AC41" s="68" t="e">
        <f t="shared" ca="1" si="2"/>
        <v>#VALUE!</v>
      </c>
    </row>
    <row r="42" spans="1:29" x14ac:dyDescent="0.2">
      <c r="H42" s="303">
        <f ca="1">'Summary Calculations (hide)'!A44</f>
        <v>44711</v>
      </c>
      <c r="I42" t="str">
        <f ca="1">'Summary Calculations (hide)'!B44</f>
        <v/>
      </c>
      <c r="J42" t="str">
        <f ca="1">'Summary Calculations (hide)'!C44</f>
        <v/>
      </c>
      <c r="K42">
        <f ca="1">'Summary Calculations (hide)'!D44</f>
        <v>22</v>
      </c>
      <c r="L42" s="68">
        <f ca="1">VLOOKUP($K42,'SPC background (hide)'!$AG$2:$AS$54,3,0)</f>
        <v>5</v>
      </c>
      <c r="M42" s="68" t="e">
        <f t="shared" ca="1" si="0"/>
        <v>#N/A</v>
      </c>
      <c r="N42" s="68" t="e">
        <f t="shared" ca="1" si="1"/>
        <v>#VALUE!</v>
      </c>
      <c r="O42" s="68"/>
      <c r="P42" s="68"/>
      <c r="Q42" s="68"/>
      <c r="R42" s="5">
        <f ca="1">(VLOOKUP(K42,'Summary Calculations (hide)'!$D$15:$L$67,8,0)+VLOOKUP(K42,'Summary Calculations (hide)'!$D$15:$L$67,9,0))*IF(Summary!$C$8="Patients",'Summary Calculations (hide)'!$I$9,1)</f>
        <v>0</v>
      </c>
      <c r="AA42" s="68" t="e">
        <f ca="1">IF(Summary!$C$8="Patients", 'Parameters calculator (hide)'!$H$63,'Parameters calculator (hide)'!$H$62)</f>
        <v>#VALUE!</v>
      </c>
      <c r="AB42" s="68" t="e">
        <f ca="1">IF(Summary!$C$8="Patients", 'Parameters calculator (hide)'!$I$63,'Parameters calculator (hide)'!$I$62)</f>
        <v>#VALUE!</v>
      </c>
      <c r="AC42" s="68" t="e">
        <f t="shared" ca="1" si="2"/>
        <v>#VALUE!</v>
      </c>
    </row>
    <row r="43" spans="1:29" x14ac:dyDescent="0.2">
      <c r="H43" s="303">
        <f ca="1">'Summary Calculations (hide)'!A45</f>
        <v>44718</v>
      </c>
      <c r="I43" t="str">
        <f ca="1">'Summary Calculations (hide)'!B45</f>
        <v/>
      </c>
      <c r="J43" t="str">
        <f ca="1">'Summary Calculations (hide)'!C45</f>
        <v>Jun</v>
      </c>
      <c r="K43">
        <f ca="1">'Summary Calculations (hide)'!D45</f>
        <v>23</v>
      </c>
      <c r="L43" s="68">
        <f ca="1">VLOOKUP($K43,'SPC background (hide)'!$AG$2:$AS$54,3,0)</f>
        <v>5</v>
      </c>
      <c r="M43" s="68" t="e">
        <f t="shared" ca="1" si="0"/>
        <v>#N/A</v>
      </c>
      <c r="N43" s="68" t="e">
        <f t="shared" ca="1" si="1"/>
        <v>#VALUE!</v>
      </c>
      <c r="O43" s="68"/>
      <c r="P43" s="68"/>
      <c r="Q43" s="68"/>
      <c r="R43" s="5">
        <f ca="1">(VLOOKUP(K43,'Summary Calculations (hide)'!$D$15:$L$67,8,0)+VLOOKUP(K43,'Summary Calculations (hide)'!$D$15:$L$67,9,0))*IF(Summary!$C$8="Patients",'Summary Calculations (hide)'!$I$9,1)</f>
        <v>0</v>
      </c>
      <c r="AA43" s="68" t="e">
        <f ca="1">IF(Summary!$C$8="Patients", 'Parameters calculator (hide)'!$H$63,'Parameters calculator (hide)'!$H$62)</f>
        <v>#VALUE!</v>
      </c>
      <c r="AB43" s="68" t="e">
        <f ca="1">IF(Summary!$C$8="Patients", 'Parameters calculator (hide)'!$I$63,'Parameters calculator (hide)'!$I$62)</f>
        <v>#VALUE!</v>
      </c>
      <c r="AC43" s="68" t="e">
        <f t="shared" ca="1" si="2"/>
        <v>#VALUE!</v>
      </c>
    </row>
    <row r="44" spans="1:29" x14ac:dyDescent="0.2">
      <c r="H44" s="303">
        <f ca="1">'Summary Calculations (hide)'!A46</f>
        <v>44725</v>
      </c>
      <c r="I44" t="str">
        <f ca="1">'Summary Calculations (hide)'!B46</f>
        <v/>
      </c>
      <c r="J44" t="str">
        <f ca="1">'Summary Calculations (hide)'!C46</f>
        <v/>
      </c>
      <c r="K44">
        <f ca="1">'Summary Calculations (hide)'!D46</f>
        <v>24</v>
      </c>
      <c r="L44" s="68">
        <f ca="1">VLOOKUP($K44,'SPC background (hide)'!$AG$2:$AS$54,3,0)</f>
        <v>5</v>
      </c>
      <c r="M44" s="68" t="e">
        <f t="shared" ca="1" si="0"/>
        <v>#N/A</v>
      </c>
      <c r="N44" s="68" t="e">
        <f t="shared" ca="1" si="1"/>
        <v>#VALUE!</v>
      </c>
      <c r="O44" s="68"/>
      <c r="P44" s="68"/>
      <c r="Q44" s="68"/>
      <c r="R44" s="5">
        <f ca="1">(VLOOKUP(K44,'Summary Calculations (hide)'!$D$15:$L$67,8,0)+VLOOKUP(K44,'Summary Calculations (hide)'!$D$15:$L$67,9,0))*IF(Summary!$C$8="Patients",'Summary Calculations (hide)'!$I$9,1)</f>
        <v>0</v>
      </c>
      <c r="AA44" s="68" t="e">
        <f ca="1">IF(Summary!$C$8="Patients", 'Parameters calculator (hide)'!$H$63,'Parameters calculator (hide)'!$H$62)</f>
        <v>#VALUE!</v>
      </c>
      <c r="AB44" s="68" t="e">
        <f ca="1">IF(Summary!$C$8="Patients", 'Parameters calculator (hide)'!$I$63,'Parameters calculator (hide)'!$I$62)</f>
        <v>#VALUE!</v>
      </c>
      <c r="AC44" s="68" t="e">
        <f t="shared" ca="1" si="2"/>
        <v>#VALUE!</v>
      </c>
    </row>
    <row r="45" spans="1:29" x14ac:dyDescent="0.2">
      <c r="H45" s="303">
        <f ca="1">'Summary Calculations (hide)'!A47</f>
        <v>44732</v>
      </c>
      <c r="I45" t="str">
        <f ca="1">'Summary Calculations (hide)'!B47</f>
        <v/>
      </c>
      <c r="J45" t="str">
        <f ca="1">'Summary Calculations (hide)'!C47</f>
        <v/>
      </c>
      <c r="K45">
        <f ca="1">'Summary Calculations (hide)'!D47</f>
        <v>25</v>
      </c>
      <c r="L45" s="68">
        <f ca="1">VLOOKUP($K45,'SPC background (hide)'!$AG$2:$AS$54,3,0)</f>
        <v>5</v>
      </c>
      <c r="M45" s="68" t="e">
        <f t="shared" ca="1" si="0"/>
        <v>#N/A</v>
      </c>
      <c r="N45" s="68" t="e">
        <f t="shared" ca="1" si="1"/>
        <v>#VALUE!</v>
      </c>
      <c r="O45" s="68"/>
      <c r="P45" s="68"/>
      <c r="Q45" s="68"/>
      <c r="R45" s="5">
        <f ca="1">(VLOOKUP(K45,'Summary Calculations (hide)'!$D$15:$L$67,8,0)+VLOOKUP(K45,'Summary Calculations (hide)'!$D$15:$L$67,9,0))*IF(Summary!$C$8="Patients",'Summary Calculations (hide)'!$I$9,1)</f>
        <v>0</v>
      </c>
      <c r="AA45" s="68" t="e">
        <f ca="1">IF(Summary!$C$8="Patients", 'Parameters calculator (hide)'!$H$63,'Parameters calculator (hide)'!$H$62)</f>
        <v>#VALUE!</v>
      </c>
      <c r="AB45" s="68" t="e">
        <f ca="1">IF(Summary!$C$8="Patients", 'Parameters calculator (hide)'!$I$63,'Parameters calculator (hide)'!$I$62)</f>
        <v>#VALUE!</v>
      </c>
      <c r="AC45" s="68" t="e">
        <f t="shared" ca="1" si="2"/>
        <v>#VALUE!</v>
      </c>
    </row>
    <row r="46" spans="1:29" x14ac:dyDescent="0.2">
      <c r="H46" s="303">
        <f ca="1">'Summary Calculations (hide)'!A48</f>
        <v>44739</v>
      </c>
      <c r="I46" t="str">
        <f ca="1">'Summary Calculations (hide)'!B48</f>
        <v/>
      </c>
      <c r="J46" t="str">
        <f ca="1">'Summary Calculations (hide)'!C48</f>
        <v/>
      </c>
      <c r="K46">
        <f ca="1">'Summary Calculations (hide)'!D48</f>
        <v>26</v>
      </c>
      <c r="L46" s="68">
        <f ca="1">VLOOKUP($K46,'SPC background (hide)'!$AG$2:$AS$54,3,0)</f>
        <v>5</v>
      </c>
      <c r="M46" s="68" t="e">
        <f t="shared" ca="1" si="0"/>
        <v>#N/A</v>
      </c>
      <c r="N46" s="68" t="e">
        <f t="shared" ca="1" si="1"/>
        <v>#VALUE!</v>
      </c>
      <c r="O46" s="68"/>
      <c r="P46" s="68"/>
      <c r="Q46" s="68"/>
      <c r="R46" s="5">
        <f ca="1">(VLOOKUP(K46,'Summary Calculations (hide)'!$D$15:$L$67,8,0)+VLOOKUP(K46,'Summary Calculations (hide)'!$D$15:$L$67,9,0))*IF(Summary!$C$8="Patients",'Summary Calculations (hide)'!$I$9,1)</f>
        <v>0</v>
      </c>
      <c r="AA46" s="68" t="e">
        <f ca="1">IF(Summary!$C$8="Patients", 'Parameters calculator (hide)'!$H$63,'Parameters calculator (hide)'!$H$62)</f>
        <v>#VALUE!</v>
      </c>
      <c r="AB46" s="68" t="e">
        <f ca="1">IF(Summary!$C$8="Patients", 'Parameters calculator (hide)'!$I$63,'Parameters calculator (hide)'!$I$62)</f>
        <v>#VALUE!</v>
      </c>
      <c r="AC46" s="68" t="e">
        <f t="shared" ca="1" si="2"/>
        <v>#VALUE!</v>
      </c>
    </row>
    <row r="47" spans="1:29" x14ac:dyDescent="0.2">
      <c r="H47" s="303">
        <f ca="1">'Summary Calculations (hide)'!A49</f>
        <v>44746</v>
      </c>
      <c r="I47" t="str">
        <f ca="1">'Summary Calculations (hide)'!B49</f>
        <v/>
      </c>
      <c r="J47" t="str">
        <f ca="1">'Summary Calculations (hide)'!C49</f>
        <v>Jul</v>
      </c>
      <c r="K47">
        <f ca="1">'Summary Calculations (hide)'!D49</f>
        <v>27</v>
      </c>
      <c r="L47" s="68">
        <f ca="1">VLOOKUP($K47,'SPC background (hide)'!$AG$2:$AS$54,3,0)</f>
        <v>5</v>
      </c>
      <c r="M47" s="68" t="e">
        <f t="shared" ca="1" si="0"/>
        <v>#N/A</v>
      </c>
      <c r="N47" s="68" t="e">
        <f t="shared" ca="1" si="1"/>
        <v>#VALUE!</v>
      </c>
      <c r="O47" s="68"/>
      <c r="P47" s="68"/>
      <c r="Q47" s="68"/>
      <c r="R47" s="5">
        <f ca="1">(VLOOKUP(K47,'Summary Calculations (hide)'!$D$15:$L$67,8,0)+VLOOKUP(K47,'Summary Calculations (hide)'!$D$15:$L$67,9,0))*IF(Summary!$C$8="Patients",'Summary Calculations (hide)'!$I$9,1)</f>
        <v>0</v>
      </c>
      <c r="AA47" s="68" t="e">
        <f ca="1">IF(Summary!$C$8="Patients", 'Parameters calculator (hide)'!$H$63,'Parameters calculator (hide)'!$H$62)</f>
        <v>#VALUE!</v>
      </c>
      <c r="AB47" s="68" t="e">
        <f ca="1">IF(Summary!$C$8="Patients", 'Parameters calculator (hide)'!$I$63,'Parameters calculator (hide)'!$I$62)</f>
        <v>#VALUE!</v>
      </c>
      <c r="AC47" s="68" t="e">
        <f t="shared" ca="1" si="2"/>
        <v>#VALUE!</v>
      </c>
    </row>
    <row r="48" spans="1:29" x14ac:dyDescent="0.2">
      <c r="H48" s="303">
        <f ca="1">'Summary Calculations (hide)'!A50</f>
        <v>44753</v>
      </c>
      <c r="I48" t="str">
        <f ca="1">'Summary Calculations (hide)'!B50</f>
        <v/>
      </c>
      <c r="J48" t="str">
        <f ca="1">'Summary Calculations (hide)'!C50</f>
        <v/>
      </c>
      <c r="K48">
        <f ca="1">'Summary Calculations (hide)'!D50</f>
        <v>28</v>
      </c>
      <c r="L48" s="68">
        <f ca="1">VLOOKUP($K48,'SPC background (hide)'!$AG$2:$AS$54,3,0)</f>
        <v>5</v>
      </c>
      <c r="M48" s="68" t="e">
        <f t="shared" ca="1" si="0"/>
        <v>#N/A</v>
      </c>
      <c r="N48" s="68" t="e">
        <f t="shared" ca="1" si="1"/>
        <v>#VALUE!</v>
      </c>
      <c r="O48" s="68"/>
      <c r="P48" s="68"/>
      <c r="Q48" s="68"/>
      <c r="R48" s="5">
        <f ca="1">(VLOOKUP(K48,'Summary Calculations (hide)'!$D$15:$L$67,8,0)+VLOOKUP(K48,'Summary Calculations (hide)'!$D$15:$L$67,9,0))*IF(Summary!$C$8="Patients",'Summary Calculations (hide)'!$I$9,1)</f>
        <v>0</v>
      </c>
      <c r="AA48" s="68" t="e">
        <f ca="1">IF(Summary!$C$8="Patients", 'Parameters calculator (hide)'!$H$63,'Parameters calculator (hide)'!$H$62)</f>
        <v>#VALUE!</v>
      </c>
      <c r="AB48" s="68" t="e">
        <f ca="1">IF(Summary!$C$8="Patients", 'Parameters calculator (hide)'!$I$63,'Parameters calculator (hide)'!$I$62)</f>
        <v>#VALUE!</v>
      </c>
      <c r="AC48" s="68" t="e">
        <f t="shared" ca="1" si="2"/>
        <v>#VALUE!</v>
      </c>
    </row>
    <row r="49" spans="8:29" x14ac:dyDescent="0.2">
      <c r="H49" s="303">
        <f ca="1">'Summary Calculations (hide)'!A51</f>
        <v>44760</v>
      </c>
      <c r="I49" t="str">
        <f ca="1">'Summary Calculations (hide)'!B51</f>
        <v/>
      </c>
      <c r="J49" t="str">
        <f ca="1">'Summary Calculations (hide)'!C51</f>
        <v/>
      </c>
      <c r="K49">
        <f ca="1">'Summary Calculations (hide)'!D51</f>
        <v>29</v>
      </c>
      <c r="L49" s="68">
        <f ca="1">VLOOKUP($K49,'SPC background (hide)'!$AG$2:$AS$54,3,0)</f>
        <v>5</v>
      </c>
      <c r="M49" s="68" t="e">
        <f t="shared" ca="1" si="0"/>
        <v>#N/A</v>
      </c>
      <c r="N49" s="68" t="e">
        <f t="shared" ca="1" si="1"/>
        <v>#VALUE!</v>
      </c>
      <c r="O49" s="68"/>
      <c r="P49" s="68"/>
      <c r="Q49" s="68"/>
      <c r="R49" s="5">
        <f ca="1">(VLOOKUP(K49,'Summary Calculations (hide)'!$D$15:$L$67,8,0)+VLOOKUP(K49,'Summary Calculations (hide)'!$D$15:$L$67,9,0))*IF(Summary!$C$8="Patients",'Summary Calculations (hide)'!$I$9,1)</f>
        <v>0</v>
      </c>
      <c r="AA49" s="68" t="e">
        <f ca="1">IF(Summary!$C$8="Patients", 'Parameters calculator (hide)'!$H$63,'Parameters calculator (hide)'!$H$62)</f>
        <v>#VALUE!</v>
      </c>
      <c r="AB49" s="68" t="e">
        <f ca="1">IF(Summary!$C$8="Patients", 'Parameters calculator (hide)'!$I$63,'Parameters calculator (hide)'!$I$62)</f>
        <v>#VALUE!</v>
      </c>
      <c r="AC49" s="68" t="e">
        <f t="shared" ca="1" si="2"/>
        <v>#VALUE!</v>
      </c>
    </row>
    <row r="50" spans="8:29" x14ac:dyDescent="0.2">
      <c r="H50" s="303">
        <f ca="1">'Summary Calculations (hide)'!A52</f>
        <v>44767</v>
      </c>
      <c r="I50" t="str">
        <f ca="1">'Summary Calculations (hide)'!B52</f>
        <v/>
      </c>
      <c r="J50" t="str">
        <f ca="1">'Summary Calculations (hide)'!C52</f>
        <v/>
      </c>
      <c r="K50">
        <f ca="1">'Summary Calculations (hide)'!D52</f>
        <v>30</v>
      </c>
      <c r="L50" s="68">
        <f ca="1">VLOOKUP($K50,'SPC background (hide)'!$AG$2:$AS$54,3,0)</f>
        <v>5</v>
      </c>
      <c r="M50" s="68" t="e">
        <f t="shared" ca="1" si="0"/>
        <v>#N/A</v>
      </c>
      <c r="N50" s="68" t="e">
        <f t="shared" ca="1" si="1"/>
        <v>#VALUE!</v>
      </c>
      <c r="O50" s="68"/>
      <c r="P50" s="68"/>
      <c r="Q50" s="68"/>
      <c r="R50" s="5">
        <f ca="1">(VLOOKUP(K50,'Summary Calculations (hide)'!$D$15:$L$67,8,0)+VLOOKUP(K50,'Summary Calculations (hide)'!$D$15:$L$67,9,0))*IF(Summary!$C$8="Patients",'Summary Calculations (hide)'!$I$9,1)</f>
        <v>0</v>
      </c>
      <c r="AA50" s="68" t="e">
        <f ca="1">IF(Summary!$C$8="Patients", 'Parameters calculator (hide)'!$H$63,'Parameters calculator (hide)'!$H$62)</f>
        <v>#VALUE!</v>
      </c>
      <c r="AB50" s="68" t="e">
        <f ca="1">IF(Summary!$C$8="Patients", 'Parameters calculator (hide)'!$I$63,'Parameters calculator (hide)'!$I$62)</f>
        <v>#VALUE!</v>
      </c>
      <c r="AC50" s="68" t="e">
        <f t="shared" ca="1" si="2"/>
        <v>#VALUE!</v>
      </c>
    </row>
    <row r="51" spans="8:29" x14ac:dyDescent="0.2">
      <c r="H51" s="303">
        <f ca="1">'Summary Calculations (hide)'!A53</f>
        <v>44774</v>
      </c>
      <c r="I51" t="str">
        <f ca="1">'Summary Calculations (hide)'!B53</f>
        <v/>
      </c>
      <c r="J51" t="str">
        <f ca="1">'Summary Calculations (hide)'!C53</f>
        <v>Aug</v>
      </c>
      <c r="K51">
        <f ca="1">'Summary Calculations (hide)'!D53</f>
        <v>31</v>
      </c>
      <c r="L51" s="68">
        <f ca="1">VLOOKUP($K51,'SPC background (hide)'!$AG$2:$AS$54,3,0)</f>
        <v>5</v>
      </c>
      <c r="M51" s="68" t="e">
        <f t="shared" ca="1" si="0"/>
        <v>#N/A</v>
      </c>
      <c r="N51" s="68" t="e">
        <f t="shared" ca="1" si="1"/>
        <v>#VALUE!</v>
      </c>
      <c r="O51" s="68"/>
      <c r="P51" s="68"/>
      <c r="Q51" s="68"/>
      <c r="R51" s="5">
        <f ca="1">(VLOOKUP(K51,'Summary Calculations (hide)'!$D$15:$L$67,8,0)+VLOOKUP(K51,'Summary Calculations (hide)'!$D$15:$L$67,9,0))*IF(Summary!$C$8="Patients",'Summary Calculations (hide)'!$I$9,1)</f>
        <v>0</v>
      </c>
      <c r="AA51" s="68" t="e">
        <f ca="1">IF(Summary!$C$8="Patients", 'Parameters calculator (hide)'!$H$63,'Parameters calculator (hide)'!$H$62)</f>
        <v>#VALUE!</v>
      </c>
      <c r="AB51" s="68" t="e">
        <f ca="1">IF(Summary!$C$8="Patients", 'Parameters calculator (hide)'!$I$63,'Parameters calculator (hide)'!$I$62)</f>
        <v>#VALUE!</v>
      </c>
      <c r="AC51" s="68" t="e">
        <f t="shared" ca="1" si="2"/>
        <v>#VALUE!</v>
      </c>
    </row>
    <row r="52" spans="8:29" x14ac:dyDescent="0.2">
      <c r="H52" s="303">
        <f ca="1">'Summary Calculations (hide)'!A54</f>
        <v>44781</v>
      </c>
      <c r="I52" t="str">
        <f ca="1">'Summary Calculations (hide)'!B54</f>
        <v/>
      </c>
      <c r="J52" t="str">
        <f ca="1">'Summary Calculations (hide)'!C54</f>
        <v/>
      </c>
      <c r="K52">
        <f ca="1">'Summary Calculations (hide)'!D54</f>
        <v>32</v>
      </c>
      <c r="L52" s="68">
        <f ca="1">VLOOKUP($K52,'SPC background (hide)'!$AG$2:$AS$54,3,0)</f>
        <v>5</v>
      </c>
      <c r="M52" s="68" t="e">
        <f t="shared" ca="1" si="0"/>
        <v>#N/A</v>
      </c>
      <c r="N52" s="68" t="e">
        <f t="shared" ca="1" si="1"/>
        <v>#VALUE!</v>
      </c>
      <c r="O52" s="68"/>
      <c r="P52" s="68"/>
      <c r="Q52" s="68"/>
      <c r="R52" s="5">
        <f ca="1">(VLOOKUP(K52,'Summary Calculations (hide)'!$D$15:$L$67,8,0)+VLOOKUP(K52,'Summary Calculations (hide)'!$D$15:$L$67,9,0))*IF(Summary!$C$8="Patients",'Summary Calculations (hide)'!$I$9,1)</f>
        <v>0</v>
      </c>
      <c r="AA52" s="68" t="e">
        <f ca="1">IF(Summary!$C$8="Patients", 'Parameters calculator (hide)'!$H$63,'Parameters calculator (hide)'!$H$62)</f>
        <v>#VALUE!</v>
      </c>
      <c r="AB52" s="68" t="e">
        <f ca="1">IF(Summary!$C$8="Patients", 'Parameters calculator (hide)'!$I$63,'Parameters calculator (hide)'!$I$62)</f>
        <v>#VALUE!</v>
      </c>
      <c r="AC52" s="68" t="e">
        <f t="shared" ca="1" si="2"/>
        <v>#VALUE!</v>
      </c>
    </row>
    <row r="53" spans="8:29" x14ac:dyDescent="0.2">
      <c r="H53" s="303">
        <f ca="1">'Summary Calculations (hide)'!A55</f>
        <v>44788</v>
      </c>
      <c r="I53" t="str">
        <f ca="1">'Summary Calculations (hide)'!B55</f>
        <v/>
      </c>
      <c r="J53" t="str">
        <f ca="1">'Summary Calculations (hide)'!C55</f>
        <v/>
      </c>
      <c r="K53">
        <f ca="1">'Summary Calculations (hide)'!D55</f>
        <v>33</v>
      </c>
      <c r="L53" s="68">
        <f ca="1">VLOOKUP($K53,'SPC background (hide)'!$AG$2:$AS$54,3,0)</f>
        <v>5</v>
      </c>
      <c r="M53" s="68" t="e">
        <f t="shared" ca="1" si="0"/>
        <v>#N/A</v>
      </c>
      <c r="N53" s="68" t="e">
        <f t="shared" ca="1" si="1"/>
        <v>#VALUE!</v>
      </c>
      <c r="O53" s="68"/>
      <c r="P53" s="68"/>
      <c r="Q53" s="68"/>
      <c r="R53" s="5">
        <f ca="1">(VLOOKUP(K53,'Summary Calculations (hide)'!$D$15:$L$67,8,0)+VLOOKUP(K53,'Summary Calculations (hide)'!$D$15:$L$67,9,0))*IF(Summary!$C$8="Patients",'Summary Calculations (hide)'!$I$9,1)</f>
        <v>0</v>
      </c>
      <c r="AA53" s="68" t="e">
        <f ca="1">IF(Summary!$C$8="Patients", 'Parameters calculator (hide)'!$H$63,'Parameters calculator (hide)'!$H$62)</f>
        <v>#VALUE!</v>
      </c>
      <c r="AB53" s="68" t="e">
        <f ca="1">IF(Summary!$C$8="Patients", 'Parameters calculator (hide)'!$I$63,'Parameters calculator (hide)'!$I$62)</f>
        <v>#VALUE!</v>
      </c>
      <c r="AC53" s="68" t="e">
        <f t="shared" ca="1" si="2"/>
        <v>#VALUE!</v>
      </c>
    </row>
    <row r="54" spans="8:29" x14ac:dyDescent="0.2">
      <c r="H54" s="303">
        <f ca="1">'Summary Calculations (hide)'!A56</f>
        <v>44795</v>
      </c>
      <c r="I54" t="str">
        <f ca="1">'Summary Calculations (hide)'!B56</f>
        <v/>
      </c>
      <c r="J54" t="str">
        <f ca="1">'Summary Calculations (hide)'!C56</f>
        <v/>
      </c>
      <c r="K54">
        <f ca="1">'Summary Calculations (hide)'!D56</f>
        <v>34</v>
      </c>
      <c r="L54" s="68">
        <f ca="1">VLOOKUP($K54,'SPC background (hide)'!$AG$2:$AS$54,3,0)</f>
        <v>5</v>
      </c>
      <c r="M54" s="68" t="e">
        <f t="shared" ca="1" si="0"/>
        <v>#N/A</v>
      </c>
      <c r="N54" s="68" t="e">
        <f t="shared" ca="1" si="1"/>
        <v>#VALUE!</v>
      </c>
      <c r="O54" s="68"/>
      <c r="P54" s="68"/>
      <c r="Q54" s="68"/>
      <c r="R54" s="5">
        <f ca="1">(VLOOKUP(K54,'Summary Calculations (hide)'!$D$15:$L$67,8,0)+VLOOKUP(K54,'Summary Calculations (hide)'!$D$15:$L$67,9,0))*IF(Summary!$C$8="Patients",'Summary Calculations (hide)'!$I$9,1)</f>
        <v>0</v>
      </c>
      <c r="AA54" s="68" t="e">
        <f ca="1">IF(Summary!$C$8="Patients", 'Parameters calculator (hide)'!$H$63,'Parameters calculator (hide)'!$H$62)</f>
        <v>#VALUE!</v>
      </c>
      <c r="AB54" s="68" t="e">
        <f ca="1">IF(Summary!$C$8="Patients", 'Parameters calculator (hide)'!$I$63,'Parameters calculator (hide)'!$I$62)</f>
        <v>#VALUE!</v>
      </c>
      <c r="AC54" s="68" t="e">
        <f t="shared" ca="1" si="2"/>
        <v>#VALUE!</v>
      </c>
    </row>
    <row r="55" spans="8:29" x14ac:dyDescent="0.2">
      <c r="H55" s="303">
        <f ca="1">'Summary Calculations (hide)'!A57</f>
        <v>44802</v>
      </c>
      <c r="I55" t="str">
        <f ca="1">'Summary Calculations (hide)'!B57</f>
        <v/>
      </c>
      <c r="J55" t="str">
        <f ca="1">'Summary Calculations (hide)'!C57</f>
        <v/>
      </c>
      <c r="K55">
        <f ca="1">'Summary Calculations (hide)'!D57</f>
        <v>35</v>
      </c>
      <c r="L55" s="68">
        <f ca="1">VLOOKUP($K55,'SPC background (hide)'!$AG$2:$AS$54,3,0)</f>
        <v>5</v>
      </c>
      <c r="M55" s="68" t="e">
        <f t="shared" ca="1" si="0"/>
        <v>#N/A</v>
      </c>
      <c r="N55" s="68" t="e">
        <f t="shared" ca="1" si="1"/>
        <v>#VALUE!</v>
      </c>
      <c r="O55" s="68"/>
      <c r="P55" s="68"/>
      <c r="Q55" s="68"/>
      <c r="R55" s="5">
        <f ca="1">(VLOOKUP(K55,'Summary Calculations (hide)'!$D$15:$L$67,8,0)+VLOOKUP(K55,'Summary Calculations (hide)'!$D$15:$L$67,9,0))*IF(Summary!$C$8="Patients",'Summary Calculations (hide)'!$I$9,1)</f>
        <v>0</v>
      </c>
      <c r="AA55" s="68" t="e">
        <f ca="1">IF(Summary!$C$8="Patients", 'Parameters calculator (hide)'!$H$63,'Parameters calculator (hide)'!$H$62)</f>
        <v>#VALUE!</v>
      </c>
      <c r="AB55" s="68" t="e">
        <f ca="1">IF(Summary!$C$8="Patients", 'Parameters calculator (hide)'!$I$63,'Parameters calculator (hide)'!$I$62)</f>
        <v>#VALUE!</v>
      </c>
      <c r="AC55" s="68" t="e">
        <f t="shared" ca="1" si="2"/>
        <v>#VALUE!</v>
      </c>
    </row>
    <row r="56" spans="8:29" x14ac:dyDescent="0.2">
      <c r="H56" s="303">
        <f ca="1">'Summary Calculations (hide)'!A58</f>
        <v>44809</v>
      </c>
      <c r="I56" t="str">
        <f ca="1">'Summary Calculations (hide)'!B58</f>
        <v/>
      </c>
      <c r="J56" t="str">
        <f ca="1">'Summary Calculations (hide)'!C58</f>
        <v>Sep</v>
      </c>
      <c r="K56">
        <f ca="1">'Summary Calculations (hide)'!D58</f>
        <v>36</v>
      </c>
      <c r="L56" s="68">
        <f ca="1">VLOOKUP($K56,'SPC background (hide)'!$AG$2:$AS$54,3,0)</f>
        <v>5</v>
      </c>
      <c r="M56" s="68" t="e">
        <f t="shared" ca="1" si="0"/>
        <v>#N/A</v>
      </c>
      <c r="N56" s="68" t="e">
        <f t="shared" ca="1" si="1"/>
        <v>#VALUE!</v>
      </c>
      <c r="O56" s="68"/>
      <c r="P56" s="68"/>
      <c r="Q56" s="68"/>
      <c r="R56" s="5">
        <f ca="1">(VLOOKUP(K56,'Summary Calculations (hide)'!$D$15:$L$67,8,0)+VLOOKUP(K56,'Summary Calculations (hide)'!$D$15:$L$67,9,0))*IF(Summary!$C$8="Patients",'Summary Calculations (hide)'!$I$9,1)</f>
        <v>0</v>
      </c>
      <c r="AA56" s="68" t="e">
        <f ca="1">IF(Summary!$C$8="Patients", 'Parameters calculator (hide)'!$H$63,'Parameters calculator (hide)'!$H$62)</f>
        <v>#VALUE!</v>
      </c>
      <c r="AB56" s="68" t="e">
        <f ca="1">IF(Summary!$C$8="Patients", 'Parameters calculator (hide)'!$I$63,'Parameters calculator (hide)'!$I$62)</f>
        <v>#VALUE!</v>
      </c>
      <c r="AC56" s="68" t="e">
        <f t="shared" ca="1" si="2"/>
        <v>#VALUE!</v>
      </c>
    </row>
    <row r="57" spans="8:29" x14ac:dyDescent="0.2">
      <c r="H57" s="303">
        <f ca="1">'Summary Calculations (hide)'!A59</f>
        <v>44816</v>
      </c>
      <c r="I57" t="str">
        <f ca="1">'Summary Calculations (hide)'!B59</f>
        <v/>
      </c>
      <c r="J57" t="str">
        <f ca="1">'Summary Calculations (hide)'!C59</f>
        <v/>
      </c>
      <c r="K57">
        <f ca="1">'Summary Calculations (hide)'!D59</f>
        <v>37</v>
      </c>
      <c r="L57" s="68">
        <f ca="1">VLOOKUP($K57,'SPC background (hide)'!$AG$2:$AS$54,3,0)</f>
        <v>5</v>
      </c>
      <c r="M57" s="68" t="e">
        <f t="shared" ca="1" si="0"/>
        <v>#N/A</v>
      </c>
      <c r="N57" s="68" t="e">
        <f t="shared" ca="1" si="1"/>
        <v>#VALUE!</v>
      </c>
      <c r="O57" s="68"/>
      <c r="P57" s="68"/>
      <c r="Q57" s="68"/>
      <c r="R57" s="5">
        <f ca="1">(VLOOKUP(K57,'Summary Calculations (hide)'!$D$15:$L$67,8,0)+VLOOKUP(K57,'Summary Calculations (hide)'!$D$15:$L$67,9,0))*IF(Summary!$C$8="Patients",'Summary Calculations (hide)'!$I$9,1)</f>
        <v>0</v>
      </c>
      <c r="AA57" s="68" t="e">
        <f ca="1">IF(Summary!$C$8="Patients", 'Parameters calculator (hide)'!$H$63,'Parameters calculator (hide)'!$H$62)</f>
        <v>#VALUE!</v>
      </c>
      <c r="AB57" s="68" t="e">
        <f ca="1">IF(Summary!$C$8="Patients", 'Parameters calculator (hide)'!$I$63,'Parameters calculator (hide)'!$I$62)</f>
        <v>#VALUE!</v>
      </c>
      <c r="AC57" s="68" t="e">
        <f t="shared" ca="1" si="2"/>
        <v>#VALUE!</v>
      </c>
    </row>
    <row r="58" spans="8:29" x14ac:dyDescent="0.2">
      <c r="H58" s="303">
        <f ca="1">'Summary Calculations (hide)'!A60</f>
        <v>44823</v>
      </c>
      <c r="I58" t="str">
        <f ca="1">'Summary Calculations (hide)'!B60</f>
        <v/>
      </c>
      <c r="J58" t="str">
        <f ca="1">'Summary Calculations (hide)'!C60</f>
        <v/>
      </c>
      <c r="K58">
        <f ca="1">'Summary Calculations (hide)'!D60</f>
        <v>38</v>
      </c>
      <c r="L58" s="68">
        <f ca="1">VLOOKUP($K58,'SPC background (hide)'!$AG$2:$AS$54,3,0)</f>
        <v>5</v>
      </c>
      <c r="M58" s="68" t="e">
        <f t="shared" ca="1" si="0"/>
        <v>#N/A</v>
      </c>
      <c r="N58" s="68" t="e">
        <f t="shared" ca="1" si="1"/>
        <v>#VALUE!</v>
      </c>
      <c r="O58" s="68"/>
      <c r="P58" s="68"/>
      <c r="Q58" s="68"/>
      <c r="R58" s="5">
        <f ca="1">(VLOOKUP(K58,'Summary Calculations (hide)'!$D$15:$L$67,8,0)+VLOOKUP(K58,'Summary Calculations (hide)'!$D$15:$L$67,9,0))*IF(Summary!$C$8="Patients",'Summary Calculations (hide)'!$I$9,1)</f>
        <v>0</v>
      </c>
      <c r="AA58" s="68" t="e">
        <f ca="1">IF(Summary!$C$8="Patients", 'Parameters calculator (hide)'!$H$63,'Parameters calculator (hide)'!$H$62)</f>
        <v>#VALUE!</v>
      </c>
      <c r="AB58" s="68" t="e">
        <f ca="1">IF(Summary!$C$8="Patients", 'Parameters calculator (hide)'!$I$63,'Parameters calculator (hide)'!$I$62)</f>
        <v>#VALUE!</v>
      </c>
      <c r="AC58" s="68" t="e">
        <f t="shared" ca="1" si="2"/>
        <v>#VALUE!</v>
      </c>
    </row>
    <row r="59" spans="8:29" x14ac:dyDescent="0.2">
      <c r="H59" s="303">
        <f ca="1">'Summary Calculations (hide)'!A61</f>
        <v>44830</v>
      </c>
      <c r="I59" t="str">
        <f ca="1">'Summary Calculations (hide)'!B61</f>
        <v/>
      </c>
      <c r="J59" t="str">
        <f ca="1">'Summary Calculations (hide)'!C61</f>
        <v/>
      </c>
      <c r="K59">
        <f ca="1">'Summary Calculations (hide)'!D61</f>
        <v>39</v>
      </c>
      <c r="L59" s="68">
        <f ca="1">VLOOKUP($K59,'SPC background (hide)'!$AG$2:$AS$54,3,0)</f>
        <v>5</v>
      </c>
      <c r="M59" s="68" t="e">
        <f t="shared" ca="1" si="0"/>
        <v>#N/A</v>
      </c>
      <c r="N59" s="68" t="e">
        <f t="shared" ca="1" si="1"/>
        <v>#VALUE!</v>
      </c>
      <c r="O59" s="68"/>
      <c r="P59" s="68"/>
      <c r="Q59" s="68"/>
      <c r="R59" s="5">
        <f ca="1">(VLOOKUP(K59,'Summary Calculations (hide)'!$D$15:$L$67,8,0)+VLOOKUP(K59,'Summary Calculations (hide)'!$D$15:$L$67,9,0))*IF(Summary!$C$8="Patients",'Summary Calculations (hide)'!$I$9,1)</f>
        <v>0</v>
      </c>
      <c r="AA59" s="68" t="e">
        <f ca="1">IF(Summary!$C$8="Patients", 'Parameters calculator (hide)'!$H$63,'Parameters calculator (hide)'!$H$62)</f>
        <v>#VALUE!</v>
      </c>
      <c r="AB59" s="68" t="e">
        <f ca="1">IF(Summary!$C$8="Patients", 'Parameters calculator (hide)'!$I$63,'Parameters calculator (hide)'!$I$62)</f>
        <v>#VALUE!</v>
      </c>
      <c r="AC59" s="68" t="e">
        <f t="shared" ca="1" si="2"/>
        <v>#VALUE!</v>
      </c>
    </row>
    <row r="60" spans="8:29" x14ac:dyDescent="0.2">
      <c r="H60" s="303">
        <f ca="1">'Summary Calculations (hide)'!A62</f>
        <v>44837</v>
      </c>
      <c r="I60" t="str">
        <f ca="1">'Summary Calculations (hide)'!B62</f>
        <v/>
      </c>
      <c r="J60" t="str">
        <f ca="1">'Summary Calculations (hide)'!C62</f>
        <v>Oct</v>
      </c>
      <c r="K60">
        <f ca="1">'Summary Calculations (hide)'!D62</f>
        <v>40</v>
      </c>
      <c r="L60" s="68">
        <f ca="1">VLOOKUP($K60,'SPC background (hide)'!$AG$2:$AS$54,3,0)</f>
        <v>5</v>
      </c>
      <c r="M60" s="68" t="e">
        <f t="shared" ca="1" si="0"/>
        <v>#N/A</v>
      </c>
      <c r="N60" s="68" t="e">
        <f t="shared" ca="1" si="1"/>
        <v>#VALUE!</v>
      </c>
      <c r="O60" s="68"/>
      <c r="P60" s="68"/>
      <c r="Q60" s="68"/>
      <c r="R60" s="5">
        <f ca="1">(VLOOKUP(K60,'Summary Calculations (hide)'!$D$15:$L$67,8,0)+VLOOKUP(K60,'Summary Calculations (hide)'!$D$15:$L$67,9,0))*IF(Summary!$C$8="Patients",'Summary Calculations (hide)'!$I$9,1)</f>
        <v>0</v>
      </c>
      <c r="AA60" s="68" t="e">
        <f ca="1">IF(Summary!$C$8="Patients", 'Parameters calculator (hide)'!$H$63,'Parameters calculator (hide)'!$H$62)</f>
        <v>#VALUE!</v>
      </c>
      <c r="AB60" s="68" t="e">
        <f ca="1">IF(Summary!$C$8="Patients", 'Parameters calculator (hide)'!$I$63,'Parameters calculator (hide)'!$I$62)</f>
        <v>#VALUE!</v>
      </c>
      <c r="AC60" s="68" t="e">
        <f t="shared" ca="1" si="2"/>
        <v>#VALUE!</v>
      </c>
    </row>
    <row r="61" spans="8:29" x14ac:dyDescent="0.2">
      <c r="H61" s="303">
        <f ca="1">'Summary Calculations (hide)'!A63</f>
        <v>44844</v>
      </c>
      <c r="I61" t="str">
        <f ca="1">'Summary Calculations (hide)'!B63</f>
        <v/>
      </c>
      <c r="J61" t="str">
        <f ca="1">'Summary Calculations (hide)'!C63</f>
        <v/>
      </c>
      <c r="K61">
        <f ca="1">'Summary Calculations (hide)'!D63</f>
        <v>41</v>
      </c>
      <c r="L61" s="68">
        <f ca="1">VLOOKUP($K61,'SPC background (hide)'!$AG$2:$AS$54,3,0)</f>
        <v>5</v>
      </c>
      <c r="M61" s="68" t="e">
        <f t="shared" ca="1" si="0"/>
        <v>#N/A</v>
      </c>
      <c r="N61" s="68" t="e">
        <f t="shared" ca="1" si="1"/>
        <v>#VALUE!</v>
      </c>
      <c r="O61" s="68"/>
      <c r="P61" s="68"/>
      <c r="Q61" s="68"/>
      <c r="R61" s="5">
        <f ca="1">(VLOOKUP(K61,'Summary Calculations (hide)'!$D$15:$L$67,8,0)+VLOOKUP(K61,'Summary Calculations (hide)'!$D$15:$L$67,9,0))*IF(Summary!$C$8="Patients",'Summary Calculations (hide)'!$I$9,1)</f>
        <v>0</v>
      </c>
      <c r="AA61" s="68" t="e">
        <f ca="1">IF(Summary!$C$8="Patients", 'Parameters calculator (hide)'!$H$63,'Parameters calculator (hide)'!$H$62)</f>
        <v>#VALUE!</v>
      </c>
      <c r="AB61" s="68" t="e">
        <f ca="1">IF(Summary!$C$8="Patients", 'Parameters calculator (hide)'!$I$63,'Parameters calculator (hide)'!$I$62)</f>
        <v>#VALUE!</v>
      </c>
      <c r="AC61" s="68" t="e">
        <f t="shared" ca="1" si="2"/>
        <v>#VALUE!</v>
      </c>
    </row>
    <row r="62" spans="8:29" x14ac:dyDescent="0.2">
      <c r="H62" s="303">
        <f ca="1">'Summary Calculations (hide)'!A64</f>
        <v>44851</v>
      </c>
      <c r="I62" t="str">
        <f ca="1">'Summary Calculations (hide)'!B64</f>
        <v/>
      </c>
      <c r="J62" t="str">
        <f ca="1">'Summary Calculations (hide)'!C64</f>
        <v/>
      </c>
      <c r="K62">
        <f ca="1">'Summary Calculations (hide)'!D64</f>
        <v>42</v>
      </c>
      <c r="L62" s="68">
        <f ca="1">VLOOKUP($K62,'SPC background (hide)'!$AG$2:$AS$54,3,0)</f>
        <v>5</v>
      </c>
      <c r="M62" s="68" t="e">
        <f t="shared" ca="1" si="0"/>
        <v>#N/A</v>
      </c>
      <c r="N62" s="68" t="e">
        <f t="shared" ca="1" si="1"/>
        <v>#VALUE!</v>
      </c>
      <c r="O62" s="68"/>
      <c r="P62" s="68"/>
      <c r="Q62" s="68"/>
      <c r="R62" s="5">
        <f ca="1">(VLOOKUP(K62,'Summary Calculations (hide)'!$D$15:$L$67,8,0)+VLOOKUP(K62,'Summary Calculations (hide)'!$D$15:$L$67,9,0))*IF(Summary!$C$8="Patients",'Summary Calculations (hide)'!$I$9,1)</f>
        <v>0</v>
      </c>
      <c r="AA62" s="68" t="e">
        <f ca="1">IF(Summary!$C$8="Patients", 'Parameters calculator (hide)'!$H$63,'Parameters calculator (hide)'!$H$62)</f>
        <v>#VALUE!</v>
      </c>
      <c r="AB62" s="68" t="e">
        <f ca="1">IF(Summary!$C$8="Patients", 'Parameters calculator (hide)'!$I$63,'Parameters calculator (hide)'!$I$62)</f>
        <v>#VALUE!</v>
      </c>
      <c r="AC62" s="68" t="e">
        <f t="shared" ca="1" si="2"/>
        <v>#VALUE!</v>
      </c>
    </row>
    <row r="63" spans="8:29" x14ac:dyDescent="0.2">
      <c r="H63" s="303">
        <f ca="1">'Summary Calculations (hide)'!A65</f>
        <v>44858</v>
      </c>
      <c r="I63" t="str">
        <f ca="1">'Summary Calculations (hide)'!B65</f>
        <v/>
      </c>
      <c r="J63" t="str">
        <f ca="1">'Summary Calculations (hide)'!C65</f>
        <v/>
      </c>
      <c r="K63">
        <f ca="1">'Summary Calculations (hide)'!D65</f>
        <v>43</v>
      </c>
      <c r="L63" s="68">
        <f ca="1">VLOOKUP($K63,'SPC background (hide)'!$AG$2:$AS$54,3,0)</f>
        <v>5</v>
      </c>
      <c r="M63" s="68" t="e">
        <f t="shared" ca="1" si="0"/>
        <v>#N/A</v>
      </c>
      <c r="N63" s="68" t="e">
        <f t="shared" ca="1" si="1"/>
        <v>#VALUE!</v>
      </c>
      <c r="O63" s="68"/>
      <c r="P63" s="68"/>
      <c r="Q63" s="68"/>
      <c r="R63" s="5">
        <f ca="1">(VLOOKUP(K63,'Summary Calculations (hide)'!$D$15:$L$67,8,0)+VLOOKUP(K63,'Summary Calculations (hide)'!$D$15:$L$67,9,0))*IF(Summary!$C$8="Patients",'Summary Calculations (hide)'!$I$9,1)</f>
        <v>0</v>
      </c>
      <c r="AA63" s="68" t="e">
        <f ca="1">IF(Summary!$C$8="Patients", 'Parameters calculator (hide)'!$H$63,'Parameters calculator (hide)'!$H$62)</f>
        <v>#VALUE!</v>
      </c>
      <c r="AB63" s="68" t="e">
        <f ca="1">IF(Summary!$C$8="Patients", 'Parameters calculator (hide)'!$I$63,'Parameters calculator (hide)'!$I$62)</f>
        <v>#VALUE!</v>
      </c>
      <c r="AC63" s="68" t="e">
        <f t="shared" ca="1" si="2"/>
        <v>#VALUE!</v>
      </c>
    </row>
    <row r="64" spans="8:29" x14ac:dyDescent="0.2">
      <c r="H64" s="303">
        <f ca="1">'Summary Calculations (hide)'!A66</f>
        <v>44865</v>
      </c>
      <c r="I64" t="str">
        <f ca="1">'Summary Calculations (hide)'!B66</f>
        <v/>
      </c>
      <c r="J64" t="str">
        <f ca="1">'Summary Calculations (hide)'!C66</f>
        <v/>
      </c>
      <c r="K64">
        <f ca="1">'Summary Calculations (hide)'!D66</f>
        <v>44</v>
      </c>
      <c r="L64" s="68">
        <f ca="1">VLOOKUP($K64,'SPC background (hide)'!$AG$2:$AS$54,3,0)</f>
        <v>5</v>
      </c>
      <c r="M64" s="68" t="e">
        <f t="shared" ca="1" si="0"/>
        <v>#N/A</v>
      </c>
      <c r="N64" s="68" t="e">
        <f t="shared" ca="1" si="1"/>
        <v>#VALUE!</v>
      </c>
      <c r="O64" s="68"/>
      <c r="P64" s="68"/>
      <c r="Q64" s="68"/>
      <c r="R64" s="5">
        <f ca="1">(VLOOKUP(K64,'Summary Calculations (hide)'!$D$15:$L$67,8,0)+VLOOKUP(K64,'Summary Calculations (hide)'!$D$15:$L$67,9,0))*IF(Summary!$C$8="Patients",'Summary Calculations (hide)'!$I$9,1)</f>
        <v>0</v>
      </c>
      <c r="AA64" s="68" t="e">
        <f ca="1">IF(Summary!$C$8="Patients", 'Parameters calculator (hide)'!$H$63,'Parameters calculator (hide)'!$H$62)</f>
        <v>#VALUE!</v>
      </c>
      <c r="AB64" s="68" t="e">
        <f ca="1">IF(Summary!$C$8="Patients", 'Parameters calculator (hide)'!$I$63,'Parameters calculator (hide)'!$I$62)</f>
        <v>#VALUE!</v>
      </c>
      <c r="AC64" s="68" t="e">
        <f t="shared" ca="1" si="2"/>
        <v>#VALUE!</v>
      </c>
    </row>
    <row r="65" spans="1:114" x14ac:dyDescent="0.2">
      <c r="H65" s="8"/>
      <c r="I65" s="3"/>
      <c r="J65" s="3"/>
      <c r="K65" s="3"/>
      <c r="L65" s="3"/>
      <c r="M65" s="3"/>
      <c r="N65" s="3"/>
      <c r="O65" s="3"/>
      <c r="P65" s="3"/>
      <c r="Q65" s="3"/>
      <c r="R65" s="68"/>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heetViews>
  <sheetFormatPr defaultColWidth="9" defaultRowHeight="14.25" x14ac:dyDescent="0.2"/>
  <cols>
    <col min="1" max="1" width="0.875" style="68" customWidth="1"/>
    <col min="2" max="2" width="19.625" style="68" customWidth="1"/>
    <col min="3" max="4" width="10.125" style="68" customWidth="1"/>
    <col min="5" max="5" width="5.125" style="68" customWidth="1"/>
    <col min="6" max="18" width="2.25" style="68" customWidth="1"/>
    <col min="19" max="19" width="2" style="68" customWidth="1"/>
    <col min="20" max="43" width="2.25" style="68" customWidth="1"/>
    <col min="44" max="44" width="2" style="68" customWidth="1"/>
    <col min="45" max="57" width="2.25" style="68" customWidth="1"/>
    <col min="58" max="64" width="9" style="68" customWidth="1"/>
    <col min="65" max="16384" width="9" style="68"/>
  </cols>
  <sheetData>
    <row r="2" spans="2:62" ht="15" x14ac:dyDescent="0.25">
      <c r="B2" s="2" t="s">
        <v>513</v>
      </c>
    </row>
    <row r="3" spans="2:62" x14ac:dyDescent="0.2">
      <c r="C3" s="46"/>
      <c r="D3" s="46"/>
    </row>
    <row r="4" spans="2:62" x14ac:dyDescent="0.2">
      <c r="B4" s="68" t="s">
        <v>493</v>
      </c>
      <c r="C4" s="164" t="s">
        <v>19</v>
      </c>
      <c r="D4" s="46"/>
    </row>
    <row r="5" spans="2:62" x14ac:dyDescent="0.2">
      <c r="F5" s="80"/>
      <c r="G5" s="80"/>
      <c r="H5" s="80"/>
      <c r="I5" s="80"/>
      <c r="J5" s="80"/>
      <c r="K5" s="80"/>
      <c r="L5" s="80"/>
      <c r="M5" s="80"/>
      <c r="N5" s="80"/>
      <c r="O5" s="80"/>
      <c r="P5" s="80"/>
      <c r="Q5" s="80"/>
      <c r="R5" s="80"/>
      <c r="S5" s="80"/>
      <c r="T5" s="80"/>
      <c r="U5" s="80"/>
      <c r="V5" s="80"/>
      <c r="W5" s="80"/>
    </row>
    <row r="6" spans="2:62" ht="14.25" customHeight="1" x14ac:dyDescent="0.2">
      <c r="B6" s="68" t="s">
        <v>519</v>
      </c>
      <c r="C6" s="169"/>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2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8.5" x14ac:dyDescent="0.2">
      <c r="B11" s="1" t="s">
        <v>1169</v>
      </c>
      <c r="C11" s="320"/>
      <c r="D11" s="315" t="e">
        <f ca="1">'Summary Calculations (hide)'!X70</f>
        <v>#N/A</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
      <c r="B15" s="68" t="s">
        <v>1160</v>
      </c>
      <c r="C15" s="320"/>
      <c r="D15" s="314" t="e">
        <f ca="1">'Parameters calculator (hide)'!B43</f>
        <v>#N/A</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
      <c r="B16" s="68" t="s">
        <v>1161</v>
      </c>
      <c r="C16" s="320"/>
      <c r="D16" s="314" t="e">
        <f ca="1">'Parameters calculator (hide)'!B44</f>
        <v>#N/A</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
      <c r="B17" s="68" t="s">
        <v>1162</v>
      </c>
      <c r="C17" s="320"/>
      <c r="D17" s="314" t="e">
        <f ca="1">'Parameters calculator (hide)'!B45</f>
        <v>#N/A</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
      <c r="B18" s="68" t="s">
        <v>1163</v>
      </c>
      <c r="C18" s="320"/>
      <c r="D18" s="314">
        <f ca="1">'Parameters calculator (hide)'!B46</f>
        <v>0</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2">
      <c r="B22" s="366" t="s">
        <v>515</v>
      </c>
      <c r="C22" s="367" t="s">
        <v>514</v>
      </c>
      <c r="D22" s="36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2">
      <c r="B23" s="368"/>
      <c r="C23" s="369"/>
      <c r="D23" s="369"/>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8.5" hidden="1" x14ac:dyDescent="0.2">
      <c r="B24" s="420"/>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2">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2">
      <c r="B26" s="165" t="s">
        <v>1121</v>
      </c>
      <c r="C26" s="223">
        <f t="shared" ref="C26:C89" si="0">IF(B26="","",COUNTIF(F26:BE26,"X"))</f>
        <v>0</v>
      </c>
      <c r="D26" s="166"/>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2">
      <c r="B27" s="165" t="s">
        <v>1122</v>
      </c>
      <c r="C27" s="223">
        <f t="shared" si="0"/>
        <v>0</v>
      </c>
      <c r="D27" s="166"/>
      <c r="F27" s="157"/>
      <c r="G27" s="157"/>
      <c r="H27" s="157"/>
      <c r="I27" s="157"/>
      <c r="J27" s="157"/>
      <c r="K27" s="157"/>
      <c r="L27" s="157"/>
      <c r="M27" s="157"/>
      <c r="N27" s="157"/>
      <c r="O27" s="157"/>
      <c r="P27" s="157"/>
      <c r="Q27" s="157"/>
      <c r="R27" s="157"/>
      <c r="S27" s="157"/>
      <c r="T27" s="157"/>
      <c r="U27" s="157"/>
      <c r="V27" s="157"/>
      <c r="W27" s="157"/>
      <c r="X27" s="157"/>
      <c r="Y27" s="157"/>
      <c r="Z27" s="157"/>
      <c r="AA27" s="157"/>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row>
    <row r="28" spans="2:62" hidden="1" x14ac:dyDescent="0.2">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2">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2">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2">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2">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2">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2">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2">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2">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2">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2">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2">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2">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2">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2">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2">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2">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2">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
      <c r="B126" s="127"/>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A3z4jp2tmmC4n7Kjar+gb/5RZ9XNQJ3ppkrPr1EVA9wMK6gEMjv4s93GXoPaDuAaQq9UjtH4f7Y3sNfnCFVeHw==" saltValue="FgENymgz7MlOiF6gGyKYUA=="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defaultRowHeight="14.25" x14ac:dyDescent="0.2"/>
  <cols>
    <col min="1" max="1" width="16.875" bestFit="1" customWidth="1"/>
    <col min="2" max="2" width="9.875" bestFit="1" customWidth="1"/>
    <col min="3" max="4" width="9" hidden="1" customWidth="1"/>
    <col min="7" max="7" width="9" style="68"/>
    <col min="8" max="8" width="9" style="68" hidden="1" customWidth="1"/>
    <col min="30" max="30" width="11.875" bestFit="1" customWidth="1"/>
    <col min="31" max="31" width="10.875" customWidth="1"/>
    <col min="32" max="32" width="9" customWidth="1"/>
  </cols>
  <sheetData>
    <row r="1" spans="1:31" x14ac:dyDescent="0.2">
      <c r="A1" t="s">
        <v>559</v>
      </c>
    </row>
    <row r="2" spans="1:31" x14ac:dyDescent="0.2">
      <c r="B2" s="88"/>
      <c r="C2" t="s">
        <v>522</v>
      </c>
      <c r="E2" t="s">
        <v>497</v>
      </c>
      <c r="I2" t="s">
        <v>523</v>
      </c>
    </row>
    <row r="3" spans="1:31" x14ac:dyDescent="0.2">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2">
      <c r="A4" s="88">
        <f ca="1">IF(Planning!$C$6="",TODAY()-WEEKDAY(TODAY(),3)+7,Planning!$C$6)</f>
        <v>44515</v>
      </c>
      <c r="B4">
        <f ca="1">IF(WEEKNUM(A4)=53,1,WEEKNUM(A4))</f>
        <v>47</v>
      </c>
      <c r="C4" s="5" t="e">
        <f ca="1">IF(Planning!$C$8="No",VLOOKUP(B4,'Summary Calculations (hide)'!$D$15:$U$67,17,0),VLOOKUP(B4,'Summary Calculations (hide)'!$D$15:$F$67,2,0)*IF(Planning!$C$11="",1,1+Planning!$C$11)*'Summary Calculations (hide)'!$L$4/IF(Summary!$C$8="Patients",'Summary Calculations (hide)'!$I$9,1))</f>
        <v>#DIV/0!</v>
      </c>
      <c r="D4" s="5" t="e">
        <f ca="1">IF(Planning!$C$8="No",VLOOKUP('Planning (hide)'!B4,'Summary Calculations (hide)'!$D$15:$U$67,18,0),VLOOKUP(B4,'Summary Calculations (hide)'!$D$15:$F$67,3,0)*IF(Planning!$C$11="",1,1+Planning!$C$11)*'Summary Calculations (hide)'!$L$4/IF(Summary!$C$8="Patients",'Summary Calculations (hide)'!$I$9,1))-IF(Planning!$C$8="No",0,C4)</f>
        <v>#VALUE!</v>
      </c>
      <c r="E4" s="5">
        <f ca="1">VLOOKUP($B4,'Summary Calculations (hide)'!$D$15:$U$66,15,0)</f>
        <v>0</v>
      </c>
      <c r="F4" s="5">
        <f ca="1">VLOOKUP($B4,'Summary Calculations (hide)'!$D$15:$U$66,16,0)</f>
        <v>0</v>
      </c>
      <c r="G4" s="5">
        <f ca="1">SUM(E4:F4)</f>
        <v>0</v>
      </c>
      <c r="H4" s="5">
        <f ca="1">IF(G4+SUM(I4:AC4)&lt;0,0,G4+SUM(I4:AC4))</f>
        <v>0</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t="e">
        <f ca="1">VLOOKUP($B4,'Summary Calculations (hide)'!$D$15:$U$67,17,0)</f>
        <v>#DIV/0!</v>
      </c>
      <c r="AE4" s="68" t="e">
        <f ca="1">VLOOKUP($B4,'Summary Calculations (hide)'!$D$15:$U$67,18,0)</f>
        <v>#VALUE!</v>
      </c>
    </row>
    <row r="5" spans="1:31" x14ac:dyDescent="0.2">
      <c r="A5" s="88">
        <f ca="1">A4+7</f>
        <v>44522</v>
      </c>
      <c r="B5" s="68">
        <f t="shared" ref="B5:B55" ca="1" si="0">IF(WEEKNUM(A5)=53,1,WEEKNUM(A5))</f>
        <v>48</v>
      </c>
      <c r="C5" s="5" t="e">
        <f ca="1">IF(Planning!$C$8="No",VLOOKUP(B5,'Summary Calculations (hide)'!$D$15:$U$67,17,0),VLOOKUP(B5,'Summary Calculations (hide)'!$D$15:$F$67,2,0)*IF(Planning!$C$11="",1,1+Planning!$C$11)*'Summary Calculations (hide)'!$L$4/IF(Summary!$C$8="Patients",'Summary Calculations (hide)'!$I$9,1))</f>
        <v>#DIV/0!</v>
      </c>
      <c r="D5" s="5" t="e">
        <f ca="1">IF(Planning!$C$8="No",VLOOKUP('Planning (hide)'!B5,'Summary Calculations (hide)'!$D$15:$U$67,18,0),VLOOKUP(B5,'Summary Calculations (hide)'!$D$15:$F$67,3,0)*IF(Planning!$C$11="",1,1+Planning!$C$11)*'Summary Calculations (hide)'!$L$4/IF(Summary!$C$8="Patients",'Summary Calculations (hide)'!$I$9,1))-IF(Planning!$C$8="No",0,C5)</f>
        <v>#VALUE!</v>
      </c>
      <c r="E5" s="5">
        <f ca="1">VLOOKUP($B5,'Summary Calculations (hide)'!$D$15:$U$66,15,0)</f>
        <v>0</v>
      </c>
      <c r="F5" s="5">
        <f ca="1">VLOOKUP($B5,'Summary Calculations (hide)'!$D$15:$U$66,16,0)</f>
        <v>0</v>
      </c>
      <c r="G5" s="5">
        <f t="shared" ref="G5:G55" ca="1" si="1">SUM(E5:F5)</f>
        <v>0</v>
      </c>
      <c r="H5" s="5">
        <f t="shared" ref="H5:H55" ca="1" si="2">IF(G5+SUM(I5:AC5)&lt;0,0,G5+SUM(I5:AC5))</f>
        <v>0</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t="e">
        <f ca="1">VLOOKUP($B5,'Summary Calculations (hide)'!$D$15:$U$67,17,0)</f>
        <v>#DIV/0!</v>
      </c>
      <c r="AE5" s="68" t="e">
        <f ca="1">VLOOKUP($B5,'Summary Calculations (hide)'!$D$15:$U$67,18,0)</f>
        <v>#VALUE!</v>
      </c>
    </row>
    <row r="6" spans="1:31" x14ac:dyDescent="0.2">
      <c r="A6" s="88">
        <f t="shared" ref="A6:A55" ca="1" si="3">A5+7</f>
        <v>44529</v>
      </c>
      <c r="B6" s="68">
        <f t="shared" ca="1" si="0"/>
        <v>49</v>
      </c>
      <c r="C6" s="5" t="e">
        <f ca="1">IF(Planning!$C$8="No",VLOOKUP(B6,'Summary Calculations (hide)'!$D$15:$U$67,17,0),VLOOKUP(B6,'Summary Calculations (hide)'!$D$15:$F$67,2,0)*IF(Planning!$C$11="",1,1+Planning!$C$11)*'Summary Calculations (hide)'!$L$4/IF(Summary!$C$8="Patients",'Summary Calculations (hide)'!$I$9,1))</f>
        <v>#DIV/0!</v>
      </c>
      <c r="D6" s="5" t="e">
        <f ca="1">IF(Planning!$C$8="No",VLOOKUP('Planning (hide)'!B6,'Summary Calculations (hide)'!$D$15:$U$67,18,0),VLOOKUP(B6,'Summary Calculations (hide)'!$D$15:$F$67,3,0)*IF(Planning!$C$11="",1,1+Planning!$C$11)*'Summary Calculations (hide)'!$L$4/IF(Summary!$C$8="Patients",'Summary Calculations (hide)'!$I$9,1))-IF(Planning!$C$8="No",0,C6)</f>
        <v>#VALUE!</v>
      </c>
      <c r="E6" s="5">
        <f ca="1">VLOOKUP($B6,'Summary Calculations (hide)'!$D$15:$U$66,15,0)</f>
        <v>0</v>
      </c>
      <c r="F6" s="5">
        <f ca="1">VLOOKUP($B6,'Summary Calculations (hide)'!$D$15:$U$66,16,0)</f>
        <v>0</v>
      </c>
      <c r="G6" s="5">
        <f t="shared" ca="1" si="1"/>
        <v>0</v>
      </c>
      <c r="H6" s="5">
        <f t="shared" ca="1" si="2"/>
        <v>0</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t="e">
        <f ca="1">VLOOKUP($B6,'Summary Calculations (hide)'!$D$15:$U$67,17,0)</f>
        <v>#DIV/0!</v>
      </c>
      <c r="AE6" s="68" t="e">
        <f ca="1">VLOOKUP($B6,'Summary Calculations (hide)'!$D$15:$U$67,18,0)</f>
        <v>#VALUE!</v>
      </c>
    </row>
    <row r="7" spans="1:31" x14ac:dyDescent="0.2">
      <c r="A7" s="88">
        <f t="shared" ca="1" si="3"/>
        <v>44536</v>
      </c>
      <c r="B7" s="68">
        <f t="shared" ca="1" si="0"/>
        <v>50</v>
      </c>
      <c r="C7" s="5" t="e">
        <f ca="1">IF(Planning!$C$8="No",VLOOKUP(B7,'Summary Calculations (hide)'!$D$15:$U$67,17,0),VLOOKUP(B7,'Summary Calculations (hide)'!$D$15:$F$67,2,0)*IF(Planning!$C$11="",1,1+Planning!$C$11)*'Summary Calculations (hide)'!$L$4/IF(Summary!$C$8="Patients",'Summary Calculations (hide)'!$I$9,1))</f>
        <v>#DIV/0!</v>
      </c>
      <c r="D7" s="5" t="e">
        <f ca="1">IF(Planning!$C$8="No",VLOOKUP('Planning (hide)'!B7,'Summary Calculations (hide)'!$D$15:$U$67,18,0),VLOOKUP(B7,'Summary Calculations (hide)'!$D$15:$F$67,3,0)*IF(Planning!$C$11="",1,1+Planning!$C$11)*'Summary Calculations (hide)'!$L$4/IF(Summary!$C$8="Patients",'Summary Calculations (hide)'!$I$9,1))-IF(Planning!$C$8="No",0,C7)</f>
        <v>#VALUE!</v>
      </c>
      <c r="E7" s="5">
        <f ca="1">VLOOKUP($B7,'Summary Calculations (hide)'!$D$15:$U$66,15,0)</f>
        <v>0</v>
      </c>
      <c r="F7" s="5">
        <f ca="1">VLOOKUP($B7,'Summary Calculations (hide)'!$D$15:$U$66,16,0)</f>
        <v>0</v>
      </c>
      <c r="G7" s="5">
        <f t="shared" ca="1" si="1"/>
        <v>0</v>
      </c>
      <c r="H7" s="5">
        <f t="shared" ca="1" si="2"/>
        <v>0</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t="e">
        <f ca="1">VLOOKUP($B7,'Summary Calculations (hide)'!$D$15:$U$67,17,0)</f>
        <v>#DIV/0!</v>
      </c>
      <c r="AE7" s="68" t="e">
        <f ca="1">VLOOKUP($B7,'Summary Calculations (hide)'!$D$15:$U$67,18,0)</f>
        <v>#VALUE!</v>
      </c>
    </row>
    <row r="8" spans="1:31" x14ac:dyDescent="0.2">
      <c r="A8" s="88">
        <f t="shared" ca="1" si="3"/>
        <v>44543</v>
      </c>
      <c r="B8" s="68">
        <f t="shared" ca="1" si="0"/>
        <v>51</v>
      </c>
      <c r="C8" s="5" t="e">
        <f ca="1">IF(Planning!$C$8="No",VLOOKUP(B8,'Summary Calculations (hide)'!$D$15:$U$67,17,0),VLOOKUP(B8,'Summary Calculations (hide)'!$D$15:$F$67,2,0)*IF(Planning!$C$11="",1,1+Planning!$C$11)*'Summary Calculations (hide)'!$L$4/IF(Summary!$C$8="Patients",'Summary Calculations (hide)'!$I$9,1))</f>
        <v>#DIV/0!</v>
      </c>
      <c r="D8" s="5" t="e">
        <f ca="1">IF(Planning!$C$8="No",VLOOKUP('Planning (hide)'!B8,'Summary Calculations (hide)'!$D$15:$U$67,18,0),VLOOKUP(B8,'Summary Calculations (hide)'!$D$15:$F$67,3,0)*IF(Planning!$C$11="",1,1+Planning!$C$11)*'Summary Calculations (hide)'!$L$4/IF(Summary!$C$8="Patients",'Summary Calculations (hide)'!$I$9,1))-IF(Planning!$C$8="No",0,C8)</f>
        <v>#VALUE!</v>
      </c>
      <c r="E8" s="5">
        <f ca="1">VLOOKUP($B8,'Summary Calculations (hide)'!$D$15:$U$66,15,0)</f>
        <v>0</v>
      </c>
      <c r="F8" s="5">
        <f ca="1">VLOOKUP($B8,'Summary Calculations (hide)'!$D$15:$U$66,16,0)</f>
        <v>0</v>
      </c>
      <c r="G8" s="5">
        <f t="shared" ca="1" si="1"/>
        <v>0</v>
      </c>
      <c r="H8" s="5">
        <f t="shared" ca="1" si="2"/>
        <v>0</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t="e">
        <f ca="1">VLOOKUP($B8,'Summary Calculations (hide)'!$D$15:$U$67,17,0)</f>
        <v>#DIV/0!</v>
      </c>
      <c r="AE8" s="68" t="e">
        <f ca="1">VLOOKUP($B8,'Summary Calculations (hide)'!$D$15:$U$67,18,0)</f>
        <v>#VALUE!</v>
      </c>
    </row>
    <row r="9" spans="1:31" x14ac:dyDescent="0.2">
      <c r="A9" s="88">
        <f t="shared" ca="1" si="3"/>
        <v>44550</v>
      </c>
      <c r="B9" s="68">
        <f t="shared" ca="1" si="0"/>
        <v>52</v>
      </c>
      <c r="C9" s="5" t="e">
        <f ca="1">IF(Planning!$C$8="No",VLOOKUP(B9,'Summary Calculations (hide)'!$D$15:$U$67,17,0),VLOOKUP(B9,'Summary Calculations (hide)'!$D$15:$F$67,2,0)*IF(Planning!$C$11="",1,1+Planning!$C$11)*'Summary Calculations (hide)'!$L$4/IF(Summary!$C$8="Patients",'Summary Calculations (hide)'!$I$9,1))</f>
        <v>#DIV/0!</v>
      </c>
      <c r="D9" s="5" t="e">
        <f ca="1">IF(Planning!$C$8="No",VLOOKUP('Planning (hide)'!B9,'Summary Calculations (hide)'!$D$15:$U$67,18,0),VLOOKUP(B9,'Summary Calculations (hide)'!$D$15:$F$67,3,0)*IF(Planning!$C$11="",1,1+Planning!$C$11)*'Summary Calculations (hide)'!$L$4/IF(Summary!$C$8="Patients",'Summary Calculations (hide)'!$I$9,1))-IF(Planning!$C$8="No",0,C9)</f>
        <v>#VALUE!</v>
      </c>
      <c r="E9" s="5">
        <f ca="1">VLOOKUP($B9,'Summary Calculations (hide)'!$D$15:$U$66,15,0)</f>
        <v>0</v>
      </c>
      <c r="F9" s="5">
        <f ca="1">VLOOKUP($B9,'Summary Calculations (hide)'!$D$15:$U$66,16,0)</f>
        <v>0</v>
      </c>
      <c r="G9" s="5">
        <f t="shared" ca="1" si="1"/>
        <v>0</v>
      </c>
      <c r="H9" s="5">
        <f t="shared" ca="1" si="2"/>
        <v>0</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t="e">
        <f ca="1">VLOOKUP($B9,'Summary Calculations (hide)'!$D$15:$U$67,17,0)</f>
        <v>#DIV/0!</v>
      </c>
      <c r="AE9" s="68" t="e">
        <f ca="1">VLOOKUP($B9,'Summary Calculations (hide)'!$D$15:$U$67,18,0)</f>
        <v>#VALUE!</v>
      </c>
    </row>
    <row r="10" spans="1:31" x14ac:dyDescent="0.2">
      <c r="A10" s="88">
        <f t="shared" ca="1" si="3"/>
        <v>44557</v>
      </c>
      <c r="B10" s="68">
        <f t="shared" ca="1" si="0"/>
        <v>1</v>
      </c>
      <c r="C10" s="5" t="e">
        <f ca="1">IF(Planning!$C$8="No",VLOOKUP(B10,'Summary Calculations (hide)'!$D$15:$U$67,17,0),VLOOKUP(B10,'Summary Calculations (hide)'!$D$15:$F$67,2,0)*IF(Planning!$C$11="",1,1+Planning!$C$11)*'Summary Calculations (hide)'!$L$4/IF(Summary!$C$8="Patients",'Summary Calculations (hide)'!$I$9,1))</f>
        <v>#N/A</v>
      </c>
      <c r="D10" s="5" t="e">
        <f ca="1">IF(Planning!$C$8="No",VLOOKUP('Planning (hide)'!B10,'Summary Calculations (hide)'!$D$15:$U$67,18,0),VLOOKUP(B10,'Summary Calculations (hide)'!$D$15:$F$67,3,0)*IF(Planning!$C$11="",1,1+Planning!$C$11)*'Summary Calculations (hide)'!$L$4/IF(Summary!$C$8="Patients",'Summary Calculations (hide)'!$I$9,1))-IF(Planning!$C$8="No",0,C10)</f>
        <v>#N/A</v>
      </c>
      <c r="E10" s="5">
        <f ca="1">VLOOKUP($B10,'Summary Calculations (hide)'!$D$15:$U$66,15,0)</f>
        <v>0</v>
      </c>
      <c r="F10" s="5">
        <f ca="1">VLOOKUP($B10,'Summary Calculations (hide)'!$D$15:$U$66,16,0)</f>
        <v>0</v>
      </c>
      <c r="G10" s="5">
        <f t="shared" ca="1" si="1"/>
        <v>0</v>
      </c>
      <c r="H10" s="5">
        <f t="shared" ca="1" si="2"/>
        <v>0</v>
      </c>
      <c r="I10" s="68">
        <f ca="1">IF(OFFSET(Planning!$E$25,0,ROW(A7),1,1)&lt;&gt;"",-'Planning (hide)'!$G10,0)</f>
        <v>0</v>
      </c>
      <c r="J10" s="68">
        <f ca="1">IF(OFFSET(Planning!$E$25,COLUMN(A7),ROW(A7),1,1)&lt;&gt;"",OFFSET(Planning!$D$25,COLUMN(A7),0,1,1),0)</f>
        <v>0</v>
      </c>
      <c r="K10" s="68">
        <f ca="1">IF(OFFSET(Planning!$E$25,COLUMN(B7),ROW(B7),1,1)&lt;&gt;"",OFFSET(Planning!$D$25,COLUMN(B7),0,1,1),0)</f>
        <v>0</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t="e">
        <f ca="1">VLOOKUP($B10,'Summary Calculations (hide)'!$D$15:$U$67,17,0)</f>
        <v>#N/A</v>
      </c>
      <c r="AE10" s="68" t="e">
        <f ca="1">VLOOKUP($B10,'Summary Calculations (hide)'!$D$15:$U$67,18,0)</f>
        <v>#N/A</v>
      </c>
    </row>
    <row r="11" spans="1:31" x14ac:dyDescent="0.2">
      <c r="A11" s="88">
        <f t="shared" ca="1" si="3"/>
        <v>44564</v>
      </c>
      <c r="B11" s="68">
        <f t="shared" ca="1" si="0"/>
        <v>2</v>
      </c>
      <c r="C11" s="5" t="e">
        <f ca="1">IF(Planning!$C$8="No",VLOOKUP(B11,'Summary Calculations (hide)'!$D$15:$U$67,17,0),VLOOKUP(B11,'Summary Calculations (hide)'!$D$15:$F$67,2,0)*IF(Planning!$C$11="",1,1+Planning!$C$11)*'Summary Calculations (hide)'!$L$4/IF(Summary!$C$8="Patients",'Summary Calculations (hide)'!$I$9,1))</f>
        <v>#DIV/0!</v>
      </c>
      <c r="D11" s="5" t="e">
        <f ca="1">IF(Planning!$C$8="No",VLOOKUP('Planning (hide)'!B11,'Summary Calculations (hide)'!$D$15:$U$67,18,0),VLOOKUP(B11,'Summary Calculations (hide)'!$D$15:$F$67,3,0)*IF(Planning!$C$11="",1,1+Planning!$C$11)*'Summary Calculations (hide)'!$L$4/IF(Summary!$C$8="Patients",'Summary Calculations (hide)'!$I$9,1))-IF(Planning!$C$8="No",0,C11)</f>
        <v>#VALUE!</v>
      </c>
      <c r="E11" s="5">
        <f ca="1">VLOOKUP($B11,'Summary Calculations (hide)'!$D$15:$U$66,15,0)</f>
        <v>0</v>
      </c>
      <c r="F11" s="5">
        <f ca="1">VLOOKUP($B11,'Summary Calculations (hide)'!$D$15:$U$66,16,0)</f>
        <v>0</v>
      </c>
      <c r="G11" s="5">
        <f t="shared" ca="1" si="1"/>
        <v>0</v>
      </c>
      <c r="H11" s="5">
        <f t="shared" ca="1" si="2"/>
        <v>0</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t="e">
        <f ca="1">VLOOKUP($B11,'Summary Calculations (hide)'!$D$15:$U$67,17,0)</f>
        <v>#DIV/0!</v>
      </c>
      <c r="AE11" s="68" t="e">
        <f ca="1">VLOOKUP($B11,'Summary Calculations (hide)'!$D$15:$U$67,18,0)</f>
        <v>#VALUE!</v>
      </c>
    </row>
    <row r="12" spans="1:31" x14ac:dyDescent="0.2">
      <c r="A12" s="88">
        <f t="shared" ca="1" si="3"/>
        <v>44571</v>
      </c>
      <c r="B12" s="68">
        <f t="shared" ca="1" si="0"/>
        <v>3</v>
      </c>
      <c r="C12" s="5" t="e">
        <f ca="1">IF(Planning!$C$8="No",VLOOKUP(B12,'Summary Calculations (hide)'!$D$15:$U$67,17,0),VLOOKUP(B12,'Summary Calculations (hide)'!$D$15:$F$67,2,0)*IF(Planning!$C$11="",1,1+Planning!$C$11)*'Summary Calculations (hide)'!$L$4/IF(Summary!$C$8="Patients",'Summary Calculations (hide)'!$I$9,1))</f>
        <v>#DIV/0!</v>
      </c>
      <c r="D12" s="5" t="e">
        <f ca="1">IF(Planning!$C$8="No",VLOOKUP('Planning (hide)'!B12,'Summary Calculations (hide)'!$D$15:$U$67,18,0),VLOOKUP(B12,'Summary Calculations (hide)'!$D$15:$F$67,3,0)*IF(Planning!$C$11="",1,1+Planning!$C$11)*'Summary Calculations (hide)'!$L$4/IF(Summary!$C$8="Patients",'Summary Calculations (hide)'!$I$9,1))-IF(Planning!$C$8="No",0,C12)</f>
        <v>#VALUE!</v>
      </c>
      <c r="E12" s="5">
        <f ca="1">VLOOKUP($B12,'Summary Calculations (hide)'!$D$15:$U$66,15,0)</f>
        <v>0</v>
      </c>
      <c r="F12" s="5">
        <f ca="1">VLOOKUP($B12,'Summary Calculations (hide)'!$D$15:$U$66,16,0)</f>
        <v>0</v>
      </c>
      <c r="G12" s="5">
        <f t="shared" ca="1" si="1"/>
        <v>0</v>
      </c>
      <c r="H12" s="5">
        <f t="shared" ca="1" si="2"/>
        <v>0</v>
      </c>
      <c r="I12" s="68">
        <f ca="1">IF(OFFSET(Planning!$E$25,0,ROW(A9),1,1)&lt;&gt;"",-'Planning (hide)'!$G12,0)</f>
        <v>0</v>
      </c>
      <c r="J12" s="68">
        <f ca="1">IF(OFFSET(Planning!$E$25,COLUMN(A9),ROW(A9),1,1)&lt;&gt;"",OFFSET(Planning!$D$25,COLUMN(A9),0,1,1),0)</f>
        <v>0</v>
      </c>
      <c r="K12" s="68">
        <f ca="1">IF(OFFSET(Planning!$E$25,COLUMN(B9),ROW(B9),1,1)&lt;&gt;"",OFFSET(Planning!$D$25,COLUMN(B9),0,1,1),0)</f>
        <v>0</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t="e">
        <f ca="1">VLOOKUP($B12,'Summary Calculations (hide)'!$D$15:$U$67,17,0)</f>
        <v>#DIV/0!</v>
      </c>
      <c r="AE12" s="68" t="e">
        <f ca="1">VLOOKUP($B12,'Summary Calculations (hide)'!$D$15:$U$67,18,0)</f>
        <v>#VALUE!</v>
      </c>
    </row>
    <row r="13" spans="1:31" x14ac:dyDescent="0.2">
      <c r="A13" s="88">
        <f t="shared" ca="1" si="3"/>
        <v>44578</v>
      </c>
      <c r="B13" s="68">
        <f t="shared" ca="1" si="0"/>
        <v>4</v>
      </c>
      <c r="C13" s="5" t="e">
        <f ca="1">IF(Planning!$C$8="No",VLOOKUP(B13,'Summary Calculations (hide)'!$D$15:$U$67,17,0),VLOOKUP(B13,'Summary Calculations (hide)'!$D$15:$F$67,2,0)*IF(Planning!$C$11="",1,1+Planning!$C$11)*'Summary Calculations (hide)'!$L$4/IF(Summary!$C$8="Patients",'Summary Calculations (hide)'!$I$9,1))</f>
        <v>#DIV/0!</v>
      </c>
      <c r="D13" s="5" t="e">
        <f ca="1">IF(Planning!$C$8="No",VLOOKUP('Planning (hide)'!B13,'Summary Calculations (hide)'!$D$15:$U$67,18,0),VLOOKUP(B13,'Summary Calculations (hide)'!$D$15:$F$67,3,0)*IF(Planning!$C$11="",1,1+Planning!$C$11)*'Summary Calculations (hide)'!$L$4/IF(Summary!$C$8="Patients",'Summary Calculations (hide)'!$I$9,1))-IF(Planning!$C$8="No",0,C13)</f>
        <v>#VALUE!</v>
      </c>
      <c r="E13" s="5">
        <f ca="1">VLOOKUP($B13,'Summary Calculations (hide)'!$D$15:$U$66,15,0)</f>
        <v>0</v>
      </c>
      <c r="F13" s="5">
        <f ca="1">VLOOKUP($B13,'Summary Calculations (hide)'!$D$15:$U$66,16,0)</f>
        <v>0</v>
      </c>
      <c r="G13" s="5">
        <f t="shared" ca="1" si="1"/>
        <v>0</v>
      </c>
      <c r="H13" s="5">
        <f t="shared" ca="1" si="2"/>
        <v>0</v>
      </c>
      <c r="I13" s="68">
        <f ca="1">IF(OFFSET(Planning!$E$25,0,ROW(A10),1,1)&lt;&gt;"",-'Planning (hide)'!$G13,0)</f>
        <v>0</v>
      </c>
      <c r="J13" s="68">
        <f ca="1">IF(OFFSET(Planning!$E$25,COLUMN(A10),ROW(A10),1,1)&lt;&gt;"",OFFSET(Planning!$D$25,COLUMN(A10),0,1,1),0)</f>
        <v>0</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t="e">
        <f ca="1">VLOOKUP($B13,'Summary Calculations (hide)'!$D$15:$U$67,17,0)</f>
        <v>#DIV/0!</v>
      </c>
      <c r="AE13" s="68" t="e">
        <f ca="1">VLOOKUP($B13,'Summary Calculations (hide)'!$D$15:$U$67,18,0)</f>
        <v>#VALUE!</v>
      </c>
    </row>
    <row r="14" spans="1:31" x14ac:dyDescent="0.2">
      <c r="A14" s="88">
        <f t="shared" ca="1" si="3"/>
        <v>44585</v>
      </c>
      <c r="B14" s="68">
        <f t="shared" ca="1" si="0"/>
        <v>5</v>
      </c>
      <c r="C14" s="5" t="e">
        <f ca="1">IF(Planning!$C$8="No",VLOOKUP(B14,'Summary Calculations (hide)'!$D$15:$U$67,17,0),VLOOKUP(B14,'Summary Calculations (hide)'!$D$15:$F$67,2,0)*IF(Planning!$C$11="",1,1+Planning!$C$11)*'Summary Calculations (hide)'!$L$4/IF(Summary!$C$8="Patients",'Summary Calculations (hide)'!$I$9,1))</f>
        <v>#DIV/0!</v>
      </c>
      <c r="D14" s="5" t="e">
        <f ca="1">IF(Planning!$C$8="No",VLOOKUP('Planning (hide)'!B14,'Summary Calculations (hide)'!$D$15:$U$67,18,0),VLOOKUP(B14,'Summary Calculations (hide)'!$D$15:$F$67,3,0)*IF(Planning!$C$11="",1,1+Planning!$C$11)*'Summary Calculations (hide)'!$L$4/IF(Summary!$C$8="Patients",'Summary Calculations (hide)'!$I$9,1))-IF(Planning!$C$8="No",0,C14)</f>
        <v>#VALUE!</v>
      </c>
      <c r="E14" s="5">
        <f ca="1">VLOOKUP($B14,'Summary Calculations (hide)'!$D$15:$U$66,15,0)</f>
        <v>0</v>
      </c>
      <c r="F14" s="5">
        <f ca="1">VLOOKUP($B14,'Summary Calculations (hide)'!$D$15:$U$66,16,0)</f>
        <v>0</v>
      </c>
      <c r="G14" s="5">
        <f t="shared" ca="1" si="1"/>
        <v>0</v>
      </c>
      <c r="H14" s="5">
        <f t="shared" ca="1" si="2"/>
        <v>0</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t="e">
        <f ca="1">VLOOKUP($B14,'Summary Calculations (hide)'!$D$15:$U$67,17,0)</f>
        <v>#DIV/0!</v>
      </c>
      <c r="AE14" s="68" t="e">
        <f ca="1">VLOOKUP($B14,'Summary Calculations (hide)'!$D$15:$U$67,18,0)</f>
        <v>#VALUE!</v>
      </c>
    </row>
    <row r="15" spans="1:31" x14ac:dyDescent="0.2">
      <c r="A15" s="88">
        <f t="shared" ca="1" si="3"/>
        <v>44592</v>
      </c>
      <c r="B15" s="68">
        <f t="shared" ca="1" si="0"/>
        <v>6</v>
      </c>
      <c r="C15" s="5" t="e">
        <f ca="1">IF(Planning!$C$8="No",VLOOKUP(B15,'Summary Calculations (hide)'!$D$15:$U$67,17,0),VLOOKUP(B15,'Summary Calculations (hide)'!$D$15:$F$67,2,0)*IF(Planning!$C$11="",1,1+Planning!$C$11)*'Summary Calculations (hide)'!$L$4/IF(Summary!$C$8="Patients",'Summary Calculations (hide)'!$I$9,1))</f>
        <v>#DIV/0!</v>
      </c>
      <c r="D15" s="5" t="e">
        <f ca="1">IF(Planning!$C$8="No",VLOOKUP('Planning (hide)'!B15,'Summary Calculations (hide)'!$D$15:$U$67,18,0),VLOOKUP(B15,'Summary Calculations (hide)'!$D$15:$F$67,3,0)*IF(Planning!$C$11="",1,1+Planning!$C$11)*'Summary Calculations (hide)'!$L$4/IF(Summary!$C$8="Patients",'Summary Calculations (hide)'!$I$9,1))-IF(Planning!$C$8="No",0,C15)</f>
        <v>#VALUE!</v>
      </c>
      <c r="E15" s="5">
        <f ca="1">VLOOKUP($B15,'Summary Calculations (hide)'!$D$15:$U$66,15,0)</f>
        <v>0</v>
      </c>
      <c r="F15" s="5">
        <f ca="1">VLOOKUP($B15,'Summary Calculations (hide)'!$D$15:$U$66,16,0)</f>
        <v>0</v>
      </c>
      <c r="G15" s="5">
        <f t="shared" ca="1" si="1"/>
        <v>0</v>
      </c>
      <c r="H15" s="5">
        <f t="shared" ca="1" si="2"/>
        <v>0</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t="e">
        <f ca="1">VLOOKUP($B15,'Summary Calculations (hide)'!$D$15:$U$67,17,0)</f>
        <v>#DIV/0!</v>
      </c>
      <c r="AE15" s="68" t="e">
        <f ca="1">VLOOKUP($B15,'Summary Calculations (hide)'!$D$15:$U$67,18,0)</f>
        <v>#VALUE!</v>
      </c>
    </row>
    <row r="16" spans="1:31" x14ac:dyDescent="0.2">
      <c r="A16" s="88">
        <f t="shared" ca="1" si="3"/>
        <v>44599</v>
      </c>
      <c r="B16" s="68">
        <f t="shared" ca="1" si="0"/>
        <v>7</v>
      </c>
      <c r="C16" s="5" t="e">
        <f ca="1">IF(Planning!$C$8="No",VLOOKUP(B16,'Summary Calculations (hide)'!$D$15:$U$67,17,0),VLOOKUP(B16,'Summary Calculations (hide)'!$D$15:$F$67,2,0)*IF(Planning!$C$11="",1,1+Planning!$C$11)*'Summary Calculations (hide)'!$L$4/IF(Summary!$C$8="Patients",'Summary Calculations (hide)'!$I$9,1))</f>
        <v>#DIV/0!</v>
      </c>
      <c r="D16" s="5" t="e">
        <f ca="1">IF(Planning!$C$8="No",VLOOKUP('Planning (hide)'!B16,'Summary Calculations (hide)'!$D$15:$U$67,18,0),VLOOKUP(B16,'Summary Calculations (hide)'!$D$15:$F$67,3,0)*IF(Planning!$C$11="",1,1+Planning!$C$11)*'Summary Calculations (hide)'!$L$4/IF(Summary!$C$8="Patients",'Summary Calculations (hide)'!$I$9,1))-IF(Planning!$C$8="No",0,C16)</f>
        <v>#VALUE!</v>
      </c>
      <c r="E16" s="5">
        <f ca="1">VLOOKUP($B16,'Summary Calculations (hide)'!$D$15:$U$66,15,0)</f>
        <v>0</v>
      </c>
      <c r="F16" s="5">
        <f ca="1">VLOOKUP($B16,'Summary Calculations (hide)'!$D$15:$U$66,16,0)</f>
        <v>0</v>
      </c>
      <c r="G16" s="5">
        <f t="shared" ca="1" si="1"/>
        <v>0</v>
      </c>
      <c r="H16" s="5">
        <f t="shared" ca="1" si="2"/>
        <v>0</v>
      </c>
      <c r="I16" s="68">
        <f ca="1">IF(OFFSET(Planning!$E$25,0,ROW(A13),1,1)&lt;&gt;"",-'Planning (hide)'!$G16,0)</f>
        <v>0</v>
      </c>
      <c r="J16" s="68">
        <f ca="1">IF(OFFSET(Planning!$E$25,COLUMN(A13),ROW(A13),1,1)&lt;&gt;"",OFFSET(Planning!$D$25,COLUMN(A13),0,1,1),0)</f>
        <v>0</v>
      </c>
      <c r="K16" s="68">
        <f ca="1">IF(OFFSET(Planning!$E$25,COLUMN(B13),ROW(B13),1,1)&lt;&gt;"",OFFSET(Planning!$D$25,COLUMN(B13),0,1,1),0)</f>
        <v>0</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t="e">
        <f ca="1">VLOOKUP($B16,'Summary Calculations (hide)'!$D$15:$U$67,17,0)</f>
        <v>#DIV/0!</v>
      </c>
      <c r="AE16" s="68" t="e">
        <f ca="1">VLOOKUP($B16,'Summary Calculations (hide)'!$D$15:$U$67,18,0)</f>
        <v>#VALUE!</v>
      </c>
    </row>
    <row r="17" spans="1:31" x14ac:dyDescent="0.2">
      <c r="A17" s="88">
        <f t="shared" ca="1" si="3"/>
        <v>44606</v>
      </c>
      <c r="B17" s="68">
        <f t="shared" ca="1" si="0"/>
        <v>8</v>
      </c>
      <c r="C17" s="5" t="e">
        <f ca="1">IF(Planning!$C$8="No",VLOOKUP(B17,'Summary Calculations (hide)'!$D$15:$U$67,17,0),VLOOKUP(B17,'Summary Calculations (hide)'!$D$15:$F$67,2,0)*IF(Planning!$C$11="",1,1+Planning!$C$11)*'Summary Calculations (hide)'!$L$4/IF(Summary!$C$8="Patients",'Summary Calculations (hide)'!$I$9,1))</f>
        <v>#DIV/0!</v>
      </c>
      <c r="D17" s="5" t="e">
        <f ca="1">IF(Planning!$C$8="No",VLOOKUP('Planning (hide)'!B17,'Summary Calculations (hide)'!$D$15:$U$67,18,0),VLOOKUP(B17,'Summary Calculations (hide)'!$D$15:$F$67,3,0)*IF(Planning!$C$11="",1,1+Planning!$C$11)*'Summary Calculations (hide)'!$L$4/IF(Summary!$C$8="Patients",'Summary Calculations (hide)'!$I$9,1))-IF(Planning!$C$8="No",0,C17)</f>
        <v>#VALUE!</v>
      </c>
      <c r="E17" s="5">
        <f ca="1">VLOOKUP($B17,'Summary Calculations (hide)'!$D$15:$U$66,15,0)</f>
        <v>0</v>
      </c>
      <c r="F17" s="5">
        <f ca="1">VLOOKUP($B17,'Summary Calculations (hide)'!$D$15:$U$66,16,0)</f>
        <v>0</v>
      </c>
      <c r="G17" s="5">
        <f t="shared" ca="1" si="1"/>
        <v>0</v>
      </c>
      <c r="H17" s="5">
        <f t="shared" ca="1" si="2"/>
        <v>0</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t="e">
        <f ca="1">VLOOKUP($B17,'Summary Calculations (hide)'!$D$15:$U$67,17,0)</f>
        <v>#DIV/0!</v>
      </c>
      <c r="AE17" s="68" t="e">
        <f ca="1">VLOOKUP($B17,'Summary Calculations (hide)'!$D$15:$U$67,18,0)</f>
        <v>#VALUE!</v>
      </c>
    </row>
    <row r="18" spans="1:31" x14ac:dyDescent="0.2">
      <c r="A18" s="88">
        <f t="shared" ca="1" si="3"/>
        <v>44613</v>
      </c>
      <c r="B18" s="68">
        <f t="shared" ca="1" si="0"/>
        <v>9</v>
      </c>
      <c r="C18" s="5" t="e">
        <f ca="1">IF(Planning!$C$8="No",VLOOKUP(B18,'Summary Calculations (hide)'!$D$15:$U$67,17,0),VLOOKUP(B18,'Summary Calculations (hide)'!$D$15:$F$67,2,0)*IF(Planning!$C$11="",1,1+Planning!$C$11)*'Summary Calculations (hide)'!$L$4/IF(Summary!$C$8="Patients",'Summary Calculations (hide)'!$I$9,1))</f>
        <v>#DIV/0!</v>
      </c>
      <c r="D18" s="5" t="e">
        <f ca="1">IF(Planning!$C$8="No",VLOOKUP('Planning (hide)'!B18,'Summary Calculations (hide)'!$D$15:$U$67,18,0),VLOOKUP(B18,'Summary Calculations (hide)'!$D$15:$F$67,3,0)*IF(Planning!$C$11="",1,1+Planning!$C$11)*'Summary Calculations (hide)'!$L$4/IF(Summary!$C$8="Patients",'Summary Calculations (hide)'!$I$9,1))-IF(Planning!$C$8="No",0,C18)</f>
        <v>#VALUE!</v>
      </c>
      <c r="E18" s="5">
        <f ca="1">VLOOKUP($B18,'Summary Calculations (hide)'!$D$15:$U$66,15,0)</f>
        <v>0</v>
      </c>
      <c r="F18" s="5">
        <f ca="1">VLOOKUP($B18,'Summary Calculations (hide)'!$D$15:$U$66,16,0)</f>
        <v>0</v>
      </c>
      <c r="G18" s="5">
        <f t="shared" ca="1" si="1"/>
        <v>0</v>
      </c>
      <c r="H18" s="5">
        <f t="shared" ca="1" si="2"/>
        <v>0</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t="e">
        <f ca="1">VLOOKUP($B18,'Summary Calculations (hide)'!$D$15:$U$67,17,0)</f>
        <v>#DIV/0!</v>
      </c>
      <c r="AE18" s="68" t="e">
        <f ca="1">VLOOKUP($B18,'Summary Calculations (hide)'!$D$15:$U$67,18,0)</f>
        <v>#VALUE!</v>
      </c>
    </row>
    <row r="19" spans="1:31" x14ac:dyDescent="0.2">
      <c r="A19" s="88">
        <f t="shared" ca="1" si="3"/>
        <v>44620</v>
      </c>
      <c r="B19" s="68">
        <f t="shared" ca="1" si="0"/>
        <v>10</v>
      </c>
      <c r="C19" s="5" t="e">
        <f ca="1">IF(Planning!$C$8="No",VLOOKUP(B19,'Summary Calculations (hide)'!$D$15:$U$67,17,0),VLOOKUP(B19,'Summary Calculations (hide)'!$D$15:$F$67,2,0)*IF(Planning!$C$11="",1,1+Planning!$C$11)*'Summary Calculations (hide)'!$L$4/IF(Summary!$C$8="Patients",'Summary Calculations (hide)'!$I$9,1))</f>
        <v>#DIV/0!</v>
      </c>
      <c r="D19" s="5" t="e">
        <f ca="1">IF(Planning!$C$8="No",VLOOKUP('Planning (hide)'!B19,'Summary Calculations (hide)'!$D$15:$U$67,18,0),VLOOKUP(B19,'Summary Calculations (hide)'!$D$15:$F$67,3,0)*IF(Planning!$C$11="",1,1+Planning!$C$11)*'Summary Calculations (hide)'!$L$4/IF(Summary!$C$8="Patients",'Summary Calculations (hide)'!$I$9,1))-IF(Planning!$C$8="No",0,C19)</f>
        <v>#VALUE!</v>
      </c>
      <c r="E19" s="5">
        <f ca="1">VLOOKUP($B19,'Summary Calculations (hide)'!$D$15:$U$66,15,0)</f>
        <v>0</v>
      </c>
      <c r="F19" s="5">
        <f ca="1">VLOOKUP($B19,'Summary Calculations (hide)'!$D$15:$U$66,16,0)</f>
        <v>0</v>
      </c>
      <c r="G19" s="5">
        <f t="shared" ca="1" si="1"/>
        <v>0</v>
      </c>
      <c r="H19" s="5">
        <f t="shared" ca="1" si="2"/>
        <v>0</v>
      </c>
      <c r="I19" s="68">
        <f ca="1">IF(OFFSET(Planning!$E$25,0,ROW(A16),1,1)&lt;&gt;"",-'Planning (hide)'!$G19,0)</f>
        <v>0</v>
      </c>
      <c r="J19" s="68">
        <f ca="1">IF(OFFSET(Planning!$E$25,COLUMN(A16),ROW(A16),1,1)&lt;&gt;"",OFFSET(Planning!$D$25,COLUMN(A16),0,1,1),0)</f>
        <v>0</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t="e">
        <f ca="1">VLOOKUP($B19,'Summary Calculations (hide)'!$D$15:$U$67,17,0)</f>
        <v>#DIV/0!</v>
      </c>
      <c r="AE19" s="68" t="e">
        <f ca="1">VLOOKUP($B19,'Summary Calculations (hide)'!$D$15:$U$67,18,0)</f>
        <v>#VALUE!</v>
      </c>
    </row>
    <row r="20" spans="1:31" x14ac:dyDescent="0.2">
      <c r="A20" s="88">
        <f t="shared" ca="1" si="3"/>
        <v>44627</v>
      </c>
      <c r="B20" s="68">
        <f t="shared" ca="1" si="0"/>
        <v>11</v>
      </c>
      <c r="C20" s="5" t="e">
        <f ca="1">IF(Planning!$C$8="No",VLOOKUP(B20,'Summary Calculations (hide)'!$D$15:$U$67,17,0),VLOOKUP(B20,'Summary Calculations (hide)'!$D$15:$F$67,2,0)*IF(Planning!$C$11="",1,1+Planning!$C$11)*'Summary Calculations (hide)'!$L$4/IF(Summary!$C$8="Patients",'Summary Calculations (hide)'!$I$9,1))</f>
        <v>#DIV/0!</v>
      </c>
      <c r="D20" s="5" t="e">
        <f ca="1">IF(Planning!$C$8="No",VLOOKUP('Planning (hide)'!B20,'Summary Calculations (hide)'!$D$15:$U$67,18,0),VLOOKUP(B20,'Summary Calculations (hide)'!$D$15:$F$67,3,0)*IF(Planning!$C$11="",1,1+Planning!$C$11)*'Summary Calculations (hide)'!$L$4/IF(Summary!$C$8="Patients",'Summary Calculations (hide)'!$I$9,1))-IF(Planning!$C$8="No",0,C20)</f>
        <v>#VALUE!</v>
      </c>
      <c r="E20" s="5">
        <f ca="1">VLOOKUP($B20,'Summary Calculations (hide)'!$D$15:$U$66,15,0)</f>
        <v>0</v>
      </c>
      <c r="F20" s="5">
        <f ca="1">VLOOKUP($B20,'Summary Calculations (hide)'!$D$15:$U$66,16,0)</f>
        <v>0</v>
      </c>
      <c r="G20" s="5">
        <f t="shared" ca="1" si="1"/>
        <v>0</v>
      </c>
      <c r="H20" s="5">
        <f t="shared" ca="1" si="2"/>
        <v>0</v>
      </c>
      <c r="I20" s="68">
        <f ca="1">IF(OFFSET(Planning!$E$25,0,ROW(A17),1,1)&lt;&gt;"",-'Planning (hide)'!$G20,0)</f>
        <v>0</v>
      </c>
      <c r="J20" s="68">
        <f ca="1">IF(OFFSET(Planning!$E$25,COLUMN(A17),ROW(A17),1,1)&lt;&gt;"",OFFSET(Planning!$D$25,COLUMN(A17),0,1,1),0)</f>
        <v>0</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t="e">
        <f ca="1">VLOOKUP($B20,'Summary Calculations (hide)'!$D$15:$U$67,17,0)</f>
        <v>#DIV/0!</v>
      </c>
      <c r="AE20" s="68" t="e">
        <f ca="1">VLOOKUP($B20,'Summary Calculations (hide)'!$D$15:$U$67,18,0)</f>
        <v>#VALUE!</v>
      </c>
    </row>
    <row r="21" spans="1:31" x14ac:dyDescent="0.2">
      <c r="A21" s="88">
        <f t="shared" ca="1" si="3"/>
        <v>44634</v>
      </c>
      <c r="B21" s="68">
        <f t="shared" ca="1" si="0"/>
        <v>12</v>
      </c>
      <c r="C21" s="5" t="e">
        <f ca="1">IF(Planning!$C$8="No",VLOOKUP(B21,'Summary Calculations (hide)'!$D$15:$U$67,17,0),VLOOKUP(B21,'Summary Calculations (hide)'!$D$15:$F$67,2,0)*IF(Planning!$C$11="",1,1+Planning!$C$11)*'Summary Calculations (hide)'!$L$4/IF(Summary!$C$8="Patients",'Summary Calculations (hide)'!$I$9,1))</f>
        <v>#DIV/0!</v>
      </c>
      <c r="D21" s="5" t="e">
        <f ca="1">IF(Planning!$C$8="No",VLOOKUP('Planning (hide)'!B21,'Summary Calculations (hide)'!$D$15:$U$67,18,0),VLOOKUP(B21,'Summary Calculations (hide)'!$D$15:$F$67,3,0)*IF(Planning!$C$11="",1,1+Planning!$C$11)*'Summary Calculations (hide)'!$L$4/IF(Summary!$C$8="Patients",'Summary Calculations (hide)'!$I$9,1))-IF(Planning!$C$8="No",0,C21)</f>
        <v>#VALUE!</v>
      </c>
      <c r="E21" s="5">
        <f ca="1">VLOOKUP($B21,'Summary Calculations (hide)'!$D$15:$U$66,15,0)</f>
        <v>0</v>
      </c>
      <c r="F21" s="5">
        <f ca="1">VLOOKUP($B21,'Summary Calculations (hide)'!$D$15:$U$66,16,0)</f>
        <v>0</v>
      </c>
      <c r="G21" s="5">
        <f t="shared" ca="1" si="1"/>
        <v>0</v>
      </c>
      <c r="H21" s="5">
        <f t="shared" ca="1" si="2"/>
        <v>0</v>
      </c>
      <c r="I21" s="68">
        <f ca="1">IF(OFFSET(Planning!$E$25,0,ROW(A18),1,1)&lt;&gt;"",-'Planning (hide)'!$G21,0)</f>
        <v>0</v>
      </c>
      <c r="J21" s="68">
        <f ca="1">IF(OFFSET(Planning!$E$25,COLUMN(A18),ROW(A18),1,1)&lt;&gt;"",OFFSET(Planning!$D$25,COLUMN(A18),0,1,1),0)</f>
        <v>0</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t="e">
        <f ca="1">VLOOKUP($B21,'Summary Calculations (hide)'!$D$15:$U$67,17,0)</f>
        <v>#DIV/0!</v>
      </c>
      <c r="AE21" s="68" t="e">
        <f ca="1">VLOOKUP($B21,'Summary Calculations (hide)'!$D$15:$U$67,18,0)</f>
        <v>#VALUE!</v>
      </c>
    </row>
    <row r="22" spans="1:31" x14ac:dyDescent="0.2">
      <c r="A22" s="88">
        <f t="shared" ca="1" si="3"/>
        <v>44641</v>
      </c>
      <c r="B22" s="68">
        <f t="shared" ca="1" si="0"/>
        <v>13</v>
      </c>
      <c r="C22" s="5" t="e">
        <f ca="1">IF(Planning!$C$8="No",VLOOKUP(B22,'Summary Calculations (hide)'!$D$15:$U$67,17,0),VLOOKUP(B22,'Summary Calculations (hide)'!$D$15:$F$67,2,0)*IF(Planning!$C$11="",1,1+Planning!$C$11)*'Summary Calculations (hide)'!$L$4/IF(Summary!$C$8="Patients",'Summary Calculations (hide)'!$I$9,1))</f>
        <v>#DIV/0!</v>
      </c>
      <c r="D22" s="5" t="e">
        <f ca="1">IF(Planning!$C$8="No",VLOOKUP('Planning (hide)'!B22,'Summary Calculations (hide)'!$D$15:$U$67,18,0),VLOOKUP(B22,'Summary Calculations (hide)'!$D$15:$F$67,3,0)*IF(Planning!$C$11="",1,1+Planning!$C$11)*'Summary Calculations (hide)'!$L$4/IF(Summary!$C$8="Patients",'Summary Calculations (hide)'!$I$9,1))-IF(Planning!$C$8="No",0,C22)</f>
        <v>#VALUE!</v>
      </c>
      <c r="E22" s="5">
        <f ca="1">VLOOKUP($B22,'Summary Calculations (hide)'!$D$15:$U$66,15,0)</f>
        <v>0</v>
      </c>
      <c r="F22" s="5">
        <f ca="1">VLOOKUP($B22,'Summary Calculations (hide)'!$D$15:$U$66,16,0)</f>
        <v>0</v>
      </c>
      <c r="G22" s="5">
        <f t="shared" ca="1" si="1"/>
        <v>0</v>
      </c>
      <c r="H22" s="5">
        <f t="shared" ca="1" si="2"/>
        <v>0</v>
      </c>
      <c r="I22" s="68">
        <f ca="1">IF(OFFSET(Planning!$E$25,0,ROW(A19),1,1)&lt;&gt;"",-'Planning (hide)'!$G22,0)</f>
        <v>0</v>
      </c>
      <c r="J22" s="68">
        <f ca="1">IF(OFFSET(Planning!$E$25,COLUMN(A19),ROW(A19),1,1)&lt;&gt;"",OFFSET(Planning!$D$25,COLUMN(A19),0,1,1),0)</f>
        <v>0</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t="e">
        <f ca="1">VLOOKUP($B22,'Summary Calculations (hide)'!$D$15:$U$67,17,0)</f>
        <v>#DIV/0!</v>
      </c>
      <c r="AE22" s="68" t="e">
        <f ca="1">VLOOKUP($B22,'Summary Calculations (hide)'!$D$15:$U$67,18,0)</f>
        <v>#VALUE!</v>
      </c>
    </row>
    <row r="23" spans="1:31" x14ac:dyDescent="0.2">
      <c r="A23" s="88">
        <f t="shared" ca="1" si="3"/>
        <v>44648</v>
      </c>
      <c r="B23" s="68">
        <f t="shared" ca="1" si="0"/>
        <v>14</v>
      </c>
      <c r="C23" s="5" t="e">
        <f ca="1">IF(Planning!$C$8="No",VLOOKUP(B23,'Summary Calculations (hide)'!$D$15:$U$67,17,0),VLOOKUP(B23,'Summary Calculations (hide)'!$D$15:$F$67,2,0)*IF(Planning!$C$11="",1,1+Planning!$C$11)*'Summary Calculations (hide)'!$L$4/IF(Summary!$C$8="Patients",'Summary Calculations (hide)'!$I$9,1))</f>
        <v>#DIV/0!</v>
      </c>
      <c r="D23" s="5" t="e">
        <f ca="1">IF(Planning!$C$8="No",VLOOKUP('Planning (hide)'!B23,'Summary Calculations (hide)'!$D$15:$U$67,18,0),VLOOKUP(B23,'Summary Calculations (hide)'!$D$15:$F$67,3,0)*IF(Planning!$C$11="",1,1+Planning!$C$11)*'Summary Calculations (hide)'!$L$4/IF(Summary!$C$8="Patients",'Summary Calculations (hide)'!$I$9,1))-IF(Planning!$C$8="No",0,C23)</f>
        <v>#VALUE!</v>
      </c>
      <c r="E23" s="5">
        <f ca="1">VLOOKUP($B23,'Summary Calculations (hide)'!$D$15:$U$66,15,0)</f>
        <v>0</v>
      </c>
      <c r="F23" s="5">
        <f ca="1">VLOOKUP($B23,'Summary Calculations (hide)'!$D$15:$U$66,16,0)</f>
        <v>0</v>
      </c>
      <c r="G23" s="5">
        <f t="shared" ca="1" si="1"/>
        <v>0</v>
      </c>
      <c r="H23" s="5">
        <f t="shared" ca="1" si="2"/>
        <v>0</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t="e">
        <f ca="1">VLOOKUP($B23,'Summary Calculations (hide)'!$D$15:$U$67,17,0)</f>
        <v>#DIV/0!</v>
      </c>
      <c r="AE23" s="68" t="e">
        <f ca="1">VLOOKUP($B23,'Summary Calculations (hide)'!$D$15:$U$67,18,0)</f>
        <v>#VALUE!</v>
      </c>
    </row>
    <row r="24" spans="1:31" x14ac:dyDescent="0.2">
      <c r="A24" s="88">
        <f t="shared" ca="1" si="3"/>
        <v>44655</v>
      </c>
      <c r="B24" s="68">
        <f t="shared" ca="1" si="0"/>
        <v>15</v>
      </c>
      <c r="C24" s="5" t="e">
        <f ca="1">IF(Planning!$C$8="No",VLOOKUP(B24,'Summary Calculations (hide)'!$D$15:$U$67,17,0),VLOOKUP(B24,'Summary Calculations (hide)'!$D$15:$F$67,2,0)*IF(Planning!$C$11="",1,1+Planning!$C$11)*'Summary Calculations (hide)'!$L$4/IF(Summary!$C$8="Patients",'Summary Calculations (hide)'!$I$9,1))</f>
        <v>#DIV/0!</v>
      </c>
      <c r="D24" s="5" t="e">
        <f ca="1">IF(Planning!$C$8="No",VLOOKUP('Planning (hide)'!B24,'Summary Calculations (hide)'!$D$15:$U$67,18,0),VLOOKUP(B24,'Summary Calculations (hide)'!$D$15:$F$67,3,0)*IF(Planning!$C$11="",1,1+Planning!$C$11)*'Summary Calculations (hide)'!$L$4/IF(Summary!$C$8="Patients",'Summary Calculations (hide)'!$I$9,1))-IF(Planning!$C$8="No",0,C24)</f>
        <v>#VALUE!</v>
      </c>
      <c r="E24" s="5">
        <f ca="1">VLOOKUP($B24,'Summary Calculations (hide)'!$D$15:$U$66,15,0)</f>
        <v>0</v>
      </c>
      <c r="F24" s="5">
        <f ca="1">VLOOKUP($B24,'Summary Calculations (hide)'!$D$15:$U$66,16,0)</f>
        <v>0</v>
      </c>
      <c r="G24" s="5">
        <f t="shared" ca="1" si="1"/>
        <v>0</v>
      </c>
      <c r="H24" s="5">
        <f t="shared" ca="1" si="2"/>
        <v>0</v>
      </c>
      <c r="I24" s="68">
        <f ca="1">IF(OFFSET(Planning!$E$25,0,ROW(A21),1,1)&lt;&gt;"",-'Planning (hide)'!$G24,0)</f>
        <v>0</v>
      </c>
      <c r="J24" s="68">
        <f ca="1">IF(OFFSET(Planning!$E$25,COLUMN(A21),ROW(A21),1,1)&lt;&gt;"",OFFSET(Planning!$D$25,COLUMN(A21),0,1,1),0)</f>
        <v>0</v>
      </c>
      <c r="K24" s="68">
        <f ca="1">IF(OFFSET(Planning!$E$25,COLUMN(B21),ROW(B21),1,1)&lt;&gt;"",OFFSET(Planning!$D$25,COLUMN(B21),0,1,1),0)</f>
        <v>0</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t="e">
        <f ca="1">VLOOKUP($B24,'Summary Calculations (hide)'!$D$15:$U$67,17,0)</f>
        <v>#DIV/0!</v>
      </c>
      <c r="AE24" s="68" t="e">
        <f ca="1">VLOOKUP($B24,'Summary Calculations (hide)'!$D$15:$U$67,18,0)</f>
        <v>#VALUE!</v>
      </c>
    </row>
    <row r="25" spans="1:31" x14ac:dyDescent="0.2">
      <c r="A25" s="88">
        <f t="shared" ca="1" si="3"/>
        <v>44662</v>
      </c>
      <c r="B25" s="68">
        <f t="shared" ca="1" si="0"/>
        <v>16</v>
      </c>
      <c r="C25" s="5" t="e">
        <f ca="1">IF(Planning!$C$8="No",VLOOKUP(B25,'Summary Calculations (hide)'!$D$15:$U$67,17,0),VLOOKUP(B25,'Summary Calculations (hide)'!$D$15:$F$67,2,0)*IF(Planning!$C$11="",1,1+Planning!$C$11)*'Summary Calculations (hide)'!$L$4/IF(Summary!$C$8="Patients",'Summary Calculations (hide)'!$I$9,1))</f>
        <v>#DIV/0!</v>
      </c>
      <c r="D25" s="5" t="e">
        <f ca="1">IF(Planning!$C$8="No",VLOOKUP('Planning (hide)'!B25,'Summary Calculations (hide)'!$D$15:$U$67,18,0),VLOOKUP(B25,'Summary Calculations (hide)'!$D$15:$F$67,3,0)*IF(Planning!$C$11="",1,1+Planning!$C$11)*'Summary Calculations (hide)'!$L$4/IF(Summary!$C$8="Patients",'Summary Calculations (hide)'!$I$9,1))-IF(Planning!$C$8="No",0,C25)</f>
        <v>#VALUE!</v>
      </c>
      <c r="E25" s="5">
        <f ca="1">VLOOKUP($B25,'Summary Calculations (hide)'!$D$15:$U$66,15,0)</f>
        <v>0</v>
      </c>
      <c r="F25" s="5">
        <f ca="1">VLOOKUP($B25,'Summary Calculations (hide)'!$D$15:$U$66,16,0)</f>
        <v>0</v>
      </c>
      <c r="G25" s="5">
        <f t="shared" ca="1" si="1"/>
        <v>0</v>
      </c>
      <c r="H25" s="5">
        <f t="shared" ca="1" si="2"/>
        <v>0</v>
      </c>
      <c r="I25" s="68">
        <f ca="1">IF(OFFSET(Planning!$E$25,0,ROW(A22),1,1)&lt;&gt;"",-'Planning (hide)'!$G25,0)</f>
        <v>0</v>
      </c>
      <c r="J25" s="68">
        <f ca="1">IF(OFFSET(Planning!$E$25,COLUMN(A22),ROW(A22),1,1)&lt;&gt;"",OFFSET(Planning!$D$25,COLUMN(A22),0,1,1),0)</f>
        <v>0</v>
      </c>
      <c r="K25" s="68">
        <f ca="1">IF(OFFSET(Planning!$E$25,COLUMN(B22),ROW(B22),1,1)&lt;&gt;"",OFFSET(Planning!$D$25,COLUMN(B22),0,1,1),0)</f>
        <v>0</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t="e">
        <f ca="1">VLOOKUP($B25,'Summary Calculations (hide)'!$D$15:$U$67,17,0)</f>
        <v>#DIV/0!</v>
      </c>
      <c r="AE25" s="68" t="e">
        <f ca="1">VLOOKUP($B25,'Summary Calculations (hide)'!$D$15:$U$67,18,0)</f>
        <v>#VALUE!</v>
      </c>
    </row>
    <row r="26" spans="1:31" x14ac:dyDescent="0.2">
      <c r="A26" s="88">
        <f t="shared" ca="1" si="3"/>
        <v>44669</v>
      </c>
      <c r="B26" s="68">
        <f t="shared" ca="1" si="0"/>
        <v>17</v>
      </c>
      <c r="C26" s="5" t="e">
        <f ca="1">IF(Planning!$C$8="No",VLOOKUP(B26,'Summary Calculations (hide)'!$D$15:$U$67,17,0),VLOOKUP(B26,'Summary Calculations (hide)'!$D$15:$F$67,2,0)*IF(Planning!$C$11="",1,1+Planning!$C$11)*'Summary Calculations (hide)'!$L$4/IF(Summary!$C$8="Patients",'Summary Calculations (hide)'!$I$9,1))</f>
        <v>#DIV/0!</v>
      </c>
      <c r="D26" s="5" t="e">
        <f ca="1">IF(Planning!$C$8="No",VLOOKUP('Planning (hide)'!B26,'Summary Calculations (hide)'!$D$15:$U$67,18,0),VLOOKUP(B26,'Summary Calculations (hide)'!$D$15:$F$67,3,0)*IF(Planning!$C$11="",1,1+Planning!$C$11)*'Summary Calculations (hide)'!$L$4/IF(Summary!$C$8="Patients",'Summary Calculations (hide)'!$I$9,1))-IF(Planning!$C$8="No",0,C26)</f>
        <v>#VALUE!</v>
      </c>
      <c r="E26" s="5">
        <f ca="1">VLOOKUP($B26,'Summary Calculations (hide)'!$D$15:$U$66,15,0)</f>
        <v>0</v>
      </c>
      <c r="F26" s="5">
        <f ca="1">VLOOKUP($B26,'Summary Calculations (hide)'!$D$15:$U$66,16,0)</f>
        <v>0</v>
      </c>
      <c r="G26" s="5">
        <f t="shared" ca="1" si="1"/>
        <v>0</v>
      </c>
      <c r="H26" s="5">
        <f t="shared" ca="1" si="2"/>
        <v>0</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t="e">
        <f ca="1">VLOOKUP($B26,'Summary Calculations (hide)'!$D$15:$U$67,17,0)</f>
        <v>#DIV/0!</v>
      </c>
      <c r="AE26" s="68" t="e">
        <f ca="1">VLOOKUP($B26,'Summary Calculations (hide)'!$D$15:$U$67,18,0)</f>
        <v>#VALUE!</v>
      </c>
    </row>
    <row r="27" spans="1:31" x14ac:dyDescent="0.2">
      <c r="A27" s="88">
        <f t="shared" ca="1" si="3"/>
        <v>44676</v>
      </c>
      <c r="B27" s="68">
        <f t="shared" ca="1" si="0"/>
        <v>18</v>
      </c>
      <c r="C27" s="5" t="e">
        <f ca="1">IF(Planning!$C$8="No",VLOOKUP(B27,'Summary Calculations (hide)'!$D$15:$U$67,17,0),VLOOKUP(B27,'Summary Calculations (hide)'!$D$15:$F$67,2,0)*IF(Planning!$C$11="",1,1+Planning!$C$11)*'Summary Calculations (hide)'!$L$4/IF(Summary!$C$8="Patients",'Summary Calculations (hide)'!$I$9,1))</f>
        <v>#DIV/0!</v>
      </c>
      <c r="D27" s="5" t="e">
        <f ca="1">IF(Planning!$C$8="No",VLOOKUP('Planning (hide)'!B27,'Summary Calculations (hide)'!$D$15:$U$67,18,0),VLOOKUP(B27,'Summary Calculations (hide)'!$D$15:$F$67,3,0)*IF(Planning!$C$11="",1,1+Planning!$C$11)*'Summary Calculations (hide)'!$L$4/IF(Summary!$C$8="Patients",'Summary Calculations (hide)'!$I$9,1))-IF(Planning!$C$8="No",0,C27)</f>
        <v>#VALUE!</v>
      </c>
      <c r="E27" s="5">
        <f ca="1">VLOOKUP($B27,'Summary Calculations (hide)'!$D$15:$U$66,15,0)</f>
        <v>0</v>
      </c>
      <c r="F27" s="5">
        <f ca="1">VLOOKUP($B27,'Summary Calculations (hide)'!$D$15:$U$66,16,0)</f>
        <v>0</v>
      </c>
      <c r="G27" s="5">
        <f t="shared" ca="1" si="1"/>
        <v>0</v>
      </c>
      <c r="H27" s="5">
        <f t="shared" ca="1" si="2"/>
        <v>0</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t="e">
        <f ca="1">VLOOKUP($B27,'Summary Calculations (hide)'!$D$15:$U$67,17,0)</f>
        <v>#DIV/0!</v>
      </c>
      <c r="AE27" s="68" t="e">
        <f ca="1">VLOOKUP($B27,'Summary Calculations (hide)'!$D$15:$U$67,18,0)</f>
        <v>#VALUE!</v>
      </c>
    </row>
    <row r="28" spans="1:31" x14ac:dyDescent="0.2">
      <c r="A28" s="88">
        <f t="shared" ca="1" si="3"/>
        <v>44683</v>
      </c>
      <c r="B28" s="68">
        <f t="shared" ca="1" si="0"/>
        <v>19</v>
      </c>
      <c r="C28" s="5" t="e">
        <f ca="1">IF(Planning!$C$8="No",VLOOKUP(B28,'Summary Calculations (hide)'!$D$15:$U$67,17,0),VLOOKUP(B28,'Summary Calculations (hide)'!$D$15:$F$67,2,0)*IF(Planning!$C$11="",1,1+Planning!$C$11)*'Summary Calculations (hide)'!$L$4/IF(Summary!$C$8="Patients",'Summary Calculations (hide)'!$I$9,1))</f>
        <v>#DIV/0!</v>
      </c>
      <c r="D28" s="5" t="e">
        <f ca="1">IF(Planning!$C$8="No",VLOOKUP('Planning (hide)'!B28,'Summary Calculations (hide)'!$D$15:$U$67,18,0),VLOOKUP(B28,'Summary Calculations (hide)'!$D$15:$F$67,3,0)*IF(Planning!$C$11="",1,1+Planning!$C$11)*'Summary Calculations (hide)'!$L$4/IF(Summary!$C$8="Patients",'Summary Calculations (hide)'!$I$9,1))-IF(Planning!$C$8="No",0,C28)</f>
        <v>#VALUE!</v>
      </c>
      <c r="E28" s="5">
        <f ca="1">VLOOKUP($B28,'Summary Calculations (hide)'!$D$15:$U$66,15,0)</f>
        <v>0</v>
      </c>
      <c r="F28" s="5">
        <f ca="1">VLOOKUP($B28,'Summary Calculations (hide)'!$D$15:$U$66,16,0)</f>
        <v>0</v>
      </c>
      <c r="G28" s="5">
        <f t="shared" ca="1" si="1"/>
        <v>0</v>
      </c>
      <c r="H28" s="5">
        <f t="shared" ca="1" si="2"/>
        <v>0</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t="e">
        <f ca="1">VLOOKUP($B28,'Summary Calculations (hide)'!$D$15:$U$67,17,0)</f>
        <v>#DIV/0!</v>
      </c>
      <c r="AE28" s="68" t="e">
        <f ca="1">VLOOKUP($B28,'Summary Calculations (hide)'!$D$15:$U$67,18,0)</f>
        <v>#VALUE!</v>
      </c>
    </row>
    <row r="29" spans="1:31" x14ac:dyDescent="0.2">
      <c r="A29" s="88">
        <f t="shared" ca="1" si="3"/>
        <v>44690</v>
      </c>
      <c r="B29" s="68">
        <f t="shared" ca="1" si="0"/>
        <v>20</v>
      </c>
      <c r="C29" s="5" t="e">
        <f ca="1">IF(Planning!$C$8="No",VLOOKUP(B29,'Summary Calculations (hide)'!$D$15:$U$67,17,0),VLOOKUP(B29,'Summary Calculations (hide)'!$D$15:$F$67,2,0)*IF(Planning!$C$11="",1,1+Planning!$C$11)*'Summary Calculations (hide)'!$L$4/IF(Summary!$C$8="Patients",'Summary Calculations (hide)'!$I$9,1))</f>
        <v>#DIV/0!</v>
      </c>
      <c r="D29" s="5" t="e">
        <f ca="1">IF(Planning!$C$8="No",VLOOKUP('Planning (hide)'!B29,'Summary Calculations (hide)'!$D$15:$U$67,18,0),VLOOKUP(B29,'Summary Calculations (hide)'!$D$15:$F$67,3,0)*IF(Planning!$C$11="",1,1+Planning!$C$11)*'Summary Calculations (hide)'!$L$4/IF(Summary!$C$8="Patients",'Summary Calculations (hide)'!$I$9,1))-IF(Planning!$C$8="No",0,C29)</f>
        <v>#VALUE!</v>
      </c>
      <c r="E29" s="5">
        <f ca="1">VLOOKUP($B29,'Summary Calculations (hide)'!$D$15:$U$66,15,0)</f>
        <v>0</v>
      </c>
      <c r="F29" s="5">
        <f ca="1">VLOOKUP($B29,'Summary Calculations (hide)'!$D$15:$U$66,16,0)</f>
        <v>0</v>
      </c>
      <c r="G29" s="5">
        <f t="shared" ca="1" si="1"/>
        <v>0</v>
      </c>
      <c r="H29" s="5">
        <f t="shared" ca="1" si="2"/>
        <v>0</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t="e">
        <f ca="1">VLOOKUP($B29,'Summary Calculations (hide)'!$D$15:$U$67,17,0)</f>
        <v>#DIV/0!</v>
      </c>
      <c r="AE29" s="68" t="e">
        <f ca="1">VLOOKUP($B29,'Summary Calculations (hide)'!$D$15:$U$67,18,0)</f>
        <v>#VALUE!</v>
      </c>
    </row>
    <row r="30" spans="1:31" x14ac:dyDescent="0.2">
      <c r="A30" s="88">
        <f t="shared" ca="1" si="3"/>
        <v>44697</v>
      </c>
      <c r="B30" s="68">
        <f t="shared" ca="1" si="0"/>
        <v>21</v>
      </c>
      <c r="C30" s="5" t="e">
        <f ca="1">IF(Planning!$C$8="No",VLOOKUP(B30,'Summary Calculations (hide)'!$D$15:$U$67,17,0),VLOOKUP(B30,'Summary Calculations (hide)'!$D$15:$F$67,2,0)*IF(Planning!$C$11="",1,1+Planning!$C$11)*'Summary Calculations (hide)'!$L$4/IF(Summary!$C$8="Patients",'Summary Calculations (hide)'!$I$9,1))</f>
        <v>#DIV/0!</v>
      </c>
      <c r="D30" s="5" t="e">
        <f ca="1">IF(Planning!$C$8="No",VLOOKUP('Planning (hide)'!B30,'Summary Calculations (hide)'!$D$15:$U$67,18,0),VLOOKUP(B30,'Summary Calculations (hide)'!$D$15:$F$67,3,0)*IF(Planning!$C$11="",1,1+Planning!$C$11)*'Summary Calculations (hide)'!$L$4/IF(Summary!$C$8="Patients",'Summary Calculations (hide)'!$I$9,1))-IF(Planning!$C$8="No",0,C30)</f>
        <v>#VALUE!</v>
      </c>
      <c r="E30" s="5">
        <f ca="1">VLOOKUP($B30,'Summary Calculations (hide)'!$D$15:$U$66,15,0)</f>
        <v>0</v>
      </c>
      <c r="F30" s="5">
        <f ca="1">VLOOKUP($B30,'Summary Calculations (hide)'!$D$15:$U$66,16,0)</f>
        <v>0</v>
      </c>
      <c r="G30" s="5">
        <f t="shared" ca="1" si="1"/>
        <v>0</v>
      </c>
      <c r="H30" s="5">
        <f t="shared" ca="1" si="2"/>
        <v>0</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t="e">
        <f ca="1">VLOOKUP($B30,'Summary Calculations (hide)'!$D$15:$U$67,17,0)</f>
        <v>#DIV/0!</v>
      </c>
      <c r="AE30" s="68" t="e">
        <f ca="1">VLOOKUP($B30,'Summary Calculations (hide)'!$D$15:$U$67,18,0)</f>
        <v>#VALUE!</v>
      </c>
    </row>
    <row r="31" spans="1:31" x14ac:dyDescent="0.2">
      <c r="A31" s="88">
        <f t="shared" ca="1" si="3"/>
        <v>44704</v>
      </c>
      <c r="B31" s="68">
        <f t="shared" ca="1" si="0"/>
        <v>22</v>
      </c>
      <c r="C31" s="5" t="e">
        <f ca="1">IF(Planning!$C$8="No",VLOOKUP(B31,'Summary Calculations (hide)'!$D$15:$U$67,17,0),VLOOKUP(B31,'Summary Calculations (hide)'!$D$15:$F$67,2,0)*IF(Planning!$C$11="",1,1+Planning!$C$11)*'Summary Calculations (hide)'!$L$4/IF(Summary!$C$8="Patients",'Summary Calculations (hide)'!$I$9,1))</f>
        <v>#DIV/0!</v>
      </c>
      <c r="D31" s="5" t="e">
        <f ca="1">IF(Planning!$C$8="No",VLOOKUP('Planning (hide)'!B31,'Summary Calculations (hide)'!$D$15:$U$67,18,0),VLOOKUP(B31,'Summary Calculations (hide)'!$D$15:$F$67,3,0)*IF(Planning!$C$11="",1,1+Planning!$C$11)*'Summary Calculations (hide)'!$L$4/IF(Summary!$C$8="Patients",'Summary Calculations (hide)'!$I$9,1))-IF(Planning!$C$8="No",0,C31)</f>
        <v>#VALUE!</v>
      </c>
      <c r="E31" s="5">
        <f ca="1">VLOOKUP($B31,'Summary Calculations (hide)'!$D$15:$U$66,15,0)</f>
        <v>0</v>
      </c>
      <c r="F31" s="5">
        <f ca="1">VLOOKUP($B31,'Summary Calculations (hide)'!$D$15:$U$66,16,0)</f>
        <v>0</v>
      </c>
      <c r="G31" s="5">
        <f t="shared" ca="1" si="1"/>
        <v>0</v>
      </c>
      <c r="H31" s="5">
        <f t="shared" ca="1" si="2"/>
        <v>0</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t="e">
        <f ca="1">VLOOKUP($B31,'Summary Calculations (hide)'!$D$15:$U$67,17,0)</f>
        <v>#DIV/0!</v>
      </c>
      <c r="AE31" s="68" t="e">
        <f ca="1">VLOOKUP($B31,'Summary Calculations (hide)'!$D$15:$U$67,18,0)</f>
        <v>#VALUE!</v>
      </c>
    </row>
    <row r="32" spans="1:31" x14ac:dyDescent="0.2">
      <c r="A32" s="88">
        <f t="shared" ca="1" si="3"/>
        <v>44711</v>
      </c>
      <c r="B32" s="68">
        <f t="shared" ca="1" si="0"/>
        <v>23</v>
      </c>
      <c r="C32" s="5" t="e">
        <f ca="1">IF(Planning!$C$8="No",VLOOKUP(B32,'Summary Calculations (hide)'!$D$15:$U$67,17,0),VLOOKUP(B32,'Summary Calculations (hide)'!$D$15:$F$67,2,0)*IF(Planning!$C$11="",1,1+Planning!$C$11)*'Summary Calculations (hide)'!$L$4/IF(Summary!$C$8="Patients",'Summary Calculations (hide)'!$I$9,1))</f>
        <v>#DIV/0!</v>
      </c>
      <c r="D32" s="5" t="e">
        <f ca="1">IF(Planning!$C$8="No",VLOOKUP('Planning (hide)'!B32,'Summary Calculations (hide)'!$D$15:$U$67,18,0),VLOOKUP(B32,'Summary Calculations (hide)'!$D$15:$F$67,3,0)*IF(Planning!$C$11="",1,1+Planning!$C$11)*'Summary Calculations (hide)'!$L$4/IF(Summary!$C$8="Patients",'Summary Calculations (hide)'!$I$9,1))-IF(Planning!$C$8="No",0,C32)</f>
        <v>#VALUE!</v>
      </c>
      <c r="E32" s="5">
        <f ca="1">VLOOKUP($B32,'Summary Calculations (hide)'!$D$15:$U$66,15,0)</f>
        <v>0</v>
      </c>
      <c r="F32" s="5">
        <f ca="1">VLOOKUP($B32,'Summary Calculations (hide)'!$D$15:$U$66,16,0)</f>
        <v>0</v>
      </c>
      <c r="G32" s="5">
        <f t="shared" ca="1" si="1"/>
        <v>0</v>
      </c>
      <c r="H32" s="5">
        <f t="shared" ca="1" si="2"/>
        <v>0</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t="e">
        <f ca="1">VLOOKUP($B32,'Summary Calculations (hide)'!$D$15:$U$67,17,0)</f>
        <v>#DIV/0!</v>
      </c>
      <c r="AE32" s="68" t="e">
        <f ca="1">VLOOKUP($B32,'Summary Calculations (hide)'!$D$15:$U$67,18,0)</f>
        <v>#VALUE!</v>
      </c>
    </row>
    <row r="33" spans="1:31" x14ac:dyDescent="0.2">
      <c r="A33" s="88">
        <f t="shared" ca="1" si="3"/>
        <v>44718</v>
      </c>
      <c r="B33" s="68">
        <f t="shared" ca="1" si="0"/>
        <v>24</v>
      </c>
      <c r="C33" s="5" t="e">
        <f ca="1">IF(Planning!$C$8="No",VLOOKUP(B33,'Summary Calculations (hide)'!$D$15:$U$67,17,0),VLOOKUP(B33,'Summary Calculations (hide)'!$D$15:$F$67,2,0)*IF(Planning!$C$11="",1,1+Planning!$C$11)*'Summary Calculations (hide)'!$L$4/IF(Summary!$C$8="Patients",'Summary Calculations (hide)'!$I$9,1))</f>
        <v>#DIV/0!</v>
      </c>
      <c r="D33" s="5" t="e">
        <f ca="1">IF(Planning!$C$8="No",VLOOKUP('Planning (hide)'!B33,'Summary Calculations (hide)'!$D$15:$U$67,18,0),VLOOKUP(B33,'Summary Calculations (hide)'!$D$15:$F$67,3,0)*IF(Planning!$C$11="",1,1+Planning!$C$11)*'Summary Calculations (hide)'!$L$4/IF(Summary!$C$8="Patients",'Summary Calculations (hide)'!$I$9,1))-IF(Planning!$C$8="No",0,C33)</f>
        <v>#VALUE!</v>
      </c>
      <c r="E33" s="5">
        <f ca="1">VLOOKUP($B33,'Summary Calculations (hide)'!$D$15:$U$66,15,0)</f>
        <v>0</v>
      </c>
      <c r="F33" s="5">
        <f ca="1">VLOOKUP($B33,'Summary Calculations (hide)'!$D$15:$U$66,16,0)</f>
        <v>0</v>
      </c>
      <c r="G33" s="5">
        <f t="shared" ca="1" si="1"/>
        <v>0</v>
      </c>
      <c r="H33" s="5">
        <f t="shared" ca="1" si="2"/>
        <v>0</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t="e">
        <f ca="1">VLOOKUP($B33,'Summary Calculations (hide)'!$D$15:$U$67,17,0)</f>
        <v>#DIV/0!</v>
      </c>
      <c r="AE33" s="68" t="e">
        <f ca="1">VLOOKUP($B33,'Summary Calculations (hide)'!$D$15:$U$67,18,0)</f>
        <v>#VALUE!</v>
      </c>
    </row>
    <row r="34" spans="1:31" x14ac:dyDescent="0.2">
      <c r="A34" s="88">
        <f t="shared" ca="1" si="3"/>
        <v>44725</v>
      </c>
      <c r="B34" s="68">
        <f t="shared" ca="1" si="0"/>
        <v>25</v>
      </c>
      <c r="C34" s="5" t="e">
        <f ca="1">IF(Planning!$C$8="No",VLOOKUP(B34,'Summary Calculations (hide)'!$D$15:$U$67,17,0),VLOOKUP(B34,'Summary Calculations (hide)'!$D$15:$F$67,2,0)*IF(Planning!$C$11="",1,1+Planning!$C$11)*'Summary Calculations (hide)'!$L$4/IF(Summary!$C$8="Patients",'Summary Calculations (hide)'!$I$9,1))</f>
        <v>#DIV/0!</v>
      </c>
      <c r="D34" s="5" t="e">
        <f ca="1">IF(Planning!$C$8="No",VLOOKUP('Planning (hide)'!B34,'Summary Calculations (hide)'!$D$15:$U$67,18,0),VLOOKUP(B34,'Summary Calculations (hide)'!$D$15:$F$67,3,0)*IF(Planning!$C$11="",1,1+Planning!$C$11)*'Summary Calculations (hide)'!$L$4/IF(Summary!$C$8="Patients",'Summary Calculations (hide)'!$I$9,1))-IF(Planning!$C$8="No",0,C34)</f>
        <v>#VALUE!</v>
      </c>
      <c r="E34" s="5">
        <f ca="1">VLOOKUP($B34,'Summary Calculations (hide)'!$D$15:$U$66,15,0)</f>
        <v>0</v>
      </c>
      <c r="F34" s="5">
        <f ca="1">VLOOKUP($B34,'Summary Calculations (hide)'!$D$15:$U$66,16,0)</f>
        <v>0</v>
      </c>
      <c r="G34" s="5">
        <f t="shared" ca="1" si="1"/>
        <v>0</v>
      </c>
      <c r="H34" s="5">
        <f t="shared" ca="1" si="2"/>
        <v>0</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t="e">
        <f ca="1">VLOOKUP($B34,'Summary Calculations (hide)'!$D$15:$U$67,17,0)</f>
        <v>#DIV/0!</v>
      </c>
      <c r="AE34" s="68" t="e">
        <f ca="1">VLOOKUP($B34,'Summary Calculations (hide)'!$D$15:$U$67,18,0)</f>
        <v>#VALUE!</v>
      </c>
    </row>
    <row r="35" spans="1:31" x14ac:dyDescent="0.2">
      <c r="A35" s="88">
        <f t="shared" ca="1" si="3"/>
        <v>44732</v>
      </c>
      <c r="B35" s="68">
        <f t="shared" ca="1" si="0"/>
        <v>26</v>
      </c>
      <c r="C35" s="5" t="e">
        <f ca="1">IF(Planning!$C$8="No",VLOOKUP(B35,'Summary Calculations (hide)'!$D$15:$U$67,17,0),VLOOKUP(B35,'Summary Calculations (hide)'!$D$15:$F$67,2,0)*IF(Planning!$C$11="",1,1+Planning!$C$11)*'Summary Calculations (hide)'!$L$4/IF(Summary!$C$8="Patients",'Summary Calculations (hide)'!$I$9,1))</f>
        <v>#DIV/0!</v>
      </c>
      <c r="D35" s="5" t="e">
        <f ca="1">IF(Planning!$C$8="No",VLOOKUP('Planning (hide)'!B35,'Summary Calculations (hide)'!$D$15:$U$67,18,0),VLOOKUP(B35,'Summary Calculations (hide)'!$D$15:$F$67,3,0)*IF(Planning!$C$11="",1,1+Planning!$C$11)*'Summary Calculations (hide)'!$L$4/IF(Summary!$C$8="Patients",'Summary Calculations (hide)'!$I$9,1))-IF(Planning!$C$8="No",0,C35)</f>
        <v>#VALUE!</v>
      </c>
      <c r="E35" s="5">
        <f ca="1">VLOOKUP($B35,'Summary Calculations (hide)'!$D$15:$U$66,15,0)</f>
        <v>0</v>
      </c>
      <c r="F35" s="5">
        <f ca="1">VLOOKUP($B35,'Summary Calculations (hide)'!$D$15:$U$66,16,0)</f>
        <v>0</v>
      </c>
      <c r="G35" s="5">
        <f t="shared" ca="1" si="1"/>
        <v>0</v>
      </c>
      <c r="H35" s="5">
        <f t="shared" ca="1" si="2"/>
        <v>0</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t="e">
        <f ca="1">VLOOKUP($B35,'Summary Calculations (hide)'!$D$15:$U$67,17,0)</f>
        <v>#DIV/0!</v>
      </c>
      <c r="AE35" s="68" t="e">
        <f ca="1">VLOOKUP($B35,'Summary Calculations (hide)'!$D$15:$U$67,18,0)</f>
        <v>#VALUE!</v>
      </c>
    </row>
    <row r="36" spans="1:31" x14ac:dyDescent="0.2">
      <c r="A36" s="88">
        <f t="shared" ca="1" si="3"/>
        <v>44739</v>
      </c>
      <c r="B36" s="68">
        <f t="shared" ca="1" si="0"/>
        <v>27</v>
      </c>
      <c r="C36" s="5" t="e">
        <f ca="1">IF(Planning!$C$8="No",VLOOKUP(B36,'Summary Calculations (hide)'!$D$15:$U$67,17,0),VLOOKUP(B36,'Summary Calculations (hide)'!$D$15:$F$67,2,0)*IF(Planning!$C$11="",1,1+Planning!$C$11)*'Summary Calculations (hide)'!$L$4/IF(Summary!$C$8="Patients",'Summary Calculations (hide)'!$I$9,1))</f>
        <v>#DIV/0!</v>
      </c>
      <c r="D36" s="5" t="e">
        <f ca="1">IF(Planning!$C$8="No",VLOOKUP('Planning (hide)'!B36,'Summary Calculations (hide)'!$D$15:$U$67,18,0),VLOOKUP(B36,'Summary Calculations (hide)'!$D$15:$F$67,3,0)*IF(Planning!$C$11="",1,1+Planning!$C$11)*'Summary Calculations (hide)'!$L$4/IF(Summary!$C$8="Patients",'Summary Calculations (hide)'!$I$9,1))-IF(Planning!$C$8="No",0,C36)</f>
        <v>#VALUE!</v>
      </c>
      <c r="E36" s="5">
        <f ca="1">VLOOKUP($B36,'Summary Calculations (hide)'!$D$15:$U$66,15,0)</f>
        <v>0</v>
      </c>
      <c r="F36" s="5">
        <f ca="1">VLOOKUP($B36,'Summary Calculations (hide)'!$D$15:$U$66,16,0)</f>
        <v>0</v>
      </c>
      <c r="G36" s="5">
        <f t="shared" ca="1" si="1"/>
        <v>0</v>
      </c>
      <c r="H36" s="5">
        <f t="shared" ca="1" si="2"/>
        <v>0</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t="e">
        <f ca="1">VLOOKUP($B36,'Summary Calculations (hide)'!$D$15:$U$67,17,0)</f>
        <v>#DIV/0!</v>
      </c>
      <c r="AE36" s="68" t="e">
        <f ca="1">VLOOKUP($B36,'Summary Calculations (hide)'!$D$15:$U$67,18,0)</f>
        <v>#VALUE!</v>
      </c>
    </row>
    <row r="37" spans="1:31" x14ac:dyDescent="0.2">
      <c r="A37" s="88">
        <f t="shared" ca="1" si="3"/>
        <v>44746</v>
      </c>
      <c r="B37" s="68">
        <f t="shared" ca="1" si="0"/>
        <v>28</v>
      </c>
      <c r="C37" s="5" t="e">
        <f ca="1">IF(Planning!$C$8="No",VLOOKUP(B37,'Summary Calculations (hide)'!$D$15:$U$67,17,0),VLOOKUP(B37,'Summary Calculations (hide)'!$D$15:$F$67,2,0)*IF(Planning!$C$11="",1,1+Planning!$C$11)*'Summary Calculations (hide)'!$L$4/IF(Summary!$C$8="Patients",'Summary Calculations (hide)'!$I$9,1))</f>
        <v>#DIV/0!</v>
      </c>
      <c r="D37" s="5" t="e">
        <f ca="1">IF(Planning!$C$8="No",VLOOKUP('Planning (hide)'!B37,'Summary Calculations (hide)'!$D$15:$U$67,18,0),VLOOKUP(B37,'Summary Calculations (hide)'!$D$15:$F$67,3,0)*IF(Planning!$C$11="",1,1+Planning!$C$11)*'Summary Calculations (hide)'!$L$4/IF(Summary!$C$8="Patients",'Summary Calculations (hide)'!$I$9,1))-IF(Planning!$C$8="No",0,C37)</f>
        <v>#VALUE!</v>
      </c>
      <c r="E37" s="5">
        <f ca="1">VLOOKUP($B37,'Summary Calculations (hide)'!$D$15:$U$66,15,0)</f>
        <v>0</v>
      </c>
      <c r="F37" s="5">
        <f ca="1">VLOOKUP($B37,'Summary Calculations (hide)'!$D$15:$U$66,16,0)</f>
        <v>0</v>
      </c>
      <c r="G37" s="5">
        <f t="shared" ca="1" si="1"/>
        <v>0</v>
      </c>
      <c r="H37" s="5">
        <f t="shared" ca="1" si="2"/>
        <v>0</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t="e">
        <f ca="1">VLOOKUP($B37,'Summary Calculations (hide)'!$D$15:$U$67,17,0)</f>
        <v>#DIV/0!</v>
      </c>
      <c r="AE37" s="68" t="e">
        <f ca="1">VLOOKUP($B37,'Summary Calculations (hide)'!$D$15:$U$67,18,0)</f>
        <v>#VALUE!</v>
      </c>
    </row>
    <row r="38" spans="1:31" x14ac:dyDescent="0.2">
      <c r="A38" s="88">
        <f t="shared" ca="1" si="3"/>
        <v>44753</v>
      </c>
      <c r="B38" s="68">
        <f t="shared" ca="1" si="0"/>
        <v>29</v>
      </c>
      <c r="C38" s="5" t="e">
        <f ca="1">IF(Planning!$C$8="No",VLOOKUP(B38,'Summary Calculations (hide)'!$D$15:$U$67,17,0),VLOOKUP(B38,'Summary Calculations (hide)'!$D$15:$F$67,2,0)*IF(Planning!$C$11="",1,1+Planning!$C$11)*'Summary Calculations (hide)'!$L$4/IF(Summary!$C$8="Patients",'Summary Calculations (hide)'!$I$9,1))</f>
        <v>#DIV/0!</v>
      </c>
      <c r="D38" s="5" t="e">
        <f ca="1">IF(Planning!$C$8="No",VLOOKUP('Planning (hide)'!B38,'Summary Calculations (hide)'!$D$15:$U$67,18,0),VLOOKUP(B38,'Summary Calculations (hide)'!$D$15:$F$67,3,0)*IF(Planning!$C$11="",1,1+Planning!$C$11)*'Summary Calculations (hide)'!$L$4/IF(Summary!$C$8="Patients",'Summary Calculations (hide)'!$I$9,1))-IF(Planning!$C$8="No",0,C38)</f>
        <v>#VALUE!</v>
      </c>
      <c r="E38" s="5">
        <f ca="1">VLOOKUP($B38,'Summary Calculations (hide)'!$D$15:$U$66,15,0)</f>
        <v>0</v>
      </c>
      <c r="F38" s="5">
        <f ca="1">VLOOKUP($B38,'Summary Calculations (hide)'!$D$15:$U$66,16,0)</f>
        <v>0</v>
      </c>
      <c r="G38" s="5">
        <f t="shared" ca="1" si="1"/>
        <v>0</v>
      </c>
      <c r="H38" s="5">
        <f t="shared" ca="1" si="2"/>
        <v>0</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t="e">
        <f ca="1">VLOOKUP($B38,'Summary Calculations (hide)'!$D$15:$U$67,17,0)</f>
        <v>#DIV/0!</v>
      </c>
      <c r="AE38" s="68" t="e">
        <f ca="1">VLOOKUP($B38,'Summary Calculations (hide)'!$D$15:$U$67,18,0)</f>
        <v>#VALUE!</v>
      </c>
    </row>
    <row r="39" spans="1:31" x14ac:dyDescent="0.2">
      <c r="A39" s="88">
        <f t="shared" ca="1" si="3"/>
        <v>44760</v>
      </c>
      <c r="B39" s="68">
        <f t="shared" ca="1" si="0"/>
        <v>30</v>
      </c>
      <c r="C39" s="5" t="e">
        <f ca="1">IF(Planning!$C$8="No",VLOOKUP(B39,'Summary Calculations (hide)'!$D$15:$U$67,17,0),VLOOKUP(B39,'Summary Calculations (hide)'!$D$15:$F$67,2,0)*IF(Planning!$C$11="",1,1+Planning!$C$11)*'Summary Calculations (hide)'!$L$4/IF(Summary!$C$8="Patients",'Summary Calculations (hide)'!$I$9,1))</f>
        <v>#DIV/0!</v>
      </c>
      <c r="D39" s="5" t="e">
        <f ca="1">IF(Planning!$C$8="No",VLOOKUP('Planning (hide)'!B39,'Summary Calculations (hide)'!$D$15:$U$67,18,0),VLOOKUP(B39,'Summary Calculations (hide)'!$D$15:$F$67,3,0)*IF(Planning!$C$11="",1,1+Planning!$C$11)*'Summary Calculations (hide)'!$L$4/IF(Summary!$C$8="Patients",'Summary Calculations (hide)'!$I$9,1))-IF(Planning!$C$8="No",0,C39)</f>
        <v>#VALUE!</v>
      </c>
      <c r="E39" s="5">
        <f ca="1">VLOOKUP($B39,'Summary Calculations (hide)'!$D$15:$U$66,15,0)</f>
        <v>0</v>
      </c>
      <c r="F39" s="5">
        <f ca="1">VLOOKUP($B39,'Summary Calculations (hide)'!$D$15:$U$66,16,0)</f>
        <v>0</v>
      </c>
      <c r="G39" s="5">
        <f t="shared" ca="1" si="1"/>
        <v>0</v>
      </c>
      <c r="H39" s="5">
        <f t="shared" ca="1" si="2"/>
        <v>0</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t="e">
        <f ca="1">VLOOKUP($B39,'Summary Calculations (hide)'!$D$15:$U$67,17,0)</f>
        <v>#DIV/0!</v>
      </c>
      <c r="AE39" s="68" t="e">
        <f ca="1">VLOOKUP($B39,'Summary Calculations (hide)'!$D$15:$U$67,18,0)</f>
        <v>#VALUE!</v>
      </c>
    </row>
    <row r="40" spans="1:31" x14ac:dyDescent="0.2">
      <c r="A40" s="88">
        <f t="shared" ca="1" si="3"/>
        <v>44767</v>
      </c>
      <c r="B40" s="68">
        <f t="shared" ca="1" si="0"/>
        <v>31</v>
      </c>
      <c r="C40" s="5" t="e">
        <f ca="1">IF(Planning!$C$8="No",VLOOKUP(B40,'Summary Calculations (hide)'!$D$15:$U$67,17,0),VLOOKUP(B40,'Summary Calculations (hide)'!$D$15:$F$67,2,0)*IF(Planning!$C$11="",1,1+Planning!$C$11)*'Summary Calculations (hide)'!$L$4/IF(Summary!$C$8="Patients",'Summary Calculations (hide)'!$I$9,1))</f>
        <v>#DIV/0!</v>
      </c>
      <c r="D40" s="5" t="e">
        <f ca="1">IF(Planning!$C$8="No",VLOOKUP('Planning (hide)'!B40,'Summary Calculations (hide)'!$D$15:$U$67,18,0),VLOOKUP(B40,'Summary Calculations (hide)'!$D$15:$F$67,3,0)*IF(Planning!$C$11="",1,1+Planning!$C$11)*'Summary Calculations (hide)'!$L$4/IF(Summary!$C$8="Patients",'Summary Calculations (hide)'!$I$9,1))-IF(Planning!$C$8="No",0,C40)</f>
        <v>#VALUE!</v>
      </c>
      <c r="E40" s="5">
        <f ca="1">VLOOKUP($B40,'Summary Calculations (hide)'!$D$15:$U$66,15,0)</f>
        <v>0</v>
      </c>
      <c r="F40" s="5">
        <f ca="1">VLOOKUP($B40,'Summary Calculations (hide)'!$D$15:$U$66,16,0)</f>
        <v>0</v>
      </c>
      <c r="G40" s="5">
        <f t="shared" ca="1" si="1"/>
        <v>0</v>
      </c>
      <c r="H40" s="5">
        <f t="shared" ca="1" si="2"/>
        <v>0</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t="e">
        <f ca="1">VLOOKUP($B40,'Summary Calculations (hide)'!$D$15:$U$67,17,0)</f>
        <v>#DIV/0!</v>
      </c>
      <c r="AE40" s="68" t="e">
        <f ca="1">VLOOKUP($B40,'Summary Calculations (hide)'!$D$15:$U$67,18,0)</f>
        <v>#VALUE!</v>
      </c>
    </row>
    <row r="41" spans="1:31" x14ac:dyDescent="0.2">
      <c r="A41" s="88">
        <f t="shared" ca="1" si="3"/>
        <v>44774</v>
      </c>
      <c r="B41" s="68">
        <f t="shared" ca="1" si="0"/>
        <v>32</v>
      </c>
      <c r="C41" s="5" t="e">
        <f ca="1">IF(Planning!$C$8="No",VLOOKUP(B41,'Summary Calculations (hide)'!$D$15:$U$67,17,0),VLOOKUP(B41,'Summary Calculations (hide)'!$D$15:$F$67,2,0)*IF(Planning!$C$11="",1,1+Planning!$C$11)*'Summary Calculations (hide)'!$L$4/IF(Summary!$C$8="Patients",'Summary Calculations (hide)'!$I$9,1))</f>
        <v>#DIV/0!</v>
      </c>
      <c r="D41" s="5" t="e">
        <f ca="1">IF(Planning!$C$8="No",VLOOKUP('Planning (hide)'!B41,'Summary Calculations (hide)'!$D$15:$U$67,18,0),VLOOKUP(B41,'Summary Calculations (hide)'!$D$15:$F$67,3,0)*IF(Planning!$C$11="",1,1+Planning!$C$11)*'Summary Calculations (hide)'!$L$4/IF(Summary!$C$8="Patients",'Summary Calculations (hide)'!$I$9,1))-IF(Planning!$C$8="No",0,C41)</f>
        <v>#VALUE!</v>
      </c>
      <c r="E41" s="5">
        <f ca="1">VLOOKUP($B41,'Summary Calculations (hide)'!$D$15:$U$66,15,0)</f>
        <v>0</v>
      </c>
      <c r="F41" s="5">
        <f ca="1">VLOOKUP($B41,'Summary Calculations (hide)'!$D$15:$U$66,16,0)</f>
        <v>0</v>
      </c>
      <c r="G41" s="5">
        <f t="shared" ca="1" si="1"/>
        <v>0</v>
      </c>
      <c r="H41" s="5">
        <f t="shared" ca="1" si="2"/>
        <v>0</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t="e">
        <f ca="1">VLOOKUP($B41,'Summary Calculations (hide)'!$D$15:$U$67,17,0)</f>
        <v>#DIV/0!</v>
      </c>
      <c r="AE41" s="68" t="e">
        <f ca="1">VLOOKUP($B41,'Summary Calculations (hide)'!$D$15:$U$67,18,0)</f>
        <v>#VALUE!</v>
      </c>
    </row>
    <row r="42" spans="1:31" x14ac:dyDescent="0.2">
      <c r="A42" s="88">
        <f ca="1">A41+7</f>
        <v>44781</v>
      </c>
      <c r="B42" s="68">
        <f t="shared" ca="1" si="0"/>
        <v>33</v>
      </c>
      <c r="C42" s="5" t="e">
        <f ca="1">IF(Planning!$C$8="No",VLOOKUP(B42,'Summary Calculations (hide)'!$D$15:$U$67,17,0),VLOOKUP(B42,'Summary Calculations (hide)'!$D$15:$F$67,2,0)*IF(Planning!$C$11="",1,1+Planning!$C$11)*'Summary Calculations (hide)'!$L$4/IF(Summary!$C$8="Patients",'Summary Calculations (hide)'!$I$9,1))</f>
        <v>#DIV/0!</v>
      </c>
      <c r="D42" s="5" t="e">
        <f ca="1">IF(Planning!$C$8="No",VLOOKUP('Planning (hide)'!B42,'Summary Calculations (hide)'!$D$15:$U$67,18,0),VLOOKUP(B42,'Summary Calculations (hide)'!$D$15:$F$67,3,0)*IF(Planning!$C$11="",1,1+Planning!$C$11)*'Summary Calculations (hide)'!$L$4/IF(Summary!$C$8="Patients",'Summary Calculations (hide)'!$I$9,1))-IF(Planning!$C$8="No",0,C42)</f>
        <v>#VALUE!</v>
      </c>
      <c r="E42" s="5">
        <f ca="1">VLOOKUP($B42,'Summary Calculations (hide)'!$D$15:$U$66,15,0)</f>
        <v>0</v>
      </c>
      <c r="F42" s="5">
        <f ca="1">VLOOKUP($B42,'Summary Calculations (hide)'!$D$15:$U$66,16,0)</f>
        <v>0</v>
      </c>
      <c r="G42" s="5">
        <f t="shared" ca="1" si="1"/>
        <v>0</v>
      </c>
      <c r="H42" s="5">
        <f t="shared" ca="1" si="2"/>
        <v>0</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t="e">
        <f ca="1">VLOOKUP($B42,'Summary Calculations (hide)'!$D$15:$U$67,17,0)</f>
        <v>#DIV/0!</v>
      </c>
      <c r="AE42" s="68" t="e">
        <f ca="1">VLOOKUP($B42,'Summary Calculations (hide)'!$D$15:$U$67,18,0)</f>
        <v>#VALUE!</v>
      </c>
    </row>
    <row r="43" spans="1:31" x14ac:dyDescent="0.2">
      <c r="A43" s="88">
        <f t="shared" ca="1" si="3"/>
        <v>44788</v>
      </c>
      <c r="B43" s="68">
        <f t="shared" ca="1" si="0"/>
        <v>34</v>
      </c>
      <c r="C43" s="5" t="e">
        <f ca="1">IF(Planning!$C$8="No",VLOOKUP(B43,'Summary Calculations (hide)'!$D$15:$U$67,17,0),VLOOKUP(B43,'Summary Calculations (hide)'!$D$15:$F$67,2,0)*IF(Planning!$C$11="",1,1+Planning!$C$11)*'Summary Calculations (hide)'!$L$4/IF(Summary!$C$8="Patients",'Summary Calculations (hide)'!$I$9,1))</f>
        <v>#DIV/0!</v>
      </c>
      <c r="D43" s="5" t="e">
        <f ca="1">IF(Planning!$C$8="No",VLOOKUP('Planning (hide)'!B43,'Summary Calculations (hide)'!$D$15:$U$67,18,0),VLOOKUP(B43,'Summary Calculations (hide)'!$D$15:$F$67,3,0)*IF(Planning!$C$11="",1,1+Planning!$C$11)*'Summary Calculations (hide)'!$L$4/IF(Summary!$C$8="Patients",'Summary Calculations (hide)'!$I$9,1))-IF(Planning!$C$8="No",0,C43)</f>
        <v>#VALUE!</v>
      </c>
      <c r="E43" s="5">
        <f ca="1">VLOOKUP($B43,'Summary Calculations (hide)'!$D$15:$U$66,15,0)</f>
        <v>0</v>
      </c>
      <c r="F43" s="5">
        <f ca="1">VLOOKUP($B43,'Summary Calculations (hide)'!$D$15:$U$66,16,0)</f>
        <v>0</v>
      </c>
      <c r="G43" s="5">
        <f t="shared" ca="1" si="1"/>
        <v>0</v>
      </c>
      <c r="H43" s="5">
        <f t="shared" ca="1" si="2"/>
        <v>0</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t="e">
        <f ca="1">VLOOKUP($B43,'Summary Calculations (hide)'!$D$15:$U$67,17,0)</f>
        <v>#DIV/0!</v>
      </c>
      <c r="AE43" s="68" t="e">
        <f ca="1">VLOOKUP($B43,'Summary Calculations (hide)'!$D$15:$U$67,18,0)</f>
        <v>#VALUE!</v>
      </c>
    </row>
    <row r="44" spans="1:31" x14ac:dyDescent="0.2">
      <c r="A44" s="88">
        <f t="shared" ca="1" si="3"/>
        <v>44795</v>
      </c>
      <c r="B44" s="68">
        <f t="shared" ca="1" si="0"/>
        <v>35</v>
      </c>
      <c r="C44" s="5" t="e">
        <f ca="1">IF(Planning!$C$8="No",VLOOKUP(B44,'Summary Calculations (hide)'!$D$15:$U$67,17,0),VLOOKUP(B44,'Summary Calculations (hide)'!$D$15:$F$67,2,0)*IF(Planning!$C$11="",1,1+Planning!$C$11)*'Summary Calculations (hide)'!$L$4/IF(Summary!$C$8="Patients",'Summary Calculations (hide)'!$I$9,1))</f>
        <v>#DIV/0!</v>
      </c>
      <c r="D44" s="5" t="e">
        <f ca="1">IF(Planning!$C$8="No",VLOOKUP('Planning (hide)'!B44,'Summary Calculations (hide)'!$D$15:$U$67,18,0),VLOOKUP(B44,'Summary Calculations (hide)'!$D$15:$F$67,3,0)*IF(Planning!$C$11="",1,1+Planning!$C$11)*'Summary Calculations (hide)'!$L$4/IF(Summary!$C$8="Patients",'Summary Calculations (hide)'!$I$9,1))-IF(Planning!$C$8="No",0,C44)</f>
        <v>#VALUE!</v>
      </c>
      <c r="E44" s="5">
        <f ca="1">VLOOKUP($B44,'Summary Calculations (hide)'!$D$15:$U$66,15,0)</f>
        <v>0</v>
      </c>
      <c r="F44" s="5">
        <f ca="1">VLOOKUP($B44,'Summary Calculations (hide)'!$D$15:$U$66,16,0)</f>
        <v>0</v>
      </c>
      <c r="G44" s="5">
        <f t="shared" ca="1" si="1"/>
        <v>0</v>
      </c>
      <c r="H44" s="5">
        <f t="shared" ca="1" si="2"/>
        <v>0</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t="e">
        <f ca="1">VLOOKUP($B44,'Summary Calculations (hide)'!$D$15:$U$67,17,0)</f>
        <v>#DIV/0!</v>
      </c>
      <c r="AE44" s="68" t="e">
        <f ca="1">VLOOKUP($B44,'Summary Calculations (hide)'!$D$15:$U$67,18,0)</f>
        <v>#VALUE!</v>
      </c>
    </row>
    <row r="45" spans="1:31" x14ac:dyDescent="0.2">
      <c r="A45" s="88">
        <f t="shared" ca="1" si="3"/>
        <v>44802</v>
      </c>
      <c r="B45" s="68">
        <f t="shared" ca="1" si="0"/>
        <v>36</v>
      </c>
      <c r="C45" s="5" t="e">
        <f ca="1">IF(Planning!$C$8="No",VLOOKUP(B45,'Summary Calculations (hide)'!$D$15:$U$67,17,0),VLOOKUP(B45,'Summary Calculations (hide)'!$D$15:$F$67,2,0)*IF(Planning!$C$11="",1,1+Planning!$C$11)*'Summary Calculations (hide)'!$L$4/IF(Summary!$C$8="Patients",'Summary Calculations (hide)'!$I$9,1))</f>
        <v>#DIV/0!</v>
      </c>
      <c r="D45" s="5" t="e">
        <f ca="1">IF(Planning!$C$8="No",VLOOKUP('Planning (hide)'!B45,'Summary Calculations (hide)'!$D$15:$U$67,18,0),VLOOKUP(B45,'Summary Calculations (hide)'!$D$15:$F$67,3,0)*IF(Planning!$C$11="",1,1+Planning!$C$11)*'Summary Calculations (hide)'!$L$4/IF(Summary!$C$8="Patients",'Summary Calculations (hide)'!$I$9,1))-IF(Planning!$C$8="No",0,C45)</f>
        <v>#VALUE!</v>
      </c>
      <c r="E45" s="5">
        <f ca="1">VLOOKUP($B45,'Summary Calculations (hide)'!$D$15:$U$66,15,0)</f>
        <v>0</v>
      </c>
      <c r="F45" s="5">
        <f ca="1">VLOOKUP($B45,'Summary Calculations (hide)'!$D$15:$U$66,16,0)</f>
        <v>0</v>
      </c>
      <c r="G45" s="5">
        <f t="shared" ca="1" si="1"/>
        <v>0</v>
      </c>
      <c r="H45" s="5">
        <f t="shared" ca="1" si="2"/>
        <v>0</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t="e">
        <f ca="1">VLOOKUP($B45,'Summary Calculations (hide)'!$D$15:$U$67,17,0)</f>
        <v>#DIV/0!</v>
      </c>
      <c r="AE45" s="68" t="e">
        <f ca="1">VLOOKUP($B45,'Summary Calculations (hide)'!$D$15:$U$67,18,0)</f>
        <v>#VALUE!</v>
      </c>
    </row>
    <row r="46" spans="1:31" x14ac:dyDescent="0.2">
      <c r="A46" s="88">
        <f t="shared" ca="1" si="3"/>
        <v>44809</v>
      </c>
      <c r="B46" s="68">
        <f t="shared" ca="1" si="0"/>
        <v>37</v>
      </c>
      <c r="C46" s="5" t="e">
        <f ca="1">IF(Planning!$C$8="No",VLOOKUP(B46,'Summary Calculations (hide)'!$D$15:$U$67,17,0),VLOOKUP(B46,'Summary Calculations (hide)'!$D$15:$F$67,2,0)*IF(Planning!$C$11="",1,1+Planning!$C$11)*'Summary Calculations (hide)'!$L$4/IF(Summary!$C$8="Patients",'Summary Calculations (hide)'!$I$9,1))</f>
        <v>#DIV/0!</v>
      </c>
      <c r="D46" s="5" t="e">
        <f ca="1">IF(Planning!$C$8="No",VLOOKUP('Planning (hide)'!B46,'Summary Calculations (hide)'!$D$15:$U$67,18,0),VLOOKUP(B46,'Summary Calculations (hide)'!$D$15:$F$67,3,0)*IF(Planning!$C$11="",1,1+Planning!$C$11)*'Summary Calculations (hide)'!$L$4/IF(Summary!$C$8="Patients",'Summary Calculations (hide)'!$I$9,1))-IF(Planning!$C$8="No",0,C46)</f>
        <v>#VALUE!</v>
      </c>
      <c r="E46" s="5">
        <f ca="1">VLOOKUP($B46,'Summary Calculations (hide)'!$D$15:$U$66,15,0)</f>
        <v>0</v>
      </c>
      <c r="F46" s="5">
        <f ca="1">VLOOKUP($B46,'Summary Calculations (hide)'!$D$15:$U$66,16,0)</f>
        <v>0</v>
      </c>
      <c r="G46" s="5">
        <f t="shared" ca="1" si="1"/>
        <v>0</v>
      </c>
      <c r="H46" s="5">
        <f t="shared" ca="1" si="2"/>
        <v>0</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t="e">
        <f ca="1">VLOOKUP($B46,'Summary Calculations (hide)'!$D$15:$U$67,17,0)</f>
        <v>#DIV/0!</v>
      </c>
      <c r="AE46" s="68" t="e">
        <f ca="1">VLOOKUP($B46,'Summary Calculations (hide)'!$D$15:$U$67,18,0)</f>
        <v>#VALUE!</v>
      </c>
    </row>
    <row r="47" spans="1:31" x14ac:dyDescent="0.2">
      <c r="A47" s="88">
        <f t="shared" ca="1" si="3"/>
        <v>44816</v>
      </c>
      <c r="B47" s="68">
        <f t="shared" ca="1" si="0"/>
        <v>38</v>
      </c>
      <c r="C47" s="5" t="e">
        <f ca="1">IF(Planning!$C$8="No",VLOOKUP(B47,'Summary Calculations (hide)'!$D$15:$U$67,17,0),VLOOKUP(B47,'Summary Calculations (hide)'!$D$15:$F$67,2,0)*IF(Planning!$C$11="",1,1+Planning!$C$11)*'Summary Calculations (hide)'!$L$4/IF(Summary!$C$8="Patients",'Summary Calculations (hide)'!$I$9,1))</f>
        <v>#DIV/0!</v>
      </c>
      <c r="D47" s="5" t="e">
        <f ca="1">IF(Planning!$C$8="No",VLOOKUP('Planning (hide)'!B47,'Summary Calculations (hide)'!$D$15:$U$67,18,0),VLOOKUP(B47,'Summary Calculations (hide)'!$D$15:$F$67,3,0)*IF(Planning!$C$11="",1,1+Planning!$C$11)*'Summary Calculations (hide)'!$L$4/IF(Summary!$C$8="Patients",'Summary Calculations (hide)'!$I$9,1))-IF(Planning!$C$8="No",0,C47)</f>
        <v>#VALUE!</v>
      </c>
      <c r="E47" s="5">
        <f ca="1">VLOOKUP($B47,'Summary Calculations (hide)'!$D$15:$U$66,15,0)</f>
        <v>0</v>
      </c>
      <c r="F47" s="5">
        <f ca="1">VLOOKUP($B47,'Summary Calculations (hide)'!$D$15:$U$66,16,0)</f>
        <v>0</v>
      </c>
      <c r="G47" s="5">
        <f t="shared" ca="1" si="1"/>
        <v>0</v>
      </c>
      <c r="H47" s="5">
        <f t="shared" ca="1" si="2"/>
        <v>0</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t="e">
        <f ca="1">VLOOKUP($B47,'Summary Calculations (hide)'!$D$15:$U$67,17,0)</f>
        <v>#DIV/0!</v>
      </c>
      <c r="AE47" s="68" t="e">
        <f ca="1">VLOOKUP($B47,'Summary Calculations (hide)'!$D$15:$U$67,18,0)</f>
        <v>#VALUE!</v>
      </c>
    </row>
    <row r="48" spans="1:31" x14ac:dyDescent="0.2">
      <c r="A48" s="88">
        <f t="shared" ca="1" si="3"/>
        <v>44823</v>
      </c>
      <c r="B48" s="68">
        <f t="shared" ca="1" si="0"/>
        <v>39</v>
      </c>
      <c r="C48" s="5" t="e">
        <f ca="1">IF(Planning!$C$8="No",VLOOKUP(B48,'Summary Calculations (hide)'!$D$15:$U$67,17,0),VLOOKUP(B48,'Summary Calculations (hide)'!$D$15:$F$67,2,0)*IF(Planning!$C$11="",1,1+Planning!$C$11)*'Summary Calculations (hide)'!$L$4/IF(Summary!$C$8="Patients",'Summary Calculations (hide)'!$I$9,1))</f>
        <v>#DIV/0!</v>
      </c>
      <c r="D48" s="5" t="e">
        <f ca="1">IF(Planning!$C$8="No",VLOOKUP('Planning (hide)'!B48,'Summary Calculations (hide)'!$D$15:$U$67,18,0),VLOOKUP(B48,'Summary Calculations (hide)'!$D$15:$F$67,3,0)*IF(Planning!$C$11="",1,1+Planning!$C$11)*'Summary Calculations (hide)'!$L$4/IF(Summary!$C$8="Patients",'Summary Calculations (hide)'!$I$9,1))-IF(Planning!$C$8="No",0,C48)</f>
        <v>#VALUE!</v>
      </c>
      <c r="E48" s="5">
        <f ca="1">VLOOKUP($B48,'Summary Calculations (hide)'!$D$15:$U$66,15,0)</f>
        <v>0</v>
      </c>
      <c r="F48" s="5">
        <f ca="1">VLOOKUP($B48,'Summary Calculations (hide)'!$D$15:$U$66,16,0)</f>
        <v>0</v>
      </c>
      <c r="G48" s="5">
        <f t="shared" ca="1" si="1"/>
        <v>0</v>
      </c>
      <c r="H48" s="5">
        <f t="shared" ca="1" si="2"/>
        <v>0</v>
      </c>
      <c r="I48" s="68">
        <f ca="1">IF(OFFSET(Planning!$E$25,0,ROW(A45),1,1)&lt;&gt;"",-'Planning (hide)'!$G48,0)</f>
        <v>0</v>
      </c>
      <c r="J48" s="68">
        <f ca="1">IF(OFFSET(Planning!$E$25,COLUMN(A45),ROW(A45),1,1)&lt;&gt;"",OFFSET(Planning!$D$25,COLUMN(A45),0,1,1),0)</f>
        <v>0</v>
      </c>
      <c r="K48" s="68">
        <f ca="1">IF(OFFSET(Planning!$E$25,COLUMN(B45),ROW(B45),1,1)&lt;&gt;"",OFFSET(Planning!$D$25,COLUMN(B45),0,1,1),0)</f>
        <v>0</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t="e">
        <f ca="1">VLOOKUP($B48,'Summary Calculations (hide)'!$D$15:$U$67,17,0)</f>
        <v>#DIV/0!</v>
      </c>
      <c r="AE48" s="68" t="e">
        <f ca="1">VLOOKUP($B48,'Summary Calculations (hide)'!$D$15:$U$67,18,0)</f>
        <v>#VALUE!</v>
      </c>
    </row>
    <row r="49" spans="1:31" x14ac:dyDescent="0.2">
      <c r="A49" s="88">
        <f t="shared" ca="1" si="3"/>
        <v>44830</v>
      </c>
      <c r="B49" s="68">
        <f t="shared" ca="1" si="0"/>
        <v>40</v>
      </c>
      <c r="C49" s="5" t="e">
        <f ca="1">IF(Planning!$C$8="No",VLOOKUP(B49,'Summary Calculations (hide)'!$D$15:$U$67,17,0),VLOOKUP(B49,'Summary Calculations (hide)'!$D$15:$F$67,2,0)*IF(Planning!$C$11="",1,1+Planning!$C$11)*'Summary Calculations (hide)'!$L$4/IF(Summary!$C$8="Patients",'Summary Calculations (hide)'!$I$9,1))</f>
        <v>#DIV/0!</v>
      </c>
      <c r="D49" s="5" t="e">
        <f ca="1">IF(Planning!$C$8="No",VLOOKUP('Planning (hide)'!B49,'Summary Calculations (hide)'!$D$15:$U$67,18,0),VLOOKUP(B49,'Summary Calculations (hide)'!$D$15:$F$67,3,0)*IF(Planning!$C$11="",1,1+Planning!$C$11)*'Summary Calculations (hide)'!$L$4/IF(Summary!$C$8="Patients",'Summary Calculations (hide)'!$I$9,1))-IF(Planning!$C$8="No",0,C49)</f>
        <v>#VALUE!</v>
      </c>
      <c r="E49" s="5">
        <f ca="1">VLOOKUP($B49,'Summary Calculations (hide)'!$D$15:$U$66,15,0)</f>
        <v>0</v>
      </c>
      <c r="F49" s="5">
        <f ca="1">VLOOKUP($B49,'Summary Calculations (hide)'!$D$15:$U$66,16,0)</f>
        <v>0</v>
      </c>
      <c r="G49" s="5">
        <f t="shared" ca="1" si="1"/>
        <v>0</v>
      </c>
      <c r="H49" s="5">
        <f t="shared" ca="1" si="2"/>
        <v>0</v>
      </c>
      <c r="I49" s="68">
        <f ca="1">IF(OFFSET(Planning!$E$25,0,ROW(A46),1,1)&lt;&gt;"",-'Planning (hide)'!$G49,0)</f>
        <v>0</v>
      </c>
      <c r="J49" s="68">
        <f ca="1">IF(OFFSET(Planning!$E$25,COLUMN(A46),ROW(A46),1,1)&lt;&gt;"",OFFSET(Planning!$D$25,COLUMN(A46),0,1,1),0)</f>
        <v>0</v>
      </c>
      <c r="K49" s="68">
        <f ca="1">IF(OFFSET(Planning!$E$25,COLUMN(B46),ROW(B46),1,1)&lt;&gt;"",OFFSET(Planning!$D$25,COLUMN(B46),0,1,1),0)</f>
        <v>0</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t="e">
        <f ca="1">VLOOKUP($B49,'Summary Calculations (hide)'!$D$15:$U$67,17,0)</f>
        <v>#DIV/0!</v>
      </c>
      <c r="AE49" s="68" t="e">
        <f ca="1">VLOOKUP($B49,'Summary Calculations (hide)'!$D$15:$U$67,18,0)</f>
        <v>#VALUE!</v>
      </c>
    </row>
    <row r="50" spans="1:31" x14ac:dyDescent="0.2">
      <c r="A50" s="88">
        <f t="shared" ca="1" si="3"/>
        <v>44837</v>
      </c>
      <c r="B50" s="68">
        <f t="shared" ca="1" si="0"/>
        <v>41</v>
      </c>
      <c r="C50" s="5" t="e">
        <f ca="1">IF(Planning!$C$8="No",VLOOKUP(B50,'Summary Calculations (hide)'!$D$15:$U$67,17,0),VLOOKUP(B50,'Summary Calculations (hide)'!$D$15:$F$67,2,0)*IF(Planning!$C$11="",1,1+Planning!$C$11)*'Summary Calculations (hide)'!$L$4/IF(Summary!$C$8="Patients",'Summary Calculations (hide)'!$I$9,1))</f>
        <v>#DIV/0!</v>
      </c>
      <c r="D50" s="5" t="e">
        <f ca="1">IF(Planning!$C$8="No",VLOOKUP('Planning (hide)'!B50,'Summary Calculations (hide)'!$D$15:$U$67,18,0),VLOOKUP(B50,'Summary Calculations (hide)'!$D$15:$F$67,3,0)*IF(Planning!$C$11="",1,1+Planning!$C$11)*'Summary Calculations (hide)'!$L$4/IF(Summary!$C$8="Patients",'Summary Calculations (hide)'!$I$9,1))-IF(Planning!$C$8="No",0,C50)</f>
        <v>#VALUE!</v>
      </c>
      <c r="E50" s="5">
        <f ca="1">VLOOKUP($B50,'Summary Calculations (hide)'!$D$15:$U$66,15,0)</f>
        <v>0</v>
      </c>
      <c r="F50" s="5">
        <f ca="1">VLOOKUP($B50,'Summary Calculations (hide)'!$D$15:$U$66,16,0)</f>
        <v>0</v>
      </c>
      <c r="G50" s="5">
        <f t="shared" ca="1" si="1"/>
        <v>0</v>
      </c>
      <c r="H50" s="5">
        <f t="shared" ca="1" si="2"/>
        <v>0</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t="e">
        <f ca="1">VLOOKUP($B50,'Summary Calculations (hide)'!$D$15:$U$67,17,0)</f>
        <v>#DIV/0!</v>
      </c>
      <c r="AE50" s="68" t="e">
        <f ca="1">VLOOKUP($B50,'Summary Calculations (hide)'!$D$15:$U$67,18,0)</f>
        <v>#VALUE!</v>
      </c>
    </row>
    <row r="51" spans="1:31" x14ac:dyDescent="0.2">
      <c r="A51" s="88">
        <f t="shared" ca="1" si="3"/>
        <v>44844</v>
      </c>
      <c r="B51" s="68">
        <f t="shared" ca="1" si="0"/>
        <v>42</v>
      </c>
      <c r="C51" s="5" t="e">
        <f ca="1">IF(Planning!$C$8="No",VLOOKUP(B51,'Summary Calculations (hide)'!$D$15:$U$67,17,0),VLOOKUP(B51,'Summary Calculations (hide)'!$D$15:$F$67,2,0)*IF(Planning!$C$11="",1,1+Planning!$C$11)*'Summary Calculations (hide)'!$L$4/IF(Summary!$C$8="Patients",'Summary Calculations (hide)'!$I$9,1))</f>
        <v>#DIV/0!</v>
      </c>
      <c r="D51" s="5" t="e">
        <f ca="1">IF(Planning!$C$8="No",VLOOKUP('Planning (hide)'!B51,'Summary Calculations (hide)'!$D$15:$U$67,18,0),VLOOKUP(B51,'Summary Calculations (hide)'!$D$15:$F$67,3,0)*IF(Planning!$C$11="",1,1+Planning!$C$11)*'Summary Calculations (hide)'!$L$4/IF(Summary!$C$8="Patients",'Summary Calculations (hide)'!$I$9,1))-IF(Planning!$C$8="No",0,C51)</f>
        <v>#VALUE!</v>
      </c>
      <c r="E51" s="5">
        <f ca="1">VLOOKUP($B51,'Summary Calculations (hide)'!$D$15:$U$66,15,0)</f>
        <v>0</v>
      </c>
      <c r="F51" s="5">
        <f ca="1">VLOOKUP($B51,'Summary Calculations (hide)'!$D$15:$U$66,16,0)</f>
        <v>0</v>
      </c>
      <c r="G51" s="5">
        <f t="shared" ca="1" si="1"/>
        <v>0</v>
      </c>
      <c r="H51" s="5">
        <f t="shared" ca="1" si="2"/>
        <v>0</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t="e">
        <f ca="1">VLOOKUP($B51,'Summary Calculations (hide)'!$D$15:$U$67,17,0)</f>
        <v>#DIV/0!</v>
      </c>
      <c r="AE51" s="68" t="e">
        <f ca="1">VLOOKUP($B51,'Summary Calculations (hide)'!$D$15:$U$67,18,0)</f>
        <v>#VALUE!</v>
      </c>
    </row>
    <row r="52" spans="1:31" x14ac:dyDescent="0.2">
      <c r="A52" s="88">
        <f t="shared" ca="1" si="3"/>
        <v>44851</v>
      </c>
      <c r="B52" s="68">
        <f t="shared" ca="1" si="0"/>
        <v>43</v>
      </c>
      <c r="C52" s="5" t="e">
        <f ca="1">IF(Planning!$C$8="No",VLOOKUP(B52,'Summary Calculations (hide)'!$D$15:$U$67,17,0),VLOOKUP(B52,'Summary Calculations (hide)'!$D$15:$F$67,2,0)*IF(Planning!$C$11="",1,1+Planning!$C$11)*'Summary Calculations (hide)'!$L$4/IF(Summary!$C$8="Patients",'Summary Calculations (hide)'!$I$9,1))</f>
        <v>#DIV/0!</v>
      </c>
      <c r="D52" s="5" t="e">
        <f ca="1">IF(Planning!$C$8="No",VLOOKUP('Planning (hide)'!B52,'Summary Calculations (hide)'!$D$15:$U$67,18,0),VLOOKUP(B52,'Summary Calculations (hide)'!$D$15:$F$67,3,0)*IF(Planning!$C$11="",1,1+Planning!$C$11)*'Summary Calculations (hide)'!$L$4/IF(Summary!$C$8="Patients",'Summary Calculations (hide)'!$I$9,1))-IF(Planning!$C$8="No",0,C52)</f>
        <v>#VALUE!</v>
      </c>
      <c r="E52" s="5">
        <f ca="1">VLOOKUP($B52,'Summary Calculations (hide)'!$D$15:$U$66,15,0)</f>
        <v>0</v>
      </c>
      <c r="F52" s="5">
        <f ca="1">VLOOKUP($B52,'Summary Calculations (hide)'!$D$15:$U$66,16,0)</f>
        <v>0</v>
      </c>
      <c r="G52" s="5">
        <f t="shared" ca="1" si="1"/>
        <v>0</v>
      </c>
      <c r="H52" s="5">
        <f t="shared" ca="1" si="2"/>
        <v>0</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t="e">
        <f ca="1">VLOOKUP($B52,'Summary Calculations (hide)'!$D$15:$U$67,17,0)</f>
        <v>#DIV/0!</v>
      </c>
      <c r="AE52" s="68" t="e">
        <f ca="1">VLOOKUP($B52,'Summary Calculations (hide)'!$D$15:$U$67,18,0)</f>
        <v>#VALUE!</v>
      </c>
    </row>
    <row r="53" spans="1:31" x14ac:dyDescent="0.2">
      <c r="A53" s="88">
        <f t="shared" ca="1" si="3"/>
        <v>44858</v>
      </c>
      <c r="B53" s="68">
        <f t="shared" ca="1" si="0"/>
        <v>44</v>
      </c>
      <c r="C53" s="5" t="e">
        <f ca="1">IF(Planning!$C$8="No",VLOOKUP(B53,'Summary Calculations (hide)'!$D$15:$U$67,17,0),VLOOKUP(B53,'Summary Calculations (hide)'!$D$15:$F$67,2,0)*IF(Planning!$C$11="",1,1+Planning!$C$11)*'Summary Calculations (hide)'!$L$4/IF(Summary!$C$8="Patients",'Summary Calculations (hide)'!$I$9,1))</f>
        <v>#DIV/0!</v>
      </c>
      <c r="D53" s="5" t="e">
        <f ca="1">IF(Planning!$C$8="No",VLOOKUP('Planning (hide)'!B53,'Summary Calculations (hide)'!$D$15:$U$67,18,0),VLOOKUP(B53,'Summary Calculations (hide)'!$D$15:$F$67,3,0)*IF(Planning!$C$11="",1,1+Planning!$C$11)*'Summary Calculations (hide)'!$L$4/IF(Summary!$C$8="Patients",'Summary Calculations (hide)'!$I$9,1))-IF(Planning!$C$8="No",0,C53)</f>
        <v>#VALUE!</v>
      </c>
      <c r="E53" s="5">
        <f ca="1">VLOOKUP($B53,'Summary Calculations (hide)'!$D$15:$U$66,15,0)</f>
        <v>0</v>
      </c>
      <c r="F53" s="5">
        <f ca="1">VLOOKUP($B53,'Summary Calculations (hide)'!$D$15:$U$66,16,0)</f>
        <v>0</v>
      </c>
      <c r="G53" s="5">
        <f t="shared" ca="1" si="1"/>
        <v>0</v>
      </c>
      <c r="H53" s="5">
        <f t="shared" ca="1" si="2"/>
        <v>0</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t="e">
        <f ca="1">VLOOKUP($B53,'Summary Calculations (hide)'!$D$15:$U$67,17,0)</f>
        <v>#DIV/0!</v>
      </c>
      <c r="AE53" s="68" t="e">
        <f ca="1">VLOOKUP($B53,'Summary Calculations (hide)'!$D$15:$U$67,18,0)</f>
        <v>#VALUE!</v>
      </c>
    </row>
    <row r="54" spans="1:31" x14ac:dyDescent="0.2">
      <c r="A54" s="88">
        <f t="shared" ca="1" si="3"/>
        <v>44865</v>
      </c>
      <c r="B54" s="68">
        <f t="shared" ca="1" si="0"/>
        <v>45</v>
      </c>
      <c r="C54" s="5" t="e">
        <f ca="1">IF(Planning!$C$8="No",VLOOKUP(B54,'Summary Calculations (hide)'!$D$15:$U$67,17,0),VLOOKUP(B54,'Summary Calculations (hide)'!$D$15:$F$67,2,0)*IF(Planning!$C$11="",1,1+Planning!$C$11)*'Summary Calculations (hide)'!$L$4/IF(Summary!$C$8="Patients",'Summary Calculations (hide)'!$I$9,1))</f>
        <v>#DIV/0!</v>
      </c>
      <c r="D54" s="5" t="e">
        <f ca="1">IF(Planning!$C$8="No",VLOOKUP('Planning (hide)'!B54,'Summary Calculations (hide)'!$D$15:$U$67,18,0),VLOOKUP(B54,'Summary Calculations (hide)'!$D$15:$F$67,3,0)*IF(Planning!$C$11="",1,1+Planning!$C$11)*'Summary Calculations (hide)'!$L$4/IF(Summary!$C$8="Patients",'Summary Calculations (hide)'!$I$9,1))-IF(Planning!$C$8="No",0,C54)</f>
        <v>#VALUE!</v>
      </c>
      <c r="E54" s="5">
        <f ca="1">VLOOKUP($B54,'Summary Calculations (hide)'!$D$15:$U$66,15,0)</f>
        <v>0</v>
      </c>
      <c r="F54" s="5">
        <f ca="1">VLOOKUP($B54,'Summary Calculations (hide)'!$D$15:$U$66,16,0)</f>
        <v>0</v>
      </c>
      <c r="G54" s="5">
        <f t="shared" ca="1" si="1"/>
        <v>0</v>
      </c>
      <c r="H54" s="5">
        <f t="shared" ca="1" si="2"/>
        <v>0</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t="e">
        <f ca="1">VLOOKUP($B54,'Summary Calculations (hide)'!$D$15:$U$67,17,0)</f>
        <v>#DIV/0!</v>
      </c>
      <c r="AE54" s="68" t="e">
        <f ca="1">VLOOKUP($B54,'Summary Calculations (hide)'!$D$15:$U$67,18,0)</f>
        <v>#VALUE!</v>
      </c>
    </row>
    <row r="55" spans="1:31" x14ac:dyDescent="0.2">
      <c r="A55" s="88">
        <f t="shared" ca="1" si="3"/>
        <v>44872</v>
      </c>
      <c r="B55" s="68">
        <f t="shared" ca="1" si="0"/>
        <v>46</v>
      </c>
      <c r="C55" s="5" t="e">
        <f ca="1">IF(Planning!$C$8="No",VLOOKUP(B55,'Summary Calculations (hide)'!$D$15:$U$67,17,0),VLOOKUP(B55,'Summary Calculations (hide)'!$D$15:$F$67,2,0)*IF(Planning!$C$11="",1,1+Planning!$C$11)*'Summary Calculations (hide)'!$L$4/IF(Summary!$C$8="Patients",'Summary Calculations (hide)'!$I$9,1))</f>
        <v>#DIV/0!</v>
      </c>
      <c r="D55" s="5" t="e">
        <f ca="1">IF(Planning!$C$8="No",VLOOKUP('Planning (hide)'!B55,'Summary Calculations (hide)'!$D$15:$U$67,18,0),VLOOKUP(B55,'Summary Calculations (hide)'!$D$15:$F$67,3,0)*IF(Planning!$C$11="",1,1+Planning!$C$11)*'Summary Calculations (hide)'!$L$4/IF(Summary!$C$8="Patients",'Summary Calculations (hide)'!$I$9,1))-IF(Planning!$C$8="No",0,C55)</f>
        <v>#VALUE!</v>
      </c>
      <c r="E55" s="5">
        <f ca="1">VLOOKUP($B55,'Summary Calculations (hide)'!$D$15:$U$66,15,0)</f>
        <v>0</v>
      </c>
      <c r="F55" s="5">
        <f ca="1">VLOOKUP($B55,'Summary Calculations (hide)'!$D$15:$U$66,16,0)</f>
        <v>0</v>
      </c>
      <c r="G55" s="5">
        <f t="shared" ca="1" si="1"/>
        <v>0</v>
      </c>
      <c r="H55" s="5">
        <f t="shared" ca="1" si="2"/>
        <v>0</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t="e">
        <f ca="1">VLOOKUP($B55,'Summary Calculations (hide)'!$D$15:$U$67,17,0)</f>
        <v>#DIV/0!</v>
      </c>
      <c r="AE55" s="68" t="e">
        <f ca="1">VLOOKUP($B55,'Summary Calculations (hide)'!$D$15:$U$67,18,0)</f>
        <v>#VALUE!</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7" t="s">
        <v>531</v>
      </c>
      <c r="B3" s="167" t="s">
        <v>11</v>
      </c>
    </row>
    <row r="4" spans="1:3" x14ac:dyDescent="0.2">
      <c r="A4" s="168" t="s">
        <v>532</v>
      </c>
      <c r="B4" s="168" t="s">
        <v>533</v>
      </c>
      <c r="C4" s="5" t="e">
        <f ca="1">'Summary Calculations (hide)'!X72</f>
        <v>#N/A</v>
      </c>
    </row>
    <row r="5" spans="1:3" x14ac:dyDescent="0.2">
      <c r="A5" s="168" t="s">
        <v>534</v>
      </c>
      <c r="B5" s="168" t="s">
        <v>535</v>
      </c>
      <c r="C5" s="5" t="e">
        <f ca="1">'Summary Calculations (hide)'!M70</f>
        <v>#DIV/0!</v>
      </c>
    </row>
    <row r="6" spans="1:3" x14ac:dyDescent="0.2">
      <c r="A6" s="168" t="s">
        <v>536</v>
      </c>
      <c r="B6" s="168" t="s">
        <v>537</v>
      </c>
      <c r="C6" s="5" t="e">
        <f ca="1">'Summary Calculations (hide)'!N70</f>
        <v>#VALUE!</v>
      </c>
    </row>
    <row r="7" spans="1:3" ht="42.75" x14ac:dyDescent="0.2">
      <c r="A7" s="168" t="s">
        <v>101</v>
      </c>
      <c r="B7" s="168" t="s">
        <v>538</v>
      </c>
      <c r="C7" t="e">
        <f ca="1">'Parameters calculator (hide)'!B45</f>
        <v>#N/A</v>
      </c>
    </row>
    <row r="8" spans="1:3" ht="28.5" x14ac:dyDescent="0.2">
      <c r="A8" s="168" t="s">
        <v>539</v>
      </c>
      <c r="B8" s="168" t="s">
        <v>540</v>
      </c>
      <c r="C8">
        <f ca="1">'Parameters calculator (hide)'!B46</f>
        <v>0</v>
      </c>
    </row>
    <row r="9" spans="1:3" ht="42.75" x14ac:dyDescent="0.2">
      <c r="A9" s="168" t="s">
        <v>541</v>
      </c>
      <c r="B9" s="168" t="s">
        <v>542</v>
      </c>
      <c r="C9">
        <v>0</v>
      </c>
    </row>
    <row r="10" spans="1:3" ht="28.5" x14ac:dyDescent="0.2">
      <c r="A10" s="168" t="s">
        <v>543</v>
      </c>
      <c r="B10" s="168" t="s">
        <v>544</v>
      </c>
      <c r="C10">
        <v>0</v>
      </c>
    </row>
    <row r="11" spans="1:3" ht="57" x14ac:dyDescent="0.2">
      <c r="A11" s="168" t="s">
        <v>545</v>
      </c>
      <c r="B11" s="168" t="s">
        <v>546</v>
      </c>
      <c r="C11">
        <f ca="1">'Parameters calculator (hide)'!B47</f>
        <v>1</v>
      </c>
    </row>
    <row r="12" spans="1:3" x14ac:dyDescent="0.2">
      <c r="A12" s="168" t="s">
        <v>497</v>
      </c>
      <c r="B12" s="168" t="s">
        <v>547</v>
      </c>
      <c r="C12" s="5">
        <f ca="1">SUM('Summary Calculations (hide)'!R70:S70)</f>
        <v>0</v>
      </c>
    </row>
    <row r="13" spans="1:3" x14ac:dyDescent="0.2">
      <c r="A13" s="168" t="s">
        <v>548</v>
      </c>
      <c r="B13" s="168" t="s">
        <v>549</v>
      </c>
      <c r="C13" s="5" t="e">
        <f ca="1">'Parameters calculator (hide)'!F63</f>
        <v>#VALUE!</v>
      </c>
    </row>
    <row r="14" spans="1:3" x14ac:dyDescent="0.2">
      <c r="A14" s="168" t="s">
        <v>550</v>
      </c>
      <c r="B14" s="168" t="s">
        <v>551</v>
      </c>
      <c r="C14" s="5">
        <f ca="1">'Parameters calculator (hide)'!B79</f>
        <v>0</v>
      </c>
    </row>
    <row r="15" spans="1:3" x14ac:dyDescent="0.2">
      <c r="A15" s="168" t="s">
        <v>77</v>
      </c>
      <c r="B15" s="168" t="s">
        <v>552</v>
      </c>
      <c r="C15" t="e">
        <f ca="1">'Parameters calculator (hide)'!B43+'Parameters calculator (hide)'!B44</f>
        <v>#N/A</v>
      </c>
    </row>
    <row r="16" spans="1:3" x14ac:dyDescent="0.2">
      <c r="A16" s="168" t="s">
        <v>553</v>
      </c>
      <c r="B16" s="168" t="s">
        <v>554</v>
      </c>
      <c r="C16">
        <v>0</v>
      </c>
    </row>
    <row r="17" spans="1:3" x14ac:dyDescent="0.2">
      <c r="A17" s="168" t="s">
        <v>555</v>
      </c>
      <c r="B17" s="168" t="s">
        <v>556</v>
      </c>
      <c r="C17">
        <f>IF(Summary!$C$8="Patients",0,1)</f>
        <v>0</v>
      </c>
    </row>
    <row r="18" spans="1:3" ht="28.5" x14ac:dyDescent="0.2">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cp:lastPrinted>2021-11-11T13:35:19Z</cp:lastPrinted>
  <dcterms:created xsi:type="dcterms:W3CDTF">2018-01-30T12:52:20Z</dcterms:created>
  <dcterms:modified xsi:type="dcterms:W3CDTF">2021-11-11T14:33:11Z</dcterms:modified>
</cp:coreProperties>
</file>